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FC8103AA-191E-9A47-8BBE-C68B38FB79D6}" xr6:coauthVersionLast="45" xr6:coauthVersionMax="47" xr10:uidLastSave="{00000000-0000-0000-0000-000000000000}"/>
  <workbookProtection workbookAlgorithmName="SHA-512" workbookHashValue="TP2AqyeH0jo97ZYmn1tRFUyWGCohCUHZPof/1oE1Cv+ilzYky4sGs8MwtZZexjAtb6tSX6/ftzIAEYRgvTmB/A==" workbookSaltValue="idokJffji9FncdlsRDxVqw==" workbookSpinCount="100000" lockStructure="1"/>
  <bookViews>
    <workbookView xWindow="0" yWindow="500" windowWidth="28800" windowHeight="15840" tabRatio="851" activeTab="12"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66" r:id="rId10"/>
    <sheet name="Dropdowns" sheetId="2" state="veryHidden" r:id="rId11"/>
    <sheet name="Points" sheetId="3" state="veryHidden" r:id="rId12"/>
    <sheet name="Overview (Verification)" sheetId="23" r:id="rId13"/>
    <sheet name="Verification Report" sheetId="16" r:id="rId14"/>
    <sheet name="Verification (Ch. 7)" sheetId="79" r:id="rId15"/>
    <sheet name="Verification (Ch.8)" sheetId="80" r:id="rId16"/>
    <sheet name="Photo Review" sheetId="76" r:id="rId17"/>
    <sheet name="Rough Sig." sheetId="17" r:id="rId18"/>
    <sheet name="Final Sig." sheetId="18" r:id="rId19"/>
    <sheet name="Appendix A" sheetId="73" r:id="rId20"/>
    <sheet name="Appendix B" sheetId="74" r:id="rId21"/>
    <sheet name="Appendix D" sheetId="75" r:id="rId22"/>
    <sheet name="Table 305.3.5" sheetId="77" r:id="rId23"/>
    <sheet name="Table 305.3.6" sheetId="78" r:id="rId24"/>
    <sheet name="Table 11.602.1.12" sheetId="30" r:id="rId25"/>
    <sheet name="Table 11.604.1" sheetId="31" r:id="rId26"/>
    <sheet name="Table 11.610.1.2.1" sheetId="32" r:id="rId27"/>
    <sheet name="Table 11.610.1.2.2" sheetId="33" r:id="rId28"/>
    <sheet name="Figure 6(2)" sheetId="34" r:id="rId29"/>
    <sheet name="Figure 6(3)" sheetId="37" r:id="rId30"/>
    <sheet name="Table 11.701.4.3.2(2)" sheetId="39" r:id="rId31"/>
    <sheet name="Table 703.2.5.1" sheetId="81" r:id="rId32"/>
    <sheet name="Table 11.901.9.1" sheetId="69" r:id="rId33"/>
    <sheet name="Table 11.901.9.2" sheetId="70" r:id="rId34"/>
    <sheet name="Table 11.901.10(3)" sheetId="71" r:id="rId35"/>
    <sheet name="Errata" sheetId="21" r:id="rId36"/>
  </sheets>
  <externalReferences>
    <externalReference r:id="rId37"/>
  </externalReferences>
  <definedNames>
    <definedName name="_xlnm._FilterDatabase" localSheetId="2" hidden="1">Geography!$A$1:$G$3146</definedName>
    <definedName name="_xlnm._FilterDatabase" localSheetId="16" hidden="1">'Photo Review'!$G$7:$G$1348</definedName>
    <definedName name="_xlnm._FilterDatabase" localSheetId="9" hidden="1">'Req. Doc.'!$A$6:$C$1346</definedName>
    <definedName name="_xlnm._FilterDatabase" localSheetId="13" hidden="1">'Verification Report'!$A$7:$H$1363</definedName>
    <definedName name="Ch10AddGoal" localSheetId="31">[1]Points!$X$20</definedName>
    <definedName name="Ch10AddGoal">Points!$P$20</definedName>
    <definedName name="Ch10GLevFinal">[1]Points!$AA$20</definedName>
    <definedName name="Ch10Level" localSheetId="31">[1]Points!$R$20</definedName>
    <definedName name="Ch10Level">Points!$K$20</definedName>
    <definedName name="Ch10Points" localSheetId="31">[1]Points!$H$20</definedName>
    <definedName name="Ch10Points">Points!$H$20</definedName>
    <definedName name="Ch10PointsFinal" localSheetId="31">[1]Points!$T$20</definedName>
    <definedName name="Ch10PointsFinal">Points!$N$20</definedName>
    <definedName name="Ch5AddGoal" localSheetId="31">[1]Points!$X$15</definedName>
    <definedName name="Ch5AddGoal">Points!$P$15</definedName>
    <definedName name="Ch5Error">'Ch5'!$AI$3</definedName>
    <definedName name="Ch5GLevFinal">[1]Points!$AA$15</definedName>
    <definedName name="Ch5Level" localSheetId="11">Points!$K$15</definedName>
    <definedName name="Ch5MandError">'Ch5'!$AG$3</definedName>
    <definedName name="Ch5Points" localSheetId="11">Points!$H$15</definedName>
    <definedName name="Ch5PointsFinal" localSheetId="31">[1]Points!$T$15</definedName>
    <definedName name="Ch5PointsFinal">Points!$N$15</definedName>
    <definedName name="Ch6AddGoal" localSheetId="31">[1]Points!$X$16</definedName>
    <definedName name="Ch6AddGoal">Points!$P$16</definedName>
    <definedName name="Ch6GLevFinal">[1]Points!$AA$16</definedName>
    <definedName name="Ch6Level" localSheetId="31">[1]Points!$R$16</definedName>
    <definedName name="Ch6Level">Points!$K$16</definedName>
    <definedName name="Ch6NLev">[1]Points!$P$16</definedName>
    <definedName name="Ch6Points" localSheetId="31">[1]Points!$H$16</definedName>
    <definedName name="Ch6Points">Points!$H$16</definedName>
    <definedName name="Ch6PointsFinal" localSheetId="31">[1]Points!$T$16</definedName>
    <definedName name="Ch6PointsFinal">Points!$N$16</definedName>
    <definedName name="Ch7AddGoal">[1]Points!$X$17</definedName>
    <definedName name="Ch7GLevFinal">[1]Points!$AA$17</definedName>
    <definedName name="Ch7Level" localSheetId="31">[1]Points!$R$17</definedName>
    <definedName name="Ch7Level">Points!$K$17</definedName>
    <definedName name="Ch7LevelFinal">Points!$Q$17</definedName>
    <definedName name="Ch7Max" localSheetId="31">[1]Points!$N$10</definedName>
    <definedName name="Ch7Max">Points!$I$10</definedName>
    <definedName name="Ch7Points" localSheetId="31">[1]Points!$H$17</definedName>
    <definedName name="Ch7Points">Points!$H$17</definedName>
    <definedName name="Ch7PointsFinal" localSheetId="31">[1]Points!$T$17</definedName>
    <definedName name="Ch7PointsFinal">Points!$N$17</definedName>
    <definedName name="Ch8AddGoal">[1]Points!$X$18</definedName>
    <definedName name="Ch8GLevFinal">[1]Points!$AA$18</definedName>
    <definedName name="Ch8Level" localSheetId="31">[1]Points!$R$18</definedName>
    <definedName name="Ch8Level">Points!$K$18</definedName>
    <definedName name="Ch8LevelFinal">Points!$Q$18</definedName>
    <definedName name="Ch8Max" localSheetId="31">[1]Points!$N$11</definedName>
    <definedName name="Ch8Max">Points!$I$11</definedName>
    <definedName name="Ch8Points" localSheetId="31">[1]Points!$H$18</definedName>
    <definedName name="Ch8Points">Points!$H$18</definedName>
    <definedName name="Ch8PointsFinal" localSheetId="31">[1]Points!$T$18</definedName>
    <definedName name="Ch8PointsFinal">Points!$N$18</definedName>
    <definedName name="Ch9AddGoal" localSheetId="31">[1]Points!$X$19</definedName>
    <definedName name="Ch9AddGoal">Points!$P$19</definedName>
    <definedName name="Ch9GLevFinal">[1]Points!$AA$19</definedName>
    <definedName name="Ch9Level" localSheetId="31">[1]Points!$R$19</definedName>
    <definedName name="Ch9Level">Points!$K$19</definedName>
    <definedName name="Ch9Points" localSheetId="31">[1]Points!$H$19</definedName>
    <definedName name="Ch9Points">Points!$H$19</definedName>
    <definedName name="Ch9PointsFinal" localSheetId="31">[1]Points!$T$19</definedName>
    <definedName name="Ch9PointsFinal">Points!$N$19</definedName>
    <definedName name="dbState" localSheetId="31">[1]Geography!$A$1:$H$3146</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'Ch10'!$AQ$60</definedName>
    <definedName name="dch1001_1_25">'Ch10'!$AQ$61</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'Ch10'!$AQ$62</definedName>
    <definedName name="dch1002_1_1">'Ch10'!$AQ$83</definedName>
    <definedName name="dch1002_1_2">'Ch10'!$AQ$86</definedName>
    <definedName name="dch1002_1_3">'Ch10'!$AQ$89</definedName>
    <definedName name="dch1002_1_4">'Ch10'!$AQ$91</definedName>
    <definedName name="dch1002_1_5">'Ch10'!$AQ$92</definedName>
    <definedName name="dch1002_1_6">'Ch10'!$AQ$94</definedName>
    <definedName name="dch1002_1_7">'Ch10'!$AQ$95</definedName>
    <definedName name="dch1002_1_8">'Ch10'!$AQ$96</definedName>
    <definedName name="dch1002_2_1">'Ch10'!$AQ$102</definedName>
    <definedName name="dch1002_2_10">'Ch10'!$AQ$120</definedName>
    <definedName name="dch1002_2_11">'Ch10'!$AQ$123</definedName>
    <definedName name="dch1002_2_2">'Ch10'!$AQ$104</definedName>
    <definedName name="dch1002_2_3">'Ch10'!$AQ$107</definedName>
    <definedName name="dch1002_2_4">'Ch10'!$AQ$109</definedName>
    <definedName name="dch1002_2_5">'Ch10'!$AQ$112</definedName>
    <definedName name="dch1002_2_6">'Ch10'!$AQ$114</definedName>
    <definedName name="dch1002_2_7">'Ch10'!$AQ$115</definedName>
    <definedName name="dch1002_2_8">'Ch10'!$AQ$117</definedName>
    <definedName name="dch1002_2_9">'Ch10'!$AQ$119</definedName>
    <definedName name="dch1002_3_1">'Ch10'!$AQ$129</definedName>
    <definedName name="dch1002_3_10">'Ch10'!$AQ$150</definedName>
    <definedName name="dch1002_3_2">'Ch10'!$AQ$131</definedName>
    <definedName name="dch1002_3_3">'Ch10'!$AQ$135</definedName>
    <definedName name="dch1002_3_4">'Ch10'!$AQ$142</definedName>
    <definedName name="dch1002_3_5">'Ch10'!$AQ$144</definedName>
    <definedName name="dch1002_3_6">'Ch10'!$AQ$145</definedName>
    <definedName name="dch1002_3_7">'Ch10'!$AQ$147</definedName>
    <definedName name="dch1002_3_8">'Ch10'!$AQ$148</definedName>
    <definedName name="dch1002_3_9">'Ch10'!$AQ$149</definedName>
    <definedName name="dch1002_4">'Ch10'!$AQ$151</definedName>
    <definedName name="dch1003_1_1">'Ch10'!$AQ$168</definedName>
    <definedName name="dch1003_1_2">'Ch10'!$AQ$170</definedName>
    <definedName name="dch1003_1_3">'Ch10'!$AQ$173</definedName>
    <definedName name="dch501_2_1">'Ch5'!$AQ$16</definedName>
    <definedName name="dch501_2_2">'Ch5'!$AQ$18</definedName>
    <definedName name="dch501_2_3">'Ch5'!$AQ$20</definedName>
    <definedName name="dch501_2_4">'Ch5'!$AQ$29</definedName>
    <definedName name="dch501_2_5">'Ch5'!$AQ$32</definedName>
    <definedName name="dch501_2_6">'Ch5'!$AQ$32</definedName>
    <definedName name="dch502_1">'Ch5'!$AQ$38</definedName>
    <definedName name="dch503_1_1">'Ch5'!$AQ$50</definedName>
    <definedName name="dch503_1_2">'Ch5'!$AQ$51</definedName>
    <definedName name="dch503_1_3">'Ch5'!$AQ$53</definedName>
    <definedName name="dch503_1_4">'Ch5'!$AQ$55</definedName>
    <definedName name="dch503_1_5">'Ch5'!$AQ$56</definedName>
    <definedName name="dch503_1_6">'Ch5'!$AQ$57</definedName>
    <definedName name="dch503_1_7">'Ch5'!$AQ$59</definedName>
    <definedName name="dch503_2">'Ch5'!$AQ$62</definedName>
    <definedName name="dch503_2_1">'Ch5'!$AQ$63</definedName>
    <definedName name="dch503_2_2">'Ch5'!$AQ$64</definedName>
    <definedName name="dch503_2_3">'Ch5'!$AQ$66</definedName>
    <definedName name="dch503_2_4">'Ch5'!$AQ$71</definedName>
    <definedName name="dch503_2_5">'Ch5'!$AQ$73</definedName>
    <definedName name="dch503_3_1">'Ch5'!$AQ$77</definedName>
    <definedName name="dch503_3_2_a">'Ch5'!$AQ$81</definedName>
    <definedName name="dch503_3_2_b">'Ch5'!$AQ$82</definedName>
    <definedName name="dch503_3_2_c">'Ch5'!$AQ$84</definedName>
    <definedName name="dch503_3_2_d">'Ch5'!$AQ$85</definedName>
    <definedName name="dch503_3_3">'Ch5'!$AQ$86</definedName>
    <definedName name="dch503_4_1">'Ch5'!$AQ$94</definedName>
    <definedName name="dch503_4_2">'Ch5'!$AQ$97</definedName>
    <definedName name="dch503_4_3">'Ch5'!$AQ$104</definedName>
    <definedName name="dch503_4_4">'Ch5'!$AQ$104</definedName>
    <definedName name="dch503_5">'Ch5'!$AQ$111</definedName>
    <definedName name="dch503_5_1">'Ch5'!$AQ$113</definedName>
    <definedName name="dch503_5_10">'Ch5'!$AQ$141</definedName>
    <definedName name="dch503_5_11">'Ch5'!$AQ$143</definedName>
    <definedName name="dch503_5_12">'Ch5'!$AQ$145</definedName>
    <definedName name="dch503_5_2">'Ch5'!$AQ$119</definedName>
    <definedName name="dch503_5_3">'Ch5'!$AQ$121</definedName>
    <definedName name="dch503_5_4">'Ch5'!$AQ$123</definedName>
    <definedName name="dch503_5_5">'Ch5'!$AQ$125</definedName>
    <definedName name="dch503_5_6">'Ch5'!$AQ$130</definedName>
    <definedName name="dch503_5_7">'Ch5'!$AQ$131</definedName>
    <definedName name="dch503_5_8">'Ch5'!$AQ$136</definedName>
    <definedName name="dch503_5_9">'Ch5'!$AQ$138</definedName>
    <definedName name="dch503_6_1">'Ch5'!$AQ$149</definedName>
    <definedName name="dch503_6_2">'Ch5'!$AQ$150</definedName>
    <definedName name="dch503_6_3">'Ch5'!$AQ$151</definedName>
    <definedName name="dch503_6_4">'Ch5'!$AQ$153</definedName>
    <definedName name="dch503_7_1" localSheetId="31">[1]Ch5!#REF!</definedName>
    <definedName name="dch503_7_1">'Ch5'!$AQ$156</definedName>
    <definedName name="dch503_7_2" localSheetId="31">[1]Ch5!#REF!</definedName>
    <definedName name="dch503_7_2">'Ch5'!$AQ$158</definedName>
    <definedName name="dch504_1">'Ch5'!$AQ$163</definedName>
    <definedName name="dch504_2_1">'Ch5'!$AQ$170</definedName>
    <definedName name="dch504_2_2">'Ch5'!$AQ$171</definedName>
    <definedName name="dch504_2_3">'Ch5'!$AQ$173</definedName>
    <definedName name="dch504_3_1">'Ch5'!$AQ$178</definedName>
    <definedName name="dch504_3_2">'Ch5'!$AQ$180</definedName>
    <definedName name="dch504_3_3">'Ch5'!$AQ$181</definedName>
    <definedName name="dch504_3_4">'Ch5'!$AQ$183</definedName>
    <definedName name="dch504_3_5">'Ch5'!$AQ$185</definedName>
    <definedName name="dch504_3_6">'Ch5'!$AQ$189</definedName>
    <definedName name="dch504_3_7">'Ch5'!$AQ$192</definedName>
    <definedName name="dch504_3_8a">'Ch5'!$AQ$194</definedName>
    <definedName name="dch504_3_8b">'Ch5'!$AQ$195</definedName>
    <definedName name="dch504_3_8c">'Ch5'!$AQ$196</definedName>
    <definedName name="dch504_3_8d">'Ch5'!$AQ$197</definedName>
    <definedName name="dch504_3_8e">'Ch5'!$AQ$198</definedName>
    <definedName name="dch504_3_8f">'Ch5'!$AQ$199</definedName>
    <definedName name="dch505_1_1">'Ch5'!$AQ$207</definedName>
    <definedName name="dch505_1_2">'Ch5'!$AQ$209</definedName>
    <definedName name="dch505_1_3">'Ch5'!$AQ$210</definedName>
    <definedName name="dch505_1_4">'Ch5'!$AQ$214</definedName>
    <definedName name="dch505_2_1_a">'Ch5'!$AQ$222</definedName>
    <definedName name="dch505_2_1_b">'Ch5'!$AQ$225</definedName>
    <definedName name="dch505_2_1_c">'Ch5'!$AQ$229</definedName>
    <definedName name="dch505_2_2">'Ch5'!$AQ$230</definedName>
    <definedName name="dch505_3">'Ch5'!$AQ$233</definedName>
    <definedName name="dch505_4">'Ch5'!$AQ$239</definedName>
    <definedName name="dch505_5">'Ch5'!$AQ$240</definedName>
    <definedName name="dch505_6">'Ch5'!$AQ$243</definedName>
    <definedName name="dch601_2_1">'Ch6'!$AQ$32</definedName>
    <definedName name="dch601_2_2">'Ch6'!$AQ$35</definedName>
    <definedName name="dch601_2_3">'Ch6'!$AQ$38</definedName>
    <definedName name="dch601_3_1">'Ch6'!$AQ$44</definedName>
    <definedName name="dch601_3_2">'Ch6'!$AQ$45</definedName>
    <definedName name="dch601_3_3">'Ch6'!$AQ$46</definedName>
    <definedName name="dch601_3_4">'Ch6'!$AQ$47</definedName>
    <definedName name="dch601_3_5">'Ch6'!$AQ$48</definedName>
    <definedName name="dch601_4">'Ch6'!$AQ$49</definedName>
    <definedName name="dch601_5_1">'Ch6'!$AQ$57</definedName>
    <definedName name="dch601_5_2">'Ch6'!$AQ$58</definedName>
    <definedName name="dch601_5_3">'Ch6'!$AQ$59</definedName>
    <definedName name="dch601_5_4">'Ch6'!$AQ$60</definedName>
    <definedName name="dch601_6">'Ch6'!$AQ$62</definedName>
    <definedName name="dch601_7_a">'Ch6'!$AQ$69</definedName>
    <definedName name="dch601_7_b">'Ch6'!$AQ$70</definedName>
    <definedName name="dch601_7_c">'Ch6'!$AQ$71</definedName>
    <definedName name="dch601_7_d">'Ch6'!$AQ$75</definedName>
    <definedName name="dch601_7_e">'Ch6'!$AQ$77</definedName>
    <definedName name="dch601_8">'Ch6'!$AQ$84</definedName>
    <definedName name="dch602_1_1_1">'Ch6'!$AQ$97</definedName>
    <definedName name="dch602_1_1_2">'Ch6'!$AQ$101</definedName>
    <definedName name="dch602_1_10">'Ch6'!$AQ$214</definedName>
    <definedName name="dch602_1_11">'Ch6'!$AQ$226</definedName>
    <definedName name="dch602_1_12">'Ch6'!$AQ$230</definedName>
    <definedName name="dch602_1_13">'Ch6'!$AQ$233</definedName>
    <definedName name="dch602_1_14_1">'Ch6'!$AQ$239</definedName>
    <definedName name="dch602_1_14_2">'Ch6'!$AQ$241</definedName>
    <definedName name="dch602_1_14_3">'Ch6'!$AQ$242</definedName>
    <definedName name="dch602_1_2__1">'Ch6'!$AQ$107</definedName>
    <definedName name="dch602_1_2__2">'Ch6'!$AQ$108</definedName>
    <definedName name="dch602_1_3_1">'Ch6'!$AQ$110</definedName>
    <definedName name="dch602_1_3_2">'Ch6'!$AQ$113</definedName>
    <definedName name="dch602_1_4_1_1">'Ch6'!$AQ$121</definedName>
    <definedName name="dch602_1_4_1_2">'Ch6'!$AQ$123</definedName>
    <definedName name="dch602_1_4_2_1">'Ch6'!$AQ$130</definedName>
    <definedName name="dch602_1_4_2_2">'Ch6'!$AQ$132</definedName>
    <definedName name="dch602_1_5">'Ch6'!$AQ$137</definedName>
    <definedName name="dch602_1_5_1">'Ch6'!$AQ$138</definedName>
    <definedName name="dch602_1_5_2">'Ch6'!$AQ$140</definedName>
    <definedName name="dch602_1_6_1">'Ch6'!$AQ$146</definedName>
    <definedName name="dch602_1_6_2">'Ch6'!$AQ$150</definedName>
    <definedName name="dch602_1_6_3">'Ch6'!$AQ$154</definedName>
    <definedName name="dch602_1_7_1_1">'Ch6'!$AQ$159</definedName>
    <definedName name="dch602_1_7_1_2">'Ch6'!$AQ$161</definedName>
    <definedName name="dch602_1_7_1_3">'Ch6'!$AQ$164</definedName>
    <definedName name="dch602_1_7_2">'Ch6'!$AQ$166</definedName>
    <definedName name="dch602_1_7_3">'Ch6'!$AQ$168</definedName>
    <definedName name="dch602_1_8">'Ch6'!$AQ$172</definedName>
    <definedName name="dch602_1_9_1">'Ch6'!$AQ$184</definedName>
    <definedName name="dch602_1_9_2">'Ch6'!$AQ$196</definedName>
    <definedName name="dch602_1_9_3">'Ch6'!$AQ$199</definedName>
    <definedName name="dch602_1_9_4">'Ch6'!$AQ$200</definedName>
    <definedName name="dch602_1_9_5">'Ch6'!$AQ$204</definedName>
    <definedName name="dch602_1_9_6">'Ch6'!$AQ$210</definedName>
    <definedName name="dch602_1_9_7">'Ch6'!$AQ$212</definedName>
    <definedName name="dch602_2_1">'Ch6'!$AQ$247</definedName>
    <definedName name="dch602_2_2">'Ch6'!$AQ$249</definedName>
    <definedName name="dch602_2_3">'Ch6'!$AQ$250</definedName>
    <definedName name="dch602_3">'Ch6'!$AQ$253</definedName>
    <definedName name="dch602_4_1">'Ch6'!$AQ$257</definedName>
    <definedName name="dch602_4_2">'Ch6'!$AQ$262</definedName>
    <definedName name="dch602_4_3">'Ch6'!$AQ$264</definedName>
    <definedName name="dch603_1">'Ch6'!$AQ$268</definedName>
    <definedName name="dch603_2">'Ch6'!$AQ$274</definedName>
    <definedName name="dch603_3">'Ch6'!$AQ$281</definedName>
    <definedName name="dch604_1a">'Ch6'!$AQ$286</definedName>
    <definedName name="dch604_1b">'Ch6'!$AQ$288</definedName>
    <definedName name="dch604_1c">'Ch6'!$AQ$290</definedName>
    <definedName name="dch604_1d">'Ch6'!$AQ$292</definedName>
    <definedName name="dch605_1">'Ch6'!$AQ$296</definedName>
    <definedName name="dch605_1_2">'Ch6'!$AQ$312</definedName>
    <definedName name="dch605_2">'Ch6'!$AQ$299</definedName>
    <definedName name="dch605_2_2">'Ch6'!$AQ$312</definedName>
    <definedName name="dch605_3">'Ch6'!$AQ$314</definedName>
    <definedName name="dch605_3_2_a">'Ch6'!$AQ$327</definedName>
    <definedName name="dch605_3_2_b">'Ch6'!$AQ$328</definedName>
    <definedName name="dch605_3_2_c">'Ch6'!$AQ$329</definedName>
    <definedName name="dch605_3_2_d">'Ch6'!$AQ$330</definedName>
    <definedName name="dch605_3_2_e">'Ch6'!$AQ$331</definedName>
    <definedName name="dch605_3_2_f">'Ch6'!$AQ$332</definedName>
    <definedName name="dch605_3_2_g">'Ch6'!$AQ$333</definedName>
    <definedName name="dch605_3_2_h">'Ch6'!$AQ$334</definedName>
    <definedName name="dch605_3_2_i">'Ch6'!$AQ$335</definedName>
    <definedName name="dch605_4_2_a">'Ch6'!$AQ$327</definedName>
    <definedName name="dch605_4_2_b">'Ch6'!$AQ$328</definedName>
    <definedName name="dch605_4_2_c">'Ch6'!$AQ$329</definedName>
    <definedName name="dch605_4_2_d">'Ch6'!$AQ$330</definedName>
    <definedName name="dch605_4_2_e">'Ch6'!$AQ$331</definedName>
    <definedName name="dch605_4_2_f">'Ch6'!$AQ$332</definedName>
    <definedName name="dch605_4_2_g">'Ch6'!$AQ$333</definedName>
    <definedName name="dch605_4_2_h">'Ch6'!$AQ$334</definedName>
    <definedName name="dch605_4_2_i">'Ch6'!$AQ$335</definedName>
    <definedName name="dch606_1_a">'Ch6'!$AQ$340</definedName>
    <definedName name="dch606_1_b">'Ch6'!$AQ$341</definedName>
    <definedName name="dch606_1_c">'Ch6'!$AQ$342</definedName>
    <definedName name="dch606_1_d">'Ch6'!$AQ$343</definedName>
    <definedName name="dch606_1_e">'Ch6'!$AQ$344</definedName>
    <definedName name="dch606_1_f">'Ch6'!$AQ$345</definedName>
    <definedName name="dch606_1_g">'Ch6'!$AQ$346</definedName>
    <definedName name="dch606_1_h">'Ch6'!$AQ$347</definedName>
    <definedName name="dch606_2_1a">'Ch6'!$AQ$367</definedName>
    <definedName name="dch606_2_1b">'Ch6'!$AQ$368</definedName>
    <definedName name="dch606_2_2a">'Ch6'!$AQ$370</definedName>
    <definedName name="dch606_2_2b">'Ch6'!$AQ$371</definedName>
    <definedName name="dch606_3">'Ch6'!$AQ$373</definedName>
    <definedName name="dch607_1_1">'Ch6'!$AQ$382</definedName>
    <definedName name="dch607_1_2">'Ch6'!$AQ$384</definedName>
    <definedName name="dch607_2">'Ch6'!$AQ$385</definedName>
    <definedName name="dch608_1">'Ch6'!$AQ$388</definedName>
    <definedName name="dch609_1a">'Ch6'!$AQ$398</definedName>
    <definedName name="dch609_1b">'Ch6'!$AQ$401</definedName>
    <definedName name="dch610_1_1_1">'Ch6'!$AQ$413</definedName>
    <definedName name="dch610_1_1_2">'Ch6'!$AQ$422</definedName>
    <definedName name="dch610_1_1_3">'Ch6'!$AQ$429</definedName>
    <definedName name="dch610_1_2_1a">'Ch6'!$AQ$437</definedName>
    <definedName name="dch610_1_2_1b">'Ch6'!$AQ$444</definedName>
    <definedName name="dch610_1_2_2_f">'Ch6'!$AQ$468</definedName>
    <definedName name="dch610_1_2_2a">'Ch6'!$AQ$450</definedName>
    <definedName name="dch610_1_2_2b">'Ch6'!$AQ$456</definedName>
    <definedName name="dch610_1_2_2c">'Ch6'!$AQ$462</definedName>
    <definedName name="dch611_1">'Ch6'!$AQ$474</definedName>
    <definedName name="dch611_2_1">'Ch6'!$AQ$485</definedName>
    <definedName name="dch611_2_2">'Ch6'!$AQ$486</definedName>
    <definedName name="dch611_2_3">'Ch6'!$AQ$487</definedName>
    <definedName name="dch611_2_4">'Ch6'!$AQ$488</definedName>
    <definedName name="dch611_2_5">'Ch6'!$AQ$489</definedName>
    <definedName name="dch611_2_6">'Ch6'!$AQ$490</definedName>
    <definedName name="dch611_2_7">'Ch6'!$AQ$491</definedName>
    <definedName name="dch611_3_1">'Ch6'!$AQ$495</definedName>
    <definedName name="dch611_3_2">'Ch6'!$AQ$500</definedName>
    <definedName name="dch611_3_3">'Ch6'!$AQ$504</definedName>
    <definedName name="dch611_3_4">'Ch6'!$AQ$506</definedName>
    <definedName name="dch611_3_5">'Ch6'!$AQ$508</definedName>
    <definedName name="dch611_3_6">'Ch6'!$AQ$509</definedName>
    <definedName name="dch611_3_7">'Ch6'!$AQ$510</definedName>
    <definedName name="dch611_3_8">'Ch6'!$AQ$514</definedName>
    <definedName name="dch611_3_9">'Ch6'!$AQ$516</definedName>
    <definedName name="dch611_4_1">'Ch6'!$AQ$524</definedName>
    <definedName name="dch611_4_2">'Ch6'!$AQ$534</definedName>
    <definedName name="dch701_4">'Ch7'!$AQ$12</definedName>
    <definedName name="dch701_4_0">'Ch7'!$AQ$14</definedName>
    <definedName name="dch701_4_1" localSheetId="14">'Verification (Ch. 7)'!#REF!</definedName>
    <definedName name="dch701_4_1">'Ch7'!$AQ$30</definedName>
    <definedName name="dch701_4_1_1" localSheetId="14">'Verification (Ch. 7)'!#REF!</definedName>
    <definedName name="dch701_4_1_1">'Ch7'!$AQ$21</definedName>
    <definedName name="dch701_4_1_2" localSheetId="14">'Verification (Ch. 7)'!#REF!</definedName>
    <definedName name="dch701_4_1_2">'Ch7'!$AQ$24</definedName>
    <definedName name="dch701_4_2_2" localSheetId="14">'Verification (Ch. 7)'!#REF!</definedName>
    <definedName name="dch701_4_2_2">'Ch7'!$AQ$33</definedName>
    <definedName name="dch701_4_2_3" localSheetId="14">'Verification (Ch. 7)'!#REF!</definedName>
    <definedName name="dch701_4_2_3">'Ch7'!$AQ$36</definedName>
    <definedName name="dch701_4_3_1_1" localSheetId="14">'Verification (Ch. 7)'!#REF!</definedName>
    <definedName name="dch701_4_3_1_1">'Ch7'!$AQ$40</definedName>
    <definedName name="dch701_4_3_1_2" localSheetId="14">'Verification (Ch. 7)'!#REF!</definedName>
    <definedName name="dch701_4_3_1_2">'Ch7'!$AQ$42</definedName>
    <definedName name="dch701_4_3_2">'Ch7'!$AQ$57</definedName>
    <definedName name="dch701_4_3_2_1" localSheetId="14">'Verification (Ch. 7)'!#REF!</definedName>
    <definedName name="dch701_4_3_2_1">'Ch7'!$AQ$78</definedName>
    <definedName name="dch701_4_3_2_1_" localSheetId="14">'Verification (Ch. 7)'!#REF!</definedName>
    <definedName name="dch701_4_3_2_1_">'Ch7'!$AQ$59</definedName>
    <definedName name="dch701_4_3_2_2" localSheetId="14">'Verification (Ch. 7)'!#REF!</definedName>
    <definedName name="dch701_4_3_2_2">'Ch7'!$AQ$75</definedName>
    <definedName name="dch701_4_3_2e" localSheetId="14">'Verification (Ch. 7)'!#REF!</definedName>
    <definedName name="dch701_4_3_2e">'Ch7'!$AQ$62</definedName>
    <definedName name="dch701_4_3_3_4" localSheetId="14">'Verification (Ch. 7)'!#REF!</definedName>
    <definedName name="dch701_4_3_3_4">'Ch7'!$AQ$105</definedName>
    <definedName name="dch701_4_3_3_5" localSheetId="14">'Verification (Ch. 7)'!#REF!</definedName>
    <definedName name="dch701_4_3_3_5">'Ch7'!$AQ$111</definedName>
    <definedName name="dch701_4_4_1" localSheetId="14">'Verification (Ch. 7)'!#REF!</definedName>
    <definedName name="dch701_4_4_1">'Ch7'!$AQ$119</definedName>
    <definedName name="dch701_4_4_2" localSheetId="14">'Verification (Ch. 7)'!#REF!</definedName>
    <definedName name="dch701_4_4_2">'Ch7'!$AQ$121</definedName>
    <definedName name="dch701_4_5" localSheetId="14">'Verification (Ch. 7)'!#REF!</definedName>
    <definedName name="dch701_4_5">'Ch7'!$AQ$122</definedName>
    <definedName name="dch701_4_6">'Ch7'!$AQ$124</definedName>
    <definedName name="dch701_4_7">'Ch7'!$AQ$128</definedName>
    <definedName name="dch901_1_1">'Ch9'!$AQ$12</definedName>
    <definedName name="dch901_1_2">'Ch9'!$AQ$18</definedName>
    <definedName name="dch901_1_3_1">'Ch9'!$AQ$23</definedName>
    <definedName name="dch901_1_3_2">'Ch9'!$AQ$26</definedName>
    <definedName name="dch901_1_4">'Ch9'!$AQ$29</definedName>
    <definedName name="dch901_1_5">'Ch9'!$AQ$33</definedName>
    <definedName name="dch901_1_6">'Ch9'!$AQ$36</definedName>
    <definedName name="dch901_10_1">'Ch9'!$AQ$155</definedName>
    <definedName name="dch901_10_2">'Ch9'!$AQ$160</definedName>
    <definedName name="dch901_10_3">'Ch9'!$AQ$161</definedName>
    <definedName name="dch901_11">'Ch9'!$AQ$165</definedName>
    <definedName name="dch901_12">'Ch9'!$AQ$170</definedName>
    <definedName name="dch901_13_1">'Ch9'!$AQ$174</definedName>
    <definedName name="dch901_13_2">'Ch9'!$AQ$175</definedName>
    <definedName name="dch901_14_1">'Ch9'!$AQ$178</definedName>
    <definedName name="dch901_14_2">'Ch9'!$AQ$180</definedName>
    <definedName name="dch901_15">'Ch9'!$AQ$182</definedName>
    <definedName name="dch901_2_1_1">'Ch9'!$AQ$42</definedName>
    <definedName name="dch901_2_1_2">'Ch9'!$AQ$45</definedName>
    <definedName name="dch901_2_1_3">'Ch9'!$AQ$47</definedName>
    <definedName name="dch901_2_1_4">'Ch9'!$AQ$50</definedName>
    <definedName name="dch901_2_1_5">'Ch9'!$AQ$52</definedName>
    <definedName name="dch901_2_2">'Ch9'!$AQ$54</definedName>
    <definedName name="dch901_3_1_a">'Ch9'!$AQ$57</definedName>
    <definedName name="dch901_3_1_b">'Ch9'!$AQ$59</definedName>
    <definedName name="dch901_3_1_c">'Ch9'!$AQ$61</definedName>
    <definedName name="dch901_3_2">'Ch9'!$AQ$67</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'Ch9'!$AQ$116</definedName>
    <definedName name="dch901_7_3">'Ch9'!$AQ$117</definedName>
    <definedName name="dch901_8">'Ch9'!$AQ$120</definedName>
    <definedName name="dch901_9_1_1">'Ch9'!$AQ$132</definedName>
    <definedName name="dch901_9_1_2">'Ch9'!$AQ$134</definedName>
    <definedName name="dch901_9_1_3">'Ch9'!$AQ$135</definedName>
    <definedName name="dch901_9_2">'Ch9'!$AQ$137</definedName>
    <definedName name="dch901_9_3">'Ch9'!$AQ$142</definedName>
    <definedName name="dch901_9_4">'Ch9'!$AQ$148</definedName>
    <definedName name="dch902_1_1">'Ch9'!$AQ$188</definedName>
    <definedName name="dch902_1_1_a">'Ch9'!$AQ$190</definedName>
    <definedName name="dch902_1_2">'Ch9'!$AQ$198</definedName>
    <definedName name="dch902_1_2_">'Ch9'!$AQ$192</definedName>
    <definedName name="dch902_1_2_2">'Ch9'!$AQ$200</definedName>
    <definedName name="dch902_1_3">'Ch9'!$AQ$201</definedName>
    <definedName name="dch902_1_3_">'Ch9'!$AQ$194</definedName>
    <definedName name="dch902_1_4_1">'Ch9'!$AQ$207</definedName>
    <definedName name="dch902_1_4_2">'Ch9'!$AQ$209</definedName>
    <definedName name="dch902_1_5_1">'Ch9'!$AQ$212</definedName>
    <definedName name="dch902_1_5_2">'Ch9'!$AQ$214</definedName>
    <definedName name="dch902_1_5_3">'Ch9'!$AQ$216</definedName>
    <definedName name="dch902_2_1">'Ch9'!$AQ$220</definedName>
    <definedName name="dch902_2_2">'Ch9'!$AQ$230</definedName>
    <definedName name="dch902_2_3">'Ch9'!$AQ$232</definedName>
    <definedName name="dch902_2_4">'Ch9'!$AQ$235</definedName>
    <definedName name="dch902_3_1">'Ch9'!$AQ$241</definedName>
    <definedName name="dch902_3_2_a">'Ch9'!$AQ$245</definedName>
    <definedName name="dch902_4_1">'Ch9'!$AQ$248</definedName>
    <definedName name="dch902_4_2">'Ch9'!$AQ$250</definedName>
    <definedName name="dch902_5">'Ch9'!$AQ$253</definedName>
    <definedName name="dch902_6">'Ch9'!$AQ$255</definedName>
    <definedName name="dch903_1">'Ch9'!$AQ$259</definedName>
    <definedName name="dch903_2">'Ch9'!$AQ$263</definedName>
    <definedName name="dch903_3_1">'Ch9'!$AQ$269</definedName>
    <definedName name="dch903_3_2">'Ch9'!$AQ$270</definedName>
    <definedName name="dch904_1">'Ch9'!$AQ$275</definedName>
    <definedName name="dch904_2">'Ch9'!$AQ$280</definedName>
    <definedName name="dch905_1">'Ch9'!$AQ$284</definedName>
    <definedName name="dch905_2">'Ch9'!$AQ$289</definedName>
    <definedName name="dd305_3_5_1">Dropdowns!$CE$5:$CE$6</definedName>
    <definedName name="dd501_2_5">Dropdowns!$AB$5:$AB$7</definedName>
    <definedName name="dd501_2_6">Dropdowns!$AB$5:$AB$7</definedName>
    <definedName name="dd503_2_3">Dropdowns!$AC$5:$AC$7</definedName>
    <definedName name="dd503_4_2">Dropdowns!$AD$5:$AD$7</definedName>
    <definedName name="dd503_4_3">Dropdowns!$AE$5:$AE$7</definedName>
    <definedName name="dd503_4_4">Dropdowns!$AE$5:$AE$7</definedName>
    <definedName name="dd503_5">Dropdowns!$AF$5:$AF$7</definedName>
    <definedName name="dd503_5_1">Dropdowns!$AG$5:$AG$8</definedName>
    <definedName name="dd503_5_5">Dropdowns!$AH$5:$AH$8</definedName>
    <definedName name="dd503_8" localSheetId="14">Dropdowns!#REF!</definedName>
    <definedName name="dd503_8" localSheetId="15">Dropdowns!#REF!</definedName>
    <definedName name="dd503_8">Dropdowns!#REF!</definedName>
    <definedName name="dd505_1_3">Dropdowns!$AI$5:$AI$7</definedName>
    <definedName name="dd505_1_4">Dropdowns!$AJ$5:$AJ$7</definedName>
    <definedName name="dd505_3">Dropdowns!$AK$5:$AK$9</definedName>
    <definedName name="dd601_6">Dropdowns!$AL$5:$AL$7</definedName>
    <definedName name="dd601_7_a">Dropdowns!$AM$5:$AM$7</definedName>
    <definedName name="dd601_7_b">Dropdowns!$AN$5:$AN$7</definedName>
    <definedName name="dd601_7_c">Dropdowns!$AO$5:$AO$7</definedName>
    <definedName name="dd601_7_d">Dropdowns!$AP$5:$AP$7</definedName>
    <definedName name="dd601_7_e">Dropdowns!$AQ$5:$AQ$7</definedName>
    <definedName name="dd602_1_1_1">Dropdowns!$AR$5:$AR$7</definedName>
    <definedName name="dd602_1_10">Dropdowns!$BA$5:$BA$7</definedName>
    <definedName name="dd602_1_11">Dropdowns!$BB$5:$BB$7</definedName>
    <definedName name="dd602_1_13">Dropdowns!$BC$5:$BC$7</definedName>
    <definedName name="dd602_1_14_1">Dropdowns!$BD$5:$BD$7</definedName>
    <definedName name="dd602_1_3_1">Dropdowns!$AS$5:$AS$7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1">Dropdowns!$AY$5:$AY$7</definedName>
    <definedName name="dd602_1_9_5">Dropdowns!$AZ$5:$AZ$6</definedName>
    <definedName name="dd606_1_a">Dropdowns!$BE$5:$BE$6</definedName>
    <definedName name="dd606_1_b">Dropdowns!$BF$5:$BF$6</definedName>
    <definedName name="dd606_1_c">Dropdowns!$BG$5:$BG$6</definedName>
    <definedName name="dd606_1_d">Dropdowns!$BH$5:$BH$6</definedName>
    <definedName name="dd606_1_e">Dropdowns!$BI$5:$BI$6</definedName>
    <definedName name="dd606_1_f">Dropdowns!$BJ$5:$BJ$6</definedName>
    <definedName name="dd606_1_g">Dropdowns!$BK$5:$BK$6</definedName>
    <definedName name="dd606_1_h">Dropdowns!$BL$5:$BL$6</definedName>
    <definedName name="dd606_2_1a">Dropdowns!$BM$5:$BM$11</definedName>
    <definedName name="dd606_2_1b">Dropdowns!$BN$5:$BN$11</definedName>
    <definedName name="dd606_2_2a">Dropdowns!$BO$5:$BO$11</definedName>
    <definedName name="dd606_2_2b">Dropdowns!$BP$5:$BP$11</definedName>
    <definedName name="dd606_3">Dropdowns!$BQ$5:$BQ$7</definedName>
    <definedName name="dd608_1">Dropdowns!$BR$5:$BR$7</definedName>
    <definedName name="dd609_1a">Dropdowns!$BS$5:$BS$9</definedName>
    <definedName name="dd609_1b">Dropdowns!$BT$5:$BT$14</definedName>
    <definedName name="dd610_1_2_1a">Dropdowns!$BU$5:$BU$9</definedName>
    <definedName name="dd610_1_2_1b">Dropdowns!$BV$5:$BV$9</definedName>
    <definedName name="dd610_1_2_2_f">Dropdowns!$BZ$5:$BZ$6</definedName>
    <definedName name="dd610_1_2_2a">Dropdowns!$BW$5:$BW$6</definedName>
    <definedName name="dd610_1_2_2b">Dropdowns!$BX$5:$BX$6</definedName>
    <definedName name="dd610_1_2_2c">Dropdowns!$BY$5:$BY$6</definedName>
    <definedName name="dd611_1">Dropdowns!$CA$5:$CA$14</definedName>
    <definedName name="dd701_1" localSheetId="14">Dropdowns!#REF!</definedName>
    <definedName name="dd701_1" localSheetId="15">Dropdowns!#REF!</definedName>
    <definedName name="dd701_1">Dropdowns!#REF!</definedName>
    <definedName name="dd701_1_4" localSheetId="14">Dropdowns!#REF!</definedName>
    <definedName name="dd701_1_4" localSheetId="15">Dropdowns!#REF!</definedName>
    <definedName name="dd701_1_4">Dropdowns!#REF!</definedName>
    <definedName name="dd701_4">Dropdowns!$CB$5:$CB$9</definedName>
    <definedName name="dd701_4_1_2">Dropdowns!$CC$5:$CC$8</definedName>
    <definedName name="dd701_4_3_3_5">Dropdowns!$CD$5:$CD$7</definedName>
    <definedName name="dd703_2_5_1_1" localSheetId="14">Dropdowns!#REF!</definedName>
    <definedName name="dd703_2_5_1_1" localSheetId="15">Dropdowns!#REF!</definedName>
    <definedName name="dd703_2_5_1_1">Dropdowns!#REF!</definedName>
    <definedName name="dd703_2_5_2" localSheetId="14">Dropdowns!#REF!</definedName>
    <definedName name="dd703_2_5_2" localSheetId="15">Dropdowns!#REF!</definedName>
    <definedName name="dd703_2_5_2">Dropdowns!#REF!</definedName>
    <definedName name="dd703_2_5_2_1" localSheetId="14">Dropdowns!#REF!</definedName>
    <definedName name="dd703_2_5_2_1" localSheetId="15">Dropdowns!#REF!</definedName>
    <definedName name="dd703_2_5_2_1">Dropdowns!#REF!</definedName>
    <definedName name="dd703_3_0_1" localSheetId="14">Dropdowns!#REF!</definedName>
    <definedName name="dd703_3_0_1" localSheetId="15">Dropdowns!#REF!</definedName>
    <definedName name="dd703_3_0_1">Dropdowns!#REF!</definedName>
    <definedName name="dd703_3_0_2" localSheetId="14">Dropdowns!#REF!</definedName>
    <definedName name="dd703_3_0_2" localSheetId="15">Dropdowns!#REF!</definedName>
    <definedName name="dd703_3_0_2">Dropdowns!#REF!</definedName>
    <definedName name="dd703_4_4" localSheetId="14">Dropdowns!#REF!</definedName>
    <definedName name="dd703_4_4" localSheetId="15">Dropdowns!#REF!</definedName>
    <definedName name="dd703_4_4">Dropdowns!#REF!</definedName>
    <definedName name="dd703_5_1" localSheetId="14">Dropdowns!#REF!</definedName>
    <definedName name="dd703_5_1" localSheetId="15">Dropdowns!#REF!</definedName>
    <definedName name="dd703_5_1">Dropdowns!#REF!</definedName>
    <definedName name="dd705_2_1_1" localSheetId="14">Dropdowns!#REF!</definedName>
    <definedName name="dd705_2_1_1" localSheetId="15">Dropdowns!#REF!</definedName>
    <definedName name="dd705_2_1_1">Dropdowns!#REF!</definedName>
    <definedName name="dd705_2_1_3_1" localSheetId="14">Dropdowns!#REF!</definedName>
    <definedName name="dd705_2_1_3_1" localSheetId="15">Dropdowns!#REF!</definedName>
    <definedName name="dd705_2_1_3_1">Dropdowns!#REF!</definedName>
    <definedName name="dd705_2_1_3_2" localSheetId="14">Dropdowns!#REF!</definedName>
    <definedName name="dd705_2_1_3_2" localSheetId="15">Dropdowns!#REF!</definedName>
    <definedName name="dd705_2_1_3_2">Dropdowns!#REF!</definedName>
    <definedName name="dd705_2_1_4" localSheetId="14">Dropdowns!#REF!</definedName>
    <definedName name="dd705_2_1_4" localSheetId="15">Dropdowns!#REF!</definedName>
    <definedName name="dd705_2_1_4">Dropdowns!#REF!</definedName>
    <definedName name="dd705_6_2_3" localSheetId="14">Dropdowns!#REF!</definedName>
    <definedName name="dd705_6_2_3" localSheetId="15">Dropdowns!#REF!</definedName>
    <definedName name="dd705_6_2_3">Dropdowns!#REF!</definedName>
    <definedName name="dd706_2_2" localSheetId="14">Dropdowns!#REF!</definedName>
    <definedName name="dd706_2_2" localSheetId="15">Dropdowns!#REF!</definedName>
    <definedName name="dd706_2_2">Dropdowns!#REF!</definedName>
    <definedName name="dd801_1" localSheetId="14">Dropdowns!#REF!</definedName>
    <definedName name="dd801_1" localSheetId="15">Dropdowns!#REF!</definedName>
    <definedName name="dd801_1">Dropdowns!#REF!</definedName>
    <definedName name="dd801_2_2" localSheetId="14">Dropdowns!#REF!</definedName>
    <definedName name="dd801_2_2" localSheetId="15">Dropdowns!#REF!</definedName>
    <definedName name="dd801_2_2">Dropdowns!#REF!</definedName>
    <definedName name="dd801_3_1" localSheetId="14">Dropdowns!#REF!</definedName>
    <definedName name="dd801_3_1" localSheetId="15">Dropdowns!#REF!</definedName>
    <definedName name="dd801_3_1">Dropdowns!#REF!</definedName>
    <definedName name="dd801_3_2" localSheetId="14">Dropdowns!#REF!</definedName>
    <definedName name="dd801_3_2" localSheetId="15">Dropdowns!#REF!</definedName>
    <definedName name="dd801_3_2">Dropdowns!#REF!</definedName>
    <definedName name="dd801_3_3" localSheetId="14">Dropdowns!#REF!</definedName>
    <definedName name="dd801_3_3" localSheetId="15">Dropdowns!#REF!</definedName>
    <definedName name="dd801_3_3">Dropdowns!#REF!</definedName>
    <definedName name="dd801_4_1_1" localSheetId="14">Dropdowns!#REF!</definedName>
    <definedName name="dd801_4_1_1" localSheetId="15">Dropdowns!#REF!</definedName>
    <definedName name="dd801_4_1_1">Dropdowns!#REF!</definedName>
    <definedName name="dd801_4_2" localSheetId="14">Dropdowns!#REF!</definedName>
    <definedName name="dd801_4_2" localSheetId="15">Dropdowns!#REF!</definedName>
    <definedName name="dd801_4_2">Dropdowns!#REF!</definedName>
    <definedName name="dd801_5_2" localSheetId="14">Dropdowns!#REF!</definedName>
    <definedName name="dd801_5_2" localSheetId="15">Dropdowns!#REF!</definedName>
    <definedName name="dd801_5_2">Dropdowns!#REF!</definedName>
    <definedName name="dd801_5_4_a" localSheetId="14">Dropdowns!#REF!</definedName>
    <definedName name="dd801_5_4_a" localSheetId="15">Dropdowns!#REF!</definedName>
    <definedName name="dd801_5_4_a">Dropdowns!#REF!</definedName>
    <definedName name="dd801_6_3" localSheetId="14">Dropdowns!#REF!</definedName>
    <definedName name="dd801_6_3" localSheetId="15">Dropdowns!#REF!</definedName>
    <definedName name="dd801_6_3">Dropdowns!#REF!</definedName>
    <definedName name="dd801_7_1" localSheetId="14">Dropdowns!#REF!</definedName>
    <definedName name="dd801_7_1" localSheetId="15">Dropdowns!#REF!</definedName>
    <definedName name="dd801_7_1">Dropdowns!#REF!</definedName>
    <definedName name="dd801_7_2_1" localSheetId="14">Dropdowns!#REF!</definedName>
    <definedName name="dd801_7_2_1" localSheetId="15">Dropdowns!#REF!</definedName>
    <definedName name="dd801_7_2_1">Dropdowns!#REF!</definedName>
    <definedName name="dd802_1_1" localSheetId="14">Dropdowns!#REF!</definedName>
    <definedName name="dd802_1_1" localSheetId="15">Dropdowns!#REF!</definedName>
    <definedName name="dd802_1_1">Dropdowns!#REF!</definedName>
    <definedName name="dd901_1_3_1">Dropdowns!$CF$5:$CF$6</definedName>
    <definedName name="dd901_1_3_2">Dropdowns!$CG$5:$CG$6</definedName>
    <definedName name="dd901_1_4">Dropdowns!$CH$5:$CH$7</definedName>
    <definedName name="dd901_1_6">Dropdowns!$CI$5:$CI$6</definedName>
    <definedName name="dd901_12">Dropdowns!$CW$5:$CW$7</definedName>
    <definedName name="dd901_15">Dropdowns!$CX$5:$CX$7</definedName>
    <definedName name="dd901_2_1_1">Dropdowns!$CJ$5:$CJ$7</definedName>
    <definedName name="dd901_2_1_2">Dropdowns!$CK$5:$CK$7</definedName>
    <definedName name="dd901_2_1_3">Dropdowns!$CL$5:$CL$7</definedName>
    <definedName name="dd901_2_1_4">Dropdowns!$CM$5:$CM$7</definedName>
    <definedName name="dd901_2_1_5">Dropdowns!$CN$5:$CN$7</definedName>
    <definedName name="dd901_3_1_a">Dropdowns!$CO$5:$CO$7</definedName>
    <definedName name="dd901_3_1_b">Dropdowns!$CP$5:$CP$7</definedName>
    <definedName name="dd901_4_1">Dropdowns!$CQ$5:$CQ$7</definedName>
    <definedName name="dd901_4_a">Dropdowns!$CR$5:$CR$9</definedName>
    <definedName name="dd901_4_b">Dropdowns!$CS$5:$CS$9</definedName>
    <definedName name="dd901_4_c">Dropdowns!$CT$5:$CT$9</definedName>
    <definedName name="dd901_4_d">Dropdowns!$CU$5:$CU$9</definedName>
    <definedName name="dd901_9_4">Dropdowns!$CV$5:$CV$7</definedName>
    <definedName name="dd902_1_2_">Dropdowns!$CY$5:$CY$7</definedName>
    <definedName name="dd902_2_1">Dropdowns!$CZ$5:$CZ$8</definedName>
    <definedName name="dd902_3_1">Dropdowns!$DA$5:$DA$7</definedName>
    <definedName name="dd903_1">Dropdowns!$DB$5:$DB$6</definedName>
    <definedName name="dd903_2">Dropdowns!$DC$5:$DC$6</definedName>
    <definedName name="ddAttachedGarage">Dropdowns!$R$5:$R$6</definedName>
    <definedName name="ddAttic">Dropdowns!$Q$5:$Q$8</definedName>
    <definedName name="ddBuildingCode">Dropdowns!$AA$5:$AA$18</definedName>
    <definedName name="ddCDucts" localSheetId="31">[1]Dropdowns!$N$5:$N$7</definedName>
    <definedName name="ddCDucts">Dropdowns!$N$5:$N$7</definedName>
    <definedName name="ddCool1">Dropdowns!$K$5:$K$10</definedName>
    <definedName name="ddCool2">Dropdowns!$L$5:$L$10</definedName>
    <definedName name="ddCool3">Dropdowns!$M$5:$M$10</definedName>
    <definedName name="ddCToilet">Dropdowns!$Y$5:$Y$6</definedName>
    <definedName name="ddDuctless">Dropdowns!$V$5:$V$6</definedName>
    <definedName name="ddEnergyCode">Dropdowns!$Z$5:$Z$11</definedName>
    <definedName name="ddFoundation" localSheetId="31">[1]Dropdowns!$E$5:$E$12</definedName>
    <definedName name="ddFoundation">Dropdowns!$E$5:$E$12</definedName>
    <definedName name="ddFuel">Dropdowns!$I$5:$I$10</definedName>
    <definedName name="ddHDucts" localSheetId="31">[1]Dropdowns!$J$5:$J$7</definedName>
    <definedName name="ddHDucts">Dropdowns!$J$5:$J$7</definedName>
    <definedName name="ddHeat1" localSheetId="31">[1]Dropdowns!$F$5:$F$12</definedName>
    <definedName name="ddHeat1">Dropdowns!$F$5:$F$12</definedName>
    <definedName name="ddHeat2" localSheetId="31">[1]Dropdowns!$G$5:$G$12</definedName>
    <definedName name="ddHeat2">Dropdowns!$G$5:$G$12</definedName>
    <definedName name="ddHeat3" localSheetId="31">[1]Dropdowns!$H$5:$H$12</definedName>
    <definedName name="ddHeat3">Dropdowns!$H$5:$H$12</definedName>
    <definedName name="ddMassWalls">Dropdowns!$U$5:$U$6</definedName>
    <definedName name="ddPassiveSolar">Dropdowns!$T$5:$T$6</definedName>
    <definedName name="ddRadiantHydronic">Dropdowns!$W$5:$W$6</definedName>
    <definedName name="ddRecessedLighting">Dropdowns!$S$5:$S$6</definedName>
    <definedName name="ddRenewable">Dropdowns!$O$5:$O$10</definedName>
    <definedName name="ddSingleOrMulti" localSheetId="31">[1]Dropdowns!$D$5:$D$6</definedName>
    <definedName name="ddSingleOrMulti">Dropdowns!$D$5:$D$6</definedName>
    <definedName name="ddTEInsulation">Dropdowns!$P$5:$P$13</definedName>
    <definedName name="ddTLWH">Dropdowns!$X$5:$X$6</definedName>
    <definedName name="desGoalLevel">Points!$H$10</definedName>
    <definedName name="Dlevel">Points!$H$22</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'Ch10'!$AS$60</definedName>
    <definedName name="dnt1001_1_25">'Ch10'!$AS$61</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'Ch10'!$AS$62</definedName>
    <definedName name="dnt1002_1_1">'Ch10'!$AS$83</definedName>
    <definedName name="dnt1002_1_2">'Ch10'!$AS$86</definedName>
    <definedName name="dnt1002_1_3">'Ch10'!$AS$89</definedName>
    <definedName name="dnt1002_1_4">'Ch10'!$AS$91</definedName>
    <definedName name="dnt1002_1_5">'Ch10'!$AS$92</definedName>
    <definedName name="dnt1002_1_6">'Ch10'!$AS$94</definedName>
    <definedName name="dnt1002_1_7">'Ch10'!$AS$95</definedName>
    <definedName name="dnt1002_1_8">'Ch10'!$AS$96</definedName>
    <definedName name="dnt1002_2_1">'Ch10'!$AS$102</definedName>
    <definedName name="dnt1002_2_10">'Ch10'!$AS$120</definedName>
    <definedName name="dnt1002_2_11">'Ch10'!$AS$123</definedName>
    <definedName name="dnt1002_2_2">'Ch10'!$AS$104</definedName>
    <definedName name="dnt1002_2_3">'Ch10'!$AS$107</definedName>
    <definedName name="dnt1002_2_4">'Ch10'!$AS$109</definedName>
    <definedName name="dnt1002_2_5">'Ch10'!$AS$112</definedName>
    <definedName name="dnt1002_2_6">'Ch10'!$AS$114</definedName>
    <definedName name="dnt1002_2_7">'Ch10'!$AS$115</definedName>
    <definedName name="dnt1002_2_8">'Ch10'!$AS$117</definedName>
    <definedName name="dnt1002_2_9">'Ch10'!$AS$119</definedName>
    <definedName name="dnt1002_3_1">'Ch10'!$AS$129</definedName>
    <definedName name="dnt1002_3_10">'Ch10'!$AS$150</definedName>
    <definedName name="dnt1002_3_2">'Ch10'!$AS$131</definedName>
    <definedName name="dnt1002_3_3">'Ch10'!$AS$135</definedName>
    <definedName name="dnt1002_3_4">'Ch10'!$AS$142</definedName>
    <definedName name="dnt1002_3_5">'Ch10'!$AS$144</definedName>
    <definedName name="dnt1002_3_6">'Ch10'!$AS$145</definedName>
    <definedName name="dnt1002_3_7">'Ch10'!$AS$147</definedName>
    <definedName name="dnt1002_3_8">'Ch10'!$AS$148</definedName>
    <definedName name="dnt1002_3_9">'Ch10'!$AS$149</definedName>
    <definedName name="dnt1002_4">'Ch10'!$AS$151</definedName>
    <definedName name="dnt1003_1_1">'Ch10'!$AS$168</definedName>
    <definedName name="dnt1003_1_2">'Ch10'!$AS$170</definedName>
    <definedName name="dnt1003_1_3">'Ch10'!$AS$173</definedName>
    <definedName name="dnt501_2">'Ch5'!$AS$14</definedName>
    <definedName name="dnt501_2_1">'Ch5'!$AS$16</definedName>
    <definedName name="dnt501_2_2">'Ch5'!$AS$18</definedName>
    <definedName name="dnt501_2_3">'Ch5'!$AS$20</definedName>
    <definedName name="dnt501_2_4">'Ch5'!$AS$29</definedName>
    <definedName name="dnt501_2_5">'Ch5'!$AS$32</definedName>
    <definedName name="dnt501_2_6">'Ch5'!$AS$32</definedName>
    <definedName name="dnt502_1">'Ch5'!$AS$38</definedName>
    <definedName name="dnt503_0">'Ch5'!$AS$43</definedName>
    <definedName name="dnt503_1">'Ch5'!$AS$48</definedName>
    <definedName name="dnt503_2">'Ch5'!$AS$61</definedName>
    <definedName name="dnt503_3">'Ch5'!$AS$74</definedName>
    <definedName name="dnt503_4">'Ch5'!$AS$87</definedName>
    <definedName name="dnt503_4_1">'Ch5'!$AS$94</definedName>
    <definedName name="dnt503_4_2">'Ch5'!$AS$97</definedName>
    <definedName name="dnt503_4_3">'Ch5'!$AS$104</definedName>
    <definedName name="dnt503_4_4">'Ch5'!$AS$104</definedName>
    <definedName name="dnt503_5">'Ch5'!$AS$109</definedName>
    <definedName name="dnt503_5_1">'Ch5'!$AS$113</definedName>
    <definedName name="dnt503_5_10">'Ch5'!$AS$141</definedName>
    <definedName name="dnt503_5_11">'Ch5'!$AS$143</definedName>
    <definedName name="dnt503_5_12">'Ch5'!$AS$145</definedName>
    <definedName name="dnt503_5_2">'Ch5'!$AS$119</definedName>
    <definedName name="dnt503_5_3">'Ch5'!$AS$121</definedName>
    <definedName name="dnt503_5_4">'Ch5'!$AS$123</definedName>
    <definedName name="dnt503_5_5">'Ch5'!$AS$125</definedName>
    <definedName name="dnt503_5_6">'Ch5'!$AS$130</definedName>
    <definedName name="dnt503_5_7">'Ch5'!$AS$131</definedName>
    <definedName name="dnt503_5_8">'Ch5'!$AS$136</definedName>
    <definedName name="dnt503_5_9">'Ch5'!$AS$138</definedName>
    <definedName name="dnt503_6">'Ch5'!$AS$147</definedName>
    <definedName name="dnt503_7">'Ch5'!$AS$154</definedName>
    <definedName name="dnt504_1">'Ch5'!$AS$163</definedName>
    <definedName name="dnt504_2">'Ch5'!$AS$168</definedName>
    <definedName name="dnt504_3">'Ch5'!$AS$175</definedName>
    <definedName name="dnt504_3_1">'Ch5'!$AS$178</definedName>
    <definedName name="dnt504_3_2">'Ch5'!$AS$180</definedName>
    <definedName name="dnt504_3_3">'Ch5'!$AS$181</definedName>
    <definedName name="dnt504_3_4">'Ch5'!$AS$183</definedName>
    <definedName name="dnt504_3_5">'Ch5'!$AS$185</definedName>
    <definedName name="dnt504_3_6">'Ch5'!$AS$189</definedName>
    <definedName name="dnt504_3_7">'Ch5'!$AS$192</definedName>
    <definedName name="dnt504_3_8">'Ch5'!$AS$193</definedName>
    <definedName name="dnt505_1_1">'Ch5'!$AS$207</definedName>
    <definedName name="dnt505_1_2">'Ch5'!$AS$209</definedName>
    <definedName name="dnt505_1_3">'Ch5'!$AS$210</definedName>
    <definedName name="dnt505_1_4">'Ch5'!$AS$214</definedName>
    <definedName name="dnt505_2_1">'Ch5'!$AS$220</definedName>
    <definedName name="dnt505_2_2">'Ch5'!$AS$230</definedName>
    <definedName name="dnt505_3">'Ch5'!$AS$233</definedName>
    <definedName name="dnt505_4">'Ch5'!$AS$239</definedName>
    <definedName name="dnt505_5">'Ch5'!$AS$240</definedName>
    <definedName name="dnt505_6">'Ch5'!$AS$243</definedName>
    <definedName name="dnt601_1">'Ch6'!$AS$14</definedName>
    <definedName name="dnt601_2_1">'Ch6'!$AS$32</definedName>
    <definedName name="dnt601_2_2">'Ch6'!$AS$35</definedName>
    <definedName name="dnt601_2_3">'Ch6'!$AS$38</definedName>
    <definedName name="dnt601_3_1">'Ch6'!$AS$44</definedName>
    <definedName name="dnt601_3_2">'Ch6'!$AS$45</definedName>
    <definedName name="dnt601_3_3">'Ch6'!$AS$46</definedName>
    <definedName name="dnt601_3_4">'Ch6'!$AS$47</definedName>
    <definedName name="dnt601_3_5">'Ch6'!$AS$48</definedName>
    <definedName name="dnt601_4">'Ch6'!$AS$49</definedName>
    <definedName name="dnt601_5_1">'Ch6'!$AS$57</definedName>
    <definedName name="dnt601_5_2">'Ch6'!$AS$58</definedName>
    <definedName name="dnt601_5_3">'Ch6'!$AS$59</definedName>
    <definedName name="dnt601_5_4">'Ch6'!$AS$60</definedName>
    <definedName name="dnt601_6">'Ch6'!$AS$61</definedName>
    <definedName name="dnt601_7">'Ch6'!$AS$66</definedName>
    <definedName name="dnt601_8">'Ch6'!$AS$84</definedName>
    <definedName name="dnt602_1_1_1">'Ch6'!$AS$97</definedName>
    <definedName name="dnt602_1_1_2">'Ch6'!$AS$101</definedName>
    <definedName name="dnt602_1_10">'Ch6'!$AS$214</definedName>
    <definedName name="dnt602_1_11">'Ch6'!$AS$226</definedName>
    <definedName name="dnt602_1_12">'Ch6'!$AS$230</definedName>
    <definedName name="dnt602_1_13">'Ch6'!$AS$233</definedName>
    <definedName name="dnt602_1_14_1">'Ch6'!$AS$239</definedName>
    <definedName name="dnt602_1_14_2">'Ch6'!$AS$241</definedName>
    <definedName name="dnt602_1_14_3">'Ch6'!$AS$242</definedName>
    <definedName name="dnt602_1_2">'Ch6'!$AS$104</definedName>
    <definedName name="dnt602_1_3_1">'Ch6'!$AS$110</definedName>
    <definedName name="dnt602_1_3_2">'Ch6'!$AS$113</definedName>
    <definedName name="dnt602_1_4_1_1">'Ch6'!$AS$121</definedName>
    <definedName name="dnt602_1_4_1_2">'Ch6'!$AS$123</definedName>
    <definedName name="dnt602_1_4_2_1">'Ch6'!$AS$130</definedName>
    <definedName name="dnt602_1_4_2_2">'Ch6'!$AS$132</definedName>
    <definedName name="dnt602_1_5">'Ch6'!$AS$137</definedName>
    <definedName name="dnt602_1_6_1">'Ch6'!$AS$146</definedName>
    <definedName name="dnt602_1_7_1_1">'Ch6'!$AS$159</definedName>
    <definedName name="dnt602_1_7_1_2">'Ch6'!$AS$161</definedName>
    <definedName name="dnt602_1_7_1_3">'Ch6'!$AS$164</definedName>
    <definedName name="dnt602_1_7_2">'Ch6'!$AS$166</definedName>
    <definedName name="dnt602_1_7_3">'Ch6'!$AS$168</definedName>
    <definedName name="dnt602_1_8">'Ch6'!$AS$172</definedName>
    <definedName name="dnt602_1_9_1">'Ch6'!$AS$184</definedName>
    <definedName name="dnt602_1_9_2">'Ch6'!$AS$196</definedName>
    <definedName name="dnt602_1_9_3">'Ch6'!$AS$199</definedName>
    <definedName name="dnt602_1_9_4">'Ch6'!$AS$200</definedName>
    <definedName name="dnt602_1_9_5">'Ch6'!$AS$204</definedName>
    <definedName name="dnt602_1_9_6">'Ch6'!$AS$210</definedName>
    <definedName name="dnt602_1_9_7">'Ch6'!$AS$212</definedName>
    <definedName name="dnt602_2_1">'Ch6'!$AS$247</definedName>
    <definedName name="dnt602_2_2">'Ch6'!$AS$249</definedName>
    <definedName name="dnt602_2_3">'Ch6'!$AS$250</definedName>
    <definedName name="dnt602_3">'Ch6'!$AS$253</definedName>
    <definedName name="dnt602_4_1">'Ch6'!$AS$257</definedName>
    <definedName name="dnt602_4_2">'Ch6'!$AS$262</definedName>
    <definedName name="dnt602_4_3">'Ch6'!$AS$264</definedName>
    <definedName name="dnt603_1">'Ch6'!$AS$268</definedName>
    <definedName name="dnt603_2">'Ch6'!$AS$274</definedName>
    <definedName name="dnt603_3">'Ch6'!$AS$281</definedName>
    <definedName name="dnt604_1a">'Ch6'!$AS$285</definedName>
    <definedName name="dnt604_1b">'Ch6'!$AS$287</definedName>
    <definedName name="dnt604_1c">'Ch6'!$AS$289</definedName>
    <definedName name="dnt604_1d">'Ch6'!$AS$291</definedName>
    <definedName name="dnt605_1">'Ch6'!$AS$296</definedName>
    <definedName name="dnt605_2">'Ch6'!$AS$299</definedName>
    <definedName name="dnt605_3">'Ch6'!$AS$314</definedName>
    <definedName name="dnt605_3_2_a">'Ch6'!$AS$327</definedName>
    <definedName name="dnt605_3_2_h">'Ch6'!$AS$334</definedName>
    <definedName name="dnt605_3_2_i">'Ch6'!$AS$335</definedName>
    <definedName name="dnt605_4_2_a">'Ch6'!$AS$327</definedName>
    <definedName name="dnt605_4_2_h">'Ch6'!$AS$334</definedName>
    <definedName name="dnt605_4_2_i">'Ch6'!$AS$335</definedName>
    <definedName name="dnt606_1_a">'Ch6'!$AS$340</definedName>
    <definedName name="dnt606_2_1a">'Ch6'!$AS$367</definedName>
    <definedName name="dnt606_2_1b">'Ch6'!$AS$368</definedName>
    <definedName name="dnt606_2_2a">'Ch6'!$AS$370</definedName>
    <definedName name="dnt606_2_2b">'Ch6'!$AS$371</definedName>
    <definedName name="dnt606_3">'Ch6'!$AS$373</definedName>
    <definedName name="dnt607_1_1">'Ch6'!$AS$382</definedName>
    <definedName name="dnt607_1_2">'Ch6'!$AS$384</definedName>
    <definedName name="dnt607_2">'Ch6'!$AS$385</definedName>
    <definedName name="dnt608_1">'Ch6'!$AS$388</definedName>
    <definedName name="dnt609_1a">'Ch6'!$AS$397</definedName>
    <definedName name="dnt609_1b">'Ch6'!$AS$400</definedName>
    <definedName name="dnt610_1_1_1">'Ch6'!$AS$413</definedName>
    <definedName name="dnt610_1_1_2">'Ch6'!$AS$422</definedName>
    <definedName name="dnt610_1_1_3">'Ch6'!$AS$429</definedName>
    <definedName name="dnt610_1_2_1">'Ch6'!$AS$435</definedName>
    <definedName name="dnt610_1_2_1_e">'Ch6'!$AS$442</definedName>
    <definedName name="dnt610_1_2_2_e">'Ch6'!$AS$467</definedName>
    <definedName name="dnt610_1_2_2a">'Ch6'!$AS$449</definedName>
    <definedName name="dnt610_1_2_2b">'Ch6'!$AS$455</definedName>
    <definedName name="dnt610_1_2_2c">'Ch6'!$AS$461</definedName>
    <definedName name="dnt611_1">'Ch6'!$AS$474</definedName>
    <definedName name="dnt611_2_1">'Ch6'!$AS$485</definedName>
    <definedName name="dnt611_2_2">'Ch6'!$AS$486</definedName>
    <definedName name="dnt611_2_3">'Ch6'!$AS$487</definedName>
    <definedName name="dnt611_2_4">'Ch6'!$AS$488</definedName>
    <definedName name="dnt611_2_5">'Ch6'!$AS$489</definedName>
    <definedName name="dnt611_2_6">'Ch6'!$AS$490</definedName>
    <definedName name="dnt611_2_7">'Ch6'!$AS$491</definedName>
    <definedName name="dnt611_3_1">'Ch6'!$AS$495</definedName>
    <definedName name="dnt611_3_2">'Ch6'!$AS$500</definedName>
    <definedName name="dnt611_3_3">'Ch6'!$AS$504</definedName>
    <definedName name="dnt611_3_4">'Ch6'!$AS$506</definedName>
    <definedName name="dnt611_3_5">'Ch6'!$AS$508</definedName>
    <definedName name="dnt611_3_6">'Ch6'!$AS$509</definedName>
    <definedName name="dnt611_3_7">'Ch6'!$AS$510</definedName>
    <definedName name="dnt611_3_8">'Ch6'!$AS$514</definedName>
    <definedName name="dnt611_3_9">'Ch6'!$AS$516</definedName>
    <definedName name="dnt611_4_1">'Ch6'!$AS$523</definedName>
    <definedName name="dnt611_4_2">'Ch6'!$AS$532</definedName>
    <definedName name="dnt701_4">'Ch7'!$AS$11</definedName>
    <definedName name="dnt701_4_0">'Ch7'!$AS$14</definedName>
    <definedName name="dnt701_4_1" localSheetId="14">'Verification (Ch. 7)'!#REF!</definedName>
    <definedName name="dnt701_4_1">'Ch7'!$AS$30</definedName>
    <definedName name="dnt701_4_1_1" localSheetId="14">'Verification (Ch. 7)'!#REF!</definedName>
    <definedName name="dnt701_4_1_1">'Ch7'!$AS$21</definedName>
    <definedName name="dnt701_4_1_2" localSheetId="14">'Verification (Ch. 7)'!#REF!</definedName>
    <definedName name="dnt701_4_1_2">'Ch7'!$AS$24</definedName>
    <definedName name="dnt701_4_2_2" localSheetId="14">'Verification (Ch. 7)'!#REF!</definedName>
    <definedName name="dnt701_4_2_2">'Ch7'!$AS$33</definedName>
    <definedName name="dnt701_4_2_3" localSheetId="14">'Verification (Ch. 7)'!#REF!</definedName>
    <definedName name="dnt701_4_2_3">'Ch7'!$AS$36</definedName>
    <definedName name="dnt701_4_3_1" localSheetId="14">'Verification (Ch. 7)'!#REF!</definedName>
    <definedName name="dnt701_4_3_1">'Ch7'!$AS$39</definedName>
    <definedName name="dnt701_4_3_1_a" localSheetId="14">'Verification (Ch. 7)'!#REF!</definedName>
    <definedName name="dnt701_4_3_1_a">'Ch7'!$AS$44</definedName>
    <definedName name="dnt701_4_3_1_b" localSheetId="14">'Verification (Ch. 7)'!#REF!</definedName>
    <definedName name="dnt701_4_3_1_b">'Ch7'!$AS$45</definedName>
    <definedName name="dnt701_4_3_1_c" localSheetId="14">'Verification (Ch. 7)'!#REF!</definedName>
    <definedName name="dnt701_4_3_1_c">'Ch7'!$AS$46</definedName>
    <definedName name="dnt701_4_3_1_d" localSheetId="14">'Verification (Ch. 7)'!#REF!</definedName>
    <definedName name="dnt701_4_3_1_d">'Ch7'!$AS$47</definedName>
    <definedName name="dnt701_4_3_1_e" localSheetId="14">'Verification (Ch. 7)'!#REF!</definedName>
    <definedName name="dnt701_4_3_1_e">'Ch7'!$AS$48</definedName>
    <definedName name="dnt701_4_3_1_f" localSheetId="14">'Verification (Ch. 7)'!#REF!</definedName>
    <definedName name="dnt701_4_3_1_f">'Ch7'!$AS$49</definedName>
    <definedName name="dnt701_4_3_1_g" localSheetId="14">'Verification (Ch. 7)'!#REF!</definedName>
    <definedName name="dnt701_4_3_1_g">'Ch7'!$AS$50</definedName>
    <definedName name="dnt701_4_3_1_h" localSheetId="14">'Verification (Ch. 7)'!#REF!</definedName>
    <definedName name="dnt701_4_3_1_h">'Ch7'!$AS$51</definedName>
    <definedName name="dnt701_4_3_1_i" localSheetId="14">'Verification (Ch. 7)'!#REF!</definedName>
    <definedName name="dnt701_4_3_1_i">'Ch7'!$AS$52</definedName>
    <definedName name="dnt701_4_3_1_j" localSheetId="14">'Verification (Ch. 7)'!#REF!</definedName>
    <definedName name="dnt701_4_3_1_j">'Ch7'!$AS$53</definedName>
    <definedName name="dnt701_4_3_1_k" localSheetId="14">'Verification (Ch. 7)'!#REF!</definedName>
    <definedName name="dnt701_4_3_1_k">'Ch7'!$AS$54</definedName>
    <definedName name="dnt701_4_3_1_l" localSheetId="14">'Verification (Ch. 7)'!#REF!</definedName>
    <definedName name="dnt701_4_3_1_l">'Ch7'!$AS$55</definedName>
    <definedName name="dnt701_4_3_2_1_" localSheetId="14">'Verification (Ch. 7)'!#REF!</definedName>
    <definedName name="dnt701_4_3_2_1_">'Ch7'!$AS$59</definedName>
    <definedName name="dnt701_4_3_2_1_1" localSheetId="14">'Verification (Ch. 7)'!#REF!</definedName>
    <definedName name="dnt701_4_3_2_1_1">'Ch7'!$AS$79</definedName>
    <definedName name="dnt701_4_3_2_1_10" localSheetId="14">'Verification (Ch. 7)'!#REF!</definedName>
    <definedName name="dnt701_4_3_2_1_10">'Ch7'!$AS$96</definedName>
    <definedName name="dnt701_4_3_2_1_11" localSheetId="14">'Verification (Ch. 7)'!#REF!</definedName>
    <definedName name="dnt701_4_3_2_1_11">'Ch7'!$AS$99</definedName>
    <definedName name="dnt701_4_3_2_1_2" localSheetId="14">'Verification (Ch. 7)'!#REF!</definedName>
    <definedName name="dnt701_4_3_2_1_2">'Ch7'!$AS$80</definedName>
    <definedName name="dnt701_4_3_2_1_3" localSheetId="14">'Verification (Ch. 7)'!#REF!</definedName>
    <definedName name="dnt701_4_3_2_1_3">'Ch7'!$AS$82</definedName>
    <definedName name="dnt701_4_3_2_1_4" localSheetId="14">'Verification (Ch. 7)'!#REF!</definedName>
    <definedName name="dnt701_4_3_2_1_4">'Ch7'!$AS$83</definedName>
    <definedName name="dnt701_4_3_2_1_5" localSheetId="14">'Verification (Ch. 7)'!#REF!</definedName>
    <definedName name="dnt701_4_3_2_1_5">'Ch7'!$AS$87</definedName>
    <definedName name="dnt701_4_3_2_1_6" localSheetId="14">'Verification (Ch. 7)'!#REF!</definedName>
    <definedName name="dnt701_4_3_2_1_6">'Ch7'!$AS$89</definedName>
    <definedName name="dnt701_4_3_2_1_7" localSheetId="14">'Verification (Ch. 7)'!#REF!</definedName>
    <definedName name="dnt701_4_3_2_1_7">'Ch7'!$AS$92</definedName>
    <definedName name="dnt701_4_3_2_1_8" localSheetId="14">'Verification (Ch. 7)'!#REF!</definedName>
    <definedName name="dnt701_4_3_2_1_8">'Ch7'!$AS$94</definedName>
    <definedName name="dnt701_4_3_2_1_9" localSheetId="14">'Verification (Ch. 7)'!#REF!</definedName>
    <definedName name="dnt701_4_3_2_1_9">'Ch7'!$AS$95</definedName>
    <definedName name="dnt701_4_3_2_1_a" localSheetId="14">'Verification (Ch. 7)'!#REF!</definedName>
    <definedName name="dnt701_4_3_2_1_a">'Ch7'!$AS$64</definedName>
    <definedName name="dnt701_4_3_2_1_b" localSheetId="14">'Verification (Ch. 7)'!#REF!</definedName>
    <definedName name="dnt701_4_3_2_1_b">'Ch7'!$AS$65</definedName>
    <definedName name="dnt701_4_3_2_1_c" localSheetId="14">'Verification (Ch. 7)'!#REF!</definedName>
    <definedName name="dnt701_4_3_2_1_c">'Ch7'!$AS$67</definedName>
    <definedName name="dnt701_4_3_2_1_d" localSheetId="14">'Verification (Ch. 7)'!#REF!</definedName>
    <definedName name="dnt701_4_3_2_1_d">'Ch7'!$AS$68</definedName>
    <definedName name="dnt701_4_3_2_1_e" localSheetId="14">'Verification (Ch. 7)'!#REF!</definedName>
    <definedName name="dnt701_4_3_2_1_e">'Ch7'!$AS$70</definedName>
    <definedName name="dnt701_4_3_2_1_f" localSheetId="14">'Verification (Ch. 7)'!#REF!</definedName>
    <definedName name="dnt701_4_3_2_1_f">'Ch7'!$AS$71</definedName>
    <definedName name="dnt701_4_3_2_1_g" localSheetId="14">'Verification (Ch. 7)'!#REF!</definedName>
    <definedName name="dnt701_4_3_2_1_g">'Ch7'!$AS$72</definedName>
    <definedName name="dnt701_4_3_2_1_h" localSheetId="14">'Verification (Ch. 7)'!#REF!</definedName>
    <definedName name="dnt701_4_3_2_1_h">'Ch7'!$AS$73</definedName>
    <definedName name="dnt701_4_3_2_2" localSheetId="14">'Verification (Ch. 7)'!#REF!</definedName>
    <definedName name="dnt701_4_3_2_2">'Ch7'!$AS$75</definedName>
    <definedName name="dnt701_4_3_2e" localSheetId="14">'Verification (Ch. 7)'!#REF!</definedName>
    <definedName name="dnt701_4_3_2e">'Ch7'!$AS$62</definedName>
    <definedName name="dnt701_4_3_3_3" localSheetId="14">'Verification (Ch. 7)'!#REF!</definedName>
    <definedName name="dnt701_4_3_3_3">'Ch7'!$AS$102</definedName>
    <definedName name="dnt701_4_3_3_4" localSheetId="14">'Verification (Ch. 7)'!#REF!</definedName>
    <definedName name="dnt701_4_3_3_4">'Ch7'!$AS$105</definedName>
    <definedName name="dnt701_4_3_3_5" localSheetId="14">'Verification (Ch. 7)'!#REF!</definedName>
    <definedName name="dnt701_4_3_3_5">'Ch7'!$AS$111</definedName>
    <definedName name="dnt701_4_4_1" localSheetId="14">'Verification (Ch. 7)'!#REF!</definedName>
    <definedName name="dnt701_4_4_1">'Ch7'!$AS$119</definedName>
    <definedName name="dnt701_4_4_2" localSheetId="14">'Verification (Ch. 7)'!#REF!</definedName>
    <definedName name="dnt701_4_4_2">'Ch7'!$AS$121</definedName>
    <definedName name="dnt701_4_5" localSheetId="14">'Verification (Ch. 7)'!#REF!</definedName>
    <definedName name="dnt701_4_5">'Ch7'!$AS$122</definedName>
    <definedName name="dnt701_4_6">'Ch7'!$AS$124</definedName>
    <definedName name="dnt701_4_7">'Ch7'!$AS$128</definedName>
    <definedName name="dnt901_1_1">'Ch9'!$AS$12</definedName>
    <definedName name="dnt901_1_2">'Ch9'!$AS$18</definedName>
    <definedName name="dnt901_1_3_1">'Ch9'!$AS$23</definedName>
    <definedName name="dnt901_1_3_2">'Ch9'!$AS$26</definedName>
    <definedName name="dnt901_1_4">'Ch9'!$AS$29</definedName>
    <definedName name="dnt901_1_5">'Ch9'!$AS$33</definedName>
    <definedName name="dnt901_1_6">'Ch9'!$AS$36</definedName>
    <definedName name="dnt901_10_1">'Ch9'!$AS$155</definedName>
    <definedName name="dnt901_10_2">'Ch9'!$AS$160</definedName>
    <definedName name="dnt901_10_3">'Ch9'!$AS$161</definedName>
    <definedName name="dnt901_11">'Ch9'!$AS$165</definedName>
    <definedName name="dnt901_12">'Ch9'!$AS$170</definedName>
    <definedName name="dnt901_13">'Ch9'!$AS$172</definedName>
    <definedName name="dnt901_14_1">'Ch9'!$AS$178</definedName>
    <definedName name="dnt901_14_2">'Ch9'!$AS$180</definedName>
    <definedName name="dnt901_15">'Ch9'!$AS$182</definedName>
    <definedName name="dnt901_2_1_1">'Ch9'!$AS$42</definedName>
    <definedName name="dnt901_2_1_2">'Ch9'!$AS$45</definedName>
    <definedName name="dnt901_2_1_3">'Ch9'!$AS$47</definedName>
    <definedName name="dnt901_2_1_4">'Ch9'!$AS$50</definedName>
    <definedName name="dnt901_2_1_5">'Ch9'!$AS$52</definedName>
    <definedName name="dnt901_2_2">'Ch9'!$AS$54</definedName>
    <definedName name="dnt901_3_1_a">'Ch9'!$AS$57</definedName>
    <definedName name="dnt901_3_1_b">'Ch9'!$AS$59</definedName>
    <definedName name="dnt901_3_1_c">'Ch9'!$AS$61</definedName>
    <definedName name="dnt901_3_2">'Ch9'!$AS$67</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'Ch9'!$AS$116</definedName>
    <definedName name="dnt901_8">'Ch9'!$AS$120</definedName>
    <definedName name="dnt901_9">'Ch9'!$AS$126</definedName>
    <definedName name="dnt901_9_1_1">'Ch9'!$AS$132</definedName>
    <definedName name="dnt901_9_1_2">'Ch9'!$AS$134</definedName>
    <definedName name="dnt901_9_1_3">'Ch9'!$AS$135</definedName>
    <definedName name="dnt901_9_2">'Ch9'!$AS$137</definedName>
    <definedName name="dnt901_9_3">'Ch9'!$AS$142</definedName>
    <definedName name="dnt901_9_4">'Ch9'!$AS$148</definedName>
    <definedName name="dnt902_1_1">'Ch9'!$AS$188</definedName>
    <definedName name="dnt902_1_1_a">'Ch9'!$AS$190</definedName>
    <definedName name="dnt902_1_2">'Ch9'!$AS$197</definedName>
    <definedName name="dnt902_1_2_">'Ch9'!$AS$192</definedName>
    <definedName name="dnt902_1_3">'Ch9'!$AS$201</definedName>
    <definedName name="dnt902_1_3_">'Ch9'!$AS$194</definedName>
    <definedName name="dnt902_1_4">'Ch9'!$AS$205</definedName>
    <definedName name="dnt902_1_5_1">'Ch9'!$AS$212</definedName>
    <definedName name="dnt902_1_5_2">'Ch9'!$AS$214</definedName>
    <definedName name="dnt902_1_5_3">'Ch9'!$AS$216</definedName>
    <definedName name="dnt902_2_1">'Ch9'!$AS$220</definedName>
    <definedName name="dnt902_2_2">'Ch9'!$AS$230</definedName>
    <definedName name="dnt902_2_3">'Ch9'!$AS$232</definedName>
    <definedName name="dnt902_2_4">'Ch9'!$AS$235</definedName>
    <definedName name="dnt902_3">'Ch9'!$AS$238</definedName>
    <definedName name="dnt902_4_1">'Ch9'!$AS$248</definedName>
    <definedName name="dnt902_4_2">'Ch9'!$AS$250</definedName>
    <definedName name="dnt902_5">'Ch9'!$AS$253</definedName>
    <definedName name="dnt902_6">'Ch9'!$AS$255</definedName>
    <definedName name="dnt903_1">'Ch9'!$AS$259</definedName>
    <definedName name="dnt903_2">'Ch9'!$AS$263</definedName>
    <definedName name="dnt903_3">'Ch9'!$AS$267</definedName>
    <definedName name="dnt904_1">'Ch9'!$AS$275</definedName>
    <definedName name="dnt904_2">'Ch9'!$AS$280</definedName>
    <definedName name="dnt905_1">'Ch9'!$AS$284</definedName>
    <definedName name="dnt905_2">'Ch9'!$AS$289</definedName>
    <definedName name="dpa1001_1">'Ch10'!$AM$12</definedName>
    <definedName name="dpa1001_1_1">'Ch10'!$AM$15</definedName>
    <definedName name="dpa1001_1_2">'Ch10'!$AM$16</definedName>
    <definedName name="dpa1001_1_3">'Ch10'!$AM$17</definedName>
    <definedName name="dpa1001_2">'Ch10'!$AM$62</definedName>
    <definedName name="dpa1002_1">'Ch10'!$AM$80</definedName>
    <definedName name="dpa1002_1_1">'Ch10'!$AM$83</definedName>
    <definedName name="dpa1002_1_2">'Ch10'!$AM$86</definedName>
    <definedName name="dpa1002_1_3">'Ch10'!$AM$89</definedName>
    <definedName name="dpa1002_2">'Ch10'!$AM$98</definedName>
    <definedName name="dpa1002_2_1">'Ch10'!$AM$102</definedName>
    <definedName name="dpa1002_2_2">'Ch10'!$AM$104</definedName>
    <definedName name="dpa1002_3">'Ch10'!$AM$125</definedName>
    <definedName name="dpa1002_3_1">'Ch10'!$AM$129</definedName>
    <definedName name="dpa1002_4">'Ch10'!$AM$151</definedName>
    <definedName name="dpa1003_1">'Ch10'!$AM$167</definedName>
    <definedName name="dpa1003_1_1">'Ch10'!$AM$168</definedName>
    <definedName name="dpa1003_1_2">'Ch10'!$AM$170</definedName>
    <definedName name="dpa1003_1_3">'Ch10'!$AM$173</definedName>
    <definedName name="dpa501_2_1">'Ch5'!$AM$16</definedName>
    <definedName name="dpa501_2_2">'Ch5'!$AM$18</definedName>
    <definedName name="dpa501_2_3">'Ch5'!$AM$20</definedName>
    <definedName name="dpa501_2_4">'Ch5'!$AM$29</definedName>
    <definedName name="dpa501_2_5">'Ch5'!$AM$29</definedName>
    <definedName name="dpa501_2_5_a">'Ch5'!$AM$34</definedName>
    <definedName name="dpa501_2_5_b">'Ch5'!$AM$35</definedName>
    <definedName name="dpa501_2_5_c">'Ch5'!$AM$36</definedName>
    <definedName name="dpa501_2_6_a">'Ch5'!$AM$34</definedName>
    <definedName name="dpa501_2_6_b">'Ch5'!$AM$35</definedName>
    <definedName name="dpa501_2_6_c">'Ch5'!$AM$36</definedName>
    <definedName name="dpa502_1">'Ch5'!$AM$38</definedName>
    <definedName name="dpa503_1_1">'Ch5'!$AM$50</definedName>
    <definedName name="dpa503_1_2">'Ch5'!$AM$51</definedName>
    <definedName name="dpa503_1_3">'Ch5'!$AM$53</definedName>
    <definedName name="dpa503_1_4">'Ch5'!$AM$55</definedName>
    <definedName name="dpa503_1_5">'Ch5'!$AM$56</definedName>
    <definedName name="dpa503_1_6">'Ch5'!$AM$57</definedName>
    <definedName name="dpa503_1_7">'Ch5'!$AM$59</definedName>
    <definedName name="dpa503_2_1">'Ch5'!$AM$63</definedName>
    <definedName name="dpa503_2_2">'Ch5'!$AM$64</definedName>
    <definedName name="dpa503_2_3_a">'Ch5'!$AM$68</definedName>
    <definedName name="dpa503_2_3_b">'Ch5'!$AM$69</definedName>
    <definedName name="dpa503_2_3_c">'Ch5'!$AM$70</definedName>
    <definedName name="dpa503_2_4">'Ch5'!$AM$71</definedName>
    <definedName name="dpa503_2_5">'Ch5'!$AM$73</definedName>
    <definedName name="dpa503_3_1">'Ch5'!$AM$77</definedName>
    <definedName name="dpa503_3_2">'Ch5'!$AM$79</definedName>
    <definedName name="dpa503_3_3">'Ch5'!$AM$86</definedName>
    <definedName name="dpa503_4_1">'Ch5'!$AM$94</definedName>
    <definedName name="dpa503_4_2_a">'Ch5'!$AM$101</definedName>
    <definedName name="dpa503_4_2_b">'Ch5'!$AM$102</definedName>
    <definedName name="dpa503_4_2_c">'Ch5'!$AM$103</definedName>
    <definedName name="dpa503_4_3_a">'Ch5'!$AM$106</definedName>
    <definedName name="dpa503_4_3_b">'Ch5'!$AM$107</definedName>
    <definedName name="dpa503_4_3_c">'Ch5'!$AM$108</definedName>
    <definedName name="dpa503_4_4_a">'Ch5'!$AM$106</definedName>
    <definedName name="dpa503_4_4_b">'Ch5'!$AM$107</definedName>
    <definedName name="dpa503_4_4_c">'Ch5'!$AM$108</definedName>
    <definedName name="dpa503_5_1_a">'Ch5'!$AM$115</definedName>
    <definedName name="dpa503_5_1_b">'Ch5'!$AM$116</definedName>
    <definedName name="dpa503_5_1_c">'Ch5'!$AM$117</definedName>
    <definedName name="dpa503_5_1_d">'Ch5'!$AM$118</definedName>
    <definedName name="dpa503_5_10">'Ch5'!$AM$141</definedName>
    <definedName name="dpa503_5_11">'Ch5'!$AM$143</definedName>
    <definedName name="dpa503_5_12">'Ch5'!$AM$145</definedName>
    <definedName name="dpa503_5_2">'Ch5'!$AM$119</definedName>
    <definedName name="dpa503_5_3">'Ch5'!$AM$121</definedName>
    <definedName name="dpa503_5_4">'Ch5'!$AM$123</definedName>
    <definedName name="dpa503_5_5_a">'Ch5'!$AM$126</definedName>
    <definedName name="dpa503_5_5_b">'Ch5'!$AM$127</definedName>
    <definedName name="dpa503_5_5_c">'Ch5'!$AM$128</definedName>
    <definedName name="dpa503_5_5_d">'Ch5'!$AM$129</definedName>
    <definedName name="dpa503_5_6">'Ch5'!$AM$130</definedName>
    <definedName name="dpa503_5_7">'Ch5'!$AM$131</definedName>
    <definedName name="dpa503_5_8">'Ch5'!$AM$136</definedName>
    <definedName name="dpa503_5_9">'Ch5'!$AM$138</definedName>
    <definedName name="dpa503_6_1">'Ch5'!$AM$149</definedName>
    <definedName name="dpa503_6_2">'Ch5'!$AM$150</definedName>
    <definedName name="dpa503_6_3">'Ch5'!$AM$151</definedName>
    <definedName name="dpa503_6_4">'Ch5'!$AM$153</definedName>
    <definedName name="dpa503_7_1">'Ch5'!$AM$156</definedName>
    <definedName name="dpa503_7_2">'Ch5'!$AM$158</definedName>
    <definedName name="dpa504_1">'Ch5'!$AM$163</definedName>
    <definedName name="dpa504_2_1">'Ch5'!$AM$170</definedName>
    <definedName name="dpa504_2_2">'Ch5'!$AM$171</definedName>
    <definedName name="dpa504_2_3">'Ch5'!$AM$173</definedName>
    <definedName name="dpa504_3_1">'Ch5'!$AM$178</definedName>
    <definedName name="dpa504_3_2">'Ch5'!$AM$180</definedName>
    <definedName name="dpa504_3_3">'Ch5'!$AM$181</definedName>
    <definedName name="dpa504_3_4">'Ch5'!$AM$183</definedName>
    <definedName name="dpa504_3_5">'Ch5'!$AM$185</definedName>
    <definedName name="dpa504_3_6">'Ch5'!$AM$189</definedName>
    <definedName name="dpa504_3_7">'Ch5'!$AM$192</definedName>
    <definedName name="dpa504_3_8">'Ch5'!$AM$193</definedName>
    <definedName name="dpa505_1_1">'Ch5'!$AM$207</definedName>
    <definedName name="dpa505_1_2">'Ch5'!$AM$209</definedName>
    <definedName name="dpa505_1_3_a">'Ch5'!$AM$211</definedName>
    <definedName name="dpa505_1_3_b">'Ch5'!$AM$212</definedName>
    <definedName name="dpa505_1_3_c">'Ch5'!$AM$213</definedName>
    <definedName name="dpa505_1_4_a">'Ch5'!$AM$216</definedName>
    <definedName name="dpa505_1_4_b">'Ch5'!$AM$217</definedName>
    <definedName name="dpa505_1_4_c">'Ch5'!$AM$218</definedName>
    <definedName name="dpa505_2_1">'Ch5'!$AM$220</definedName>
    <definedName name="dpa505_2_2">'Ch5'!$AM$230</definedName>
    <definedName name="dpa505_3_1">'Ch5'!$AM$234</definedName>
    <definedName name="dpa505_3_2">'Ch5'!$AM$235</definedName>
    <definedName name="dpa505_3_3">'Ch5'!$AM$236</definedName>
    <definedName name="dpa505_3_4">'Ch5'!$AM$237</definedName>
    <definedName name="dpa505_3_5">'Ch5'!$AM$238</definedName>
    <definedName name="dpa505_4">'Ch5'!$AM$239</definedName>
    <definedName name="dpa505_5">'Ch5'!$AM$240</definedName>
    <definedName name="dpa505_6">'Ch5'!$AM$243</definedName>
    <definedName name="dpa601_1_1">'Ch6'!$AM$18</definedName>
    <definedName name="dpa601_1_2">'Ch6'!$AM$19</definedName>
    <definedName name="dpa601_1_3">'Ch6'!$AM$20</definedName>
    <definedName name="dpa601_1_4">'Ch6'!$AM$21</definedName>
    <definedName name="dpa601_1_5">'Ch6'!$AM$22</definedName>
    <definedName name="dpa601_2_1">'Ch6'!$AM$32</definedName>
    <definedName name="dpa601_2_2">'Ch6'!$AM$35</definedName>
    <definedName name="dpa601_2_3">'Ch6'!$AM$38</definedName>
    <definedName name="dpa601_3_1">'Ch6'!$AM$44</definedName>
    <definedName name="dpa601_3_2">'Ch6'!$AM$45</definedName>
    <definedName name="dpa601_3_3">'Ch6'!$AM$46</definedName>
    <definedName name="dpa601_3_4">'Ch6'!$AM$47</definedName>
    <definedName name="dpa601_3_5">'Ch6'!$AM$48</definedName>
    <definedName name="dpa601_4">'Ch6'!$AM$49</definedName>
    <definedName name="dpa601_5">'Ch6'!$AM$52</definedName>
    <definedName name="dpa601_5_1">'Ch6'!$AM$57</definedName>
    <definedName name="dpa601_5_2">'Ch6'!$AM$58</definedName>
    <definedName name="dpa601_5_3">'Ch6'!$AM$59</definedName>
    <definedName name="dpa601_5_4">'Ch6'!$AM$60</definedName>
    <definedName name="dpa601_6">'Ch6'!$AM$61</definedName>
    <definedName name="dpa601_6_1">'Ch6'!$AM$64</definedName>
    <definedName name="dpa601_6_2">'Ch6'!$AM$65</definedName>
    <definedName name="dpa601_7">'Ch6'!$AM$66</definedName>
    <definedName name="dpa601_7_1">'Ch6'!$AM$79</definedName>
    <definedName name="dpa601_7_2">'Ch6'!$AM$80</definedName>
    <definedName name="dpa601_7_3">'Ch6'!$AM$82</definedName>
    <definedName name="dpa601_8">'Ch6'!$AM$84</definedName>
    <definedName name="dpa602_1_1_1">'Ch6'!$AM$97</definedName>
    <definedName name="dpa602_1_1_2">'Ch6'!$AM$101</definedName>
    <definedName name="dpa602_1_10">'Ch6'!$AM$213</definedName>
    <definedName name="dpa602_1_11">'Ch6'!$AM$226</definedName>
    <definedName name="dpa602_1_12">'Ch6'!$AM$230</definedName>
    <definedName name="dpa602_1_13">'Ch6'!$AM$233</definedName>
    <definedName name="dpa602_1_14_1">'Ch6'!$AM$239</definedName>
    <definedName name="dpa602_1_14_2">'Ch6'!$AM$241</definedName>
    <definedName name="dpa602_1_14_3">'Ch6'!$AM$242</definedName>
    <definedName name="dpa602_1_2">'Ch6'!$AM$104</definedName>
    <definedName name="dpa602_1_3_1">'Ch6'!$AM$110</definedName>
    <definedName name="dpa602_1_3_2">'Ch6'!$AM$113</definedName>
    <definedName name="dpa602_1_4_1_1">'Ch6'!$AM$121</definedName>
    <definedName name="dpa602_1_4_1_2">'Ch6'!$AM$123</definedName>
    <definedName name="dpa602_1_4_2_1">'Ch6'!$AM$130</definedName>
    <definedName name="dpa602_1_4_2_2">'Ch6'!$AM$132</definedName>
    <definedName name="dpa602_1_5_1">'Ch6'!$AM$138</definedName>
    <definedName name="dpa602_1_5_2">'Ch6'!$AM$140</definedName>
    <definedName name="dpa602_1_6_1">'Ch6'!$AM$146</definedName>
    <definedName name="dpa602_1_6_2">'Ch6'!$AM$150</definedName>
    <definedName name="dpa602_1_6_3">'Ch6'!$AM$154</definedName>
    <definedName name="dpa602_1_7_1_1">'Ch6'!$AM$159</definedName>
    <definedName name="dpa602_1_7_1_2">'Ch6'!$AM$161</definedName>
    <definedName name="dpa602_1_7_1_3">'Ch6'!$AM$164</definedName>
    <definedName name="dpa602_1_7_2">'Ch6'!$AM$166</definedName>
    <definedName name="dpa602_1_7_3">'Ch6'!$AM$168</definedName>
    <definedName name="dpa602_1_8">'Ch6'!$AM$172</definedName>
    <definedName name="dpa602_1_9_1">'Ch6'!$AM$184</definedName>
    <definedName name="dpa602_1_9_2">'Ch6'!$AM$196</definedName>
    <definedName name="dpa602_1_9_3">'Ch6'!$AM$199</definedName>
    <definedName name="dpa602_1_9_4">'Ch6'!$AM$200</definedName>
    <definedName name="dpa602_1_9_5_a">'Ch6'!$AM$205</definedName>
    <definedName name="dpa602_1_9_5_b">'Ch6'!$AM$208</definedName>
    <definedName name="dpa602_1_9_6">'Ch6'!$AM$210</definedName>
    <definedName name="dpa602_1_9_7">'Ch6'!$AM$212</definedName>
    <definedName name="dpa602_2">'Ch6'!$AM$243</definedName>
    <definedName name="dpa602_3">'Ch6'!$AM$253</definedName>
    <definedName name="dpa602_4_1">'Ch6'!$AM$257</definedName>
    <definedName name="dpa602_4_2">'Ch6'!$AM$262</definedName>
    <definedName name="dpa602_4_3">'Ch6'!$AM$264</definedName>
    <definedName name="dpa603_1">'Ch6'!$AM$268</definedName>
    <definedName name="dpa603_2">'Ch6'!$AM$274</definedName>
    <definedName name="dpa603_3">'Ch6'!$AM$281</definedName>
    <definedName name="dpa604_1a">'Ch6'!$AM$285</definedName>
    <definedName name="dpa605_1">'Ch6'!$AM$296</definedName>
    <definedName name="dpa605_2">'Ch6'!$AM$299</definedName>
    <definedName name="dpa605_3">'Ch6'!$AM$314</definedName>
    <definedName name="dpa605_3_1">'Ch6'!$AM$325</definedName>
    <definedName name="dpa605_3_2">'Ch6'!$AM$326</definedName>
    <definedName name="dpa605_4">'Ch6'!$AM$323</definedName>
    <definedName name="dpa605_4_1">'Ch6'!$AM$325</definedName>
    <definedName name="dpa605_4_2">'Ch6'!$AM$326</definedName>
    <definedName name="dpa606_1_1">'Ch6'!$AM$350</definedName>
    <definedName name="dpa606_1_2">'Ch6'!$AM$352</definedName>
    <definedName name="dpa606_1_3">'Ch6'!$AM$354</definedName>
    <definedName name="dpa606_2_1a">'Ch6'!$AM$367</definedName>
    <definedName name="dpa606_2_2a">'Ch6'!$AM$370</definedName>
    <definedName name="dpa606_3">'Ch6'!$AM$373</definedName>
    <definedName name="dpa607_1_1">'Ch6'!$AM$382</definedName>
    <definedName name="dpa607_1_2">'Ch6'!$AM$384</definedName>
    <definedName name="dpa607_2">'Ch6'!$AM$385</definedName>
    <definedName name="dpa608_1">'Ch6'!$AM$388</definedName>
    <definedName name="dpa609_1a">'Ch6'!$AM$397</definedName>
    <definedName name="dpa610_1_1_1">'Ch6'!$AM$413</definedName>
    <definedName name="dpa610_1_1_2">'Ch6'!$AM$422</definedName>
    <definedName name="dpa610_1_1_3">'Ch6'!$AM$429</definedName>
    <definedName name="dpa610_1_2">'Ch6'!$AM$431</definedName>
    <definedName name="dpa610_1_2_1">'Ch6'!$AM$435</definedName>
    <definedName name="dpa610_1_2_2a">'Ch6'!$AM$449</definedName>
    <definedName name="dpa611_1">'Ch6'!$AM$474</definedName>
    <definedName name="dpa611_2">'Ch6'!$AM$482</definedName>
    <definedName name="dpa611_2_1">'Ch6'!$AM$485</definedName>
    <definedName name="dpa611_2_2">'Ch6'!$AM$486</definedName>
    <definedName name="dpa611_2_3">'Ch6'!$AM$487</definedName>
    <definedName name="dpa611_2_4">'Ch6'!$AM$488</definedName>
    <definedName name="dpa611_2_5">'Ch6'!$AM$489</definedName>
    <definedName name="dpa611_2_6">'Ch6'!$AM$490</definedName>
    <definedName name="dpa611_2_7">'Ch6'!$AM$491</definedName>
    <definedName name="dpa611_3">'Ch6'!$AM$493</definedName>
    <definedName name="dpa611_3_1">'Ch6'!$AM$495</definedName>
    <definedName name="dpa611_3_2">'Ch6'!$AM$500</definedName>
    <definedName name="dpa611_3_3">'Ch6'!$AM$504</definedName>
    <definedName name="dpa611_3_4">'Ch6'!$AM$506</definedName>
    <definedName name="dpa611_3_5">'Ch6'!$AM$508</definedName>
    <definedName name="dpa611_3_6">'Ch6'!$AM$509</definedName>
    <definedName name="dpa611_3_7">'Ch6'!$AM$510</definedName>
    <definedName name="dpa611_3_8">'Ch6'!$AM$514</definedName>
    <definedName name="dpa611_3_9">'Ch6'!$AM$516</definedName>
    <definedName name="dpa611_4">'Ch6'!$AM$518</definedName>
    <definedName name="dpa701_4">'Ch7'!$AM$11</definedName>
    <definedName name="dpa701_4_0">'Ch7'!$AM$14</definedName>
    <definedName name="dpa701_4_1" localSheetId="14">'Verification (Ch. 7)'!#REF!</definedName>
    <definedName name="dpa701_4_1">'Ch7'!$AM$30</definedName>
    <definedName name="dpa701_4_1_1" localSheetId="14">'Verification (Ch. 7)'!#REF!</definedName>
    <definedName name="dpa701_4_1_1">'Ch7'!$AM$21</definedName>
    <definedName name="dpa701_4_1_2" localSheetId="14">'Verification (Ch. 7)'!#REF!</definedName>
    <definedName name="dpa701_4_1_2">'Ch7'!$AM$24</definedName>
    <definedName name="dpa701_4_2_2" localSheetId="14">'Verification (Ch. 7)'!#REF!</definedName>
    <definedName name="dpa701_4_2_2">'Ch7'!$AM$33</definedName>
    <definedName name="dpa701_4_2_3" localSheetId="14">'Verification (Ch. 7)'!#REF!</definedName>
    <definedName name="dpa701_4_2_3">'Ch7'!$AM$36</definedName>
    <definedName name="dpa701_4_3_1" localSheetId="14">'Verification (Ch. 7)'!#REF!</definedName>
    <definedName name="dpa701_4_3_1">'Ch7'!$AM$39</definedName>
    <definedName name="dpa701_4_3_2" localSheetId="14">'Verification (Ch. 7)'!#REF!</definedName>
    <definedName name="dpa701_4_3_2">'Ch7'!$AM$56</definedName>
    <definedName name="dpa701_4_3_2_1" localSheetId="14">'Verification (Ch. 7)'!#REF!</definedName>
    <definedName name="dpa701_4_3_2_1">'Ch7'!$AM$78</definedName>
    <definedName name="dpa701_4_3_3_4" localSheetId="14">'Verification (Ch. 7)'!#REF!</definedName>
    <definedName name="dpa701_4_3_3_4">'Ch7'!$AM$105</definedName>
    <definedName name="dpa701_4_3_3_5" localSheetId="14">'Verification (Ch. 7)'!#REF!</definedName>
    <definedName name="dpa701_4_3_3_5">'Ch7'!$AM$111</definedName>
    <definedName name="dpa701_4_4" localSheetId="14">'Verification (Ch. 7)'!#REF!</definedName>
    <definedName name="dpa701_4_4">'Ch7'!$AM$117</definedName>
    <definedName name="dpa701_4_5" localSheetId="14">'Verification (Ch. 7)'!#REF!</definedName>
    <definedName name="dpa701_4_5">'Ch7'!$AM$122</definedName>
    <definedName name="dpa701_4_6">'Ch7'!$AM$124</definedName>
    <definedName name="dpa701_4_7">'Ch7'!$AM$128</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'Ch9'!$AM$33</definedName>
    <definedName name="dpa901_1_6_1">'Ch9'!$AM$37</definedName>
    <definedName name="dpa901_1_6_2">'Ch9'!$AM$38</definedName>
    <definedName name="dpa901_10_1">'Ch9'!$AM$155</definedName>
    <definedName name="dpa901_10_2">'Ch9'!$AM$160</definedName>
    <definedName name="dpa901_10_3">'Ch9'!$AM$161</definedName>
    <definedName name="dpa901_11">'Ch9'!$AM$165</definedName>
    <definedName name="dpa901_12">'Ch9'!$AM$170</definedName>
    <definedName name="dpa901_13_1">'Ch9'!$AM$174</definedName>
    <definedName name="dpa901_13_2">'Ch9'!$AM$175</definedName>
    <definedName name="dpa901_14_1">'Ch9'!$AM$178</definedName>
    <definedName name="dpa901_14_2">'Ch9'!$AM$180</definedName>
    <definedName name="dpa901_15">'Ch9'!$AM$182</definedName>
    <definedName name="dpa901_2_1_1">'Ch9'!$AM$43</definedName>
    <definedName name="dpa901_2_1_2">'Ch9'!$AM$46</definedName>
    <definedName name="dpa901_2_1_3">'Ch9'!$AM$48</definedName>
    <definedName name="dpa901_2_1_4">'Ch9'!$AM$51</definedName>
    <definedName name="dpa901_2_1_5">'Ch9'!$AM$53</definedName>
    <definedName name="dpa901_2_2">'Ch9'!$AM$54</definedName>
    <definedName name="dpa901_3_1_a">'Ch9'!$AM$58</definedName>
    <definedName name="dpa901_3_1_b">'Ch9'!$AM$60</definedName>
    <definedName name="dpa901_3_1_c">'Ch9'!$AM$61</definedName>
    <definedName name="dpa901_3_2">'Ch9'!$AM$67</definedName>
    <definedName name="dpa901_4">'Ch9'!$AM$68</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'Ch9'!$AM$120</definedName>
    <definedName name="dpa901_9_1">'Ch9'!$AM$130</definedName>
    <definedName name="dpa901_9_2">'Ch9'!$AM$137</definedName>
    <definedName name="dpa901_9_3">'Ch9'!$AM$142</definedName>
    <definedName name="dpa901_9_4">'Ch9'!$AM$148</definedName>
    <definedName name="dpa902_1_1_a">'Ch9'!$AM$190</definedName>
    <definedName name="dpa902_1_2">'Ch9'!$AM$197</definedName>
    <definedName name="dpa902_1_2_">'Ch9'!$AM$192</definedName>
    <definedName name="dpa902_1_2_1">'Ch9'!$AM$199</definedName>
    <definedName name="dpa902_1_2_2">'Ch9'!$AM$200</definedName>
    <definedName name="dpa902_1_3">'Ch9'!$AM$201</definedName>
    <definedName name="dpa902_1_3_">'Ch9'!$AM$194</definedName>
    <definedName name="dpa902_1_4">'Ch9'!$AM$205</definedName>
    <definedName name="dpa902_1_4_1">'Ch9'!$AM$206</definedName>
    <definedName name="dpa902_1_4_2">'Ch9'!$AM$208</definedName>
    <definedName name="dpa902_1_5">'Ch9'!$AM$210</definedName>
    <definedName name="dpa902_2_1">'Ch9'!$AM$220</definedName>
    <definedName name="dpa902_2_1_1">'Ch9'!$AM$224</definedName>
    <definedName name="dpa902_2_1_2">'Ch9'!$AM$226</definedName>
    <definedName name="dpa902_2_1_3">'Ch9'!$AM$228</definedName>
    <definedName name="dpa902_2_1_4">'Ch9'!$AM$229</definedName>
    <definedName name="dpa902_2_2">'Ch9'!$AM$230</definedName>
    <definedName name="dpa902_2_3">'Ch9'!$AM$232</definedName>
    <definedName name="dpa902_2_4">'Ch9'!$AM$235</definedName>
    <definedName name="dpa902_3_1">'Ch9'!$AM$241</definedName>
    <definedName name="dpa902_3_1_a">'Ch9'!$AM$242</definedName>
    <definedName name="dpa902_3_1_b">'Ch9'!$AM$243</definedName>
    <definedName name="dpa902_3_2_a">'Ch9'!$AM$245</definedName>
    <definedName name="dpa902_4">'Ch9'!$AM$246</definedName>
    <definedName name="dpa902_5">'Ch9'!$AM$253</definedName>
    <definedName name="dpa902_6">'Ch9'!$AM$255</definedName>
    <definedName name="dpa903_1_1_1">'Ch9'!$AM$260</definedName>
    <definedName name="dpa903_1_2_2">'Ch9'!$AM$262</definedName>
    <definedName name="dpa903_2_1">'Ch9'!$AM$264</definedName>
    <definedName name="dpa903_2_2">'Ch9'!$AM$265</definedName>
    <definedName name="dpa903_3">'Ch9'!$AM$267</definedName>
    <definedName name="dpa904_1">'Ch9'!$AM$275</definedName>
    <definedName name="dpa904_2">'Ch9'!$AM$280</definedName>
    <definedName name="dpa905_1">'Ch9'!$AM$284</definedName>
    <definedName name="dpa905_2">'Ch9'!$AM$289</definedName>
    <definedName name="dpc1001_1">'Ch10'!$AO$12</definedName>
    <definedName name="dpc1002_1">'Ch10'!$AO$80</definedName>
    <definedName name="dpc1002_2">'Ch10'!$AO$98</definedName>
    <definedName name="dpc1002_3">'Ch10'!$AO$125</definedName>
    <definedName name="dpc1003_1">'Ch10'!$AO$167</definedName>
    <definedName name="dpc501_2_1">'Ch5'!$AO$16</definedName>
    <definedName name="dpc501_2_2">'Ch5'!$AO$18</definedName>
    <definedName name="dpc501_2_3">'Ch5'!$AO$20</definedName>
    <definedName name="dpc501_2_4">'Ch5'!$AO$29</definedName>
    <definedName name="dpc501_2_5">'Ch5'!$AO$32</definedName>
    <definedName name="dpc501_2_6">'Ch5'!$AO$32</definedName>
    <definedName name="dpc502_1">'Ch5'!$AO$38</definedName>
    <definedName name="dpc503_1_1">'Ch5'!$AO$50</definedName>
    <definedName name="dpc503_1_2">'Ch5'!$AO$51</definedName>
    <definedName name="dpc503_1_3">'Ch5'!$AO$53</definedName>
    <definedName name="dpc503_1_4">'Ch5'!$AO$55</definedName>
    <definedName name="dpc503_1_5">'Ch5'!$AO$56</definedName>
    <definedName name="dpc503_1_6">'Ch5'!$AO$57</definedName>
    <definedName name="dpc503_1_7">'Ch5'!$AO$59</definedName>
    <definedName name="dpc503_2_1">'Ch5'!$AO$63</definedName>
    <definedName name="dpc503_2_2">'Ch5'!$AO$64</definedName>
    <definedName name="dpc503_2_3">'Ch5'!$AO$66</definedName>
    <definedName name="dpc503_2_4">'Ch5'!$AO$71</definedName>
    <definedName name="dpc503_2_5">'Ch5'!$AO$73</definedName>
    <definedName name="dpc503_3_1">'Ch5'!$AO$77</definedName>
    <definedName name="dpc503_3_2">'Ch5'!$AO$79</definedName>
    <definedName name="dpc503_3_3">'Ch5'!$AO$86</definedName>
    <definedName name="dpc503_4_1">'Ch5'!$AO$94</definedName>
    <definedName name="dpc503_4_2">'Ch5'!$AO$97</definedName>
    <definedName name="dpc503_4_3">'Ch5'!$AO$104</definedName>
    <definedName name="dpc503_4_4">'Ch5'!$AO$104</definedName>
    <definedName name="dpc503_5_1">'Ch5'!$AO$113</definedName>
    <definedName name="dpc503_5_10">'Ch5'!$AO$141</definedName>
    <definedName name="dpc503_5_11">'Ch5'!$AO$143</definedName>
    <definedName name="dpc503_5_12">'Ch5'!$AO$145</definedName>
    <definedName name="dpc503_5_2">'Ch5'!$AO$119</definedName>
    <definedName name="dpc503_5_3">'Ch5'!$AO$121</definedName>
    <definedName name="dpc503_5_4">'Ch5'!$AO$123</definedName>
    <definedName name="dpc503_5_5">'Ch5'!$AO$125</definedName>
    <definedName name="dpc503_5_6">'Ch5'!$AO$130</definedName>
    <definedName name="dpc503_5_7">'Ch5'!$AO$131</definedName>
    <definedName name="dpc503_5_8">'Ch5'!$AO$136</definedName>
    <definedName name="dpc503_5_9">'Ch5'!$AO$138</definedName>
    <definedName name="dpc503_6_1">'Ch5'!$AO$149</definedName>
    <definedName name="dpc503_6_2">'Ch5'!$AO$150</definedName>
    <definedName name="dpc503_6_3">'Ch5'!$AO$151</definedName>
    <definedName name="dpc503_6_4">'Ch5'!$AO$153</definedName>
    <definedName name="dpc503_7_1" localSheetId="31">[1]Ch5!#REF!</definedName>
    <definedName name="dpc503_7_1">'Ch5'!$AO$156</definedName>
    <definedName name="dpc503_7_2" localSheetId="31">[1]Ch5!#REF!</definedName>
    <definedName name="dpc503_7_2">'Ch5'!$AO$158</definedName>
    <definedName name="dpc504_1">'Ch5'!$AO$163</definedName>
    <definedName name="dpc504_2_1">'Ch5'!$AO$170</definedName>
    <definedName name="dpc504_2_2">'Ch5'!$AO$171</definedName>
    <definedName name="dpc504_2_3">'Ch5'!$AO$173</definedName>
    <definedName name="dpc504_3_1">'Ch5'!$AO$178</definedName>
    <definedName name="dpc504_3_2">'Ch5'!$AO$180</definedName>
    <definedName name="dpc504_3_3">'Ch5'!$AO$181</definedName>
    <definedName name="dpc504_3_4">'Ch5'!$AO$183</definedName>
    <definedName name="dpc504_3_5">'Ch5'!$AO$185</definedName>
    <definedName name="dpc504_3_6">'Ch5'!$AO$189</definedName>
    <definedName name="dpc504_3_7">'Ch5'!$AO$192</definedName>
    <definedName name="dpc504_3_8">'Ch5'!$AO$193</definedName>
    <definedName name="dpc505_1_1">'Ch5'!$AO$207</definedName>
    <definedName name="dpc505_1_2">'Ch5'!$AO$209</definedName>
    <definedName name="dpc505_1_3">'Ch5'!$AO$210</definedName>
    <definedName name="dpc505_1_4">'Ch5'!$AO$214</definedName>
    <definedName name="dpc505_2_1">'Ch5'!$AO$220</definedName>
    <definedName name="dpc505_2_2">'Ch5'!$AO$230</definedName>
    <definedName name="dpc505_3">'Ch5'!$AO$233</definedName>
    <definedName name="dpc505_4">'Ch5'!$AO$239</definedName>
    <definedName name="dpc505_5">'Ch5'!$AO$240</definedName>
    <definedName name="dpc505_6">'Ch5'!$AO$243</definedName>
    <definedName name="dpc601_1">'Ch6'!$AO$14</definedName>
    <definedName name="dpc601_2_1">'Ch6'!$AO$32</definedName>
    <definedName name="dpc601_2_2">'Ch6'!$AO$35</definedName>
    <definedName name="dpc601_2_3">'Ch6'!$AO$38</definedName>
    <definedName name="dpc601_3_1">'Ch6'!$AO$44</definedName>
    <definedName name="dpc601_3_2">'Ch6'!$AO$45</definedName>
    <definedName name="dpc601_3_3">'Ch6'!$AO$46</definedName>
    <definedName name="dpc601_3_4">'Ch6'!$AO$47</definedName>
    <definedName name="dpc601_3_5">'Ch6'!$AO$48</definedName>
    <definedName name="dpc601_4">'Ch6'!$AO$49</definedName>
    <definedName name="dpc601_5_1">'Ch6'!$AO$57</definedName>
    <definedName name="dpc601_5_2">'Ch6'!$AO$58</definedName>
    <definedName name="dpc601_5_3">'Ch6'!$AO$59</definedName>
    <definedName name="dpc601_5_4">'Ch6'!$AO$60</definedName>
    <definedName name="dpc601_6">'Ch6'!$AO$61</definedName>
    <definedName name="dpc601_7">'Ch6'!$AO$66</definedName>
    <definedName name="dpc601_8">'Ch6'!$AO$84</definedName>
    <definedName name="dpc602_1_1_2">'Ch6'!$AO$101</definedName>
    <definedName name="dpc602_1_10">'Ch6'!$AO$213</definedName>
    <definedName name="dpc602_1_12">'Ch6'!$AO$230</definedName>
    <definedName name="dpc602_1_14_1">'Ch6'!$AO$239</definedName>
    <definedName name="dpc602_1_14_2">'Ch6'!$AO$241</definedName>
    <definedName name="dpc602_1_14_3">'Ch6'!$AO$242</definedName>
    <definedName name="dpc602_1_2">'Ch6'!$AO$104</definedName>
    <definedName name="dpc602_1_3_2">'Ch6'!$AO$113</definedName>
    <definedName name="dpc602_1_4_1_1">'Ch6'!$AO$121</definedName>
    <definedName name="dpc602_1_4_2_1">'Ch6'!$AO$130</definedName>
    <definedName name="dpc602_1_5_1">'Ch6'!$AO$138</definedName>
    <definedName name="dpc602_1_5_2">'Ch6'!$AO$140</definedName>
    <definedName name="dpc602_1_6_1">'Ch6'!$AO$146</definedName>
    <definedName name="dpc602_1_6_2">'Ch6'!$AO$150</definedName>
    <definedName name="dpc602_1_6_3">'Ch6'!$AO$154</definedName>
    <definedName name="dpc602_1_7_1_1">'Ch6'!$AO$159</definedName>
    <definedName name="dpc602_1_7_1_2">'Ch6'!$AO$161</definedName>
    <definedName name="dpc602_1_7_1_3">'Ch6'!$AO$164</definedName>
    <definedName name="dpc602_1_7_2">'Ch6'!$AO$166</definedName>
    <definedName name="dpc602_1_7_3">'Ch6'!$AO$168</definedName>
    <definedName name="dpc602_1_9_2">'Ch6'!$AO$196</definedName>
    <definedName name="dpc602_1_9_3">'Ch6'!$AO$199</definedName>
    <definedName name="dpc602_1_9_4">'Ch6'!$AO$200</definedName>
    <definedName name="dpc602_1_9_5">'Ch6'!$AO$204</definedName>
    <definedName name="dpc602_1_9_6">'Ch6'!$AO$210</definedName>
    <definedName name="dpc602_1_9_7">'Ch6'!$AO$212</definedName>
    <definedName name="dpc602_2">'Ch6'!$AO$243</definedName>
    <definedName name="dpc602_3">'Ch6'!$AO$253</definedName>
    <definedName name="dpc602_4_2">'Ch6'!$AO$262</definedName>
    <definedName name="dpc602_4_3">'Ch6'!$AO$264</definedName>
    <definedName name="dpc603_1">'Ch6'!$AO$268</definedName>
    <definedName name="dpc603_2">'Ch6'!$AO$274</definedName>
    <definedName name="dpc603_3">'Ch6'!$AO$281</definedName>
    <definedName name="dpc604_1a">'Ch6'!$AO$285</definedName>
    <definedName name="dpc605_1">'Ch6'!$AO$299</definedName>
    <definedName name="dpc605_2">'Ch6'!$AO$299</definedName>
    <definedName name="dpc605_3">'Ch6'!$AO$314</definedName>
    <definedName name="dpc605_4">'Ch6'!$AO$323</definedName>
    <definedName name="dpc606_1">'Ch6'!$AO$339</definedName>
    <definedName name="dpc606_2_1a">'Ch6'!$AO$367</definedName>
    <definedName name="dpc606_2_2a">'Ch6'!$AO$370</definedName>
    <definedName name="dpc606_3">'Ch6'!$AO$373</definedName>
    <definedName name="dpc607_1_1">'Ch6'!$AO$382</definedName>
    <definedName name="dpc607_1_2">'Ch6'!$AO$384</definedName>
    <definedName name="dpc607_2">'Ch6'!$AO$385</definedName>
    <definedName name="dpc608_1">'Ch6'!$AO$388</definedName>
    <definedName name="dpc609_1a">'Ch6'!$AO$397</definedName>
    <definedName name="dpc610_1_1_1">'Ch6'!$AO$413</definedName>
    <definedName name="dpc610_1_1_2">'Ch6'!$AO$422</definedName>
    <definedName name="dpc610_1_1_3">'Ch6'!$AO$429</definedName>
    <definedName name="dpc610_1_2">'Ch6'!$AO$431</definedName>
    <definedName name="dpc611_1">'Ch6'!$AO$474</definedName>
    <definedName name="dpc611_2">'Ch6'!$AO$482</definedName>
    <definedName name="dpc611_3">'Ch6'!$AO$493</definedName>
    <definedName name="dpc611_4">'Ch6'!$AO$518</definedName>
    <definedName name="dpc901_1_1">'Ch9'!$AO$12</definedName>
    <definedName name="dpc901_1_2">'Ch9'!$AO$18</definedName>
    <definedName name="dpc901_1_3_1">'Ch9'!$AO$23</definedName>
    <definedName name="dpc901_1_3_2">'Ch9'!$AO$26</definedName>
    <definedName name="dpc901_1_5">'Ch9'!$AO$33</definedName>
    <definedName name="dpc901_1_6">'Ch9'!$AO$36</definedName>
    <definedName name="dpc901_10">'Ch9'!$AO$151</definedName>
    <definedName name="dpc901_11">'Ch9'!$AO$165</definedName>
    <definedName name="dpc901_13">'Ch9'!$AO$172</definedName>
    <definedName name="dpc901_14_1">'Ch9'!$AO$178</definedName>
    <definedName name="dpc901_14_2">'Ch9'!$AO$180</definedName>
    <definedName name="dpc901_2_1_1">'Ch9'!$AO$42</definedName>
    <definedName name="dpc901_2_1_2">'Ch9'!$AO$45</definedName>
    <definedName name="dpc901_2_1_3">'Ch9'!$AO$47</definedName>
    <definedName name="dpc901_2_1_4">'Ch9'!$AO$50</definedName>
    <definedName name="dpc901_2_1_5">'Ch9'!$AO$52</definedName>
    <definedName name="dpc901_2_2">'Ch9'!$AO$54</definedName>
    <definedName name="dpc901_3_1_a">'Ch9'!$AO$57</definedName>
    <definedName name="dpc901_3_1_b">'Ch9'!$AO$59</definedName>
    <definedName name="dpc901_3_1_c">'Ch9'!$AO$61</definedName>
    <definedName name="dpc901_3_2">'Ch9'!$AO$67</definedName>
    <definedName name="dpc901_4">'Ch9'!$AO$68</definedName>
    <definedName name="dpc901_5_1">'Ch9'!$AO$91</definedName>
    <definedName name="dpc901_5_2">'Ch9'!$AO$93</definedName>
    <definedName name="dpc901_7">'Ch9'!$AO$98</definedName>
    <definedName name="dpc901_8">'Ch9'!$AO$120</definedName>
    <definedName name="dpc901_9_1">'Ch9'!$AO$130</definedName>
    <definedName name="dpc901_9_2">'Ch9'!$AO$137</definedName>
    <definedName name="dpc901_9_3">'Ch9'!$AO$142</definedName>
    <definedName name="dpc902_1_1_a">'Ch9'!$AO$190</definedName>
    <definedName name="dpc902_1_2">'Ch9'!$AO$197</definedName>
    <definedName name="dpc902_1_3">'Ch9'!$AO$201</definedName>
    <definedName name="dpc902_1_3_">'Ch9'!$AO$194</definedName>
    <definedName name="dpc902_1_4">'Ch9'!$AO$205</definedName>
    <definedName name="dpc902_1_5">'Ch9'!$AO$210</definedName>
    <definedName name="dpc902_2_1">'Ch9'!$AO$220</definedName>
    <definedName name="dpc902_2_2">'Ch9'!$AO$230</definedName>
    <definedName name="dpc902_2_3">'Ch9'!$AO$232</definedName>
    <definedName name="dpc902_2_4">'Ch9'!$AO$235</definedName>
    <definedName name="dpc902_3_1">'Ch9'!$AO$241</definedName>
    <definedName name="dpc902_3_2_a">'Ch9'!$AO$245</definedName>
    <definedName name="dpc902_4">'Ch9'!$AO$246</definedName>
    <definedName name="dpc902_5">'Ch9'!$AO$253</definedName>
    <definedName name="dpc903_1">'Ch9'!$AO$259</definedName>
    <definedName name="dpc903_2">'Ch9'!$AO$263</definedName>
    <definedName name="dpc903_3">'Ch9'!$AO$267</definedName>
    <definedName name="dpc904_1">'Ch9'!$AO$275</definedName>
    <definedName name="dpc904_2">'Ch9'!$AO$280</definedName>
    <definedName name="dpc905_1">'Ch9'!$AO$284</definedName>
    <definedName name="dpc905_2">'Ch9'!$AO$289</definedName>
    <definedName name="Dpoints">Points!$H$21</definedName>
    <definedName name="dstAGFloorArea">'Overview (Design)'!$G$21</definedName>
    <definedName name="dstAttachedGarage">'Overview (Design)'!$G$47</definedName>
    <definedName name="dstAttic">'Overview (Design)'!$G$46</definedName>
    <definedName name="dstBuilderName">'Overview (Design)'!$G$8</definedName>
    <definedName name="dstBuildingCode">'Overview (Design)'!$G$59</definedName>
    <definedName name="dstCDucts">'Overview (Design)'!$G$38</definedName>
    <definedName name="dstCity" localSheetId="31">'[1]Overview (Design)'!$G$13</definedName>
    <definedName name="dstCity">'Overview (Design)'!$G$11</definedName>
    <definedName name="dstCool1">'Overview (Design)'!$G$35</definedName>
    <definedName name="dstCool2">'Overview (Design)'!$G$36</definedName>
    <definedName name="dstCool3">'Overview (Design)'!$G$37</definedName>
    <definedName name="dstCounty">'Overview (Design)'!$G$13</definedName>
    <definedName name="dstCToilet">'Overview (Design)'!$G$56</definedName>
    <definedName name="dstDesigner">'Overview (Design)'!$G$61</definedName>
    <definedName name="dstDuctless">'Overview (Design)'!$G$53</definedName>
    <definedName name="dstEnergyCode">'Overview (Design)'!$G$58</definedName>
    <definedName name="dstFloors">'Overview (Design)'!$G$23</definedName>
    <definedName name="dstFoundation">'Overview (Design)'!$G$28</definedName>
    <definedName name="dstFuel">'Overview (Design)'!$G$33</definedName>
    <definedName name="dstHDucts">'Overview (Design)'!$G$34</definedName>
    <definedName name="dstHeat1">'Overview (Design)'!$G$30</definedName>
    <definedName name="dstHeat2">'Overview (Design)'!$G$31</definedName>
    <definedName name="dstHeat3">'Overview (Design)'!$G$32</definedName>
    <definedName name="dstHERS">'Overview (Design)'!$G$27</definedName>
    <definedName name="dstHomeAddress" localSheetId="31">'[1]Overview (Design)'!$G$11</definedName>
    <definedName name="dstHomeAddress">'Overview (Design)'!$G$9</definedName>
    <definedName name="dstLot">'Overview (Design)'!$G$10</definedName>
    <definedName name="dstMassWalls">'Overview (Design)'!$G$52</definedName>
    <definedName name="dstPassiveSolar">'Overview (Design)'!$G$51</definedName>
    <definedName name="dstProjectDesc">'Overview (Design)'!$G$25</definedName>
    <definedName name="dstProjectName">'Overview (Design)'!$G$18</definedName>
    <definedName name="dstRadiantHydronic">'Overview (Design)'!$G$54</definedName>
    <definedName name="dstRecessedLighting">'Overview (Design)'!$G$48</definedName>
    <definedName name="dstRenewable">'Overview (Design)'!$G$44</definedName>
    <definedName name="dstSingleOrMulti">'Overview (Design)'!$G$16</definedName>
    <definedName name="dstsSHGC">'Overview (Design)'!$G$41</definedName>
    <definedName name="dstState" localSheetId="31">'[1]Overview (Design)'!$G$14</definedName>
    <definedName name="dstState">'Overview (Design)'!$G$12</definedName>
    <definedName name="dstsUV">'Overview (Design)'!$G$43</definedName>
    <definedName name="dstTCFloorArea">'Overview (Design)'!$G$22</definedName>
    <definedName name="dstTEInsulation">'Overview (Design)'!$G$45</definedName>
    <definedName name="dstTLWH">'Overview (Design)'!$G$55</definedName>
    <definedName name="dstUnits">'Overview (Design)'!$G$17</definedName>
    <definedName name="dstwdSHGC">'Overview (Design)'!$G$40</definedName>
    <definedName name="dstwdUV">'Overview (Design)'!$G$42</definedName>
    <definedName name="dstYearBuilt">'Overview (Design)'!$G$20</definedName>
    <definedName name="dstZIP" localSheetId="31">'[1]Overview (Design)'!$G$16</definedName>
    <definedName name="dstZIP">'Overview (Design)'!$G$14</definedName>
    <definedName name="fsgBatchSubmissiongFinalAddress1">'Final Sig.'!$C$104</definedName>
    <definedName name="fsgBatchSubmissiongFinalAddress10">'Final Sig.'!$C$113</definedName>
    <definedName name="fsgBatchSubmissiongFinalAddress11">'Final Sig.'!$C$114</definedName>
    <definedName name="fsgBatchSubmissiongFinalAddress12">'Final Sig.'!$C$115</definedName>
    <definedName name="fsgBatchSubmissiongFinalAddress13">'Final Sig.'!$C$116</definedName>
    <definedName name="fsgBatchSubmissiongFinalAddress14">'Final Sig.'!$C$117</definedName>
    <definedName name="fsgBatchSubmissiongFinalAddress15">'Final Sig.'!$C$118</definedName>
    <definedName name="fsgBatchSubmissiongFinalAddress16">'Final Sig.'!$C$119</definedName>
    <definedName name="fsgBatchSubmissiongFinalAddress17">'Final Sig.'!$C$120</definedName>
    <definedName name="fsgBatchSubmissiongFinalAddress18">'Final Sig.'!$C$121</definedName>
    <definedName name="fsgBatchSubmissiongFinalAddress19">'Final Sig.'!$C$122</definedName>
    <definedName name="fsgBatchSubmissiongFinalAddress2">'Final Sig.'!$C$105</definedName>
    <definedName name="fsgBatchSubmissiongFinalAddress20">'Final Sig.'!$C$123</definedName>
    <definedName name="fsgBatchSubmissiongFinalAddress3">'Final Sig.'!$C$106</definedName>
    <definedName name="fsgBatchSubmissiongFinalAddress4">'Final Sig.'!$C$107</definedName>
    <definedName name="fsgBatchSubmissiongFinalAddress5">'Final Sig.'!$C$108</definedName>
    <definedName name="fsgBatchSubmissiongFinalAddress6">'Final Sig.'!$C$109</definedName>
    <definedName name="fsgBatchSubmissiongFinalAddress7">'Final Sig.'!$C$110</definedName>
    <definedName name="fsgBatchSubmissiongFinalAddress8">'Final Sig.'!$C$111</definedName>
    <definedName name="fsgBatchSubmissiongFinalAddress9">'Final Sig.'!$C$112</definedName>
    <definedName name="fsgBatchSubmissiongInspectionDate1">'Final Sig.'!$I$104</definedName>
    <definedName name="fsgBatchSubmissiongInspectionDate10">'Final Sig.'!$I$113</definedName>
    <definedName name="fsgBatchSubmissiongInspectionDate11">'Final Sig.'!$I$114</definedName>
    <definedName name="fsgBatchSubmissiongInspectionDate12">'Final Sig.'!$I$115</definedName>
    <definedName name="fsgBatchSubmissiongInspectionDate13">'Final Sig.'!$I$116</definedName>
    <definedName name="fsgBatchSubmissiongInspectionDate14">'Final Sig.'!$I$117</definedName>
    <definedName name="fsgBatchSubmissiongInspectionDate15">'Final Sig.'!$I$118</definedName>
    <definedName name="fsgBatchSubmissiongInspectionDate16">'Final Sig.'!$I$119</definedName>
    <definedName name="fsgBatchSubmissiongInspectionDate17">'Final Sig.'!$I$120</definedName>
    <definedName name="fsgBatchSubmissiongInspectionDate18">'Final Sig.'!$I$121</definedName>
    <definedName name="fsgBatchSubmissiongInspectionDate19">'Final Sig.'!$I$122</definedName>
    <definedName name="fsgBatchSubmissiongInspectionDate2">'Final Sig.'!$I$105</definedName>
    <definedName name="fsgBatchSubmissiongInspectionDate20">'Final Sig.'!$I$123</definedName>
    <definedName name="fsgBatchSubmissiongInspectionDate3">'Final Sig.'!$I$106</definedName>
    <definedName name="fsgBatchSubmissiongInspectionDate4">'Final Sig.'!$I$107</definedName>
    <definedName name="fsgBatchSubmissiongInspectionDate5">'Final Sig.'!$I$108</definedName>
    <definedName name="fsgBatchSubmissiongInspectionDate6">'Final Sig.'!$I$109</definedName>
    <definedName name="fsgBatchSubmissiongInspectionDate7">'Final Sig.'!$I$110</definedName>
    <definedName name="fsgBatchSubmissiongInspectionDate8">'Final Sig.'!$I$111</definedName>
    <definedName name="fsgBatchSubmissiongInspectionDate9">'Final Sig.'!$I$112</definedName>
    <definedName name="fsgRemoveBatchAddress1">'Final Sig.'!$M$104</definedName>
    <definedName name="fsgRemoveBatchAddress10">'Final Sig.'!$M$113</definedName>
    <definedName name="fsgRemoveBatchAddress11">'Final Sig.'!$M$114</definedName>
    <definedName name="fsgRemoveBatchAddress12">'Final Sig.'!$M$115</definedName>
    <definedName name="fsgRemoveBatchAddress13">'Final Sig.'!$M$116</definedName>
    <definedName name="fsgRemoveBatchAddress14">'Final Sig.'!$M$117</definedName>
    <definedName name="fsgRemoveBatchAddress15">'Final Sig.'!$M$118</definedName>
    <definedName name="fsgRemoveBatchAddress16">'Final Sig.'!$M$119</definedName>
    <definedName name="fsgRemoveBatchAddress17">'Final Sig.'!$M$120</definedName>
    <definedName name="fsgRemoveBatchAddress18">'Final Sig.'!$M$121</definedName>
    <definedName name="fsgRemoveBatchAddress19">'Final Sig.'!$M$122</definedName>
    <definedName name="fsgRemoveBatchAddress2">'Final Sig.'!$M$105</definedName>
    <definedName name="fsgRemoveBatchAddress20">'Final Sig.'!$M$123</definedName>
    <definedName name="fsgRemoveBatchAddress3">'Final Sig.'!$M$106</definedName>
    <definedName name="fsgRemoveBatchAddress4">'Final Sig.'!$M$107</definedName>
    <definedName name="fsgRemoveBatchAddress5">'Final Sig.'!$M$108</definedName>
    <definedName name="fsgRemoveBatchAddress6">'Final Sig.'!$M$109</definedName>
    <definedName name="fsgRemoveBatchAddress7">'Final Sig.'!$M$110</definedName>
    <definedName name="fsgRemoveBatchAddress8">'Final Sig.'!$M$111</definedName>
    <definedName name="fsgRemoveBatchAddress9">'Final Sig.'!$M$112</definedName>
    <definedName name="fsgSampleDate1">'Final Sig.'!$C$153</definedName>
    <definedName name="fsgSampleDate10">'Final Sig.'!$C$162</definedName>
    <definedName name="fsgSampleDate11">'Final Sig.'!$C$163</definedName>
    <definedName name="fsgSampleDate12">'Final Sig.'!$C$164</definedName>
    <definedName name="fsgSampleDate13">'Final Sig.'!$C$165</definedName>
    <definedName name="fsgSampleDate14">'Final Sig.'!$C$166</definedName>
    <definedName name="fsgSampleDate15">'Final Sig.'!$C$167</definedName>
    <definedName name="fsgSampleDate16">'Final Sig.'!$C$168</definedName>
    <definedName name="fsgSampleDate2">'Final Sig.'!$C$154</definedName>
    <definedName name="fsgSampleDate3">'Final Sig.'!$C$155</definedName>
    <definedName name="fsgSampleDate4">'Final Sig.'!$C$156</definedName>
    <definedName name="fsgSampleDate5">'Final Sig.'!$C$157</definedName>
    <definedName name="fsgSampleDate6">'Final Sig.'!$C$158</definedName>
    <definedName name="fsgSampleDate7">'Final Sig.'!$C$159</definedName>
    <definedName name="fsgSampleDate8">'Final Sig.'!$C$160</definedName>
    <definedName name="fsgSampleDate9">'Final Sig.'!$C$161</definedName>
    <definedName name="fsgSampleNotes1">'Final Sig.'!$F$153</definedName>
    <definedName name="fsgSampleNotes10">'Final Sig.'!$F$162</definedName>
    <definedName name="fsgSampleNotes11">'Final Sig.'!$F$163</definedName>
    <definedName name="fsgSampleNotes12">'Final Sig.'!$F$164</definedName>
    <definedName name="fsgSampleNotes13">'Final Sig.'!$F$165</definedName>
    <definedName name="fsgSampleNotes14">'Final Sig.'!$F$166</definedName>
    <definedName name="fsgSampleNotes15">'Final Sig.'!$F$167</definedName>
    <definedName name="fsgSampleNotes16">'Final Sig.'!$F$168</definedName>
    <definedName name="fsgSampleNotes2">'Final Sig.'!$F$154</definedName>
    <definedName name="fsgSampleNotes3">'Final Sig.'!$F$155</definedName>
    <definedName name="fsgSampleNotes4">'Final Sig.'!$F$156</definedName>
    <definedName name="fsgSampleNotes5">'Final Sig.'!$F$157</definedName>
    <definedName name="fsgSampleNotes6">'Final Sig.'!$F$158</definedName>
    <definedName name="fsgSampleNotes7">'Final Sig.'!$F$159</definedName>
    <definedName name="fsgSampleNotes8">'Final Sig.'!$F$160</definedName>
    <definedName name="fsgSampleNotes9">'Final Sig.'!$F$161</definedName>
    <definedName name="fsgSampleUnitsAvailable1">'Final Sig.'!$D$153</definedName>
    <definedName name="fsgSampleUnitsAvailable10">'Final Sig.'!$D$162</definedName>
    <definedName name="fsgSampleUnitsAvailable11">'Final Sig.'!$D$163</definedName>
    <definedName name="fsgSampleUnitsAvailable12">'Final Sig.'!$D$164</definedName>
    <definedName name="fsgSampleUnitsAvailable13">'Final Sig.'!$D$165</definedName>
    <definedName name="fsgSampleUnitsAvailable14">'Final Sig.'!$D$166</definedName>
    <definedName name="fsgSampleUnitsAvailable15">'Final Sig.'!$D$167</definedName>
    <definedName name="fsgSampleUnitsAvailable16">'Final Sig.'!$D$168</definedName>
    <definedName name="fsgSampleUnitsAvailable2">'Final Sig.'!$D$154</definedName>
    <definedName name="fsgSampleUnitsAvailable3">'Final Sig.'!$D$155</definedName>
    <definedName name="fsgSampleUnitsAvailable4">'Final Sig.'!$D$156</definedName>
    <definedName name="fsgSampleUnitsAvailable5">'Final Sig.'!$D$157</definedName>
    <definedName name="fsgSampleUnitsAvailable6">'Final Sig.'!$D$158</definedName>
    <definedName name="fsgSampleUnitsAvailable7">'Final Sig.'!$D$159</definedName>
    <definedName name="fsgSampleUnitsAvailable8">'Final Sig.'!$D$160</definedName>
    <definedName name="fsgSampleUnitsAvailable9">'Final Sig.'!$D$161</definedName>
    <definedName name="fsgSampleUnitsInspected1">'Final Sig.'!$E$153</definedName>
    <definedName name="fsgSampleUnitsInspected10">'Final Sig.'!$E$162</definedName>
    <definedName name="fsgSampleUnitsInspected11">'Final Sig.'!$E$163</definedName>
    <definedName name="fsgSampleUnitsInspected12">'Final Sig.'!$E$164</definedName>
    <definedName name="fsgSampleUnitsInspected13">'Final Sig.'!$E$165</definedName>
    <definedName name="fsgSampleUnitsInspected14">'Final Sig.'!$E$166</definedName>
    <definedName name="fsgSampleUnitsInspected15">'Final Sig.'!$E$167</definedName>
    <definedName name="fsgSampleUnitsInspected16">'Final Sig.'!$E$168</definedName>
    <definedName name="fsgSampleUnitsInspected2">'Final Sig.'!$E$154</definedName>
    <definedName name="fsgSampleUnitsInspected3">'Final Sig.'!$E$155</definedName>
    <definedName name="fsgSampleUnitsInspected4">'Final Sig.'!$E$156</definedName>
    <definedName name="fsgSampleUnitsInspected5">'Final Sig.'!$E$157</definedName>
    <definedName name="fsgSampleUnitsInspected6">'Final Sig.'!$E$158</definedName>
    <definedName name="fsgSampleUnitsInspected7">'Final Sig.'!$E$159</definedName>
    <definedName name="fsgSampleUnitsInspected8">'Final Sig.'!$E$160</definedName>
    <definedName name="fsgSampleUnitsInspected9">'Final Sig.'!$E$161</definedName>
    <definedName name="fsgTeamVerifierElementsVerified1">'Final Sig.'!$E$92</definedName>
    <definedName name="fsgTeamVerifierElementsVerified2">'Final Sig.'!$E$93</definedName>
    <definedName name="fsgTeamVerifierElementsVerified3">'Final Sig.'!$E$94</definedName>
    <definedName name="fsgTeamVerifierElementsVerified4">'Final Sig.'!$E$95</definedName>
    <definedName name="fsgTeamVerifierElementsVerified5">'Final Sig.'!$E$96</definedName>
    <definedName name="fsgTeamVerifierInspectionDate1">'Final Sig.'!$G$92</definedName>
    <definedName name="fsgTeamVerifierInspectionDate2">'Final Sig.'!$G$93</definedName>
    <definedName name="fsgTeamVerifierInspectionDate3">'Final Sig.'!$G$94</definedName>
    <definedName name="fsgTeamVerifierInspectionDate4">'Final Sig.'!$G$95</definedName>
    <definedName name="fsgTeamVerifierInspectionDate5">'Final Sig.'!$G$96</definedName>
    <definedName name="fsgTeamVerifierName1">'Final Sig.'!$C$92</definedName>
    <definedName name="fsgTeamVerifierName2">'Final Sig.'!$C$93</definedName>
    <definedName name="fsgTeamVerifierName3">'Final Sig.'!$C$94</definedName>
    <definedName name="fsgTeamVerifierName4">'Final Sig.'!$C$95</definedName>
    <definedName name="fsgTeamVerifierName5">'Final Sig.'!$C$96</definedName>
    <definedName name="fsgTeamVerifierRole1">'Final Sig.'!$D$92</definedName>
    <definedName name="fsgTeamVerifierRole2">'Final Sig.'!$D$93</definedName>
    <definedName name="fsgTeamVerifierRole3">'Final Sig.'!$D$94</definedName>
    <definedName name="fsgTeamVerifierRole4">'Final Sig.'!$D$95</definedName>
    <definedName name="fsgTeamVerifierRole5">'Final Sig.'!$D$96</definedName>
    <definedName name="hidODTropicalFormula">'[1]Overview (Design)'!$Q$15</definedName>
    <definedName name="hyptarg1">'Ch6'!$W$137</definedName>
    <definedName name="hyptarg2">'Ch6'!$W$146</definedName>
    <definedName name="hyptarg3" localSheetId="31">[1]Ch6!$W$211</definedName>
    <definedName name="hyptarg3">'Ch6'!$W$230</definedName>
    <definedName name="hyptarg3.1" localSheetId="14">'Verification (Ch. 7)'!$L$11</definedName>
    <definedName name="hyptarg3.1">'Ch7'!$L$135</definedName>
    <definedName name="hyptarg3.2" localSheetId="15">'Verification (Ch.8)'!$F$12</definedName>
    <definedName name="hyptarg3.2">'Ch8'!$D$12</definedName>
    <definedName name="hyptarg4">'Ch6'!$W$286</definedName>
    <definedName name="hyptarg5">'Ch6'!$W$437</definedName>
    <definedName name="hyptarg6">'Ch6'!$W$450</definedName>
    <definedName name="hyptarg7.1" localSheetId="14">'Verification (Ch. 7)'!#REF!</definedName>
    <definedName name="hyptarg7.1">'Ch7'!$W$75</definedName>
    <definedName name="hyptarg9.1">'Ch9'!$W$135</definedName>
    <definedName name="hyptarg9.2">'Ch9'!$W$137</definedName>
    <definedName name="hyptarg9.3">'Ch9'!$W$161</definedName>
    <definedName name="photoRevList" localSheetId="31">'[1]Photo Review'!$H$9:$H$11</definedName>
    <definedName name="photoRevList">'Photo Review'!$H$9:$H$11</definedName>
    <definedName name="_xlnm.Print_Area" localSheetId="8">'Ch10'!$A$1:$X$176</definedName>
    <definedName name="_xlnm.Print_Area" localSheetId="3">'Ch5'!$A$1:$X$249</definedName>
    <definedName name="_xlnm.Print_Area" localSheetId="4">'Ch6'!$B$1:$X$539</definedName>
    <definedName name="_xlnm.Print_Area" localSheetId="6">'Ch8'!$B$1:$O$77</definedName>
    <definedName name="_xlnm.Print_Area" localSheetId="18">'Final Sig.'!$A$1:$I$174</definedName>
    <definedName name="_xlnm.Print_Area" localSheetId="1">'Overview (Design)'!$A$1:$U$63</definedName>
    <definedName name="_xlnm.Print_Area" localSheetId="12">'Overview (Verification)'!$A$1:$Y$63</definedName>
    <definedName name="_xlnm.Print_Area" localSheetId="9">'Req. Doc.'!$B$1:$J$1346</definedName>
    <definedName name="_xlnm.Print_Area" localSheetId="17">'Rough Sig.'!$A$1:$I$174</definedName>
    <definedName name="_xlnm.Print_Area" localSheetId="14">'Verification (Ch. 7)'!$I$1:$X$53</definedName>
    <definedName name="_xlnm.Print_Area" localSheetId="15">'Verification (Ch.8)'!$D$1:$Q$77</definedName>
    <definedName name="_xlnm.Print_Area" localSheetId="13">'Verification Report'!$I$1:$Y$1363</definedName>
    <definedName name="ReportType" localSheetId="31">'[1]Verification Report'!$L$5</definedName>
    <definedName name="ReportType">'Verification Report'!$L$5</definedName>
    <definedName name="rsgBatchSubmissiongInspectionDate1">'Rough Sig.'!$H$104</definedName>
    <definedName name="rsgBatchSubmissiongInspectionDate10">'Rough Sig.'!$H$113</definedName>
    <definedName name="rsgBatchSubmissiongInspectionDate11">'Rough Sig.'!$H$114</definedName>
    <definedName name="rsgBatchSubmissiongInspectionDate12">'Rough Sig.'!$H$115</definedName>
    <definedName name="rsgBatchSubmissiongInspectionDate13">'Rough Sig.'!$H$116</definedName>
    <definedName name="rsgBatchSubmissiongInspectionDate14">'Rough Sig.'!$H$117</definedName>
    <definedName name="rsgBatchSubmissiongInspectionDate15">'Rough Sig.'!$H$118</definedName>
    <definedName name="rsgBatchSubmissiongInspectionDate16">'Rough Sig.'!$H$119</definedName>
    <definedName name="rsgBatchSubmissiongInspectionDate17">'Rough Sig.'!$H$120</definedName>
    <definedName name="rsgBatchSubmissiongInspectionDate18">'Rough Sig.'!$H$121</definedName>
    <definedName name="rsgBatchSubmissiongInspectionDate19">'Rough Sig.'!$H$122</definedName>
    <definedName name="rsgBatchSubmissiongInspectionDate2">'Rough Sig.'!$H$105</definedName>
    <definedName name="rsgBatchSubmissiongInspectionDate20">'Rough Sig.'!$H$123</definedName>
    <definedName name="rsgBatchSubmissiongInspectionDate3">'Rough Sig.'!$H$106</definedName>
    <definedName name="rsgBatchSubmissiongInspectionDate4">'Rough Sig.'!$H$107</definedName>
    <definedName name="rsgBatchSubmissiongInspectionDate5">'Rough Sig.'!$H$108</definedName>
    <definedName name="rsgBatchSubmissiongInspectionDate6">'Rough Sig.'!$H$109</definedName>
    <definedName name="rsgBatchSubmissiongInspectionDate7">'Rough Sig.'!$H$110</definedName>
    <definedName name="rsgBatchSubmissiongInspectionDate8">'Rough Sig.'!$H$111</definedName>
    <definedName name="rsgBatchSubmissiongInspectionDate9">'Rough Sig.'!$H$112</definedName>
    <definedName name="rsgBatchSubmissiongProjectID1">'Rough Sig.'!$G$104</definedName>
    <definedName name="rsgBatchSubmissiongProjectID10">'Rough Sig.'!$G$113</definedName>
    <definedName name="rsgBatchSubmissiongProjectID11">'Rough Sig.'!$G$114</definedName>
    <definedName name="rsgBatchSubmissiongProjectID12">'Rough Sig.'!$G$115</definedName>
    <definedName name="rsgBatchSubmissiongProjectID13">'Rough Sig.'!$G$116</definedName>
    <definedName name="rsgBatchSubmissiongProjectID14">'Rough Sig.'!$G$117</definedName>
    <definedName name="rsgBatchSubmissiongProjectID15">'Rough Sig.'!$G$118</definedName>
    <definedName name="rsgBatchSubmissiongProjectID16">'Rough Sig.'!$G$119</definedName>
    <definedName name="rsgBatchSubmissiongProjectID17">'Rough Sig.'!$G$120</definedName>
    <definedName name="rsgBatchSubmissiongProjectID18">'Rough Sig.'!$G$121</definedName>
    <definedName name="rsgBatchSubmissiongProjectID19">'Rough Sig.'!$G$122</definedName>
    <definedName name="rsgBatchSubmissiongProjectID2">'Rough Sig.'!$G$105</definedName>
    <definedName name="rsgBatchSubmissiongProjectID20">'Rough Sig.'!$G$123</definedName>
    <definedName name="rsgBatchSubmissiongProjectID3">'Rough Sig.'!$G$106</definedName>
    <definedName name="rsgBatchSubmissiongProjectID4">'Rough Sig.'!$G$107</definedName>
    <definedName name="rsgBatchSubmissiongProjectID5">'Rough Sig.'!$G$108</definedName>
    <definedName name="rsgBatchSubmissiongProjectID6">'Rough Sig.'!$G$109</definedName>
    <definedName name="rsgBatchSubmissiongProjectID7">'Rough Sig.'!$G$110</definedName>
    <definedName name="rsgBatchSubmissiongProjectID8">'Rough Sig.'!$G$111</definedName>
    <definedName name="rsgBatchSubmissiongProjectID9">'Rough Sig.'!$G$112</definedName>
    <definedName name="rsgBatchSubmissiongRoughAddress1">'Rough Sig.'!$C$104</definedName>
    <definedName name="rsgBatchSubmissiongRoughAddress10">'Rough Sig.'!$C$113</definedName>
    <definedName name="rsgBatchSubmissiongRoughAddress11">'Rough Sig.'!$C$114</definedName>
    <definedName name="rsgBatchSubmissiongRoughAddress12">'Rough Sig.'!$C$115</definedName>
    <definedName name="rsgBatchSubmissiongRoughAddress13">'Rough Sig.'!$C$116</definedName>
    <definedName name="rsgBatchSubmissiongRoughAddress14">'Rough Sig.'!$C$117</definedName>
    <definedName name="rsgBatchSubmissiongRoughAddress15">'Rough Sig.'!$C$118</definedName>
    <definedName name="rsgBatchSubmissiongRoughAddress16">'Rough Sig.'!$C$119</definedName>
    <definedName name="rsgBatchSubmissiongRoughAddress17">'Rough Sig.'!$C$120</definedName>
    <definedName name="rsgBatchSubmissiongRoughAddress18">'Rough Sig.'!$C$121</definedName>
    <definedName name="rsgBatchSubmissiongRoughAddress19">'Rough Sig.'!$C$122</definedName>
    <definedName name="rsgBatchSubmissiongRoughAddress2">'Rough Sig.'!$C$105</definedName>
    <definedName name="rsgBatchSubmissiongRoughAddress20">'Rough Sig.'!$C$123</definedName>
    <definedName name="rsgBatchSubmissiongRoughAddress3">'Rough Sig.'!$C$106</definedName>
    <definedName name="rsgBatchSubmissiongRoughAddress4">'Rough Sig.'!$C$107</definedName>
    <definedName name="rsgBatchSubmissiongRoughAddress5">'Rough Sig.'!$C$108</definedName>
    <definedName name="rsgBatchSubmissiongRoughAddress6">'Rough Sig.'!$C$109</definedName>
    <definedName name="rsgBatchSubmissiongRoughAddress7">'Rough Sig.'!$C$110</definedName>
    <definedName name="rsgBatchSubmissiongRoughAddress8">'Rough Sig.'!$C$111</definedName>
    <definedName name="rsgBatchSubmissiongRoughAddress9">'Rough Sig.'!$C$112</definedName>
    <definedName name="rsgSampleDate1">'Rough Sig.'!$C$153</definedName>
    <definedName name="rsgSampleDate10">'Rough Sig.'!$C$162</definedName>
    <definedName name="rsgSampleDate11">'Rough Sig.'!$C$163</definedName>
    <definedName name="rsgSampleDate12">'Rough Sig.'!$C$164</definedName>
    <definedName name="rsgSampleDate13">'Rough Sig.'!$C$165</definedName>
    <definedName name="rsgSampleDate14">'Rough Sig.'!$C$166</definedName>
    <definedName name="rsgSampleDate15">'Rough Sig.'!$C$167</definedName>
    <definedName name="rsgSampleDate16">'Rough Sig.'!$C$168</definedName>
    <definedName name="rsgSampleDate2">'Rough Sig.'!$C$154</definedName>
    <definedName name="rsgSampleDate3">'Rough Sig.'!$C$155</definedName>
    <definedName name="rsgSampleDate4">'Rough Sig.'!$C$156</definedName>
    <definedName name="rsgSampleDate5">'Rough Sig.'!$C$157</definedName>
    <definedName name="rsgSampleDate6">'Rough Sig.'!$C$158</definedName>
    <definedName name="rsgSampleDate7">'Rough Sig.'!$C$159</definedName>
    <definedName name="rsgSampleDate8">'Rough Sig.'!$C$160</definedName>
    <definedName name="rsgSampleDate9">'Rough Sig.'!$C$161</definedName>
    <definedName name="rsgSampleNotes1">'Rough Sig.'!$F$153</definedName>
    <definedName name="rsgSampleNotes10">'Rough Sig.'!$F$162</definedName>
    <definedName name="rsgSampleNotes11">'Rough Sig.'!$F$163</definedName>
    <definedName name="rsgSampleNotes12">'Rough Sig.'!$F$164</definedName>
    <definedName name="rsgSampleNotes13">'Rough Sig.'!$F$165</definedName>
    <definedName name="rsgSampleNotes14">'Rough Sig.'!$F$166</definedName>
    <definedName name="rsgSampleNotes15">'Rough Sig.'!$F$167</definedName>
    <definedName name="rsgSampleNotes16">'Rough Sig.'!$F$168</definedName>
    <definedName name="rsgSampleNotes2">'Rough Sig.'!$F$154</definedName>
    <definedName name="rsgSampleNotes3">'Rough Sig.'!$F$155</definedName>
    <definedName name="rsgSampleNotes4">'Rough Sig.'!$F$156</definedName>
    <definedName name="rsgSampleNotes5">'Rough Sig.'!$F$157</definedName>
    <definedName name="rsgSampleNotes6">'Rough Sig.'!$F$158</definedName>
    <definedName name="rsgSampleNotes7">'Rough Sig.'!$F$159</definedName>
    <definedName name="rsgSampleNotes8">'Rough Sig.'!$F$160</definedName>
    <definedName name="rsgSampleNotes9">'Rough Sig.'!$F$161</definedName>
    <definedName name="rsgSampleUnitsAvailable1">'Rough Sig.'!$D$153</definedName>
    <definedName name="rsgSampleUnitsAvailable10">'Rough Sig.'!$D$162</definedName>
    <definedName name="rsgSampleUnitsAvailable11">'Rough Sig.'!$D$163</definedName>
    <definedName name="rsgSampleUnitsAvailable12">'Rough Sig.'!$D$164</definedName>
    <definedName name="rsgSampleUnitsAvailable13">'Rough Sig.'!$D$165</definedName>
    <definedName name="rsgSampleUnitsAvailable14">'Rough Sig.'!$D$166</definedName>
    <definedName name="rsgSampleUnitsAvailable15">'Rough Sig.'!$D$167</definedName>
    <definedName name="rsgSampleUnitsAvailable16">'Rough Sig.'!$D$168</definedName>
    <definedName name="rsgSampleUnitsAvailable2">'Rough Sig.'!$D$154</definedName>
    <definedName name="rsgSampleUnitsAvailable3">'Rough Sig.'!$D$155</definedName>
    <definedName name="rsgSampleUnitsAvailable4">'Rough Sig.'!$D$156</definedName>
    <definedName name="rsgSampleUnitsAvailable5">'Rough Sig.'!$D$157</definedName>
    <definedName name="rsgSampleUnitsAvailable6">'Rough Sig.'!$D$158</definedName>
    <definedName name="rsgSampleUnitsAvailable7">'Rough Sig.'!$D$159</definedName>
    <definedName name="rsgSampleUnitsAvailable8">'Rough Sig.'!$D$160</definedName>
    <definedName name="rsgSampleUnitsAvailable9">'Rough Sig.'!$D$161</definedName>
    <definedName name="rsgSampleUnitsInspected1">'Rough Sig.'!$E$153</definedName>
    <definedName name="rsgSampleUnitsInspected10">'Rough Sig.'!$E$162</definedName>
    <definedName name="rsgSampleUnitsInspected11">'Rough Sig.'!$E$163</definedName>
    <definedName name="rsgSampleUnitsInspected12">'Rough Sig.'!$E$164</definedName>
    <definedName name="rsgSampleUnitsInspected13">'Rough Sig.'!$E$165</definedName>
    <definedName name="rsgSampleUnitsInspected14">'Rough Sig.'!$E$166</definedName>
    <definedName name="rsgSampleUnitsInspected15">'Rough Sig.'!$E$167</definedName>
    <definedName name="rsgSampleUnitsInspected16">'Rough Sig.'!$E$168</definedName>
    <definedName name="rsgSampleUnitsInspected2">'Rough Sig.'!$E$154</definedName>
    <definedName name="rsgSampleUnitsInspected3">'Rough Sig.'!$E$155</definedName>
    <definedName name="rsgSampleUnitsInspected4">'Rough Sig.'!$E$156</definedName>
    <definedName name="rsgSampleUnitsInspected5">'Rough Sig.'!$E$157</definedName>
    <definedName name="rsgSampleUnitsInspected6">'Rough Sig.'!$E$158</definedName>
    <definedName name="rsgSampleUnitsInspected7">'Rough Sig.'!$E$159</definedName>
    <definedName name="rsgSampleUnitsInspected8">'Rough Sig.'!$E$160</definedName>
    <definedName name="rsgSampleUnitsInspected9">'Rough Sig.'!$E$161</definedName>
    <definedName name="rsgTeamVerifierElementsVerified1">'Rough Sig.'!$E$92</definedName>
    <definedName name="rsgTeamVerifierElementsVerified2">'Rough Sig.'!$E$93</definedName>
    <definedName name="rsgTeamVerifierElementsVerified3">'Rough Sig.'!$E$94</definedName>
    <definedName name="rsgTeamVerifierElementsVerified4">'Rough Sig.'!$E$95</definedName>
    <definedName name="rsgTeamVerifierElementsVerified5">'Rough Sig.'!$E$96</definedName>
    <definedName name="rsgTeamVerifierInspectionDate1">'Rough Sig.'!$G$92</definedName>
    <definedName name="rsgTeamVerifierInspectionDate2">'Rough Sig.'!$G$93</definedName>
    <definedName name="rsgTeamVerifierInspectionDate3">'Rough Sig.'!$G$94</definedName>
    <definedName name="rsgTeamVerifierInspectionDate4">'Rough Sig.'!$G$95</definedName>
    <definedName name="rsgTeamVerifierInspectionDate5">'Rough Sig.'!$G$96</definedName>
    <definedName name="rsgTeamVerifierName1">'Rough Sig.'!$C$92</definedName>
    <definedName name="rsgTeamVerifierName2">'Rough Sig.'!$C$93</definedName>
    <definedName name="rsgTeamVerifierName3">'Rough Sig.'!$C$94</definedName>
    <definedName name="rsgTeamVerifierName4">'Rough Sig.'!$C$95</definedName>
    <definedName name="rsgTeamVerifierName5">'Rough Sig.'!$C$96</definedName>
    <definedName name="rsgTeamVerifierRole1">'Rough Sig.'!$D$92</definedName>
    <definedName name="rsgTeamVerifierRole2">'Rough Sig.'!$D$93</definedName>
    <definedName name="rsgTeamVerifierRole3">'Rough Sig.'!$D$94</definedName>
    <definedName name="rsgTeamVerifierRole4">'Rough Sig.'!$D$95</definedName>
    <definedName name="rsgTeamVerifierRole5">'Rough Sig.'!$D$96</definedName>
    <definedName name="startError" localSheetId="31">[1]Points!$B$3</definedName>
    <definedName name="startError">Points!$B$3</definedName>
    <definedName name="TorF" localSheetId="31">[1]Dropdowns!$B$5:$B$6</definedName>
    <definedName name="TorF">Dropdowns!$B$5:$B$6</definedName>
    <definedName name="vch1001_1_1">'Verification Report'!$AQ$1198</definedName>
    <definedName name="vch1001_1_10">'Verification Report'!$AQ$1213</definedName>
    <definedName name="vch1001_1_11">'Verification Report'!$AQ$1214</definedName>
    <definedName name="vch1001_1_12">'Verification Report'!$AQ$1215</definedName>
    <definedName name="vch1001_1_13">'Verification Report'!$AQ$1221</definedName>
    <definedName name="vch1001_1_14">'Verification Report'!$AQ$1225</definedName>
    <definedName name="vch1001_1_15">'Verification Report'!$AQ$1227</definedName>
    <definedName name="vch1001_1_16">'Verification Report'!$AQ$1229</definedName>
    <definedName name="vch1001_1_17">'Verification Report'!$AQ$1230</definedName>
    <definedName name="vch1001_1_18">'Verification Report'!$AQ$1232</definedName>
    <definedName name="vch1001_1_19">'Verification Report'!$AQ$1234</definedName>
    <definedName name="vch1001_1_2">'Verification Report'!$AQ$1199</definedName>
    <definedName name="vch1001_1_20">'Verification Report'!$AQ$1235</definedName>
    <definedName name="vch1001_1_21">'Verification Report'!$AQ$1237</definedName>
    <definedName name="vch1001_1_22">'Verification Report'!$AQ$1239</definedName>
    <definedName name="vch1001_1_23">'Verification Report'!$AQ$1241</definedName>
    <definedName name="vch1001_1_24">'Verification Report'!$AQ$1243</definedName>
    <definedName name="vch1001_1_25">'Verification Report'!$AQ$1244</definedName>
    <definedName name="vch1001_1_3">'Verification Report'!$AQ$1200</definedName>
    <definedName name="vch1001_1_4">'Verification Report'!$AQ$1204</definedName>
    <definedName name="vch1001_1_5">'Verification Report'!$AQ$1205</definedName>
    <definedName name="vch1001_1_6">'Verification Report'!$AQ$1206</definedName>
    <definedName name="vch1001_1_7">'Verification Report'!$AQ$1208</definedName>
    <definedName name="vch1001_1_8">'Verification Report'!$AQ$1210</definedName>
    <definedName name="vch1001_1_9">'Verification Report'!$AQ$1211</definedName>
    <definedName name="vch1001_2">'Verification Report'!$AQ$1245</definedName>
    <definedName name="vch1002_1_1">'Verification Report'!$AQ$1266</definedName>
    <definedName name="vch1002_1_2">'Verification Report'!$AQ$1269</definedName>
    <definedName name="vch1002_1_3">'Verification Report'!$AQ$1272</definedName>
    <definedName name="vch1002_1_4">'Verification Report'!$AQ$1274</definedName>
    <definedName name="vch1002_1_5">'Verification Report'!$AQ$1275</definedName>
    <definedName name="vch1002_1_6">'Verification Report'!$AQ$1277</definedName>
    <definedName name="vch1002_1_7">'Verification Report'!$AQ$1278</definedName>
    <definedName name="vch1002_1_8">'Verification Report'!$AQ$1279</definedName>
    <definedName name="vch1002_2_1">'Verification Report'!$AQ$1285</definedName>
    <definedName name="vch1002_2_10">'Verification Report'!$AQ$1303</definedName>
    <definedName name="vch1002_2_11">'Verification Report'!$AQ$1306</definedName>
    <definedName name="vch1002_2_2">'Verification Report'!$AQ$1287</definedName>
    <definedName name="vch1002_2_3">'Verification Report'!$AQ$1290</definedName>
    <definedName name="vch1002_2_4">'Verification Report'!$AQ$1292</definedName>
    <definedName name="vch1002_2_5">'Verification Report'!$AQ$1295</definedName>
    <definedName name="vch1002_2_6">'Verification Report'!$AQ$1297</definedName>
    <definedName name="vch1002_2_7">'Verification Report'!$AQ$1298</definedName>
    <definedName name="vch1002_2_8">'Verification Report'!$AQ$1300</definedName>
    <definedName name="vch1002_2_9">'Verification Report'!$AQ$1302</definedName>
    <definedName name="vch1002_3_1">'Verification Report'!$AQ$1312</definedName>
    <definedName name="vch1002_3_10">'Verification Report'!$AQ$1333</definedName>
    <definedName name="vch1002_3_2">'Verification Report'!$AQ$1314</definedName>
    <definedName name="vch1002_3_3">'Verification Report'!$AQ$1318</definedName>
    <definedName name="vch1002_3_4">'Verification Report'!$AQ$1325</definedName>
    <definedName name="vch1002_3_5">'Verification Report'!$AQ$1327</definedName>
    <definedName name="vch1002_3_6">'Verification Report'!$AQ$1328</definedName>
    <definedName name="vch1002_3_7">'Verification Report'!$AQ$1330</definedName>
    <definedName name="vch1002_3_8">'Verification Report'!$AQ$1331</definedName>
    <definedName name="vch1002_3_9">'Verification Report'!$AQ$1332</definedName>
    <definedName name="vch1002_4">'Verification Report'!$AQ$1334</definedName>
    <definedName name="vch1003_1_1">'Verification Report'!$AQ$1351</definedName>
    <definedName name="vch1003_1_2">'Verification Report'!$AQ$1353</definedName>
    <definedName name="vch1003_1_3">'Verification Report'!$AQ$1356</definedName>
    <definedName name="vch305_3_5_1">'Verification (Ch. 7)'!$AQ$24</definedName>
    <definedName name="vch305_3_5_1_1_a">'Verification (Ch. 7)'!$AQ$26</definedName>
    <definedName name="vch305_3_5_1_1_c">'Verification (Ch. 7)'!$AQ$29</definedName>
    <definedName name="vch305_3_5_1_1_d">'Verification (Ch. 7)'!$AQ$30</definedName>
    <definedName name="vch305_3_5_1_1_e">'Verification (Ch. 7)'!$AQ$31</definedName>
    <definedName name="vch305_3_5_1_1_f">'Verification (Ch. 7)'!$AQ$32</definedName>
    <definedName name="vch305_3_5_1_1_g">'Verification (Ch. 7)'!$AQ$33</definedName>
    <definedName name="vch305_3_5_1_2_a">'Verification (Ch. 7)'!$AQ$38</definedName>
    <definedName name="vch305_3_5_1_2_c">'Verification (Ch. 7)'!$AQ$41</definedName>
    <definedName name="vch305_3_5_1_2_d">'Verification (Ch. 7)'!$AQ$42</definedName>
    <definedName name="vch305_3_5_1_2_e">'Verification (Ch. 7)'!$AQ$43</definedName>
    <definedName name="vch305_3_5_1_2_f">'Verification (Ch. 7)'!$AQ$44</definedName>
    <definedName name="vch305_3_5_1_2_g">'Verification (Ch. 7)'!$AQ$45</definedName>
    <definedName name="vch305.3.6.1_1">'Verification (Ch.8)'!$AT$32</definedName>
    <definedName name="vch305.3.6.1_10">'Verification (Ch.8)'!$AT$43</definedName>
    <definedName name="vch305.3.6.1_10a1">'Verification (Ch.8)'!$AN$43</definedName>
    <definedName name="vch305.3.6.1_10a2">'Verification (Ch.8)'!$AP$43</definedName>
    <definedName name="vch305.3.6.1_10a3">'Verification (Ch.8)'!$AR$43</definedName>
    <definedName name="vch305.3.6.1_10b1">'Verification (Ch.8)'!$AV$43</definedName>
    <definedName name="vch305.3.6.1_10b2">'Verification (Ch.8)'!$AX$43</definedName>
    <definedName name="vch305.3.6.1_11">'Verification (Ch.8)'!$AT$44</definedName>
    <definedName name="vch305.3.6.1_11a1">'Verification (Ch.8)'!$AN$44</definedName>
    <definedName name="vch305.3.6.1_11a2">'Verification (Ch.8)'!$AP$44</definedName>
    <definedName name="vch305.3.6.1_11a3">'Verification (Ch.8)'!$AR$44</definedName>
    <definedName name="vch305.3.6.1_11b1">'Verification (Ch.8)'!$AV$44</definedName>
    <definedName name="vch305.3.6.1_11b2">'Verification (Ch.8)'!$AX$44</definedName>
    <definedName name="vch305.3.6.1_12">'Verification (Ch.8)'!$AT$45</definedName>
    <definedName name="vch305.3.6.1_12a1">'Verification (Ch.8)'!$AN$45</definedName>
    <definedName name="vch305.3.6.1_12a2">'Verification (Ch.8)'!$AP$45</definedName>
    <definedName name="vch305.3.6.1_12a3">'Verification (Ch.8)'!$AR$45</definedName>
    <definedName name="vch305.3.6.1_12b1">'Verification (Ch.8)'!$AV$45</definedName>
    <definedName name="vch305.3.6.1_12b2">'Verification (Ch.8)'!$AX$45</definedName>
    <definedName name="vch305.3.6.1_13">'Verification (Ch.8)'!$AT$47</definedName>
    <definedName name="vch305.3.6.1_13a1">'Verification (Ch.8)'!$AN$47</definedName>
    <definedName name="vch305.3.6.1_13a2">'Verification (Ch.8)'!$AP$47</definedName>
    <definedName name="vch305.3.6.1_13a3">'Verification (Ch.8)'!$AR$47</definedName>
    <definedName name="vch305.3.6.1_13b1">'Verification (Ch.8)'!$AV$47</definedName>
    <definedName name="vch305.3.6.1_13b2">'Verification (Ch.8)'!$AX$47</definedName>
    <definedName name="vch305.3.6.1_14">'Verification (Ch.8)'!$AT$48</definedName>
    <definedName name="vch305.3.6.1_14a1">'Verification (Ch.8)'!$AN$48</definedName>
    <definedName name="vch305.3.6.1_14a2">'Verification (Ch.8)'!$AP$48</definedName>
    <definedName name="vch305.3.6.1_14a3">'Verification (Ch.8)'!$AR$48</definedName>
    <definedName name="vch305.3.6.1_14b1">'Verification (Ch.8)'!$AV$48</definedName>
    <definedName name="vch305.3.6.1_14b2">'Verification (Ch.8)'!$AX$48</definedName>
    <definedName name="vch305.3.6.1_15">'Verification (Ch.8)'!$AT$49</definedName>
    <definedName name="vch305.3.6.1_15a1">'Verification (Ch.8)'!$AN$49</definedName>
    <definedName name="vch305.3.6.1_15a2">'Verification (Ch.8)'!$AP$49</definedName>
    <definedName name="vch305.3.6.1_15a3">'Verification (Ch.8)'!$AR$49</definedName>
    <definedName name="vch305.3.6.1_15b1">'Verification (Ch.8)'!$AV$49</definedName>
    <definedName name="vch305.3.6.1_15b2">'Verification (Ch.8)'!$AX$49</definedName>
    <definedName name="vch305.3.6.1_16">'Verification (Ch.8)'!$AT$50</definedName>
    <definedName name="vch305.3.6.1_16a1">'Verification (Ch.8)'!$AN$50</definedName>
    <definedName name="vch305.3.6.1_16a2">'Verification (Ch.8)'!$AP$50</definedName>
    <definedName name="vch305.3.6.1_16a3">'Verification (Ch.8)'!$AR$50</definedName>
    <definedName name="vch305.3.6.1_16b1">'Verification (Ch.8)'!$AV$50</definedName>
    <definedName name="vch305.3.6.1_16b2">'Verification (Ch.8)'!$AX$50</definedName>
    <definedName name="vch305.3.6.1_17">'Verification (Ch.8)'!$AT$51</definedName>
    <definedName name="vch305.3.6.1_17a1">'Verification (Ch.8)'!$AN$51</definedName>
    <definedName name="vch305.3.6.1_17a2">'Verification (Ch.8)'!$AP$51</definedName>
    <definedName name="vch305.3.6.1_17a3">'Verification (Ch.8)'!$AR$51</definedName>
    <definedName name="vch305.3.6.1_17b1">'Verification (Ch.8)'!$AV$51</definedName>
    <definedName name="vch305.3.6.1_17b2">'Verification (Ch.8)'!$AX$51</definedName>
    <definedName name="vch305.3.6.1_18">'Verification (Ch.8)'!$AT$53</definedName>
    <definedName name="vch305.3.6.1_18a1">'Verification (Ch.8)'!$AN$53</definedName>
    <definedName name="vch305.3.6.1_18a2">'Verification (Ch.8)'!$AP$53</definedName>
    <definedName name="vch305.3.6.1_18a3">'Verification (Ch.8)'!$AR$53</definedName>
    <definedName name="vch305.3.6.1_18b1">'Verification (Ch.8)'!$AV$53</definedName>
    <definedName name="vch305.3.6.1_18b2">'Verification (Ch.8)'!$AX$53</definedName>
    <definedName name="vch305.3.6.1_19">'Verification (Ch.8)'!$AT$54</definedName>
    <definedName name="vch305.3.6.1_19a1">'Verification (Ch.8)'!$AN$54</definedName>
    <definedName name="vch305.3.6.1_19a2">'Verification (Ch.8)'!$AP$54</definedName>
    <definedName name="vch305.3.6.1_19a3">'Verification (Ch.8)'!$AR$54</definedName>
    <definedName name="vch305.3.6.1_19b1">'Verification (Ch.8)'!$AV$54</definedName>
    <definedName name="vch305.3.6.1_19b2">'Verification (Ch.8)'!$AX$54</definedName>
    <definedName name="vch305.3.6.1_1a1">'Verification (Ch.8)'!$AN$32</definedName>
    <definedName name="vch305.3.6.1_1a2">'Verification (Ch.8)'!$AP$32</definedName>
    <definedName name="vch305.3.6.1_1a3">'Verification (Ch.8)'!$AR$32</definedName>
    <definedName name="vch305.3.6.1_1b1">'Verification (Ch.8)'!$AV$32</definedName>
    <definedName name="vch305.3.6.1_1b2">'Verification (Ch.8)'!$AX$32</definedName>
    <definedName name="vch305.3.6.1_2">'Verification (Ch.8)'!$AT$33</definedName>
    <definedName name="vch305.3.6.1_20">'Verification (Ch.8)'!$AT$55</definedName>
    <definedName name="vch305.3.6.1_20a1">'Verification (Ch.8)'!$AN$55</definedName>
    <definedName name="vch305.3.6.1_20a2">'Verification (Ch.8)'!$AP$55</definedName>
    <definedName name="vch305.3.6.1_20a3">'Verification (Ch.8)'!$AR$55</definedName>
    <definedName name="vch305.3.6.1_20b1">'Verification (Ch.8)'!$AV$55</definedName>
    <definedName name="vch305.3.6.1_20b2">'Verification (Ch.8)'!$AX$55</definedName>
    <definedName name="vch305.3.6.1_21">'Verification (Ch.8)'!$AT$56</definedName>
    <definedName name="vch305.3.6.1_21a1">'Verification (Ch.8)'!$AN$56</definedName>
    <definedName name="vch305.3.6.1_21a2">'Verification (Ch.8)'!$AP$56</definedName>
    <definedName name="vch305.3.6.1_21a3">'Verification (Ch.8)'!$AR$56</definedName>
    <definedName name="vch305.3.6.1_21b1">'Verification (Ch.8)'!$AV$56</definedName>
    <definedName name="vch305.3.6.1_21b2">'Verification (Ch.8)'!$AX$56</definedName>
    <definedName name="vch305.3.6.1_22">'Verification (Ch.8)'!$AT$57</definedName>
    <definedName name="vch305.3.6.1_22a1">'Verification (Ch.8)'!$AN$57</definedName>
    <definedName name="vch305.3.6.1_22a2">'Verification (Ch.8)'!$AP$57</definedName>
    <definedName name="vch305.3.6.1_22a3">'Verification (Ch.8)'!$AR$57</definedName>
    <definedName name="vch305.3.6.1_22b1">'Verification (Ch.8)'!$AV$57</definedName>
    <definedName name="vch305.3.6.1_22b2">'Verification (Ch.8)'!$AX$57</definedName>
    <definedName name="vch305.3.6.1_23">'Verification (Ch.8)'!$AT$62</definedName>
    <definedName name="vch305.3.6.1_23a1">'Verification (Ch.8)'!$AN$62</definedName>
    <definedName name="vch305.3.6.1_23a2">'Verification (Ch.8)'!$AP$62</definedName>
    <definedName name="vch305.3.6.1_23a3">'Verification (Ch.8)'!$AR$62</definedName>
    <definedName name="vch305.3.6.1_23b1">'Verification (Ch.8)'!$AV$62</definedName>
    <definedName name="vch305.3.6.1_23b2">'Verification (Ch.8)'!$AX$62</definedName>
    <definedName name="vch305.3.6.1_24">'Verification (Ch.8)'!$AT$63</definedName>
    <definedName name="vch305.3.6.1_24a1">'Verification (Ch.8)'!$AN$63</definedName>
    <definedName name="vch305.3.6.1_24a2">'Verification (Ch.8)'!$AP$63</definedName>
    <definedName name="vch305.3.6.1_24a3">'Verification (Ch.8)'!$AR$63</definedName>
    <definedName name="vch305.3.6.1_24b1">'Verification (Ch.8)'!$AV$63</definedName>
    <definedName name="vch305.3.6.1_24b2">'Verification (Ch.8)'!$AX$63</definedName>
    <definedName name="vch305.3.6.1_25">'Verification (Ch.8)'!$AT$64</definedName>
    <definedName name="vch305.3.6.1_25a1">'Verification (Ch.8)'!$AN$64</definedName>
    <definedName name="vch305.3.6.1_25a2">'Verification (Ch.8)'!$AP$64</definedName>
    <definedName name="vch305.3.6.1_25a3">'Verification (Ch.8)'!$AR$64</definedName>
    <definedName name="vch305.3.6.1_25b1">'Verification (Ch.8)'!$AV$64</definedName>
    <definedName name="vch305.3.6.1_25b2">'Verification (Ch.8)'!$AX$64</definedName>
    <definedName name="vch305.3.6.1_26">'Verification (Ch.8)'!$AT$65</definedName>
    <definedName name="vch305.3.6.1_26a1">'Verification (Ch.8)'!$AN$65</definedName>
    <definedName name="vch305.3.6.1_26a2">'Verification (Ch.8)'!$AP$65</definedName>
    <definedName name="vch305.3.6.1_26a3">'Verification (Ch.8)'!$AR$65</definedName>
    <definedName name="vch305.3.6.1_26b1">'Verification (Ch.8)'!$AV$65</definedName>
    <definedName name="vch305.3.6.1_26b2">'Verification (Ch.8)'!$AX$65</definedName>
    <definedName name="vch305.3.6.1_27">'Verification (Ch.8)'!$AT$67</definedName>
    <definedName name="vch305.3.6.1_27a1">'Verification (Ch.8)'!$AN$67</definedName>
    <definedName name="vch305.3.6.1_27a2">'Verification (Ch.8)'!$AP$67</definedName>
    <definedName name="vch305.3.6.1_27a3">'Verification (Ch.8)'!$AR$67</definedName>
    <definedName name="vch305.3.6.1_27b1">'Verification (Ch.8)'!$AV$67</definedName>
    <definedName name="vch305.3.6.1_27b2">'Verification (Ch.8)'!$AX$67</definedName>
    <definedName name="vch305.3.6.1_28">'Verification (Ch.8)'!$AT$68</definedName>
    <definedName name="vch305.3.6.1_28a1">'Verification (Ch.8)'!$AN$68</definedName>
    <definedName name="vch305.3.6.1_28a2">'Verification (Ch.8)'!$AP$68</definedName>
    <definedName name="vch305.3.6.1_28a3">'Verification (Ch.8)'!$AR$68</definedName>
    <definedName name="vch305.3.6.1_28b1">'Verification (Ch.8)'!$AV$68</definedName>
    <definedName name="vch305.3.6.1_28b2">'Verification (Ch.8)'!$AX$68</definedName>
    <definedName name="vch305.3.6.1_29">'Verification (Ch.8)'!$AT$69</definedName>
    <definedName name="vch305.3.6.1_29a1">'Verification (Ch.8)'!$AN$69</definedName>
    <definedName name="vch305.3.6.1_29a2">'Verification (Ch.8)'!$AP$69</definedName>
    <definedName name="vch305.3.6.1_29a3">'Verification (Ch.8)'!$AR$69</definedName>
    <definedName name="vch305.3.6.1_29b1">'Verification (Ch.8)'!$AV$69</definedName>
    <definedName name="vch305.3.6.1_29b2">'Verification (Ch.8)'!$AX$69</definedName>
    <definedName name="vch305.3.6.1_2a1">'Verification (Ch.8)'!$AN$33</definedName>
    <definedName name="vch305.3.6.1_2a2">'Verification (Ch.8)'!$AP$33</definedName>
    <definedName name="vch305.3.6.1_2a3">'Verification (Ch.8)'!$AR$33</definedName>
    <definedName name="vch305.3.6.1_2b1">'Verification (Ch.8)'!$AV$33</definedName>
    <definedName name="vch305.3.6.1_2b2">'Verification (Ch.8)'!$AX$33</definedName>
    <definedName name="vch305.3.6.1_3">'Verification (Ch.8)'!$AT$35</definedName>
    <definedName name="vch305.3.6.1_30">'Verification (Ch.8)'!$AT$70</definedName>
    <definedName name="vch305.3.6.1_30a1">'Verification (Ch.8)'!$AN$70</definedName>
    <definedName name="vch305.3.6.1_30a2">'Verification (Ch.8)'!$AP$70</definedName>
    <definedName name="vch305.3.6.1_30a3">'Verification (Ch.8)'!$AR$70</definedName>
    <definedName name="vch305.3.6.1_30b1">'Verification (Ch.8)'!$AV$70</definedName>
    <definedName name="vch305.3.6.1_30b2">'Verification (Ch.8)'!$AX$70</definedName>
    <definedName name="vch305.3.6.1_3a1">'Verification (Ch.8)'!$AN$35</definedName>
    <definedName name="vch305.3.6.1_3a2">'Verification (Ch.8)'!$AP$35</definedName>
    <definedName name="vch305.3.6.1_3a3">'Verification (Ch.8)'!$AR$35</definedName>
    <definedName name="vch305.3.6.1_3b1">'Verification (Ch.8)'!$AV$35</definedName>
    <definedName name="vch305.3.6.1_3b2">'Verification (Ch.8)'!$AX$35</definedName>
    <definedName name="vch305.3.6.1_4">'Verification (Ch.8)'!$AT$36</definedName>
    <definedName name="vch305.3.6.1_4a1">'Verification (Ch.8)'!$AN$36</definedName>
    <definedName name="vch305.3.6.1_4a2">'Verification (Ch.8)'!$AP$36</definedName>
    <definedName name="vch305.3.6.1_4a3">'Verification (Ch.8)'!$AR$36</definedName>
    <definedName name="vch305.3.6.1_4b1">'Verification (Ch.8)'!$AV$36</definedName>
    <definedName name="vch305.3.6.1_4b2">'Verification (Ch.8)'!$AX$36</definedName>
    <definedName name="vch305.3.6.1_5">'Verification (Ch.8)'!$AT$37</definedName>
    <definedName name="vch305.3.6.1_5a1">'Verification (Ch.8)'!$AN$37</definedName>
    <definedName name="vch305.3.6.1_5a2">'Verification (Ch.8)'!$AP$37</definedName>
    <definedName name="vch305.3.6.1_5a3">'Verification (Ch.8)'!$AR$37</definedName>
    <definedName name="vch305.3.6.1_5b1">'Verification (Ch.8)'!$AV$37</definedName>
    <definedName name="vch305.3.6.1_5b2">'Verification (Ch.8)'!$AX$37</definedName>
    <definedName name="vch305.3.6.1_6">'Verification (Ch.8)'!$AT$38</definedName>
    <definedName name="vch305.3.6.1_6a1">'Verification (Ch.8)'!$AN$38</definedName>
    <definedName name="vch305.3.6.1_6a2">'Verification (Ch.8)'!$AP$38</definedName>
    <definedName name="vch305.3.6.1_6a3">'Verification (Ch.8)'!$AR$38</definedName>
    <definedName name="vch305.3.6.1_6b1">'Verification (Ch.8)'!$AV$38</definedName>
    <definedName name="vch305.3.6.1_6b2">'Verification (Ch.8)'!$AX$38</definedName>
    <definedName name="vch305.3.6.1_7">'Verification (Ch.8)'!$AT$39</definedName>
    <definedName name="vch305.3.6.1_7a1">'Verification (Ch.8)'!$AN$39</definedName>
    <definedName name="vch305.3.6.1_7a2">'Verification (Ch.8)'!$AP$39</definedName>
    <definedName name="vch305.3.6.1_7a3">'Verification (Ch.8)'!$AR$39</definedName>
    <definedName name="vch305.3.6.1_7b1">'Verification (Ch.8)'!$AV$39</definedName>
    <definedName name="vch305.3.6.1_7b2">'Verification (Ch.8)'!$AX$39</definedName>
    <definedName name="vch305.3.6.1_8">'Verification (Ch.8)'!$AT$41</definedName>
    <definedName name="vch305.3.6.1_8a1">'Verification (Ch.8)'!$AN$41</definedName>
    <definedName name="vch305.3.6.1_8a2">'Verification (Ch.8)'!$AP$41</definedName>
    <definedName name="vch305.3.6.1_8a3">'Verification (Ch.8)'!$AR$41</definedName>
    <definedName name="vch305.3.6.1_8b1">'Verification (Ch.8)'!$AV$41</definedName>
    <definedName name="vch305.3.6.1_8b2">'Verification (Ch.8)'!$AX$41</definedName>
    <definedName name="vch305.3.6.1_9">'Verification (Ch.8)'!$AT$42</definedName>
    <definedName name="vch305.3.6.1_9a1">'Verification (Ch.8)'!$AN$42</definedName>
    <definedName name="vch305.3.6.1_9a2">'Verification (Ch.8)'!$AP$42</definedName>
    <definedName name="vch305.3.6.1_9a3">'Verification (Ch.8)'!$AR$42</definedName>
    <definedName name="vch305.3.6.1_9b1">'Verification (Ch.8)'!$AV$42</definedName>
    <definedName name="vch305.3.6.1_9b2">'Verification (Ch.8)'!$AX$42</definedName>
    <definedName name="vch501_2_1">'Verification Report'!$AQ$15</definedName>
    <definedName name="vch501_2_2">'Verification Report'!$AQ$17</definedName>
    <definedName name="vch501_2_3">'Verification Report'!$AQ$19</definedName>
    <definedName name="vch501_2_4">'Verification Report'!$AQ$28</definedName>
    <definedName name="vch501_2_5">'Verification Report'!$AQ$31</definedName>
    <definedName name="vch501_2_6">'Verification Report'!$AQ$31</definedName>
    <definedName name="vch502_1">'Verification Report'!$AQ$37</definedName>
    <definedName name="vch503_1_1">'Verification Report'!$AQ$49</definedName>
    <definedName name="vch503_1_2">'Verification Report'!$AQ$50</definedName>
    <definedName name="vch503_1_3">'Verification Report'!$AQ$52</definedName>
    <definedName name="vch503_1_4">'Verification Report'!$AQ$54</definedName>
    <definedName name="vch503_1_5">'Verification Report'!$AQ$55</definedName>
    <definedName name="vch503_1_6">'Verification Report'!$AQ$56</definedName>
    <definedName name="vch503_1_7">'Verification Report'!$AQ$58</definedName>
    <definedName name="vch503_2">'Verification Report'!$AQ$61</definedName>
    <definedName name="vch503_2_1">'Verification Report'!$AQ$62</definedName>
    <definedName name="vch503_2_2">'Verification Report'!$AQ$63</definedName>
    <definedName name="vch503_2_3">'Verification Report'!$AQ$65</definedName>
    <definedName name="vch503_2_4">'Verification Report'!$AQ$70</definedName>
    <definedName name="vch503_2_5">'Verification Report'!$AQ$72</definedName>
    <definedName name="vch503_3_1">'Verification Report'!$AQ$76</definedName>
    <definedName name="vch503_3_2_a">'Verification Report'!$AQ$80</definedName>
    <definedName name="vch503_3_2_b">'Verification Report'!$AQ$81</definedName>
    <definedName name="vch503_3_2_c">'Verification Report'!$AQ$83</definedName>
    <definedName name="vch503_3_2_d">'Verification Report'!$AQ$84</definedName>
    <definedName name="vch503_3_3">'Verification Report'!$AQ$85</definedName>
    <definedName name="vch503_4_1">'Verification Report'!$AQ$93</definedName>
    <definedName name="vch503_4_2">'Verification Report'!$AQ$96</definedName>
    <definedName name="vch503_4_3">'Verification Report'!$AQ$103</definedName>
    <definedName name="vch503_4_4">'Verification Report'!$AQ$103</definedName>
    <definedName name="vch503_5">'Verification Report'!$AQ$110</definedName>
    <definedName name="vch503_5_1">'Verification Report'!$AQ$112</definedName>
    <definedName name="vch503_5_10">'Verification Report'!$AQ$140</definedName>
    <definedName name="vch503_5_11">'Verification Report'!$AQ$142</definedName>
    <definedName name="vch503_5_12">'Verification Report'!$AQ$144</definedName>
    <definedName name="vch503_5_2">'Verification Report'!$AQ$118</definedName>
    <definedName name="vch503_5_3">'Verification Report'!$AQ$120</definedName>
    <definedName name="vch503_5_4">'Verification Report'!$AQ$122</definedName>
    <definedName name="vch503_5_5">'Verification Report'!$AQ$124</definedName>
    <definedName name="vch503_5_6">'Verification Report'!$AQ$129</definedName>
    <definedName name="vch503_5_7">'Verification Report'!$AQ$130</definedName>
    <definedName name="vch503_5_8">'Verification Report'!$AQ$135</definedName>
    <definedName name="vch503_5_9">'Verification Report'!$AQ$137</definedName>
    <definedName name="vch503_6_1">'Verification Report'!$AQ$148</definedName>
    <definedName name="vch503_6_2">'Verification Report'!$AQ$149</definedName>
    <definedName name="vch503_6_3">'Verification Report'!$AQ$150</definedName>
    <definedName name="vch503_6_4">'Verification Report'!$AQ$152</definedName>
    <definedName name="vch503_7_1" localSheetId="31">'[1]Verification Report'!#REF!</definedName>
    <definedName name="vch503_7_1">'Verification Report'!$AQ$155</definedName>
    <definedName name="vch503_7_2" localSheetId="31">'[1]Verification Report'!#REF!</definedName>
    <definedName name="vch503_7_2">'Verification Report'!$AQ$157</definedName>
    <definedName name="vch504_1">'Verification Report'!$AQ$162</definedName>
    <definedName name="vch504_2_1">'Verification Report'!$AQ$169</definedName>
    <definedName name="vch504_2_2">'Verification Report'!$AQ$170</definedName>
    <definedName name="vch504_2_3">'Verification Report'!$AQ$172</definedName>
    <definedName name="vch504_3_1">'Verification Report'!$AQ$177</definedName>
    <definedName name="vch504_3_2">'Verification Report'!$AQ$179</definedName>
    <definedName name="vch504_3_3">'Verification Report'!$AQ$180</definedName>
    <definedName name="vch504_3_4">'Verification Report'!$AQ$182</definedName>
    <definedName name="vch504_3_5">'Verification Report'!$AQ$184</definedName>
    <definedName name="vch504_3_6">'Verification Report'!$AQ$188</definedName>
    <definedName name="vch504_3_7">'Verification Report'!$AQ$191</definedName>
    <definedName name="vch504_3_8a">'Verification Report'!$AQ$193</definedName>
    <definedName name="vch504_3_8b">'Verification Report'!$AQ$194</definedName>
    <definedName name="vch504_3_8c">'Verification Report'!$AQ$195</definedName>
    <definedName name="vch504_3_8d">'Verification Report'!$AQ$196</definedName>
    <definedName name="vch504_3_8e">'Verification Report'!$AQ$197</definedName>
    <definedName name="vch504_3_8f">'Verification Report'!$AQ$198</definedName>
    <definedName name="vch505_1_1">'Verification Report'!$AQ$206</definedName>
    <definedName name="vch505_1_2">'Verification Report'!$AQ$208</definedName>
    <definedName name="vch505_1_3">'Verification Report'!$AQ$209</definedName>
    <definedName name="vch505_1_4">'Verification Report'!$AQ$213</definedName>
    <definedName name="vch505_2_1_a">'Verification Report'!$AQ$221</definedName>
    <definedName name="vch505_2_1_b">'Verification Report'!$AQ$224</definedName>
    <definedName name="vch505_2_1_c">'Verification Report'!$AQ$228</definedName>
    <definedName name="vch505_2_2">'Verification Report'!$AQ$229</definedName>
    <definedName name="vch505_3">'Verification Report'!$AQ$232</definedName>
    <definedName name="vch505_4">'Verification Report'!$AQ$238</definedName>
    <definedName name="vch505_5">'Verification Report'!$AQ$239</definedName>
    <definedName name="vch505_6">'Verification Report'!$AQ$242</definedName>
    <definedName name="vch601_2_1">'Verification Report'!$AQ$271</definedName>
    <definedName name="vch601_2_2">'Verification Report'!$AQ$274</definedName>
    <definedName name="vch601_2_3">'Verification Report'!$AQ$277</definedName>
    <definedName name="vch601_3_1">'Verification Report'!$AQ$283</definedName>
    <definedName name="vch601_3_2">'Verification Report'!$AQ$284</definedName>
    <definedName name="vch601_3_3">'Verification Report'!$AQ$285</definedName>
    <definedName name="vch601_3_4">'Verification Report'!$AQ$286</definedName>
    <definedName name="vch601_3_5">'Verification Report'!$AQ$287</definedName>
    <definedName name="vch601_4">'Verification Report'!$AQ$288</definedName>
    <definedName name="vch601_5_1">'Verification Report'!$AQ$296</definedName>
    <definedName name="vch601_5_2">'Verification Report'!$AQ$297</definedName>
    <definedName name="vch601_5_3">'Verification Report'!$AQ$298</definedName>
    <definedName name="vch601_5_4">'Verification Report'!$AQ$299</definedName>
    <definedName name="vch601_6">'Verification Report'!$AQ$301</definedName>
    <definedName name="vch601_7_a">'Verification Report'!$AQ$308</definedName>
    <definedName name="vch601_7_b">'Verification Report'!$AQ$309</definedName>
    <definedName name="vch601_7_c">'Verification Report'!$AQ$310</definedName>
    <definedName name="vch601_7_d">'Verification Report'!$AQ$314</definedName>
    <definedName name="vch601_7_e">'Verification Report'!$AQ$316</definedName>
    <definedName name="vch601_8">'Verification Report'!$AQ$323</definedName>
    <definedName name="vch602_1_1_1">'Verification Report'!$AQ$336</definedName>
    <definedName name="vch602_1_1_2">'Verification Report'!$AQ$340</definedName>
    <definedName name="vch602_1_10">'Verification Report'!$AQ$453</definedName>
    <definedName name="vch602_1_11">'Verification Report'!$AQ$465</definedName>
    <definedName name="vch602_1_12">'Verification Report'!$AQ$469</definedName>
    <definedName name="vch602_1_13">'Verification Report'!$AQ$472</definedName>
    <definedName name="vch602_1_14_1">'Verification Report'!$AQ$478</definedName>
    <definedName name="vch602_1_14_2">'Verification Report'!$AQ$480</definedName>
    <definedName name="vch602_1_14_3">'Verification Report'!$AQ$481</definedName>
    <definedName name="vch602_1_2__1">'Verification Report'!$AQ$346</definedName>
    <definedName name="vch602_1_2__2">'Verification Report'!$AQ$347</definedName>
    <definedName name="vch602_1_3_1">'Verification Report'!$AQ$349</definedName>
    <definedName name="vch602_1_3_2">'Verification Report'!$AQ$352</definedName>
    <definedName name="vch602_1_4_1_1">'Verification Report'!$AQ$360</definedName>
    <definedName name="vch602_1_4_1_2">'Verification Report'!$AQ$362</definedName>
    <definedName name="vch602_1_4_2_1">'Verification Report'!$AQ$369</definedName>
    <definedName name="vch602_1_4_2_2">'Verification Report'!$AQ$371</definedName>
    <definedName name="vch602_1_5">'Verification Report'!$AQ$376</definedName>
    <definedName name="vch602_1_5_1">'Verification Report'!$AQ$377</definedName>
    <definedName name="vch602_1_5_2">'Verification Report'!$AQ$379</definedName>
    <definedName name="vch602_1_6_1">'Verification Report'!$AQ$385</definedName>
    <definedName name="vch602_1_6_2">'Verification Report'!$AQ$389</definedName>
    <definedName name="vch602_1_6_3">'Verification Report'!$AQ$393</definedName>
    <definedName name="vch602_1_7_1_1">'Verification Report'!$AQ$398</definedName>
    <definedName name="vch602_1_7_1_2">'Verification Report'!$AQ$400</definedName>
    <definedName name="vch602_1_7_1_3">'Verification Report'!$AQ$403</definedName>
    <definedName name="vch602_1_7_2">'Verification Report'!$AQ$405</definedName>
    <definedName name="vch602_1_7_3">'Verification Report'!$AQ$407</definedName>
    <definedName name="vch602_1_8">'Verification Report'!$AQ$411</definedName>
    <definedName name="vch602_1_9_1">'Verification Report'!$AQ$423</definedName>
    <definedName name="vch602_1_9_2">'Verification Report'!$AQ$435</definedName>
    <definedName name="vch602_1_9_3">'Verification Report'!$AQ$438</definedName>
    <definedName name="vch602_1_9_4">'Verification Report'!$AQ$439</definedName>
    <definedName name="vch602_1_9_5">'Verification Report'!$AQ$443</definedName>
    <definedName name="vch602_1_9_6">'Verification Report'!$AQ$449</definedName>
    <definedName name="vch602_1_9_7">'Verification Report'!$AQ$451</definedName>
    <definedName name="vch602_2_1">'Verification Report'!$AQ$486</definedName>
    <definedName name="vch602_2_2">'Verification Report'!$AQ$488</definedName>
    <definedName name="vch602_2_3">'Verification Report'!$AQ$489</definedName>
    <definedName name="vch602_3">'Verification Report'!$AQ$492</definedName>
    <definedName name="vch602_4_1">'Verification Report'!$AQ$496</definedName>
    <definedName name="vch602_4_2">'Verification Report'!$AQ$501</definedName>
    <definedName name="vch602_4_3">'Verification Report'!$AQ$503</definedName>
    <definedName name="vch603_1">'Verification Report'!$AQ$507</definedName>
    <definedName name="vch603_2">'Verification Report'!$AQ$513</definedName>
    <definedName name="vch603_3">'Verification Report'!$AQ$520</definedName>
    <definedName name="vch604_1a">'Verification Report'!$AQ$525</definedName>
    <definedName name="vch604_1b">'Verification Report'!$AQ$527</definedName>
    <definedName name="vch604_1c">'Verification Report'!$AQ$529</definedName>
    <definedName name="vch604_1d">'Verification Report'!$AQ$531</definedName>
    <definedName name="vch605_1">'Verification Report'!$AQ$535</definedName>
    <definedName name="vch605_1_2">'Verification Report'!$AQ$551</definedName>
    <definedName name="vch605_2">'Verification Report'!$AQ$538</definedName>
    <definedName name="vch605_2_2">'Verification Report'!$AQ$551</definedName>
    <definedName name="vch605_3">'Verification Report'!$AQ$553</definedName>
    <definedName name="vch605_3_2_a">'Verification Report'!$AQ$566</definedName>
    <definedName name="vch605_3_2_b">'Verification Report'!$AQ$567</definedName>
    <definedName name="vch605_3_2_c">'Verification Report'!$AQ$568</definedName>
    <definedName name="vch605_3_2_d">'Verification Report'!$AQ$569</definedName>
    <definedName name="vch605_3_2_e">'Verification Report'!$AQ$570</definedName>
    <definedName name="vch605_3_2_f">'Verification Report'!$AQ$571</definedName>
    <definedName name="vch605_3_2_g">'Verification Report'!$AQ$572</definedName>
    <definedName name="vch605_3_2_h">'Verification Report'!$AQ$573</definedName>
    <definedName name="vch605_3_2_i">'Verification Report'!$AQ$574</definedName>
    <definedName name="vch605_4_2_a">'Verification Report'!$AQ$566</definedName>
    <definedName name="vch605_4_2_b">'Verification Report'!$AQ$567</definedName>
    <definedName name="vch605_4_2_c">'Verification Report'!$AQ$568</definedName>
    <definedName name="vch605_4_2_d">'Verification Report'!$AQ$569</definedName>
    <definedName name="vch605_4_2_e">'Verification Report'!$AQ$570</definedName>
    <definedName name="vch605_4_2_f">'Verification Report'!$AQ$571</definedName>
    <definedName name="vch605_4_2_g">'Verification Report'!$AQ$572</definedName>
    <definedName name="vch605_4_2_h">'Verification Report'!$AQ$573</definedName>
    <definedName name="vch605_4_2_i">'Verification Report'!$AQ$574</definedName>
    <definedName name="vch606_1_a">'Verification Report'!$AQ$579</definedName>
    <definedName name="vch606_1_b">'Verification Report'!$AQ$580</definedName>
    <definedName name="vch606_1_c">'Verification Report'!$AQ$581</definedName>
    <definedName name="vch606_1_d">'Verification Report'!$AQ$582</definedName>
    <definedName name="vch606_1_e">'Verification Report'!$AQ$583</definedName>
    <definedName name="vch606_1_f">'Verification Report'!$AQ$584</definedName>
    <definedName name="vch606_1_g">'Verification Report'!$AQ$585</definedName>
    <definedName name="vch606_1_h">'Verification Report'!$AQ$586</definedName>
    <definedName name="vch606_2_1a">'Verification Report'!$AQ$606</definedName>
    <definedName name="vch606_2_1b">'Verification Report'!$AQ$607</definedName>
    <definedName name="vch606_2_2a">'Verification Report'!$AQ$609</definedName>
    <definedName name="vch606_2_2b">'Verification Report'!$AQ$610</definedName>
    <definedName name="vch606_3">'Verification Report'!$AQ$612</definedName>
    <definedName name="vch607_1_1">'Verification Report'!$AQ$621</definedName>
    <definedName name="vch607_1_2">'Verification Report'!$AQ$623</definedName>
    <definedName name="vch607_2">'Verification Report'!$AQ$624</definedName>
    <definedName name="vch608_1">'Verification Report'!$AQ$627</definedName>
    <definedName name="vch609_1a">'Verification Report'!$AQ$637</definedName>
    <definedName name="vch609_1b">'Verification Report'!$AQ$640</definedName>
    <definedName name="vch610_1_1_1">'Verification Report'!$AQ$652</definedName>
    <definedName name="vch610_1_1_2">'Verification Report'!$AQ$661</definedName>
    <definedName name="vch610_1_1_3">'Verification Report'!$AQ$668</definedName>
    <definedName name="vch610_1_2_1a">'Verification Report'!$AQ$676</definedName>
    <definedName name="vch610_1_2_1b">'Verification Report'!$AQ$683</definedName>
    <definedName name="vch610_1_2_2_f">'Verification Report'!$AQ$707</definedName>
    <definedName name="vch610_1_2_2a">'Verification Report'!$AQ$689</definedName>
    <definedName name="vch610_1_2_2b">'Verification Report'!$AQ$695</definedName>
    <definedName name="vch610_1_2_2c">'Verification Report'!$AQ$701</definedName>
    <definedName name="vch611_1">'Verification Report'!$AQ$713</definedName>
    <definedName name="vch611_2_1">'Verification Report'!$AQ$724</definedName>
    <definedName name="vch611_2_2">'Verification Report'!$AQ$725</definedName>
    <definedName name="vch611_2_3">'Verification Report'!$AQ$726</definedName>
    <definedName name="vch611_2_4">'Verification Report'!$AQ$727</definedName>
    <definedName name="vch611_2_5">'Verification Report'!$AQ$728</definedName>
    <definedName name="vch611_2_6">'Verification Report'!$AQ$729</definedName>
    <definedName name="vch611_2_7">'Verification Report'!$AQ$730</definedName>
    <definedName name="vch611_3_1">'Verification Report'!$AQ$734</definedName>
    <definedName name="vch611_3_2">'Verification Report'!$AQ$739</definedName>
    <definedName name="vch611_3_3">'Verification Report'!$AQ$743</definedName>
    <definedName name="vch611_3_4">'Verification Report'!$AQ$745</definedName>
    <definedName name="vch611_3_5">'Verification Report'!$AQ$747</definedName>
    <definedName name="vch611_3_6">'Verification Report'!$AQ$748</definedName>
    <definedName name="vch611_3_7">'Verification Report'!$AQ$749</definedName>
    <definedName name="vch611_3_8">'Verification Report'!$AQ$753</definedName>
    <definedName name="vch611_3_9">'Verification Report'!$AQ$755</definedName>
    <definedName name="vch611_4_1">'Verification Report'!$AQ$763</definedName>
    <definedName name="vch611_4_2">'Verification Report'!$AQ$773</definedName>
    <definedName name="vch701_4">'Verification Report'!$AQ$781</definedName>
    <definedName name="vch701_4_0">'Verification Report'!$AQ$783</definedName>
    <definedName name="vch701_4_1">'Verification Report'!$AQ$799</definedName>
    <definedName name="vch701_4_1_1">'Verification Report'!$AQ$790</definedName>
    <definedName name="vch701_4_1_2">'Verification Report'!$AQ$793</definedName>
    <definedName name="vch701_4_2_2">'Verification Report'!$AQ$802</definedName>
    <definedName name="vch701_4_2_3">'Verification Report'!$AQ$805</definedName>
    <definedName name="vch701_4_3_1_1">'Verification Report'!$AQ$809</definedName>
    <definedName name="vch701_4_3_1_2">'Verification Report'!$AQ$811</definedName>
    <definedName name="vch701_4_3_2">'Verification Report'!$AQ$826</definedName>
    <definedName name="vch701_4_3_2_1">'Verification Report'!$AQ$847</definedName>
    <definedName name="vch701_4_3_2_1_">'Verification Report'!$AQ$828</definedName>
    <definedName name="vch701_4_3_2_2">'Verification Report'!$AQ$844</definedName>
    <definedName name="vch701_4_3_2e">'Verification Report'!$AQ$831</definedName>
    <definedName name="vch701_4_3_3_4">'Verification Report'!$AQ$874</definedName>
    <definedName name="vch701_4_3_3_5">'Verification Report'!$AQ$880</definedName>
    <definedName name="vch701_4_4_1">'Verification Report'!$AQ$888</definedName>
    <definedName name="vch701_4_4_2">'Verification Report'!$AQ$890</definedName>
    <definedName name="vch701_4_5">'Verification Report'!$AQ$891</definedName>
    <definedName name="vch701_4_6">'Verification Report'!$AQ$893</definedName>
    <definedName name="vch701_4_7">'Verification Report'!$AQ$897</definedName>
    <definedName name="vch901_1_1">'Verification Report'!$AQ$913</definedName>
    <definedName name="vch901_1_2">'Verification Report'!$AQ$919</definedName>
    <definedName name="vch901_1_3_1">'Verification Report'!$AQ$924</definedName>
    <definedName name="vch901_1_3_2">'Verification Report'!$AQ$927</definedName>
    <definedName name="vch901_1_4">'Verification Report'!$AQ$930</definedName>
    <definedName name="vch901_1_5">'Verification Report'!$AQ$934</definedName>
    <definedName name="vch901_1_6">'Verification Report'!$AQ$937</definedName>
    <definedName name="vch901_10_1">'Verification Report'!$AQ$1056</definedName>
    <definedName name="vch901_10_2">'Verification Report'!$AQ$1061</definedName>
    <definedName name="vch901_10_3">'Verification Report'!$AQ$1062</definedName>
    <definedName name="vch901_11">'Verification Report'!$AQ$1066</definedName>
    <definedName name="vch901_12">'Verification Report'!$AQ$1071</definedName>
    <definedName name="vch901_13_1">'Verification Report'!$AQ$1075</definedName>
    <definedName name="vch901_13_2">'Verification Report'!$AQ$1076</definedName>
    <definedName name="vch901_14_1">'Verification Report'!$AQ$1079</definedName>
    <definedName name="vch901_14_2">'Verification Report'!$AQ$1081</definedName>
    <definedName name="vch901_15">'Verification Report'!$AQ$1083</definedName>
    <definedName name="vch901_2_1_1">'Verification Report'!$AQ$943</definedName>
    <definedName name="vch901_2_1_2">'Verification Report'!$AQ$946</definedName>
    <definedName name="vch901_2_1_3">'Verification Report'!$AQ$948</definedName>
    <definedName name="vch901_2_1_4">'Verification Report'!$AQ$951</definedName>
    <definedName name="vch901_2_1_5">'Verification Report'!$AQ$953</definedName>
    <definedName name="vch901_2_2">'Verification Report'!$AQ$955</definedName>
    <definedName name="vch901_3_1_a">'Verification Report'!$AQ$958</definedName>
    <definedName name="vch901_3_1_b">'Verification Report'!$AQ$960</definedName>
    <definedName name="vch901_3_1_c">'Verification Report'!$AQ$962</definedName>
    <definedName name="vch901_3_2">'Verification Report'!$AQ$968</definedName>
    <definedName name="vch901_4_1">'Verification Report'!$AQ$973</definedName>
    <definedName name="vch901_4_a">'Verification Report'!$AQ$978</definedName>
    <definedName name="vch901_4_b">'Verification Report'!$AQ$979</definedName>
    <definedName name="vch901_4_c">'Verification Report'!$AQ$980</definedName>
    <definedName name="vch901_4_d">'Verification Report'!$AQ$981</definedName>
    <definedName name="vch901_5_1">'Verification Report'!$AQ$992</definedName>
    <definedName name="vch901_5_2">'Verification Report'!$AQ$994</definedName>
    <definedName name="vch901_6">'Verification Report'!$AQ$997</definedName>
    <definedName name="vch901_7_1">'Verification Report'!$AQ$1006</definedName>
    <definedName name="vch901_7_2">'Verification Report'!$AQ$1017</definedName>
    <definedName name="vch901_7_3">'Verification Report'!$AQ$1018</definedName>
    <definedName name="vch901_8">'Verification Report'!$AQ$1021</definedName>
    <definedName name="vch901_9_1_1">'Verification Report'!$AQ$1033</definedName>
    <definedName name="vch901_9_1_2">'Verification Report'!$AQ$1035</definedName>
    <definedName name="vch901_9_1_3">'Verification Report'!$AQ$1036</definedName>
    <definedName name="vch901_9_2">'Verification Report'!$AQ$1038</definedName>
    <definedName name="vch901_9_3">'Verification Report'!$AQ$1043</definedName>
    <definedName name="vch901_9_4">'Verification Report'!$AQ$1049</definedName>
    <definedName name="vch902_1_1">'Verification Report'!$AQ$1089</definedName>
    <definedName name="vch902_1_1_a">'Verification Report'!$AQ$1091</definedName>
    <definedName name="vch902_1_2">'Verification Report'!$AQ$1099</definedName>
    <definedName name="vch902_1_2_">'Verification Report'!$AQ$1093</definedName>
    <definedName name="vch902_1_2_2">'Verification Report'!$AQ$1101</definedName>
    <definedName name="vch902_1_3">'Verification Report'!$AQ$1102</definedName>
    <definedName name="vch902_1_3_">'Verification Report'!$AQ$1095</definedName>
    <definedName name="vch902_1_4_1">'Verification Report'!$AQ$1108</definedName>
    <definedName name="vch902_1_4_2">'Verification Report'!$AQ$1110</definedName>
    <definedName name="vch902_1_5_1">'Verification Report'!$AQ$1113</definedName>
    <definedName name="vch902_1_5_2">'Verification Report'!$AQ$1115</definedName>
    <definedName name="vch902_1_5_3">'Verification Report'!$AQ$1117</definedName>
    <definedName name="vch902_2_1">'Verification Report'!$AQ$1121</definedName>
    <definedName name="vch902_2_2">'Verification Report'!$AQ$1131</definedName>
    <definedName name="vch902_2_3">'Verification Report'!$AQ$1133</definedName>
    <definedName name="vch902_2_4">'Verification Report'!$AQ$1136</definedName>
    <definedName name="vch902_3_1">'Verification Report'!$AQ$1142</definedName>
    <definedName name="vch902_3_2_a">'Verification Report'!$AQ$1146</definedName>
    <definedName name="vch902_4_1">'Verification Report'!$AQ$1149</definedName>
    <definedName name="vch902_4_2">'Verification Report'!$AQ$1151</definedName>
    <definedName name="vch902_5">'Verification Report'!$AQ$1154</definedName>
    <definedName name="vch902_6">'Verification Report'!$AQ$1156</definedName>
    <definedName name="vch903_1">'Verification Report'!$AQ$1160</definedName>
    <definedName name="vch903_2">'Verification Report'!$AQ$1164</definedName>
    <definedName name="vch903_3_1">'Verification Report'!$AQ$1170</definedName>
    <definedName name="vch903_3_2">'Verification Report'!$AQ$1171</definedName>
    <definedName name="vch904_1">'Verification Report'!$AQ$1176</definedName>
    <definedName name="vch904_2">'Verification Report'!$AQ$1181</definedName>
    <definedName name="vch905_1">'Verification Report'!$AQ$1185</definedName>
    <definedName name="vch905_2">'Verification Report'!$AQ$1190</definedName>
    <definedName name="verAGFloorArea">'Overview (Verification)'!$P$21</definedName>
    <definedName name="verAttachedGarage">'Overview (Verification)'!$P$47</definedName>
    <definedName name="verAttic">'Overview (Verification)'!$P$46</definedName>
    <definedName name="verBuilderName">'Overview (Verification)'!$P$8</definedName>
    <definedName name="verBuildingCode">'Overview (Verification)'!$P$59</definedName>
    <definedName name="verCDucts">'Overview (Verification)'!$P$38</definedName>
    <definedName name="verCity">'Overview (Verification)'!$P$11</definedName>
    <definedName name="verCool1">'Overview (Verification)'!$P$35</definedName>
    <definedName name="verCool2">'Overview (Verification)'!$P$36</definedName>
    <definedName name="verCool3">'Overview (Verification)'!$P$37</definedName>
    <definedName name="verCounty">'Overview (Verification)'!$P$13</definedName>
    <definedName name="verCToilet">'Overview (Verification)'!$P$56</definedName>
    <definedName name="verDuctless">'Overview (Verification)'!$P$53</definedName>
    <definedName name="verEnergyCode">'Overview (Verification)'!$P$58</definedName>
    <definedName name="verError">'Verification Report'!$AI$3</definedName>
    <definedName name="verFloors">'Overview (Verification)'!$P$23</definedName>
    <definedName name="verFoundation">'Overview (Verification)'!$P$28</definedName>
    <definedName name="verFuel">'Overview (Verification)'!$P$33</definedName>
    <definedName name="verGoalLevel" localSheetId="31">[1]Points!$T$10</definedName>
    <definedName name="verGoalLevel">Points!$N$10</definedName>
    <definedName name="verHDucts">'Overview (Verification)'!$P$34</definedName>
    <definedName name="verHERS">'Overview (Verification)'!$P$27</definedName>
    <definedName name="verHomeAddress">'Overview (Verification)'!$P$9</definedName>
    <definedName name="verHVAC1">'Overview (Verification)'!$P$30</definedName>
    <definedName name="verHVAC2">'Overview (Verification)'!$P$31</definedName>
    <definedName name="verHVAC3">'Overview (Verification)'!$P$32</definedName>
    <definedName name="verLot">'Overview (Verification)'!$P$10</definedName>
    <definedName name="verMandError">'Verification Report'!$AG$3</definedName>
    <definedName name="verMassWalls">'Overview (Verification)'!$P$52</definedName>
    <definedName name="verPassiveSolar">'Overview (Verification)'!$P$51</definedName>
    <definedName name="verProjectDesc">'Overview (Verification)'!$P$25</definedName>
    <definedName name="verProjectID">'Overview (Verification)'!$P$61</definedName>
    <definedName name="verProjectName">'Overview (Verification)'!$P$18</definedName>
    <definedName name="verRadiantHydronic">'Overview (Verification)'!$P$54</definedName>
    <definedName name="verRecessedLighting">'Overview (Verification)'!$P$48</definedName>
    <definedName name="verRenewable">'Overview (Verification)'!$P$44</definedName>
    <definedName name="verSingleOrMulti">'Overview (Verification)'!$P$16</definedName>
    <definedName name="VersionDate">'Info &amp; Intro'!$E$7</definedName>
    <definedName name="VersionNum">'Info &amp; Intro'!$B$7</definedName>
    <definedName name="versSHGC">'Overview (Verification)'!$P$41</definedName>
    <definedName name="verStartError" localSheetId="31">[1]Points!$B$4</definedName>
    <definedName name="verStartError">Points!$B$4</definedName>
    <definedName name="verState">'Overview (Verification)'!$P$12</definedName>
    <definedName name="versUV">'Overview (Verification)'!$P$43</definedName>
    <definedName name="verTCFloorArea">'Overview (Verification)'!$P$22</definedName>
    <definedName name="verTEInsulation">'Overview (Verification)'!$P$45</definedName>
    <definedName name="verTLWH">'Overview (Verification)'!$P$55</definedName>
    <definedName name="verUnits">'Overview (Verification)'!$P$17</definedName>
    <definedName name="verwdSHGC">'Overview (Verification)'!$P$40</definedName>
    <definedName name="verwdUV">'Overview (Verification)'!$P$42</definedName>
    <definedName name="verYearBuilt">'Overview (Verification)'!$P$20</definedName>
    <definedName name="verZIP">'Overview (Verification)'!$P$14</definedName>
    <definedName name="Vlevel">Points!$N$22</definedName>
    <definedName name="vnt1001_1_1">'Verification Report'!$AS$1198</definedName>
    <definedName name="vnt1001_1_10">'Verification Report'!$AS$1213</definedName>
    <definedName name="vnt1001_1_11">'Verification Report'!$AS$1214</definedName>
    <definedName name="vnt1001_1_12">'Verification Report'!$AS$1215</definedName>
    <definedName name="vnt1001_1_13">'Verification Report'!$AS$1221</definedName>
    <definedName name="vnt1001_1_14">'Verification Report'!$AS$1225</definedName>
    <definedName name="vnt1001_1_15">'Verification Report'!$AS$1227</definedName>
    <definedName name="vnt1001_1_16">'Verification Report'!$AS$1229</definedName>
    <definedName name="vnt1001_1_17">'Verification Report'!$AS$1230</definedName>
    <definedName name="vnt1001_1_18">'Verification Report'!$AS$1232</definedName>
    <definedName name="vnt1001_1_19">'Verification Report'!$AS$1234</definedName>
    <definedName name="vnt1001_1_2">'Verification Report'!$AS$1199</definedName>
    <definedName name="vnt1001_1_20">'Verification Report'!$AS$1235</definedName>
    <definedName name="vnt1001_1_21">'Verification Report'!$AS$1237</definedName>
    <definedName name="vnt1001_1_22">'Verification Report'!$AS$1239</definedName>
    <definedName name="vnt1001_1_23">'Verification Report'!$AS$1241</definedName>
    <definedName name="vnt1001_1_24">'Verification Report'!$AS$1243</definedName>
    <definedName name="vnt1001_1_25">'Verification Report'!$AS$1244</definedName>
    <definedName name="vnt1001_1_3">'Verification Report'!$AS$1200</definedName>
    <definedName name="vnt1001_1_4">'Verification Report'!$AS$1204</definedName>
    <definedName name="vnt1001_1_5">'Verification Report'!$AS$1205</definedName>
    <definedName name="vnt1001_1_6">'Verification Report'!$AS$1206</definedName>
    <definedName name="vnt1001_1_7">'Verification Report'!$AS$1208</definedName>
    <definedName name="vnt1001_1_8">'Verification Report'!$AS$1210</definedName>
    <definedName name="vnt1001_1_9">'Verification Report'!$AS$1211</definedName>
    <definedName name="vnt1001_2">'Verification Report'!$AS$1245</definedName>
    <definedName name="vnt1002_1_1">'Verification Report'!$AS$1266</definedName>
    <definedName name="vnt1002_1_2">'Verification Report'!$AS$1269</definedName>
    <definedName name="vnt1002_1_3">'Verification Report'!$AS$1272</definedName>
    <definedName name="vnt1002_1_4">'Verification Report'!$AS$1274</definedName>
    <definedName name="vnt1002_1_5">'Verification Report'!$AS$1275</definedName>
    <definedName name="vnt1002_1_6">'Verification Report'!$AS$1277</definedName>
    <definedName name="vnt1002_1_7">'Verification Report'!$AS$1278</definedName>
    <definedName name="vnt1002_1_8">'Verification Report'!$AS$1279</definedName>
    <definedName name="vnt1002_2_1">'Verification Report'!$AS$1285</definedName>
    <definedName name="vnt1002_2_10">'Verification Report'!$AS$1303</definedName>
    <definedName name="vnt1002_2_11">'Verification Report'!$AS$1306</definedName>
    <definedName name="vnt1002_2_2">'Verification Report'!$AS$1287</definedName>
    <definedName name="vnt1002_2_3">'Verification Report'!$AS$1290</definedName>
    <definedName name="vnt1002_2_4">'Verification Report'!$AS$1292</definedName>
    <definedName name="vnt1002_2_5">'Verification Report'!$AS$1295</definedName>
    <definedName name="vnt1002_2_6">'Verification Report'!$AS$1297</definedName>
    <definedName name="vnt1002_2_7">'Verification Report'!$AS$1298</definedName>
    <definedName name="vnt1002_2_8">'Verification Report'!$AS$1300</definedName>
    <definedName name="vnt1002_2_9">'Verification Report'!$AS$1302</definedName>
    <definedName name="vnt1002_3_1">'Verification Report'!$AS$1312</definedName>
    <definedName name="vnt1002_3_10">'Verification Report'!$AS$1333</definedName>
    <definedName name="vnt1002_3_2">'Verification Report'!$AS$1314</definedName>
    <definedName name="vnt1002_3_3">'Verification Report'!$AS$1318</definedName>
    <definedName name="vnt1002_3_4">'Verification Report'!$AS$1325</definedName>
    <definedName name="vnt1002_3_5">'Verification Report'!$AS$1327</definedName>
    <definedName name="vnt1002_3_6">'Verification Report'!$AS$1328</definedName>
    <definedName name="vnt1002_3_7">'Verification Report'!$AS$1330</definedName>
    <definedName name="vnt1002_3_8">'Verification Report'!$AS$1331</definedName>
    <definedName name="vnt1002_3_9">'Verification Report'!$AS$1332</definedName>
    <definedName name="vnt1002_4">'Verification Report'!$AS$1334</definedName>
    <definedName name="vnt1003_1_1">'Verification Report'!$AS$1351</definedName>
    <definedName name="vnt1003_1_2">'Verification Report'!$AS$1353</definedName>
    <definedName name="vnt1003_1_3">'Verification Report'!$AS$1356</definedName>
    <definedName name="vnt305_3_5_1_1_a">'Verification (Ch. 7)'!$AS$26</definedName>
    <definedName name="vnt305_3_5_1_1_c">'Verification (Ch. 7)'!$AS$29</definedName>
    <definedName name="vnt305_3_5_1_1_d">'Verification (Ch. 7)'!$AS$30</definedName>
    <definedName name="vnt305_3_5_1_1_e">'Verification (Ch. 7)'!$AS$31</definedName>
    <definedName name="vnt305_3_5_1_1_f">'Verification (Ch. 7)'!$AS$32</definedName>
    <definedName name="vnt305_3_5_1_1_g">'Verification (Ch. 7)'!$AS$33</definedName>
    <definedName name="vnt305_3_5_1_2_a">'Verification (Ch. 7)'!$AS$38</definedName>
    <definedName name="vnt305_3_5_1_2_c">'Verification (Ch. 7)'!$AS$41</definedName>
    <definedName name="vnt305_3_5_1_2_d">'Verification (Ch. 7)'!$AS$42</definedName>
    <definedName name="vnt305_3_5_1_2_e">'Verification (Ch. 7)'!$AS$43</definedName>
    <definedName name="vnt305_3_5_1_2_f">'Verification (Ch. 7)'!$AS$44</definedName>
    <definedName name="vnt305_3_5_1_2_g">'Verification (Ch. 7)'!$AS$45</definedName>
    <definedName name="vnt305.3.6.1_1">'Verification (Ch.8)'!$AZ$32</definedName>
    <definedName name="vnt305.3.6.1_10">'Verification (Ch.8)'!$AZ$43</definedName>
    <definedName name="vnt305.3.6.1_11">'Verification (Ch.8)'!$AZ$44</definedName>
    <definedName name="vnt305.3.6.1_12">'Verification (Ch.8)'!$AZ$45</definedName>
    <definedName name="vnt305.3.6.1_13">'Verification (Ch.8)'!$AZ$47</definedName>
    <definedName name="vnt305.3.6.1_14">'Verification (Ch.8)'!$AZ$48</definedName>
    <definedName name="vnt305.3.6.1_15">'Verification (Ch.8)'!$AZ$49</definedName>
    <definedName name="vnt305.3.6.1_16">'Verification (Ch.8)'!$AZ$50</definedName>
    <definedName name="vnt305.3.6.1_17">'Verification (Ch.8)'!$AZ$51</definedName>
    <definedName name="vnt305.3.6.1_18">'Verification (Ch.8)'!$AZ$53</definedName>
    <definedName name="vnt305.3.6.1_19">'Verification (Ch.8)'!$AZ$54</definedName>
    <definedName name="vnt305.3.6.1_2">'Verification (Ch.8)'!$AZ$33</definedName>
    <definedName name="vnt305.3.6.1_20">'Verification (Ch.8)'!$AZ$55</definedName>
    <definedName name="vnt305.3.6.1_21">'Verification (Ch.8)'!$AZ$56</definedName>
    <definedName name="vnt305.3.6.1_22">'Verification (Ch.8)'!$AZ$57</definedName>
    <definedName name="vnt305.3.6.1_23">'Verification (Ch.8)'!$AZ$62</definedName>
    <definedName name="vnt305.3.6.1_24">'Verification (Ch.8)'!$AZ$63</definedName>
    <definedName name="vnt305.3.6.1_25">'Verification (Ch.8)'!$AZ$64</definedName>
    <definedName name="vnt305.3.6.1_26">'Verification (Ch.8)'!$AZ$65</definedName>
    <definedName name="vnt305.3.6.1_27">'Verification (Ch.8)'!$AZ$67</definedName>
    <definedName name="vnt305.3.6.1_28">'Verification (Ch.8)'!$AZ$68</definedName>
    <definedName name="vnt305.3.6.1_29">'Verification (Ch.8)'!$AZ$69</definedName>
    <definedName name="vnt305.3.6.1_3">'Verification (Ch.8)'!$AZ$35</definedName>
    <definedName name="vnt305.3.6.1_30">'Verification (Ch.8)'!$AZ$70</definedName>
    <definedName name="vnt305.3.6.1_4">'Verification (Ch.8)'!$AZ$36</definedName>
    <definedName name="vnt305.3.6.1_5">'Verification (Ch.8)'!$AZ$37</definedName>
    <definedName name="vnt305.3.6.1_6">'Verification (Ch.8)'!$AZ$38</definedName>
    <definedName name="vnt305.3.6.1_7">'Verification (Ch.8)'!$AZ$39</definedName>
    <definedName name="vnt305.3.6.1_8">'Verification (Ch.8)'!$AZ$41</definedName>
    <definedName name="vnt305.3.6.1_9">'Verification (Ch.8)'!$AZ$42</definedName>
    <definedName name="vnt501_2">'Verification Report'!$AS$13</definedName>
    <definedName name="vnt501_2_1">'Verification Report'!$AS$15</definedName>
    <definedName name="vnt501_2_2">'Verification Report'!$AS$17</definedName>
    <definedName name="vnt501_2_3">'Verification Report'!$AS$19</definedName>
    <definedName name="vnt501_2_4">'Verification Report'!$AS$28</definedName>
    <definedName name="vnt501_2_5">'Verification Report'!$AS$31</definedName>
    <definedName name="vnt501_2_6">'Verification Report'!$AS$31</definedName>
    <definedName name="vnt502_1">'Verification Report'!$AS$37</definedName>
    <definedName name="vnt503_0">'Verification Report'!$AS$42</definedName>
    <definedName name="vnt503_1">'Verification Report'!$AS$47</definedName>
    <definedName name="vnt503_2">'Verification Report'!$AS$60</definedName>
    <definedName name="vnt503_3">'Verification Report'!$AS$73</definedName>
    <definedName name="vnt503_4">'Verification Report'!$AS$86</definedName>
    <definedName name="vnt503_4_1">'Verification Report'!$AS$93</definedName>
    <definedName name="vnt503_4_2">'Verification Report'!$AS$96</definedName>
    <definedName name="vnt503_4_3">'Verification Report'!$AS$103</definedName>
    <definedName name="vnt503_4_4">'Verification Report'!$AS$103</definedName>
    <definedName name="vnt503_5">'Verification Report'!$AS$108</definedName>
    <definedName name="vnt503_5_1">'Verification Report'!$AS$112</definedName>
    <definedName name="vnt503_5_10">'Verification Report'!$AS$140</definedName>
    <definedName name="vnt503_5_11">'Verification Report'!$AS$142</definedName>
    <definedName name="vnt503_5_12">'Verification Report'!$AS$144</definedName>
    <definedName name="vnt503_5_2">'Verification Report'!$AS$118</definedName>
    <definedName name="vnt503_5_3">'Verification Report'!$AS$120</definedName>
    <definedName name="vnt503_5_4">'Verification Report'!$AS$122</definedName>
    <definedName name="vnt503_5_5">'Verification Report'!$AS$124</definedName>
    <definedName name="vnt503_5_6">'Verification Report'!$AS$129</definedName>
    <definedName name="vnt503_5_7">'Verification Report'!$AS$130</definedName>
    <definedName name="vnt503_5_8">'Verification Report'!$AS$135</definedName>
    <definedName name="vnt503_5_9">'Verification Report'!$AS$137</definedName>
    <definedName name="vnt503_6">'Verification Report'!$AS$146</definedName>
    <definedName name="vnt503_7">'Verification Report'!$AS$153</definedName>
    <definedName name="vnt504_1">'Verification Report'!$AS$162</definedName>
    <definedName name="vnt504_2">'Verification Report'!$AS$167</definedName>
    <definedName name="vnt504_3">'Verification Report'!$AS$174</definedName>
    <definedName name="vnt504_3_1">'Verification Report'!$AS$177</definedName>
    <definedName name="vnt504_3_2">'Verification Report'!$AS$179</definedName>
    <definedName name="vnt504_3_3">'Verification Report'!$AS$180</definedName>
    <definedName name="vnt504_3_4">'Verification Report'!$AS$182</definedName>
    <definedName name="vnt504_3_5">'Verification Report'!$AS$184</definedName>
    <definedName name="vnt504_3_6">'Verification Report'!$AS$188</definedName>
    <definedName name="vnt504_3_7">'Verification Report'!$AS$191</definedName>
    <definedName name="vnt504_3_8">'Verification Report'!$AS$192</definedName>
    <definedName name="vnt505_1_1">'Verification Report'!$AS$206</definedName>
    <definedName name="vnt505_1_2">'Verification Report'!$AS$208</definedName>
    <definedName name="vnt505_1_3">'Verification Report'!$AS$209</definedName>
    <definedName name="vnt505_1_4">'Verification Report'!$AS$213</definedName>
    <definedName name="vnt505_2_1">'Verification Report'!$AS$219</definedName>
    <definedName name="vnt505_2_2">'Verification Report'!$AS$229</definedName>
    <definedName name="vnt505_3">'Verification Report'!$AS$232</definedName>
    <definedName name="vnt505_4">'Verification Report'!$AS$238</definedName>
    <definedName name="vnt505_5">'Verification Report'!$AS$239</definedName>
    <definedName name="vnt505_6">'Verification Report'!$AS$242</definedName>
    <definedName name="vnt601_1">'Verification Report'!$AS$253</definedName>
    <definedName name="vnt601_2_1">'Verification Report'!$AS$271</definedName>
    <definedName name="vnt601_2_2">'Verification Report'!$AS$274</definedName>
    <definedName name="vnt601_2_3">'Verification Report'!$AS$277</definedName>
    <definedName name="vnt601_3_1">'Verification Report'!$AS$283</definedName>
    <definedName name="vnt601_3_2">'Verification Report'!$AS$284</definedName>
    <definedName name="vnt601_3_3">'Verification Report'!$AS$285</definedName>
    <definedName name="vnt601_3_4">'Verification Report'!$AS$286</definedName>
    <definedName name="vnt601_3_5">'Verification Report'!$AS$287</definedName>
    <definedName name="vnt601_4">'Verification Report'!$AS$288</definedName>
    <definedName name="vnt601_5_1">'Verification Report'!$AS$296</definedName>
    <definedName name="vnt601_5_2">'Verification Report'!$AS$297</definedName>
    <definedName name="vnt601_5_3">'Verification Report'!$AS$298</definedName>
    <definedName name="vnt601_5_4">'Verification Report'!$AS$299</definedName>
    <definedName name="vnt601_6">'Verification Report'!$AS$300</definedName>
    <definedName name="vnt601_7">'Verification Report'!$AS$305</definedName>
    <definedName name="vnt601_8">'Verification Report'!$AS$323</definedName>
    <definedName name="vnt602_1_1_1">'Verification Report'!$AS$336</definedName>
    <definedName name="vnt602_1_1_2">'Verification Report'!$AS$340</definedName>
    <definedName name="vnt602_1_10">'Verification Report'!$AS$453</definedName>
    <definedName name="vnt602_1_11">'Verification Report'!$AS$465</definedName>
    <definedName name="vnt602_1_12">'Verification Report'!$AS$469</definedName>
    <definedName name="vnt602_1_13">'Verification Report'!$AS$472</definedName>
    <definedName name="vnt602_1_14_1">'Verification Report'!$AS$478</definedName>
    <definedName name="vnt602_1_14_2">'Verification Report'!$AS$480</definedName>
    <definedName name="vnt602_1_14_3">'Verification Report'!$AS$481</definedName>
    <definedName name="vnt602_1_2">'Verification Report'!$AS$343</definedName>
    <definedName name="vnt602_1_3_1">'Verification Report'!$AS$349</definedName>
    <definedName name="vnt602_1_3_2">'Verification Report'!$AS$352</definedName>
    <definedName name="vnt602_1_4_1_1">'Verification Report'!$AS$360</definedName>
    <definedName name="vnt602_1_4_1_2">'Verification Report'!$AS$362</definedName>
    <definedName name="vnt602_1_4_2_1">'Verification Report'!$AS$369</definedName>
    <definedName name="vnt602_1_4_2_2">'Verification Report'!$AS$371</definedName>
    <definedName name="vnt602_1_5">'Verification Report'!$AS$376</definedName>
    <definedName name="vnt602_1_6_1">'Verification Report'!$AS$385</definedName>
    <definedName name="vnt602_1_7_1_1">'Verification Report'!$AS$398</definedName>
    <definedName name="vnt602_1_7_1_2">'Verification Report'!$AS$400</definedName>
    <definedName name="vnt602_1_7_1_3">'Verification Report'!$AS$403</definedName>
    <definedName name="vnt602_1_7_2">'Verification Report'!$AS$405</definedName>
    <definedName name="vnt602_1_7_3">'Verification Report'!$AS$407</definedName>
    <definedName name="vnt602_1_8">'Verification Report'!$AS$411</definedName>
    <definedName name="vnt602_1_9_1">'Verification Report'!$AS$423</definedName>
    <definedName name="vnt602_1_9_2">'Verification Report'!$AS$435</definedName>
    <definedName name="vnt602_1_9_3">'Verification Report'!$AS$438</definedName>
    <definedName name="vnt602_1_9_4">'Verification Report'!$AS$439</definedName>
    <definedName name="vnt602_1_9_5">'Verification Report'!$AS$443</definedName>
    <definedName name="vnt602_1_9_6">'Verification Report'!$AS$449</definedName>
    <definedName name="vnt602_1_9_7">'Verification Report'!$AS$451</definedName>
    <definedName name="vnt602_2_1">'Verification Report'!$AS$486</definedName>
    <definedName name="vnt602_2_2">'Verification Report'!$AS$488</definedName>
    <definedName name="vnt602_2_3">'Verification Report'!$AS$489</definedName>
    <definedName name="vnt602_3">'Verification Report'!$AS$492</definedName>
    <definedName name="vnt602_4_1">'Verification Report'!$AS$496</definedName>
    <definedName name="vnt602_4_2">'Verification Report'!$AS$501</definedName>
    <definedName name="vnt602_4_3">'Verification Report'!$AS$503</definedName>
    <definedName name="vnt603_1">'Verification Report'!$AS$507</definedName>
    <definedName name="vnt603_2">'Verification Report'!$AS$513</definedName>
    <definedName name="vnt603_3">'Verification Report'!$AS$520</definedName>
    <definedName name="vnt604_1a">'Verification Report'!$AS$524</definedName>
    <definedName name="vnt604_1b">'Verification Report'!$AS$526</definedName>
    <definedName name="vnt604_1c">'Verification Report'!$AS$528</definedName>
    <definedName name="vnt604_1d">'Verification Report'!$AS$530</definedName>
    <definedName name="vnt605_1">'Verification Report'!$AS$535</definedName>
    <definedName name="vnt605_2">'Verification Report'!$AS$538</definedName>
    <definedName name="vnt605_3">'Verification Report'!$AS$553</definedName>
    <definedName name="vnt605_3_2_a">'Verification Report'!$AS$566</definedName>
    <definedName name="vnt605_3_2_h">'Verification Report'!$AS$573</definedName>
    <definedName name="vnt605_3_2_i">'Verification Report'!$AS$574</definedName>
    <definedName name="vnt605_4_2_a">'Verification Report'!$AS$566</definedName>
    <definedName name="vnt605_4_2_h">'Verification Report'!$AS$573</definedName>
    <definedName name="vnt605_4_2_i">'Verification Report'!$AS$574</definedName>
    <definedName name="vnt606_1_a">'Verification Report'!$AS$579</definedName>
    <definedName name="vnt606_2_1a">'Verification Report'!$AS$606</definedName>
    <definedName name="vnt606_2_1b">'Verification Report'!$AS$607</definedName>
    <definedName name="vnt606_2_2a">'Verification Report'!$AS$609</definedName>
    <definedName name="vnt606_2_2b">'Verification Report'!$AS$610</definedName>
    <definedName name="vnt606_3">'Verification Report'!$AS$612</definedName>
    <definedName name="vnt607_1_1">'Verification Report'!$AS$621</definedName>
    <definedName name="vnt607_1_2">'Verification Report'!$AS$623</definedName>
    <definedName name="vnt607_2">'Verification Report'!$AS$624</definedName>
    <definedName name="vnt608_1">'Verification Report'!$AS$627</definedName>
    <definedName name="vnt609_1a">'Verification Report'!$AS$636</definedName>
    <definedName name="vnt609_1b">'Verification Report'!$AS$639</definedName>
    <definedName name="vnt610_1_1_1">'Verification Report'!$AS$652</definedName>
    <definedName name="vnt610_1_1_2">'Verification Report'!$AS$661</definedName>
    <definedName name="vnt610_1_1_3">'Verification Report'!$AS$668</definedName>
    <definedName name="vnt610_1_2_1">'Verification Report'!$AS$674</definedName>
    <definedName name="vnt610_1_2_1_e">'Verification Report'!$AS$681</definedName>
    <definedName name="vnt610_1_2_2_e">'Verification Report'!$AS$706</definedName>
    <definedName name="vnt610_1_2_2a">'Verification Report'!$AS$688</definedName>
    <definedName name="vnt610_1_2_2b">'Verification Report'!$AS$694</definedName>
    <definedName name="vnt610_1_2_2c">'Verification Report'!$AS$700</definedName>
    <definedName name="vnt611_1">'Verification Report'!$AS$713</definedName>
    <definedName name="vnt611_2_1">'Verification Report'!$AS$724</definedName>
    <definedName name="vnt611_2_2">'Verification Report'!$AS$725</definedName>
    <definedName name="vnt611_2_3">'Verification Report'!$AS$726</definedName>
    <definedName name="vnt611_2_4">'Verification Report'!$AS$727</definedName>
    <definedName name="vnt611_2_5">'Verification Report'!$AS$728</definedName>
    <definedName name="vnt611_2_6">'Verification Report'!$AS$729</definedName>
    <definedName name="vnt611_2_7">'Verification Report'!$AS$730</definedName>
    <definedName name="vnt611_3_1">'Verification Report'!$AS$734</definedName>
    <definedName name="vnt611_3_2">'Verification Report'!$AS$739</definedName>
    <definedName name="vnt611_3_3">'Verification Report'!$AS$743</definedName>
    <definedName name="vnt611_3_4">'Verification Report'!$AS$745</definedName>
    <definedName name="vnt611_3_5">'Verification Report'!$AS$747</definedName>
    <definedName name="vnt611_3_6">'Verification Report'!$AS$748</definedName>
    <definedName name="vnt611_3_7">'Verification Report'!$AS$749</definedName>
    <definedName name="vnt611_3_8">'Verification Report'!$AS$753</definedName>
    <definedName name="vnt611_3_9">'Verification Report'!$AS$755</definedName>
    <definedName name="vnt611_4_1">'Verification Report'!$AS$762</definedName>
    <definedName name="vnt611_4_2">'Verification Report'!$AS$771</definedName>
    <definedName name="vnt701_4">'Verification Report'!$AS$780</definedName>
    <definedName name="vnt701_4_0">'Verification Report'!$AS$783</definedName>
    <definedName name="vnt701_4_1">'Verification Report'!$AS$799</definedName>
    <definedName name="vnt701_4_1_1">'Verification Report'!$AS$790</definedName>
    <definedName name="vnt701_4_1_2">'Verification Report'!$AS$793</definedName>
    <definedName name="vnt701_4_2_2">'Verification Report'!$AS$802</definedName>
    <definedName name="vnt701_4_2_3">'Verification Report'!$AS$805</definedName>
    <definedName name="vnt701_4_3_1">'Verification Report'!$AS$808</definedName>
    <definedName name="vnt701_4_3_1_a">'Verification Report'!$AS$813</definedName>
    <definedName name="vnt701_4_3_1_b">'Verification Report'!$AS$814</definedName>
    <definedName name="vnt701_4_3_1_c">'Verification Report'!$AS$815</definedName>
    <definedName name="vnt701_4_3_1_d">'Verification Report'!$AS$816</definedName>
    <definedName name="vnt701_4_3_1_e">'Verification Report'!$AS$817</definedName>
    <definedName name="vnt701_4_3_1_f">'Verification Report'!$AS$818</definedName>
    <definedName name="vnt701_4_3_1_g">'Verification Report'!$AS$819</definedName>
    <definedName name="vnt701_4_3_1_h">'Verification Report'!$AS$820</definedName>
    <definedName name="vnt701_4_3_1_i">'Verification Report'!$AS$821</definedName>
    <definedName name="vnt701_4_3_1_j">'Verification Report'!$AS$822</definedName>
    <definedName name="vnt701_4_3_1_k">'Verification Report'!$AS$823</definedName>
    <definedName name="vnt701_4_3_1_l">'Verification Report'!$AS$824</definedName>
    <definedName name="vnt701_4_3_2_1_">'Verification Report'!$AS$828</definedName>
    <definedName name="vnt701_4_3_2_1_1">'Verification Report'!$AS$848</definedName>
    <definedName name="vnt701_4_3_2_1_10">'Verification Report'!$AS$865</definedName>
    <definedName name="vnt701_4_3_2_1_11">'Verification Report'!$AS$868</definedName>
    <definedName name="vnt701_4_3_2_1_2">'Verification Report'!$AS$849</definedName>
    <definedName name="vnt701_4_3_2_1_3">'Verification Report'!$AS$851</definedName>
    <definedName name="vnt701_4_3_2_1_4">'Verification Report'!$AS$852</definedName>
    <definedName name="vnt701_4_3_2_1_5">'Verification Report'!$AS$856</definedName>
    <definedName name="vnt701_4_3_2_1_6">'Verification Report'!$AS$858</definedName>
    <definedName name="vnt701_4_3_2_1_7">'Verification Report'!$AS$861</definedName>
    <definedName name="vnt701_4_3_2_1_8">'Verification Report'!$AS$863</definedName>
    <definedName name="vnt701_4_3_2_1_9">'Verification Report'!$AS$864</definedName>
    <definedName name="vnt701_4_3_2_1_a">'Verification Report'!$AS$833</definedName>
    <definedName name="vnt701_4_3_2_1_b">'Verification Report'!$AS$834</definedName>
    <definedName name="vnt701_4_3_2_1_c">'Verification Report'!$AS$836</definedName>
    <definedName name="vnt701_4_3_2_1_d">'Verification Report'!$AS$837</definedName>
    <definedName name="vnt701_4_3_2_1_e">'Verification Report'!$AS$839</definedName>
    <definedName name="vnt701_4_3_2_1_f">'Verification Report'!$AS$840</definedName>
    <definedName name="vnt701_4_3_2_1_g">'Verification Report'!$AS$841</definedName>
    <definedName name="vnt701_4_3_2_1_h">'Verification Report'!$AS$842</definedName>
    <definedName name="vnt701_4_3_2_2">'Verification Report'!$AS$844</definedName>
    <definedName name="vnt701_4_3_2e">'Verification Report'!$AS$831</definedName>
    <definedName name="vnt701_4_3_3_3">'Verification Report'!$AS$871</definedName>
    <definedName name="vnt701_4_3_3_4">'Verification Report'!$AS$874</definedName>
    <definedName name="vnt701_4_3_3_5">'Verification Report'!$AS$880</definedName>
    <definedName name="vnt701_4_4_1">'Verification Report'!$AS$888</definedName>
    <definedName name="vnt701_4_4_2">'Verification Report'!$AS$890</definedName>
    <definedName name="vnt701_4_5">'Verification Report'!$AS$891</definedName>
    <definedName name="vnt701_4_6">'Verification Report'!$AS$893</definedName>
    <definedName name="vnt701_4_7">'Verification Report'!$AS$897</definedName>
    <definedName name="vnt901_1_1">'Verification Report'!$AS$913</definedName>
    <definedName name="vnt901_1_2">'Verification Report'!$AS$919</definedName>
    <definedName name="vnt901_1_3_1">'Verification Report'!$AS$924</definedName>
    <definedName name="vnt901_1_3_2">'Verification Report'!$AS$927</definedName>
    <definedName name="vnt901_1_4">'Verification Report'!$AS$930</definedName>
    <definedName name="vnt901_1_5">'Verification Report'!$AS$934</definedName>
    <definedName name="vnt901_1_6">'Verification Report'!$AS$937</definedName>
    <definedName name="vnt901_10_1">'Verification Report'!$AS$1056</definedName>
    <definedName name="vnt901_10_2">'Verification Report'!$AS$1061</definedName>
    <definedName name="vnt901_10_3">'Verification Report'!$AS$1062</definedName>
    <definedName name="vnt901_11">'Verification Report'!$AS$1066</definedName>
    <definedName name="vnt901_12">'Verification Report'!$AS$1071</definedName>
    <definedName name="vnt901_13">'Verification Report'!$AS$1073</definedName>
    <definedName name="vnt901_14_1">'Verification Report'!$AS$1079</definedName>
    <definedName name="vnt901_14_2">'Verification Report'!$AS$1081</definedName>
    <definedName name="vnt901_15">'Verification Report'!$AS$1083</definedName>
    <definedName name="vnt901_2_1_1">'Verification Report'!$AS$943</definedName>
    <definedName name="vnt901_2_1_2">'Verification Report'!$AS$946</definedName>
    <definedName name="vnt901_2_1_3">'Verification Report'!$AS$948</definedName>
    <definedName name="vnt901_2_1_4">'Verification Report'!$AS$951</definedName>
    <definedName name="vnt901_2_1_5">'Verification Report'!$AS$953</definedName>
    <definedName name="vnt901_2_2">'Verification Report'!$AS$955</definedName>
    <definedName name="vnt901_3_1_a">'Verification Report'!$AS$958</definedName>
    <definedName name="vnt901_3_1_b">'Verification Report'!$AS$960</definedName>
    <definedName name="vnt901_3_1_c">'Verification Report'!$AS$962</definedName>
    <definedName name="vnt901_3_2">'Verification Report'!$AS$968</definedName>
    <definedName name="vnt901_4_1">'Verification Report'!$AS$973</definedName>
    <definedName name="vnt901_4_a">'Verification Report'!$AS$978</definedName>
    <definedName name="vnt901_5_1">'Verification Report'!$AS$992</definedName>
    <definedName name="vnt901_5_2">'Verification Report'!$AS$994</definedName>
    <definedName name="vnt901_6">'Verification Report'!$AS$997</definedName>
    <definedName name="vnt901_7_1">'Verification Report'!$AS$1006</definedName>
    <definedName name="vnt901_7_2">'Verification Report'!$AS$1017</definedName>
    <definedName name="vnt901_8">'Verification Report'!$AS$1021</definedName>
    <definedName name="vnt901_9">'Verification Report'!$AS$1027</definedName>
    <definedName name="vnt901_9_1_1">'Verification Report'!$AS$1033</definedName>
    <definedName name="vnt901_9_1_2">'Verification Report'!$AS$1035</definedName>
    <definedName name="vnt901_9_1_3">'Verification Report'!$AS$1036</definedName>
    <definedName name="vnt901_9_2">'Verification Report'!$AS$1038</definedName>
    <definedName name="vnt901_9_3">'Verification Report'!$AS$1043</definedName>
    <definedName name="vnt901_9_4">'Verification Report'!$AS$1049</definedName>
    <definedName name="vnt902_1_1">'Verification Report'!$AS$1089</definedName>
    <definedName name="vnt902_1_1_a">'Verification Report'!$AS$1091</definedName>
    <definedName name="vnt902_1_2">'Verification Report'!$AS$1098</definedName>
    <definedName name="vnt902_1_2_">'Verification Report'!$AS$1093</definedName>
    <definedName name="vnt902_1_3">'Verification Report'!$AS$1102</definedName>
    <definedName name="vnt902_1_3_">'Verification Report'!$AS$1095</definedName>
    <definedName name="vnt902_1_4">'Verification Report'!$AS$1106</definedName>
    <definedName name="vnt902_1_5_1">'Verification Report'!$AS$1113</definedName>
    <definedName name="vnt902_1_5_2">'Verification Report'!$AS$1115</definedName>
    <definedName name="vnt902_1_5_3">'Verification Report'!$AS$1117</definedName>
    <definedName name="vnt902_2_1">'Verification Report'!$AS$1121</definedName>
    <definedName name="vnt902_2_2">'Verification Report'!$AS$1131</definedName>
    <definedName name="vnt902_2_3">'Verification Report'!$AS$1133</definedName>
    <definedName name="vnt902_2_4">'Verification Report'!$AS$1136</definedName>
    <definedName name="vnt902_3">'Verification Report'!$AS$1139</definedName>
    <definedName name="vnt902_4_1">'Verification Report'!$AS$1149</definedName>
    <definedName name="vnt902_4_2">'Verification Report'!$AS$1151</definedName>
    <definedName name="vnt902_5">'Verification Report'!$AS$1154</definedName>
    <definedName name="vnt902_6">'Verification Report'!$AS$1156</definedName>
    <definedName name="vnt903_1">'Verification Report'!$AS$1160</definedName>
    <definedName name="vnt903_2">'Verification Report'!$AS$1164</definedName>
    <definedName name="vnt903_3">'Verification Report'!$AS$1168</definedName>
    <definedName name="vnt904_1">'Verification Report'!$AS$1176</definedName>
    <definedName name="vnt904_2">'Verification Report'!$AS$1181</definedName>
    <definedName name="vnt905_1">'Verification Report'!$AS$1185</definedName>
    <definedName name="vnt905_2">'Verification Report'!$AS$1190</definedName>
    <definedName name="vpa1001_1">'Verification Report'!$AM$1195</definedName>
    <definedName name="vpa1001_1_1">'Verification Report'!$AM$1198</definedName>
    <definedName name="vpa1001_1_2">'Verification Report'!$AM$1199</definedName>
    <definedName name="vpa1001_1_3">'Verification Report'!$AM$1200</definedName>
    <definedName name="vpa1001_2">'Verification Report'!$AM$1245</definedName>
    <definedName name="vpa1002_1">'Verification Report'!$AM$1263</definedName>
    <definedName name="vpa1002_1_1">'Verification Report'!$AM$1266</definedName>
    <definedName name="vpa1002_1_2">'Verification Report'!$AM$1269</definedName>
    <definedName name="vpa1002_1_3">'Verification Report'!$AM$1272</definedName>
    <definedName name="vpa1002_2">'Verification Report'!$AM$1281</definedName>
    <definedName name="vpa1002_2_1">'Verification Report'!$AM$1285</definedName>
    <definedName name="vpa1002_2_2">'Verification Report'!$AM$1287</definedName>
    <definedName name="vpa1002_3">'Verification Report'!$AM$1308</definedName>
    <definedName name="vpa1002_3_1">'Verification Report'!$AM$1312</definedName>
    <definedName name="vpa1002_4">'Verification Report'!$AM$1334</definedName>
    <definedName name="vpa1003_1">'Verification Report'!$AM$1350</definedName>
    <definedName name="vpa1003_1_1">'Verification Report'!$AM$1351</definedName>
    <definedName name="vpa1003_1_2">'Verification Report'!$AM$1353</definedName>
    <definedName name="vpa1003_1_3">'Verification Report'!$AM$1356</definedName>
    <definedName name="vpa501_2_1">'Verification Report'!$AM$15</definedName>
    <definedName name="vpa501_2_2">'Verification Report'!$AM$17</definedName>
    <definedName name="vpa501_2_3">'Verification Report'!$AM$19</definedName>
    <definedName name="vpa501_2_4">'Verification Report'!$AM$28</definedName>
    <definedName name="vpa501_2_5">'Verification Report'!$AM$28</definedName>
    <definedName name="vpa501_2_5_a">'Verification Report'!$AM$33</definedName>
    <definedName name="vpa501_2_5_b">'Verification Report'!$AM$34</definedName>
    <definedName name="vpa501_2_5_c">'Verification Report'!$AM$35</definedName>
    <definedName name="vpa501_2_6_a">'Verification Report'!$AM$33</definedName>
    <definedName name="vpa501_2_6_b">'Verification Report'!$AM$34</definedName>
    <definedName name="vpa501_2_6_c">'Verification Report'!$AM$35</definedName>
    <definedName name="vpa502_1">'Verification Report'!$AM$37</definedName>
    <definedName name="vpa503_1_1">'Verification Report'!$AM$49</definedName>
    <definedName name="vpa503_1_2">'Verification Report'!$AM$50</definedName>
    <definedName name="vpa503_1_3">'Verification Report'!$AM$52</definedName>
    <definedName name="vpa503_1_4">'Verification Report'!$AM$54</definedName>
    <definedName name="vpa503_1_5">'Verification Report'!$AM$55</definedName>
    <definedName name="vpa503_1_6">'Verification Report'!$AM$56</definedName>
    <definedName name="vpa503_1_7">'Verification Report'!$AM$58</definedName>
    <definedName name="vpa503_2_1">'Verification Report'!$AM$62</definedName>
    <definedName name="vpa503_2_2">'Verification Report'!$AM$63</definedName>
    <definedName name="vpa503_2_3_a">'Verification Report'!$AM$67</definedName>
    <definedName name="vpa503_2_3_b">'Verification Report'!$AM$68</definedName>
    <definedName name="vpa503_2_3_c">'Verification Report'!$AM$69</definedName>
    <definedName name="vpa503_2_4">'Verification Report'!$AM$70</definedName>
    <definedName name="vpa503_2_5">'Verification Report'!$AM$72</definedName>
    <definedName name="vpa503_3_1">'Verification Report'!$AM$76</definedName>
    <definedName name="vpa503_3_2">'Verification Report'!$AM$78</definedName>
    <definedName name="vpa503_3_3">'Verification Report'!$AM$85</definedName>
    <definedName name="vpa503_4_1">'Verification Report'!$AM$93</definedName>
    <definedName name="vpa503_4_2_a">'Verification Report'!$AM$100</definedName>
    <definedName name="vpa503_4_2_b">'Verification Report'!$AM$101</definedName>
    <definedName name="vpa503_4_2_c">'Verification Report'!$AM$102</definedName>
    <definedName name="vpa503_4_3_a">'Verification Report'!$AM$105</definedName>
    <definedName name="vpa503_4_3_b">'Verification Report'!$AM$106</definedName>
    <definedName name="vpa503_4_3_c">'Verification Report'!$AM$107</definedName>
    <definedName name="vpa503_4_4_a">'Verification Report'!$AM$105</definedName>
    <definedName name="vpa503_4_4_b">'Verification Report'!$AM$106</definedName>
    <definedName name="vpa503_4_4_c">'Verification Report'!$AM$107</definedName>
    <definedName name="vpa503_5_1_a">'Verification Report'!$AM$114</definedName>
    <definedName name="vpa503_5_1_b">'Verification Report'!$AM$115</definedName>
    <definedName name="vpa503_5_1_c">'Verification Report'!$AM$116</definedName>
    <definedName name="vpa503_5_1_d">'Verification Report'!$AM$117</definedName>
    <definedName name="vpa503_5_10">'Verification Report'!$AM$140</definedName>
    <definedName name="vpa503_5_11">'Verification Report'!$AM$142</definedName>
    <definedName name="vpa503_5_12">'Verification Report'!$AM$144</definedName>
    <definedName name="vpa503_5_2">'Verification Report'!$AM$118</definedName>
    <definedName name="vpa503_5_3">'Verification Report'!$AM$120</definedName>
    <definedName name="vpa503_5_4">'Verification Report'!$AM$122</definedName>
    <definedName name="vpa503_5_5_a">'Verification Report'!$AM$125</definedName>
    <definedName name="vpa503_5_5_b">'Verification Report'!$AM$126</definedName>
    <definedName name="vpa503_5_5_c">'Verification Report'!$AM$127</definedName>
    <definedName name="vpa503_5_5_d">'Verification Report'!$AM$128</definedName>
    <definedName name="vpa503_5_6">'Verification Report'!$AM$129</definedName>
    <definedName name="vpa503_5_7">'Verification Report'!$AM$130</definedName>
    <definedName name="vpa503_5_8">'Verification Report'!$AM$135</definedName>
    <definedName name="vpa503_5_9">'Verification Report'!$AM$137</definedName>
    <definedName name="vpa503_6_1">'Verification Report'!$AM$148</definedName>
    <definedName name="vpa503_6_2">'Verification Report'!$AM$149</definedName>
    <definedName name="vpa503_6_3">'Verification Report'!$AM$150</definedName>
    <definedName name="vpa503_6_4">'Verification Report'!$AM$152</definedName>
    <definedName name="vpa503_7_1">'Verification Report'!$AM$155</definedName>
    <definedName name="vpa503_7_2">'Verification Report'!$AM$157</definedName>
    <definedName name="vpa504_1">'Verification Report'!$AM$162</definedName>
    <definedName name="vpa504_2_1">'Verification Report'!$AM$169</definedName>
    <definedName name="vpa504_2_2">'Verification Report'!$AM$170</definedName>
    <definedName name="vpa504_2_3">'Verification Report'!$AM$172</definedName>
    <definedName name="vpa504_3_1">'Verification Report'!$AM$177</definedName>
    <definedName name="vpa504_3_2">'Verification Report'!$AM$179</definedName>
    <definedName name="vpa504_3_3">'Verification Report'!$AM$180</definedName>
    <definedName name="vpa504_3_4">'Verification Report'!$AM$182</definedName>
    <definedName name="vpa504_3_5">'Verification Report'!$AM$184</definedName>
    <definedName name="vpa504_3_6">'Verification Report'!$AM$188</definedName>
    <definedName name="vpa504_3_7">'Verification Report'!$AM$191</definedName>
    <definedName name="vpa504_3_8">'Verification Report'!$AM$192</definedName>
    <definedName name="vpa505_1_1">'Verification Report'!$AM$206</definedName>
    <definedName name="vpa505_1_2">'Verification Report'!$AM$208</definedName>
    <definedName name="vpa505_1_3_a">'Verification Report'!$AM$210</definedName>
    <definedName name="vpa505_1_3_b">'Verification Report'!$AM$211</definedName>
    <definedName name="vpa505_1_3_c">'Verification Report'!$AM$212</definedName>
    <definedName name="vpa505_1_4_a">'Verification Report'!$AM$215</definedName>
    <definedName name="vpa505_1_4_b">'Verification Report'!$AM$216</definedName>
    <definedName name="vpa505_1_4_c">'Verification Report'!$AM$217</definedName>
    <definedName name="vpa505_2_1">'Verification Report'!$AM$219</definedName>
    <definedName name="vpa505_2_2">'Verification Report'!$AM$229</definedName>
    <definedName name="vpa505_3_1">'Verification Report'!$AM$233</definedName>
    <definedName name="vpa505_3_2">'Verification Report'!$AM$234</definedName>
    <definedName name="vpa505_3_3">'Verification Report'!$AM$235</definedName>
    <definedName name="vpa505_3_4">'Verification Report'!$AM$236</definedName>
    <definedName name="vpa505_3_5">'Verification Report'!$AM$237</definedName>
    <definedName name="vpa505_4">'Verification Report'!$AM$238</definedName>
    <definedName name="vpa505_5">'Verification Report'!$AM$239</definedName>
    <definedName name="vpa505_6">'Verification Report'!$AM$242</definedName>
    <definedName name="vpa601_1_1">'Verification Report'!$AM$257</definedName>
    <definedName name="vpa601_1_2">'Verification Report'!$AM$258</definedName>
    <definedName name="vpa601_1_3">'Verification Report'!$AM$259</definedName>
    <definedName name="vpa601_1_4">'Verification Report'!$AM$260</definedName>
    <definedName name="vpa601_1_5">'Verification Report'!$AM$261</definedName>
    <definedName name="vpa601_2_1">'Verification Report'!$AM$271</definedName>
    <definedName name="vpa601_2_2">'Verification Report'!$AM$274</definedName>
    <definedName name="vpa601_2_3">'Verification Report'!$AM$277</definedName>
    <definedName name="vpa601_3_1">'Verification Report'!$AM$283</definedName>
    <definedName name="vpa601_3_2">'Verification Report'!$AM$284</definedName>
    <definedName name="vpa601_3_3">'Verification Report'!$AM$285</definedName>
    <definedName name="vpa601_3_4">'Verification Report'!$AM$286</definedName>
    <definedName name="vpa601_3_5">'Verification Report'!$AM$287</definedName>
    <definedName name="vpa601_4">'Verification Report'!$AM$288</definedName>
    <definedName name="vpa601_5">'Verification Report'!$AM$291</definedName>
    <definedName name="vpa601_5_1">'Verification Report'!$AM$296</definedName>
    <definedName name="vpa601_5_2">'Verification Report'!$AM$297</definedName>
    <definedName name="vpa601_5_3">'Verification Report'!$AM$298</definedName>
    <definedName name="vpa601_5_4">'Verification Report'!$AM$299</definedName>
    <definedName name="vpa601_6">'Verification Report'!$AM$300</definedName>
    <definedName name="vpa601_6_1">'Verification Report'!$AM$303</definedName>
    <definedName name="vpa601_6_2">'Verification Report'!$AM$304</definedName>
    <definedName name="vpa601_7">'Verification Report'!$AM$305</definedName>
    <definedName name="vpa601_7_1">'Verification Report'!$AM$318</definedName>
    <definedName name="vpa601_7_2">'Verification Report'!$AM$319</definedName>
    <definedName name="vpa601_7_3">'Verification Report'!$AM$321</definedName>
    <definedName name="vpa601_8">'Verification Report'!$AM$323</definedName>
    <definedName name="vpa602_1_1_1">'Verification Report'!$AM$336</definedName>
    <definedName name="vpa602_1_1_2">'Verification Report'!$AM$340</definedName>
    <definedName name="vpa602_1_10">'Verification Report'!$AM$452</definedName>
    <definedName name="vpa602_1_11">'Verification Report'!$AM$465</definedName>
    <definedName name="vpa602_1_12">'Verification Report'!$AM$469</definedName>
    <definedName name="vpa602_1_13">'Verification Report'!$AM$472</definedName>
    <definedName name="vpa602_1_14_1">'Verification Report'!$AM$478</definedName>
    <definedName name="vpa602_1_14_2">'Verification Report'!$AM$480</definedName>
    <definedName name="vpa602_1_14_3">'Verification Report'!$AM$481</definedName>
    <definedName name="vpa602_1_2">'Verification Report'!$AM$343</definedName>
    <definedName name="vpa602_1_3_1">'Verification Report'!$AM$349</definedName>
    <definedName name="vpa602_1_3_2">'Verification Report'!$AM$352</definedName>
    <definedName name="vpa602_1_4_1_1">'Verification Report'!$AM$360</definedName>
    <definedName name="vpa602_1_4_1_2">'Verification Report'!$AM$362</definedName>
    <definedName name="vpa602_1_4_2_1">'Verification Report'!$AM$369</definedName>
    <definedName name="vpa602_1_4_2_2">'Verification Report'!$AM$371</definedName>
    <definedName name="vpa602_1_5_1">'Verification Report'!$AM$377</definedName>
    <definedName name="vpa602_1_5_2">'Verification Report'!$AM$379</definedName>
    <definedName name="vpa602_1_6_1">'Verification Report'!$AM$385</definedName>
    <definedName name="vpa602_1_6_2">'Verification Report'!$AM$389</definedName>
    <definedName name="vpa602_1_6_3">'Verification Report'!$AM$393</definedName>
    <definedName name="vpa602_1_7_1_1">'Verification Report'!$AM$398</definedName>
    <definedName name="vpa602_1_7_1_2">'Verification Report'!$AM$400</definedName>
    <definedName name="vpa602_1_7_1_3">'Verification Report'!$AM$403</definedName>
    <definedName name="vpa602_1_7_2">'Verification Report'!$AM$405</definedName>
    <definedName name="vpa602_1_7_3">'Verification Report'!$AM$407</definedName>
    <definedName name="vpa602_1_8">'Verification Report'!$AM$411</definedName>
    <definedName name="vpa602_1_9_1">'Verification Report'!$AM$423</definedName>
    <definedName name="vpa602_1_9_2">'Verification Report'!$AM$435</definedName>
    <definedName name="vpa602_1_9_3">'Verification Report'!$AM$438</definedName>
    <definedName name="vpa602_1_9_4">'Verification Report'!$AM$439</definedName>
    <definedName name="vpa602_1_9_5_a">'Verification Report'!$AM$444</definedName>
    <definedName name="vpa602_1_9_5_b">'Verification Report'!$AM$447</definedName>
    <definedName name="vpa602_1_9_6">'Verification Report'!$AM$449</definedName>
    <definedName name="vpa602_1_9_7">'Verification Report'!$AM$451</definedName>
    <definedName name="vpa602_2">'Verification Report'!$AM$482</definedName>
    <definedName name="vpa602_3">'Verification Report'!$AM$492</definedName>
    <definedName name="vpa602_4_1">'Verification Report'!$AM$496</definedName>
    <definedName name="vpa602_4_2">'Verification Report'!$AM$501</definedName>
    <definedName name="vpa602_4_3">'Verification Report'!$AM$503</definedName>
    <definedName name="vpa603_1">'Verification Report'!$AM$507</definedName>
    <definedName name="vpa603_2">'Verification Report'!$AM$513</definedName>
    <definedName name="vpa603_3">'Verification Report'!$AM$520</definedName>
    <definedName name="vpa604_1a">'Verification Report'!$AM$524</definedName>
    <definedName name="vpa605_1">'Verification Report'!$AM$535</definedName>
    <definedName name="vpa605_2">'Verification Report'!$AM$538</definedName>
    <definedName name="vpa605_3">'Verification Report'!$AM$553</definedName>
    <definedName name="vpa605_3_1">'Verification Report'!$AM$564</definedName>
    <definedName name="vpa605_3_2">'Verification Report'!$AM$565</definedName>
    <definedName name="vpa605_4">'Verification Report'!$AM$562</definedName>
    <definedName name="vpa605_4_1">'Verification Report'!$AM$564</definedName>
    <definedName name="vpa605_4_2">'Verification Report'!$AM$565</definedName>
    <definedName name="vpa606_1_1">'Verification Report'!$AM$589</definedName>
    <definedName name="vpa606_1_2">'Verification Report'!$AM$591</definedName>
    <definedName name="vpa606_1_3">'Verification Report'!$AM$593</definedName>
    <definedName name="vpa606_2_1a">'Verification Report'!$AM$606</definedName>
    <definedName name="vpa606_2_2a">'Verification Report'!$AM$609</definedName>
    <definedName name="vpa606_3">'Verification Report'!$AM$612</definedName>
    <definedName name="vpa607_1_1">'Verification Report'!$AM$621</definedName>
    <definedName name="vpa607_1_2">'Verification Report'!$AM$623</definedName>
    <definedName name="vpa607_2">'Verification Report'!$AM$624</definedName>
    <definedName name="vpa608_1">'Verification Report'!$AM$627</definedName>
    <definedName name="vpa609_1a">'Verification Report'!$AM$636</definedName>
    <definedName name="vpa610_1_1_1">'Verification Report'!$AM$652</definedName>
    <definedName name="vpa610_1_1_2">'Verification Report'!$AM$661</definedName>
    <definedName name="vpa610_1_1_3">'Verification Report'!$AM$668</definedName>
    <definedName name="vpa610_1_2">'Verification Report'!$AM$670</definedName>
    <definedName name="vpa610_1_2_1">'Verification Report'!$AM$674</definedName>
    <definedName name="vpa610_1_2_2a">'Verification Report'!$AM$688</definedName>
    <definedName name="vpa611_1">'Verification Report'!$AM$713</definedName>
    <definedName name="vpa611_2">'Verification Report'!$AM$721</definedName>
    <definedName name="vpa611_2_1">'Verification Report'!$AM$724</definedName>
    <definedName name="vpa611_2_2">'Verification Report'!$AM$725</definedName>
    <definedName name="vpa611_2_3">'Verification Report'!$AM$726</definedName>
    <definedName name="vpa611_2_4">'Verification Report'!$AM$727</definedName>
    <definedName name="vpa611_2_5">'Verification Report'!$AM$728</definedName>
    <definedName name="vpa611_2_6">'Verification Report'!$AM$729</definedName>
    <definedName name="vpa611_2_7">'Verification Report'!$AM$730</definedName>
    <definedName name="vpa611_3">'Verification Report'!$AM$732</definedName>
    <definedName name="vpa611_3_1">'Verification Report'!$AM$734</definedName>
    <definedName name="vpa611_3_2">'Verification Report'!$AM$739</definedName>
    <definedName name="vpa611_3_3">'Verification Report'!$AM$743</definedName>
    <definedName name="vpa611_3_4">'Verification Report'!$AM$745</definedName>
    <definedName name="vpa611_3_5">'Verification Report'!$AM$747</definedName>
    <definedName name="vpa611_3_6">'Verification Report'!$AM$748</definedName>
    <definedName name="vpa611_3_7">'Verification Report'!$AM$749</definedName>
    <definedName name="vpa611_3_8">'Verification Report'!$AM$753</definedName>
    <definedName name="vpa611_3_9">'Verification Report'!$AM$755</definedName>
    <definedName name="vpa611_4">'Verification Report'!$AM$757</definedName>
    <definedName name="vpa701_4">'Verification Report'!$AM$780</definedName>
    <definedName name="vpa701_4_0">'Verification Report'!$AM$783</definedName>
    <definedName name="vpa701_4_1">'Verification Report'!$AM$799</definedName>
    <definedName name="vpa701_4_1_1">'Verification Report'!$AM$790</definedName>
    <definedName name="vpa701_4_1_2">'Verification Report'!$AM$793</definedName>
    <definedName name="vpa701_4_2_2">'Verification Report'!$AM$802</definedName>
    <definedName name="vpa701_4_2_3">'Verification Report'!$AM$805</definedName>
    <definedName name="vpa701_4_3_1">'Verification Report'!$AM$808</definedName>
    <definedName name="vpa701_4_3_2">'Verification Report'!$AM$825</definedName>
    <definedName name="vpa701_4_3_2_1">'Verification Report'!$AM$847</definedName>
    <definedName name="vpa701_4_3_3_4">'Verification Report'!$AM$874</definedName>
    <definedName name="vpa701_4_3_3_5">'Verification Report'!$AM$880</definedName>
    <definedName name="vpa701_4_4">'Verification Report'!$AM$886</definedName>
    <definedName name="vpa701_4_5">'Verification Report'!$AM$891</definedName>
    <definedName name="vpa701_4_6">'Verification Report'!$AM$893</definedName>
    <definedName name="vpa701_4_7">'Verification Report'!$AM$897</definedName>
    <definedName name="vpa901_1_1">'Verification Report'!$AM$913</definedName>
    <definedName name="vpa901_1_2">'Verification Report'!$AM$919</definedName>
    <definedName name="vpa901_1_3_1_a">'Verification Report'!$AM$925</definedName>
    <definedName name="vpa901_1_3_1_b">'Verification Report'!$AM$926</definedName>
    <definedName name="vpa901_1_3_2_a">'Verification Report'!$AM$928</definedName>
    <definedName name="vpa901_1_3_2_b">'Verification Report'!$AM$929</definedName>
    <definedName name="vpa901_1_4">'Verification Report'!$AM$930</definedName>
    <definedName name="vpa901_1_5">'Verification Report'!$AM$934</definedName>
    <definedName name="vpa901_1_6_1">'Verification Report'!$AM$938</definedName>
    <definedName name="vpa901_1_6_2">'Verification Report'!$AM$939</definedName>
    <definedName name="vpa901_10_1">'Verification Report'!$AM$1056</definedName>
    <definedName name="vpa901_10_2">'Verification Report'!$AM$1061</definedName>
    <definedName name="vpa901_10_3">'Verification Report'!$AM$1062</definedName>
    <definedName name="vpa901_11">'Verification Report'!$AM$1066</definedName>
    <definedName name="vpa901_12">'Verification Report'!$AM$1071</definedName>
    <definedName name="vpa901_13_1">'Verification Report'!$AM$1075</definedName>
    <definedName name="vpa901_13_2">'Verification Report'!$AM$1076</definedName>
    <definedName name="vpa901_14_1">'Verification Report'!$AM$1079</definedName>
    <definedName name="vpa901_14_2">'Verification Report'!$AM$1081</definedName>
    <definedName name="vpa901_15">'Verification Report'!$AM$1083</definedName>
    <definedName name="vpa901_2_1_1">'Verification Report'!$AM$944</definedName>
    <definedName name="vpa901_2_1_2">'Verification Report'!$AM$947</definedName>
    <definedName name="vpa901_2_1_3">'Verification Report'!$AM$949</definedName>
    <definedName name="vpa901_2_1_4">'Verification Report'!$AM$952</definedName>
    <definedName name="vpa901_2_1_5">'Verification Report'!$AM$954</definedName>
    <definedName name="vpa901_2_2">'Verification Report'!$AM$955</definedName>
    <definedName name="vpa901_3_1_a">'Verification Report'!$AM$959</definedName>
    <definedName name="vpa901_3_1_b">'Verification Report'!$AM$961</definedName>
    <definedName name="vpa901_3_1_c">'Verification Report'!$AM$962</definedName>
    <definedName name="vpa901_3_2">'Verification Report'!$AM$968</definedName>
    <definedName name="vpa901_4">'Verification Report'!$AM$969</definedName>
    <definedName name="vpa901_4_1">'Verification Report'!$AM$973</definedName>
    <definedName name="vpa901_4_2">'Verification Report'!$AM$982</definedName>
    <definedName name="vpa901_4_3">'Verification Report'!$AM$984</definedName>
    <definedName name="vpa901_4_4">'Verification Report'!$AM$985</definedName>
    <definedName name="vpa901_4_5">'Verification Report'!$AM$986</definedName>
    <definedName name="vpa901_4_6">'Verification Report'!$AM$988</definedName>
    <definedName name="vpa901_5_1">'Verification Report'!$AM$992</definedName>
    <definedName name="vpa901_5_2">'Verification Report'!$AM$994</definedName>
    <definedName name="vpa901_6">'Verification Report'!$AM$997</definedName>
    <definedName name="vpa901_7">'Verification Report'!$AM$999</definedName>
    <definedName name="vpa901_8">'Verification Report'!$AM$1021</definedName>
    <definedName name="vpa901_9_1">'Verification Report'!$AM$1031</definedName>
    <definedName name="vpa901_9_2">'Verification Report'!$AM$1038</definedName>
    <definedName name="vpa901_9_3">'Verification Report'!$AM$1043</definedName>
    <definedName name="vpa901_9_4">'Verification Report'!$AM$1049</definedName>
    <definedName name="vpa902_1_1_a">'Verification Report'!$AM$1091</definedName>
    <definedName name="vpa902_1_2">'Verification Report'!$AM$1098</definedName>
    <definedName name="vpa902_1_2_">'Verification Report'!$AM$1093</definedName>
    <definedName name="vpa902_1_2_1">'Verification Report'!$AM$1100</definedName>
    <definedName name="vpa902_1_2_2">'Verification Report'!$AM$1101</definedName>
    <definedName name="vpa902_1_3">'Verification Report'!$AM$1102</definedName>
    <definedName name="vpa902_1_3_">'Verification Report'!$AM$1095</definedName>
    <definedName name="vpa902_1_4">'Verification Report'!$AM$1106</definedName>
    <definedName name="vpa902_1_4_1">'Verification Report'!$AM$1107</definedName>
    <definedName name="vpa902_1_4_2">'Verification Report'!$AM$1109</definedName>
    <definedName name="vpa902_1_5">'Verification Report'!$AM$1111</definedName>
    <definedName name="vpa902_2_1">'Verification Report'!$AM$1121</definedName>
    <definedName name="vpa902_2_1_1">'Verification Report'!$AM$1125</definedName>
    <definedName name="vpa902_2_1_2">'Verification Report'!$AM$1127</definedName>
    <definedName name="vpa902_2_1_3">'Verification Report'!$AM$1129</definedName>
    <definedName name="vpa902_2_1_4">'Verification Report'!$AM$1130</definedName>
    <definedName name="vpa902_2_2">'Verification Report'!$AM$1131</definedName>
    <definedName name="vpa902_2_3">'Verification Report'!$AM$1133</definedName>
    <definedName name="vpa902_2_4">'Verification Report'!$AM$1136</definedName>
    <definedName name="vpa902_3_1">'Verification Report'!$AM$1142</definedName>
    <definedName name="vpa902_3_1_a">'Verification Report'!$AM$1143</definedName>
    <definedName name="vpa902_3_1_b">'Verification Report'!$AM$1144</definedName>
    <definedName name="vpa902_3_2_a">'Verification Report'!$AM$1146</definedName>
    <definedName name="vpa902_4">'Verification Report'!$AM$1147</definedName>
    <definedName name="vpa902_5">'Verification Report'!$AM$1154</definedName>
    <definedName name="vpa902_6">'Verification Report'!$AM$1156</definedName>
    <definedName name="vpa903_1_1_1">'Verification Report'!$AM$1161</definedName>
    <definedName name="vpa903_1_2_2">'Verification Report'!$AM$1163</definedName>
    <definedName name="vpa903_2_1">'Verification Report'!$AM$1165</definedName>
    <definedName name="vpa903_2_2">'Verification Report'!$AM$1166</definedName>
    <definedName name="vpa903_3">'Verification Report'!$AM$1168</definedName>
    <definedName name="vpa904_1">'Verification Report'!$AM$1176</definedName>
    <definedName name="vpa904_2">'Verification Report'!$AM$1181</definedName>
    <definedName name="vpa905_1">'Verification Report'!$AM$1185</definedName>
    <definedName name="vpa905_2">'Verification Report'!$AM$1190</definedName>
    <definedName name="vpc1001_1">'Verification Report'!$AO$1195</definedName>
    <definedName name="vpc1002_1">'Verification Report'!$AO$1263</definedName>
    <definedName name="vpc1002_2">'Verification Report'!$AO$1281</definedName>
    <definedName name="vpc1002_3">'Verification Report'!$AO$1308</definedName>
    <definedName name="vpc1003_1">'Verification Report'!$AO$1350</definedName>
    <definedName name="vpc501_2_1">'Verification Report'!$AO$15</definedName>
    <definedName name="vpc501_2_2">'Verification Report'!$AO$17</definedName>
    <definedName name="vpc501_2_3">'Verification Report'!$AO$19</definedName>
    <definedName name="vpc501_2_4">'Verification Report'!$AO$28</definedName>
    <definedName name="vpc501_2_5">'Verification Report'!$AO$31</definedName>
    <definedName name="vpc501_2_6">'Verification Report'!$AO$31</definedName>
    <definedName name="vpc502_1">'Verification Report'!$AO$37</definedName>
    <definedName name="vpc503_1_1">'Verification Report'!$AO$49</definedName>
    <definedName name="vpc503_1_2">'Verification Report'!$AO$50</definedName>
    <definedName name="vpc503_1_3">'Verification Report'!$AO$52</definedName>
    <definedName name="vpc503_1_4">'Verification Report'!$AO$54</definedName>
    <definedName name="vpc503_1_5">'Verification Report'!$AO$55</definedName>
    <definedName name="vpc503_1_6">'Verification Report'!$AO$56</definedName>
    <definedName name="vpc503_1_7">'Verification Report'!$AO$58</definedName>
    <definedName name="vpc503_2_1">'Verification Report'!$AO$62</definedName>
    <definedName name="vpc503_2_2">'Verification Report'!$AO$63</definedName>
    <definedName name="vpc503_2_3">'Verification Report'!$AO$65</definedName>
    <definedName name="vpc503_2_4">'Verification Report'!$AO$70</definedName>
    <definedName name="vpc503_2_5">'Verification Report'!$AO$72</definedName>
    <definedName name="vpc503_3_1">'Verification Report'!$AO$76</definedName>
    <definedName name="vpc503_3_2">'Verification Report'!$AO$78</definedName>
    <definedName name="vpc503_3_3">'Verification Report'!$AO$85</definedName>
    <definedName name="vpc503_4_1">'Verification Report'!$AO$93</definedName>
    <definedName name="vpc503_4_2">'Verification Report'!$AO$96</definedName>
    <definedName name="vpc503_4_3">'Verification Report'!$AO$103</definedName>
    <definedName name="vpc503_4_4">'Verification Report'!$AO$103</definedName>
    <definedName name="vpc503_5_1">'Verification Report'!$AO$112</definedName>
    <definedName name="vpc503_5_10">'Verification Report'!$AO$140</definedName>
    <definedName name="vpc503_5_11">'Verification Report'!$AO$142</definedName>
    <definedName name="vpc503_5_12">'Verification Report'!$AO$144</definedName>
    <definedName name="vpc503_5_2">'Verification Report'!$AO$118</definedName>
    <definedName name="vpc503_5_3">'Verification Report'!$AO$120</definedName>
    <definedName name="vpc503_5_4">'Verification Report'!$AO$122</definedName>
    <definedName name="vpc503_5_5">'Verification Report'!$AO$124</definedName>
    <definedName name="vpc503_5_6">'Verification Report'!$AO$129</definedName>
    <definedName name="vpc503_5_7">'Verification Report'!$AO$130</definedName>
    <definedName name="vpc503_5_8">'Verification Report'!$AO$135</definedName>
    <definedName name="vpc503_5_9">'Verification Report'!$AO$137</definedName>
    <definedName name="vpc503_6_1">'Verification Report'!$AO$148</definedName>
    <definedName name="vpc503_6_2">'Verification Report'!$AO$149</definedName>
    <definedName name="vpc503_6_3">'Verification Report'!$AO$150</definedName>
    <definedName name="vpc503_6_4">'Verification Report'!$AO$152</definedName>
    <definedName name="vpc503_7_1" localSheetId="31">'[1]Verification Report'!#REF!</definedName>
    <definedName name="vpc503_7_1">'Verification Report'!$AO$155</definedName>
    <definedName name="vpc503_7_2" localSheetId="31">'[1]Verification Report'!#REF!</definedName>
    <definedName name="vpc503_7_2">'Verification Report'!$AO$157</definedName>
    <definedName name="vpc504_1">'Verification Report'!$AO$162</definedName>
    <definedName name="vpc504_2_1">'Verification Report'!$AO$169</definedName>
    <definedName name="vpc504_2_2">'Verification Report'!$AO$170</definedName>
    <definedName name="vpc504_2_3">'Verification Report'!$AO$172</definedName>
    <definedName name="vpc504_3_1">'Verification Report'!$AO$177</definedName>
    <definedName name="vpc504_3_2">'Verification Report'!$AO$179</definedName>
    <definedName name="vpc504_3_3">'Verification Report'!$AO$180</definedName>
    <definedName name="vpc504_3_4">'Verification Report'!$AO$182</definedName>
    <definedName name="vpc504_3_5">'Verification Report'!$AO$184</definedName>
    <definedName name="vpc504_3_6">'Verification Report'!$AO$188</definedName>
    <definedName name="vpc504_3_7">'Verification Report'!$AO$191</definedName>
    <definedName name="vpc504_3_8">'Verification Report'!$AO$192</definedName>
    <definedName name="vpc505_1_1">'Verification Report'!$AO$206</definedName>
    <definedName name="vpc505_1_2">'Verification Report'!$AO$208</definedName>
    <definedName name="vpc505_1_3">'Verification Report'!$AO$209</definedName>
    <definedName name="vpc505_1_4">'Verification Report'!$AO$213</definedName>
    <definedName name="vpc505_2_1">'Verification Report'!$AO$219</definedName>
    <definedName name="vpc505_2_2">'Verification Report'!$AO$229</definedName>
    <definedName name="vpc505_3">'Verification Report'!$AO$232</definedName>
    <definedName name="vpc505_4">'Verification Report'!$AO$238</definedName>
    <definedName name="vpc505_5">'Verification Report'!$AO$239</definedName>
    <definedName name="vpc505_6">'Verification Report'!$AO$242</definedName>
    <definedName name="vpc601_1">'Verification Report'!$AO$253</definedName>
    <definedName name="vpc601_2_1">'Verification Report'!$AO$271</definedName>
    <definedName name="vpc601_2_2">'Verification Report'!$AO$274</definedName>
    <definedName name="vpc601_2_3">'Verification Report'!$AO$277</definedName>
    <definedName name="vpc601_3_1">'Verification Report'!$AO$283</definedName>
    <definedName name="vpc601_3_2">'Verification Report'!$AO$284</definedName>
    <definedName name="vpc601_3_3">'Verification Report'!$AO$285</definedName>
    <definedName name="vpc601_3_4">'Verification Report'!$AO$286</definedName>
    <definedName name="vpc601_3_5">'Verification Report'!$AO$287</definedName>
    <definedName name="vpc601_4">'Verification Report'!$AO$288</definedName>
    <definedName name="vpc601_5_1">'Verification Report'!$AO$296</definedName>
    <definedName name="vpc601_5_2">'Verification Report'!$AO$297</definedName>
    <definedName name="vpc601_5_3">'Verification Report'!$AO$298</definedName>
    <definedName name="vpc601_5_4">'Verification Report'!$AO$299</definedName>
    <definedName name="vpc601_6">'Verification Report'!$AO$300</definedName>
    <definedName name="vpc601_7">'Verification Report'!$AO$305</definedName>
    <definedName name="vpc601_8">'Verification Report'!$AO$323</definedName>
    <definedName name="vpc602_1_1_2">'Verification Report'!$AO$340</definedName>
    <definedName name="vpc602_1_10">'Verification Report'!$AO$452</definedName>
    <definedName name="vpc602_1_12">'Verification Report'!$AO$469</definedName>
    <definedName name="vpc602_1_14_1">'Verification Report'!$AO$478</definedName>
    <definedName name="vpc602_1_14_2">'Verification Report'!$AO$480</definedName>
    <definedName name="vpc602_1_14_3">'Verification Report'!$AO$481</definedName>
    <definedName name="vpc602_1_2">'Verification Report'!$AO$343</definedName>
    <definedName name="vpc602_1_3_2">'Verification Report'!$AO$352</definedName>
    <definedName name="vpc602_1_4_1_1">'Verification Report'!$AO$360</definedName>
    <definedName name="vpc602_1_4_2_1">'Verification Report'!$AO$369</definedName>
    <definedName name="vpc602_1_5_1">'Verification Report'!$AO$377</definedName>
    <definedName name="vpc602_1_5_2">'Verification Report'!$AO$379</definedName>
    <definedName name="vpc602_1_6_1">'Verification Report'!$AO$385</definedName>
    <definedName name="vpc602_1_6_2">'Verification Report'!$AO$389</definedName>
    <definedName name="vpc602_1_6_3">'Verification Report'!$AO$393</definedName>
    <definedName name="vpc602_1_7_1_1">'Verification Report'!$AO$398</definedName>
    <definedName name="vpc602_1_7_1_2">'Verification Report'!$AO$400</definedName>
    <definedName name="vpc602_1_7_1_3">'Verification Report'!$AO$403</definedName>
    <definedName name="vpc602_1_7_2">'Verification Report'!$AO$405</definedName>
    <definedName name="vpc602_1_7_3">'Verification Report'!$AO$407</definedName>
    <definedName name="vpc602_1_9_2">'Verification Report'!$AO$435</definedName>
    <definedName name="vpc602_1_9_3">'Verification Report'!$AO$438</definedName>
    <definedName name="vpc602_1_9_4">'Verification Report'!$AO$439</definedName>
    <definedName name="vpc602_1_9_5">'Verification Report'!$AO$443</definedName>
    <definedName name="vpc602_1_9_6">'Verification Report'!$AO$449</definedName>
    <definedName name="vpc602_1_9_7">'Verification Report'!$AO$451</definedName>
    <definedName name="vpc602_2">'Verification Report'!$AO$482</definedName>
    <definedName name="vpc602_3">'Verification Report'!$AO$492</definedName>
    <definedName name="vpc602_4_2">'Verification Report'!$AO$501</definedName>
    <definedName name="vpc602_4_3">'Verification Report'!$AO$503</definedName>
    <definedName name="vpc603_1">'Verification Report'!$AO$507</definedName>
    <definedName name="vpc603_2">'Verification Report'!$AO$513</definedName>
    <definedName name="vpc603_3">'Verification Report'!$AO$520</definedName>
    <definedName name="vpc604_1a">'Verification Report'!$AO$524</definedName>
    <definedName name="vpc605_1">'Verification Report'!$AO$538</definedName>
    <definedName name="vpc605_2">'Verification Report'!$AO$538</definedName>
    <definedName name="vpc605_3">'Verification Report'!$AO$553</definedName>
    <definedName name="vpc605_4">'Verification Report'!$AO$562</definedName>
    <definedName name="vpc606_1">'Verification Report'!$AO$578</definedName>
    <definedName name="vpc606_2_1a">'Verification Report'!$AO$606</definedName>
    <definedName name="vpc606_2_2a">'Verification Report'!$AO$609</definedName>
    <definedName name="vpc606_3">'Verification Report'!$AO$612</definedName>
    <definedName name="vpc607_1_1">'Verification Report'!$AO$621</definedName>
    <definedName name="vpc607_1_2">'Verification Report'!$AO$623</definedName>
    <definedName name="vpc607_2">'Verification Report'!$AO$624</definedName>
    <definedName name="vpc608_1">'Verification Report'!$AO$627</definedName>
    <definedName name="vpc609_1a">'Verification Report'!$AO$636</definedName>
    <definedName name="vpc610_1_1_1">'Verification Report'!$AO$652</definedName>
    <definedName name="vpc610_1_1_2">'Verification Report'!$AO$661</definedName>
    <definedName name="vpc610_1_1_3">'Verification Report'!$AO$668</definedName>
    <definedName name="vpc610_1_2">'Verification Report'!$AO$670</definedName>
    <definedName name="vpc611_1">'Verification Report'!$AO$713</definedName>
    <definedName name="vpc611_2">'Verification Report'!$AO$721</definedName>
    <definedName name="vpc611_3">'Verification Report'!$AO$732</definedName>
    <definedName name="vpc611_4">'Verification Report'!$AO$757</definedName>
    <definedName name="vpc901_1_1">'Verification Report'!$AO$913</definedName>
    <definedName name="vpc901_1_2">'Verification Report'!$AO$919</definedName>
    <definedName name="vpc901_1_3_1">'Verification Report'!$AO$924</definedName>
    <definedName name="vpc901_1_3_2">'Verification Report'!$AO$927</definedName>
    <definedName name="vpc901_1_5">'Verification Report'!$AO$934</definedName>
    <definedName name="vpc901_1_6">'Verification Report'!$AO$937</definedName>
    <definedName name="vpc901_10">'Verification Report'!$AO$1052</definedName>
    <definedName name="vpc901_11">'Verification Report'!$AO$1066</definedName>
    <definedName name="vpc901_13">'Verification Report'!$AO$1073</definedName>
    <definedName name="vpc901_14_1">'Verification Report'!$AO$1079</definedName>
    <definedName name="vpc901_14_2">'Verification Report'!$AO$1081</definedName>
    <definedName name="vpc901_2_1_1">'Verification Report'!$AO$943</definedName>
    <definedName name="vpc901_2_1_2">'Verification Report'!$AO$946</definedName>
    <definedName name="vpc901_2_1_3">'Verification Report'!$AO$948</definedName>
    <definedName name="vpc901_2_1_4">'Verification Report'!$AO$951</definedName>
    <definedName name="vpc901_2_1_5">'Verification Report'!$AO$953</definedName>
    <definedName name="vpc901_2_2">'Verification Report'!$AO$955</definedName>
    <definedName name="vpc901_3_1_a">'Verification Report'!$AO$958</definedName>
    <definedName name="vpc901_3_1_b">'Verification Report'!$AO$960</definedName>
    <definedName name="vpc901_3_1_c">'Verification Report'!$AO$962</definedName>
    <definedName name="vpc901_3_2">'Verification Report'!$AO$968</definedName>
    <definedName name="vpc901_4">'Verification Report'!$AO$969</definedName>
    <definedName name="vpc901_5_1">'Verification Report'!$AO$992</definedName>
    <definedName name="vpc901_5_2">'Verification Report'!$AO$994</definedName>
    <definedName name="vpc901_7">'Verification Report'!$AO$999</definedName>
    <definedName name="vpc901_8">'Verification Report'!$AO$1021</definedName>
    <definedName name="vpc901_9_1">'Verification Report'!$AO$1031</definedName>
    <definedName name="vpc901_9_2">'Verification Report'!$AO$1038</definedName>
    <definedName name="vpc901_9_3">'Verification Report'!$AO$1043</definedName>
    <definedName name="vpc902_1_1_a">'Verification Report'!$AO$1091</definedName>
    <definedName name="vpc902_1_2">'Verification Report'!$AO$1098</definedName>
    <definedName name="vpc902_1_3">'Verification Report'!$AO$1102</definedName>
    <definedName name="vpc902_1_3_">'Verification Report'!$AO$1095</definedName>
    <definedName name="vpc902_1_4">'Verification Report'!$AO$1106</definedName>
    <definedName name="vpc902_1_5">'Verification Report'!$AO$1111</definedName>
    <definedName name="vpc902_2_1">'Verification Report'!$AO$1121</definedName>
    <definedName name="vpc902_2_2">'Verification Report'!$AO$1131</definedName>
    <definedName name="vpc902_2_3">'Verification Report'!$AO$1133</definedName>
    <definedName name="vpc902_2_4">'Verification Report'!$AO$1136</definedName>
    <definedName name="vpc902_3_1">'Verification Report'!$AO$1142</definedName>
    <definedName name="vpc902_3_2_a">'Verification Report'!$AO$1146</definedName>
    <definedName name="vpc902_4">'Verification Report'!$AO$1147</definedName>
    <definedName name="vpc902_5">'Verification Report'!$AO$1154</definedName>
    <definedName name="vpc903_1">'Verification Report'!$AO$1160</definedName>
    <definedName name="vpc903_2">'Verification Report'!$AO$1164</definedName>
    <definedName name="vpc903_3">'Verification Report'!$AO$1168</definedName>
    <definedName name="vpc904_1">'Verification Report'!$AO$1176</definedName>
    <definedName name="vpc904_2">'Verification Report'!$AO$1181</definedName>
    <definedName name="vpc905_1">'Verification Report'!$AO$1185</definedName>
    <definedName name="vpc905_2">'Verification Report'!$AO$1190</definedName>
    <definedName name="Vpoints">Points!$N$21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49" i="16" l="1"/>
  <c r="G152" i="16"/>
  <c r="G150" i="16"/>
  <c r="G149" i="16"/>
  <c r="G148" i="16"/>
  <c r="A1344" i="66"/>
  <c r="A1341" i="66"/>
  <c r="A1339" i="66"/>
  <c r="A1322" i="66"/>
  <c r="A1233" i="66"/>
  <c r="A1178" i="66"/>
  <c r="A1173" i="66"/>
  <c r="A1169" i="66"/>
  <c r="A1164" i="66"/>
  <c r="A1152" i="66"/>
  <c r="A1148" i="66"/>
  <c r="A1144" i="66"/>
  <c r="A1142" i="66"/>
  <c r="A1139" i="66"/>
  <c r="A1137" i="66"/>
  <c r="A1134" i="66"/>
  <c r="A1130" i="66"/>
  <c r="A1124" i="66"/>
  <c r="A1121" i="66"/>
  <c r="A1119" i="66"/>
  <c r="A1109" i="66"/>
  <c r="A1090" i="66"/>
  <c r="A1083" i="66"/>
  <c r="A1081" i="66"/>
  <c r="A1079" i="66"/>
  <c r="A1077" i="66"/>
  <c r="A1071" i="66"/>
  <c r="A1059" i="66"/>
  <c r="A1054" i="66"/>
  <c r="A1037" i="66"/>
  <c r="A1031" i="66"/>
  <c r="A1026" i="66"/>
  <c r="A1009" i="66"/>
  <c r="A985" i="66"/>
  <c r="A982" i="66"/>
  <c r="A980" i="66"/>
  <c r="A961" i="66"/>
  <c r="A956" i="66"/>
  <c r="A950" i="66"/>
  <c r="A948" i="66"/>
  <c r="A946" i="66"/>
  <c r="A943" i="66"/>
  <c r="A941" i="66"/>
  <c r="A939" i="66"/>
  <c r="A936" i="66"/>
  <c r="A934" i="66"/>
  <c r="A931" i="66"/>
  <c r="A925" i="66"/>
  <c r="A922" i="66"/>
  <c r="A918" i="66"/>
  <c r="A907" i="66"/>
  <c r="A901" i="66"/>
  <c r="A893" i="66"/>
  <c r="A889" i="66"/>
  <c r="A887" i="66"/>
  <c r="A876" i="66"/>
  <c r="A870" i="66"/>
  <c r="A867" i="66"/>
  <c r="A843" i="66"/>
  <c r="A840" i="66"/>
  <c r="A824" i="66"/>
  <c r="A803" i="66"/>
  <c r="A801" i="66"/>
  <c r="A798" i="66"/>
  <c r="A795" i="66"/>
  <c r="A789" i="66"/>
  <c r="A786" i="66"/>
  <c r="A779" i="66"/>
  <c r="A772" i="66"/>
  <c r="A770" i="66" s="1"/>
  <c r="A762" i="66"/>
  <c r="A761" i="66"/>
  <c r="A712" i="66"/>
  <c r="A626" i="66"/>
  <c r="A623" i="66"/>
  <c r="A611" i="66"/>
  <c r="A552" i="66"/>
  <c r="A537" i="66"/>
  <c r="A534" i="66"/>
  <c r="A519" i="66"/>
  <c r="A512" i="66"/>
  <c r="A506" i="66"/>
  <c r="A502" i="66"/>
  <c r="A500" i="66"/>
  <c r="A495" i="66"/>
  <c r="A491" i="66"/>
  <c r="A471" i="66"/>
  <c r="A468" i="66"/>
  <c r="A464" i="66"/>
  <c r="A410" i="66"/>
  <c r="A406" i="66"/>
  <c r="A404" i="66"/>
  <c r="A402" i="66"/>
  <c r="A399" i="66"/>
  <c r="A397" i="66"/>
  <c r="A370" i="66"/>
  <c r="A368" i="66"/>
  <c r="A351" i="66"/>
  <c r="A348" i="66"/>
  <c r="A339" i="66"/>
  <c r="A335" i="66"/>
  <c r="A322" i="66"/>
  <c r="A298" i="66"/>
  <c r="A297" i="66"/>
  <c r="A296" i="66"/>
  <c r="A295" i="66"/>
  <c r="A290" i="66" s="1"/>
  <c r="A287" i="66"/>
  <c r="A276" i="66"/>
  <c r="A273" i="66"/>
  <c r="A270" i="66"/>
  <c r="A241" i="66"/>
  <c r="A238" i="66"/>
  <c r="A237" i="66"/>
  <c r="A231" i="66"/>
  <c r="A228" i="66"/>
  <c r="A212" i="66"/>
  <c r="A208" i="66"/>
  <c r="A207" i="66"/>
  <c r="A205" i="66"/>
  <c r="A190" i="66"/>
  <c r="A187" i="66"/>
  <c r="A183" i="66"/>
  <c r="A181" i="66"/>
  <c r="A179" i="66"/>
  <c r="A178" i="66"/>
  <c r="A176" i="66"/>
  <c r="A171" i="66"/>
  <c r="A169" i="66"/>
  <c r="A168" i="66"/>
  <c r="A161" i="66"/>
  <c r="A156" i="66"/>
  <c r="A154" i="66"/>
  <c r="A143" i="66"/>
  <c r="A141" i="66"/>
  <c r="A139" i="66"/>
  <c r="A136" i="66"/>
  <c r="A134" i="66"/>
  <c r="A129" i="66"/>
  <c r="A128" i="66"/>
  <c r="A123" i="66"/>
  <c r="A121" i="66"/>
  <c r="A119" i="66"/>
  <c r="A117" i="66"/>
  <c r="A111" i="66"/>
  <c r="A102" i="66"/>
  <c r="A95" i="66"/>
  <c r="A92" i="66"/>
  <c r="A84" i="66"/>
  <c r="A83" i="66"/>
  <c r="A82" i="66"/>
  <c r="A80" i="66"/>
  <c r="A79" i="66"/>
  <c r="A75" i="66"/>
  <c r="A71" i="66"/>
  <c r="A69" i="66"/>
  <c r="A64" i="66"/>
  <c r="A62" i="66"/>
  <c r="A61" i="66"/>
  <c r="A57" i="66"/>
  <c r="A55" i="66"/>
  <c r="A54" i="66"/>
  <c r="A53" i="66"/>
  <c r="A51" i="66"/>
  <c r="A49" i="66"/>
  <c r="A48" i="66"/>
  <c r="A36" i="66"/>
  <c r="A30" i="66"/>
  <c r="A27" i="66"/>
  <c r="A18" i="66"/>
  <c r="A16" i="66"/>
  <c r="A14" i="66"/>
  <c r="AL11" i="25" l="1"/>
  <c r="AS11" i="25"/>
  <c r="Y780" i="16" l="1"/>
  <c r="AL780" i="16"/>
  <c r="AS780" i="16"/>
  <c r="AR780" i="16"/>
  <c r="AQ781" i="16"/>
  <c r="AP781" i="16"/>
  <c r="U781" i="16"/>
  <c r="T781" i="16"/>
  <c r="AD781" i="16" s="1"/>
  <c r="R781" i="16"/>
  <c r="AE781" i="16" s="1"/>
  <c r="AF781" i="16" s="1"/>
  <c r="R12" i="25"/>
  <c r="AR11" i="25"/>
  <c r="AQ12" i="25"/>
  <c r="AP12" i="25"/>
  <c r="U12" i="25"/>
  <c r="CB4" i="2" s="1"/>
  <c r="T12" i="25"/>
  <c r="AD12" i="25" s="1"/>
  <c r="AE12" i="25" l="1"/>
  <c r="M11" i="25"/>
  <c r="AM11" i="25" s="1"/>
  <c r="AC781" i="16"/>
  <c r="M780" i="16"/>
  <c r="AM780" i="16" s="1"/>
  <c r="AC12" i="25"/>
  <c r="AQ57" i="25" l="1"/>
  <c r="AP57" i="25"/>
  <c r="R105" i="25"/>
  <c r="R78" i="25"/>
  <c r="R75" i="25"/>
  <c r="R874" i="16"/>
  <c r="AQ826" i="16"/>
  <c r="AP826" i="16"/>
  <c r="R847" i="16"/>
  <c r="R844" i="16"/>
  <c r="S831" i="16" l="1"/>
  <c r="S828" i="16"/>
  <c r="S62" i="25"/>
  <c r="S59" i="25"/>
  <c r="K122" i="17" l="1"/>
  <c r="K114" i="17"/>
  <c r="K104" i="17"/>
  <c r="K92" i="17"/>
  <c r="H123" i="18" l="1"/>
  <c r="K123" i="18" s="1"/>
  <c r="J123" i="18" s="1"/>
  <c r="D123" i="18"/>
  <c r="H122" i="18"/>
  <c r="D122" i="18"/>
  <c r="H121" i="18"/>
  <c r="D121" i="18"/>
  <c r="H120" i="18"/>
  <c r="D120" i="18"/>
  <c r="H119" i="18"/>
  <c r="D119" i="18"/>
  <c r="H118" i="18"/>
  <c r="D118" i="18"/>
  <c r="H117" i="18"/>
  <c r="D117" i="18"/>
  <c r="H116" i="18"/>
  <c r="D116" i="18"/>
  <c r="H115" i="18"/>
  <c r="D115" i="18"/>
  <c r="H114" i="18"/>
  <c r="D114" i="18"/>
  <c r="K169" i="18"/>
  <c r="E169" i="18"/>
  <c r="D169" i="18"/>
  <c r="K123" i="17"/>
  <c r="J123" i="17" s="1"/>
  <c r="L122" i="18"/>
  <c r="K121" i="17"/>
  <c r="J121" i="17" s="1"/>
  <c r="K120" i="17"/>
  <c r="L120" i="18" s="1"/>
  <c r="K119" i="17"/>
  <c r="J119" i="17" s="1"/>
  <c r="K118" i="17"/>
  <c r="L118" i="18" s="1"/>
  <c r="K117" i="17"/>
  <c r="J117" i="17" s="1"/>
  <c r="K116" i="17"/>
  <c r="L116" i="18" s="1"/>
  <c r="K115" i="17"/>
  <c r="J115" i="17" s="1"/>
  <c r="L114" i="18"/>
  <c r="J114" i="17"/>
  <c r="K169" i="17"/>
  <c r="E169" i="17"/>
  <c r="D169" i="17"/>
  <c r="L123" i="18" l="1"/>
  <c r="K116" i="18"/>
  <c r="J116" i="18" s="1"/>
  <c r="K118" i="18"/>
  <c r="J118" i="18" s="1"/>
  <c r="J116" i="17"/>
  <c r="K121" i="18"/>
  <c r="J121" i="18" s="1"/>
  <c r="K122" i="18"/>
  <c r="J122" i="18" s="1"/>
  <c r="L121" i="18"/>
  <c r="K120" i="18"/>
  <c r="J120" i="18" s="1"/>
  <c r="K117" i="18"/>
  <c r="J117" i="18" s="1"/>
  <c r="K114" i="18"/>
  <c r="J114" i="18" s="1"/>
  <c r="J120" i="17"/>
  <c r="J118" i="17"/>
  <c r="K115" i="18"/>
  <c r="J115" i="18" s="1"/>
  <c r="L115" i="18"/>
  <c r="L117" i="18"/>
  <c r="K119" i="18"/>
  <c r="J119" i="18" s="1"/>
  <c r="L119" i="18"/>
  <c r="J122" i="17"/>
  <c r="B47" i="66" l="1"/>
  <c r="AZ70" i="80"/>
  <c r="AZ69" i="80"/>
  <c r="AZ68" i="80"/>
  <c r="AZ67" i="80"/>
  <c r="AZ65" i="80"/>
  <c r="AZ64" i="80"/>
  <c r="AZ63" i="80"/>
  <c r="AZ62" i="80"/>
  <c r="AZ57" i="80"/>
  <c r="AZ56" i="80"/>
  <c r="AZ55" i="80"/>
  <c r="AZ54" i="80"/>
  <c r="AZ53" i="80"/>
  <c r="AZ51" i="80"/>
  <c r="AZ50" i="80"/>
  <c r="AZ49" i="80"/>
  <c r="AZ48" i="80"/>
  <c r="AZ47" i="80"/>
  <c r="AZ45" i="80"/>
  <c r="AZ44" i="80"/>
  <c r="AZ43" i="80"/>
  <c r="AZ42" i="80"/>
  <c r="AZ41" i="80"/>
  <c r="AZ39" i="80"/>
  <c r="AZ38" i="80"/>
  <c r="AZ37" i="80"/>
  <c r="AZ36" i="80"/>
  <c r="AZ35" i="80"/>
  <c r="AZ33" i="80"/>
  <c r="AZ32" i="80"/>
  <c r="AY70" i="80"/>
  <c r="AY69" i="80"/>
  <c r="AY68" i="80"/>
  <c r="AY67" i="80"/>
  <c r="AY65" i="80"/>
  <c r="AY64" i="80"/>
  <c r="AY63" i="80"/>
  <c r="AY62" i="80"/>
  <c r="AY57" i="80"/>
  <c r="AY56" i="80"/>
  <c r="AY55" i="80"/>
  <c r="AY54" i="80"/>
  <c r="AY53" i="80"/>
  <c r="AY51" i="80"/>
  <c r="AY50" i="80"/>
  <c r="AY49" i="80"/>
  <c r="AY48" i="80"/>
  <c r="AY47" i="80"/>
  <c r="AY45" i="80"/>
  <c r="AY44" i="80"/>
  <c r="AY43" i="80"/>
  <c r="AY42" i="80"/>
  <c r="AY41" i="80"/>
  <c r="AY39" i="80"/>
  <c r="AY38" i="80"/>
  <c r="AY37" i="80"/>
  <c r="AY36" i="80"/>
  <c r="AY35" i="80"/>
  <c r="AY33" i="80"/>
  <c r="AY32" i="80"/>
  <c r="AX70" i="80"/>
  <c r="AW70" i="80"/>
  <c r="AV70" i="80"/>
  <c r="AU70" i="80"/>
  <c r="AT70" i="80"/>
  <c r="AS70" i="80"/>
  <c r="AR70" i="80"/>
  <c r="AQ70" i="80"/>
  <c r="AP70" i="80"/>
  <c r="AO70" i="80"/>
  <c r="AN70" i="80"/>
  <c r="AM70" i="80"/>
  <c r="AX69" i="80"/>
  <c r="AW69" i="80"/>
  <c r="AV69" i="80"/>
  <c r="AU69" i="80"/>
  <c r="AT69" i="80"/>
  <c r="AS69" i="80"/>
  <c r="AR69" i="80"/>
  <c r="AQ69" i="80"/>
  <c r="AP69" i="80"/>
  <c r="AO69" i="80"/>
  <c r="AN69" i="80"/>
  <c r="AM69" i="80"/>
  <c r="AX68" i="80"/>
  <c r="AW68" i="80"/>
  <c r="AV68" i="80"/>
  <c r="AU68" i="80"/>
  <c r="AT68" i="80"/>
  <c r="AS68" i="80"/>
  <c r="AR68" i="80"/>
  <c r="AQ68" i="80"/>
  <c r="AP68" i="80"/>
  <c r="AO68" i="80"/>
  <c r="AN68" i="80"/>
  <c r="AM68" i="80"/>
  <c r="AX67" i="80"/>
  <c r="AW67" i="80"/>
  <c r="AV67" i="80"/>
  <c r="AU67" i="80"/>
  <c r="AT67" i="80"/>
  <c r="AS67" i="80"/>
  <c r="AR67" i="80"/>
  <c r="AQ67" i="80"/>
  <c r="AP67" i="80"/>
  <c r="AO67" i="80"/>
  <c r="AN67" i="80"/>
  <c r="AM67" i="80"/>
  <c r="AX65" i="80"/>
  <c r="AW65" i="80"/>
  <c r="AV65" i="80"/>
  <c r="AU65" i="80"/>
  <c r="AT65" i="80"/>
  <c r="AS65" i="80"/>
  <c r="AR65" i="80"/>
  <c r="AQ65" i="80"/>
  <c r="AP65" i="80"/>
  <c r="AO65" i="80"/>
  <c r="AN65" i="80"/>
  <c r="AM65" i="80"/>
  <c r="AX64" i="80"/>
  <c r="AW64" i="80"/>
  <c r="AV64" i="80"/>
  <c r="AU64" i="80"/>
  <c r="AT64" i="80"/>
  <c r="AS64" i="80"/>
  <c r="AR64" i="80"/>
  <c r="AQ64" i="80"/>
  <c r="AP64" i="80"/>
  <c r="AO64" i="80"/>
  <c r="AN64" i="80"/>
  <c r="AM64" i="80"/>
  <c r="AX63" i="80"/>
  <c r="AW63" i="80"/>
  <c r="AV63" i="80"/>
  <c r="AU63" i="80"/>
  <c r="AT63" i="80"/>
  <c r="AS63" i="80"/>
  <c r="AR63" i="80"/>
  <c r="AQ63" i="80"/>
  <c r="AP63" i="80"/>
  <c r="AO63" i="80"/>
  <c r="AN63" i="80"/>
  <c r="AM63" i="80"/>
  <c r="AX62" i="80"/>
  <c r="AW62" i="80"/>
  <c r="AV62" i="80"/>
  <c r="AU62" i="80"/>
  <c r="AT62" i="80"/>
  <c r="AS62" i="80"/>
  <c r="AR62" i="80"/>
  <c r="AQ62" i="80"/>
  <c r="AP62" i="80"/>
  <c r="AO62" i="80"/>
  <c r="AN62" i="80"/>
  <c r="AM62" i="80"/>
  <c r="AX57" i="80"/>
  <c r="AW57" i="80"/>
  <c r="AV57" i="80"/>
  <c r="AU57" i="80"/>
  <c r="AT57" i="80"/>
  <c r="AS57" i="80"/>
  <c r="AR57" i="80"/>
  <c r="AQ57" i="80"/>
  <c r="AP57" i="80"/>
  <c r="AO57" i="80"/>
  <c r="AN57" i="80"/>
  <c r="AM57" i="80"/>
  <c r="AX56" i="80"/>
  <c r="AW56" i="80"/>
  <c r="AV56" i="80"/>
  <c r="AU56" i="80"/>
  <c r="AT56" i="80"/>
  <c r="AS56" i="80"/>
  <c r="AR56" i="80"/>
  <c r="AQ56" i="80"/>
  <c r="AP56" i="80"/>
  <c r="AO56" i="80"/>
  <c r="AN56" i="80"/>
  <c r="AM56" i="80"/>
  <c r="AX55" i="80"/>
  <c r="AW55" i="80"/>
  <c r="AV55" i="80"/>
  <c r="AU55" i="80"/>
  <c r="AT55" i="80"/>
  <c r="AS55" i="80"/>
  <c r="AR55" i="80"/>
  <c r="AQ55" i="80"/>
  <c r="AP55" i="80"/>
  <c r="AO55" i="80"/>
  <c r="AN55" i="80"/>
  <c r="AM55" i="80"/>
  <c r="AX54" i="80"/>
  <c r="AW54" i="80"/>
  <c r="AV54" i="80"/>
  <c r="AU54" i="80"/>
  <c r="AT54" i="80"/>
  <c r="AS54" i="80"/>
  <c r="AR54" i="80"/>
  <c r="AQ54" i="80"/>
  <c r="AP54" i="80"/>
  <c r="AO54" i="80"/>
  <c r="AN54" i="80"/>
  <c r="AM54" i="80"/>
  <c r="AX53" i="80"/>
  <c r="AW53" i="80"/>
  <c r="AV53" i="80"/>
  <c r="AU53" i="80"/>
  <c r="AT53" i="80"/>
  <c r="AS53" i="80"/>
  <c r="AR53" i="80"/>
  <c r="AQ53" i="80"/>
  <c r="AP53" i="80"/>
  <c r="AO53" i="80"/>
  <c r="AN53" i="80"/>
  <c r="AM53" i="80"/>
  <c r="AX51" i="80"/>
  <c r="AW51" i="80"/>
  <c r="AV51" i="80"/>
  <c r="AU51" i="80"/>
  <c r="AT51" i="80"/>
  <c r="AS51" i="80"/>
  <c r="AR51" i="80"/>
  <c r="AQ51" i="80"/>
  <c r="AP51" i="80"/>
  <c r="AO51" i="80"/>
  <c r="AN51" i="80"/>
  <c r="AM51" i="80"/>
  <c r="AX50" i="80"/>
  <c r="AW50" i="80"/>
  <c r="AV50" i="80"/>
  <c r="AU50" i="80"/>
  <c r="AT50" i="80"/>
  <c r="AS50" i="80"/>
  <c r="AR50" i="80"/>
  <c r="AQ50" i="80"/>
  <c r="AP50" i="80"/>
  <c r="AO50" i="80"/>
  <c r="AN50" i="80"/>
  <c r="AM50" i="80"/>
  <c r="AX49" i="80"/>
  <c r="AW49" i="80"/>
  <c r="AV49" i="80"/>
  <c r="AU49" i="80"/>
  <c r="AT49" i="80"/>
  <c r="AS49" i="80"/>
  <c r="AR49" i="80"/>
  <c r="AQ49" i="80"/>
  <c r="AP49" i="80"/>
  <c r="AO49" i="80"/>
  <c r="AN49" i="80"/>
  <c r="AM49" i="80"/>
  <c r="AX48" i="80"/>
  <c r="AW48" i="80"/>
  <c r="AV48" i="80"/>
  <c r="AU48" i="80"/>
  <c r="AT48" i="80"/>
  <c r="AS48" i="80"/>
  <c r="AR48" i="80"/>
  <c r="AQ48" i="80"/>
  <c r="AP48" i="80"/>
  <c r="AO48" i="80"/>
  <c r="AN48" i="80"/>
  <c r="AM48" i="80"/>
  <c r="AX47" i="80"/>
  <c r="AW47" i="80"/>
  <c r="AV47" i="80"/>
  <c r="AU47" i="80"/>
  <c r="AT47" i="80"/>
  <c r="AS47" i="80"/>
  <c r="AR47" i="80"/>
  <c r="AQ47" i="80"/>
  <c r="AP47" i="80"/>
  <c r="AO47" i="80"/>
  <c r="AN47" i="80"/>
  <c r="AM47" i="80"/>
  <c r="AX45" i="80"/>
  <c r="AW45" i="80"/>
  <c r="AV45" i="80"/>
  <c r="AU45" i="80"/>
  <c r="AT45" i="80"/>
  <c r="AS45" i="80"/>
  <c r="AR45" i="80"/>
  <c r="AQ45" i="80"/>
  <c r="AP45" i="80"/>
  <c r="AO45" i="80"/>
  <c r="AN45" i="80"/>
  <c r="AM45" i="80"/>
  <c r="AX44" i="80"/>
  <c r="AW44" i="80"/>
  <c r="AV44" i="80"/>
  <c r="AU44" i="80"/>
  <c r="AT44" i="80"/>
  <c r="AS44" i="80"/>
  <c r="AR44" i="80"/>
  <c r="AQ44" i="80"/>
  <c r="AP44" i="80"/>
  <c r="AO44" i="80"/>
  <c r="AN44" i="80"/>
  <c r="AM44" i="80"/>
  <c r="AX43" i="80"/>
  <c r="AW43" i="80"/>
  <c r="AV43" i="80"/>
  <c r="AU43" i="80"/>
  <c r="AT43" i="80"/>
  <c r="AS43" i="80"/>
  <c r="AR43" i="80"/>
  <c r="AQ43" i="80"/>
  <c r="AP43" i="80"/>
  <c r="AO43" i="80"/>
  <c r="AN43" i="80"/>
  <c r="AM43" i="80"/>
  <c r="AX42" i="80"/>
  <c r="AW42" i="80"/>
  <c r="AV42" i="80"/>
  <c r="AU42" i="80"/>
  <c r="AT42" i="80"/>
  <c r="AS42" i="80"/>
  <c r="AR42" i="80"/>
  <c r="AQ42" i="80"/>
  <c r="AP42" i="80"/>
  <c r="AO42" i="80"/>
  <c r="AN42" i="80"/>
  <c r="AM42" i="80"/>
  <c r="AX41" i="80"/>
  <c r="AW41" i="80"/>
  <c r="AV41" i="80"/>
  <c r="AU41" i="80"/>
  <c r="AT41" i="80"/>
  <c r="AS41" i="80"/>
  <c r="AR41" i="80"/>
  <c r="AQ41" i="80"/>
  <c r="AP41" i="80"/>
  <c r="AO41" i="80"/>
  <c r="AN41" i="80"/>
  <c r="AM41" i="80"/>
  <c r="AX39" i="80"/>
  <c r="AW39" i="80"/>
  <c r="AV39" i="80"/>
  <c r="AU39" i="80"/>
  <c r="AT39" i="80"/>
  <c r="AS39" i="80"/>
  <c r="AR39" i="80"/>
  <c r="AQ39" i="80"/>
  <c r="AP39" i="80"/>
  <c r="AO39" i="80"/>
  <c r="AN39" i="80"/>
  <c r="AM39" i="80"/>
  <c r="AX38" i="80"/>
  <c r="AW38" i="80"/>
  <c r="AV38" i="80"/>
  <c r="AU38" i="80"/>
  <c r="AT38" i="80"/>
  <c r="AS38" i="80"/>
  <c r="AR38" i="80"/>
  <c r="AQ38" i="80"/>
  <c r="AP38" i="80"/>
  <c r="AO38" i="80"/>
  <c r="AN38" i="80"/>
  <c r="AM38" i="80"/>
  <c r="AX37" i="80"/>
  <c r="AW37" i="80"/>
  <c r="AV37" i="80"/>
  <c r="AU37" i="80"/>
  <c r="AT37" i="80"/>
  <c r="AS37" i="80"/>
  <c r="AR37" i="80"/>
  <c r="AQ37" i="80"/>
  <c r="AP37" i="80"/>
  <c r="AO37" i="80"/>
  <c r="AN37" i="80"/>
  <c r="AM37" i="80"/>
  <c r="AX36" i="80"/>
  <c r="AW36" i="80"/>
  <c r="AV36" i="80"/>
  <c r="AU36" i="80"/>
  <c r="AT36" i="80"/>
  <c r="AS36" i="80"/>
  <c r="AR36" i="80"/>
  <c r="AQ36" i="80"/>
  <c r="AP36" i="80"/>
  <c r="AO36" i="80"/>
  <c r="AN36" i="80"/>
  <c r="AM36" i="80"/>
  <c r="AX35" i="80"/>
  <c r="AW35" i="80"/>
  <c r="AV35" i="80"/>
  <c r="AU35" i="80"/>
  <c r="AT35" i="80"/>
  <c r="AS35" i="80"/>
  <c r="AR35" i="80"/>
  <c r="AQ35" i="80"/>
  <c r="AP35" i="80"/>
  <c r="AO35" i="80"/>
  <c r="AN35" i="80"/>
  <c r="AM35" i="80"/>
  <c r="AX33" i="80"/>
  <c r="AW33" i="80"/>
  <c r="AV33" i="80"/>
  <c r="AU33" i="80"/>
  <c r="AT33" i="80"/>
  <c r="AS33" i="80"/>
  <c r="AR33" i="80"/>
  <c r="AQ33" i="80"/>
  <c r="AP33" i="80"/>
  <c r="AO33" i="80"/>
  <c r="AN33" i="80"/>
  <c r="AM33" i="80"/>
  <c r="AP32" i="80"/>
  <c r="AR32" i="80"/>
  <c r="AT32" i="80"/>
  <c r="AV32" i="80"/>
  <c r="AX32" i="80"/>
  <c r="AN32" i="80"/>
  <c r="AO32" i="80"/>
  <c r="AQ32" i="80"/>
  <c r="AS32" i="80"/>
  <c r="AU32" i="80"/>
  <c r="AW32" i="80"/>
  <c r="AM32" i="80"/>
  <c r="T38" i="80" l="1"/>
  <c r="U53" i="80"/>
  <c r="T53" i="80"/>
  <c r="U70" i="80"/>
  <c r="T70" i="80"/>
  <c r="U69" i="80"/>
  <c r="T69" i="80"/>
  <c r="U68" i="80"/>
  <c r="T68" i="80"/>
  <c r="U67" i="80"/>
  <c r="T67" i="80"/>
  <c r="U65" i="80"/>
  <c r="T65" i="80"/>
  <c r="U64" i="80"/>
  <c r="T64" i="80"/>
  <c r="U63" i="80"/>
  <c r="T63" i="80"/>
  <c r="U62" i="80"/>
  <c r="T62" i="80"/>
  <c r="U57" i="80"/>
  <c r="T57" i="80"/>
  <c r="U56" i="80"/>
  <c r="T56" i="80"/>
  <c r="U55" i="80"/>
  <c r="T55" i="80"/>
  <c r="U54" i="80"/>
  <c r="T54" i="80"/>
  <c r="U51" i="80"/>
  <c r="T51" i="80"/>
  <c r="U50" i="80"/>
  <c r="T50" i="80"/>
  <c r="U49" i="80"/>
  <c r="T49" i="80"/>
  <c r="U48" i="80"/>
  <c r="T48" i="80"/>
  <c r="U47" i="80"/>
  <c r="T47" i="80"/>
  <c r="U45" i="80"/>
  <c r="T45" i="80"/>
  <c r="U44" i="80"/>
  <c r="T44" i="80"/>
  <c r="U43" i="80"/>
  <c r="T43" i="80"/>
  <c r="U42" i="80"/>
  <c r="T42" i="80"/>
  <c r="U41" i="80"/>
  <c r="T41" i="80"/>
  <c r="U39" i="80"/>
  <c r="T39" i="80"/>
  <c r="U38" i="80"/>
  <c r="U37" i="80"/>
  <c r="T37" i="80"/>
  <c r="U36" i="80"/>
  <c r="T36" i="80"/>
  <c r="U35" i="80"/>
  <c r="T35" i="80"/>
  <c r="U33" i="80"/>
  <c r="T33" i="80"/>
  <c r="U32" i="80"/>
  <c r="T32" i="80"/>
  <c r="W35" i="80" l="1"/>
  <c r="W37" i="80"/>
  <c r="W41" i="80"/>
  <c r="W45" i="80"/>
  <c r="W50" i="80"/>
  <c r="W56" i="80"/>
  <c r="W64" i="80"/>
  <c r="W43" i="80"/>
  <c r="W62" i="80"/>
  <c r="W67" i="80"/>
  <c r="W36" i="80"/>
  <c r="W42" i="80"/>
  <c r="W47" i="80"/>
  <c r="W51" i="80"/>
  <c r="W57" i="80"/>
  <c r="W49" i="80"/>
  <c r="W55" i="80"/>
  <c r="W48" i="80"/>
  <c r="W33" i="80"/>
  <c r="W65" i="80"/>
  <c r="W70" i="80"/>
  <c r="W39" i="80"/>
  <c r="W44" i="80"/>
  <c r="W63" i="80"/>
  <c r="W54" i="80"/>
  <c r="W69" i="80"/>
  <c r="W68" i="80"/>
  <c r="W38" i="80"/>
  <c r="W32" i="80"/>
  <c r="W53" i="80"/>
  <c r="AB3" i="80" l="1"/>
  <c r="AD908" i="16" s="1"/>
  <c r="AQ24" i="79"/>
  <c r="AP24" i="79"/>
  <c r="AE24" i="79"/>
  <c r="Q5" i="80" l="1"/>
  <c r="Q4" i="80"/>
  <c r="R45" i="79"/>
  <c r="AE45" i="79" s="1"/>
  <c r="R44" i="79"/>
  <c r="AE44" i="79" s="1"/>
  <c r="R43" i="79"/>
  <c r="AE43" i="79" s="1"/>
  <c r="R42" i="79"/>
  <c r="AE42" i="79" s="1"/>
  <c r="R41" i="79"/>
  <c r="AE41" i="79" s="1"/>
  <c r="R38" i="79"/>
  <c r="AE38" i="79" s="1"/>
  <c r="AD24" i="79"/>
  <c r="AS45" i="79"/>
  <c r="AR45" i="79"/>
  <c r="AQ45" i="79"/>
  <c r="AP45" i="79"/>
  <c r="AS44" i="79"/>
  <c r="AR44" i="79"/>
  <c r="AQ44" i="79"/>
  <c r="AP44" i="79"/>
  <c r="AS43" i="79"/>
  <c r="AR43" i="79"/>
  <c r="AQ43" i="79"/>
  <c r="AP43" i="79"/>
  <c r="AS42" i="79"/>
  <c r="AR42" i="79"/>
  <c r="AQ42" i="79"/>
  <c r="AP42" i="79"/>
  <c r="AS41" i="79"/>
  <c r="AR41" i="79"/>
  <c r="AQ41" i="79"/>
  <c r="AP41" i="79"/>
  <c r="AS38" i="79"/>
  <c r="AR38" i="79"/>
  <c r="AQ38" i="79"/>
  <c r="AP38" i="79"/>
  <c r="AS33" i="79"/>
  <c r="AR33" i="79"/>
  <c r="AQ33" i="79"/>
  <c r="AP33" i="79"/>
  <c r="AS32" i="79"/>
  <c r="AR32" i="79"/>
  <c r="AQ32" i="79"/>
  <c r="AP32" i="79"/>
  <c r="AS31" i="79"/>
  <c r="AR31" i="79"/>
  <c r="AQ31" i="79"/>
  <c r="AP31" i="79"/>
  <c r="AS30" i="79"/>
  <c r="AR30" i="79"/>
  <c r="AQ30" i="79"/>
  <c r="AP30" i="79"/>
  <c r="AS29" i="79"/>
  <c r="AR29" i="79"/>
  <c r="AQ29" i="79"/>
  <c r="AP29" i="79"/>
  <c r="AR26" i="79"/>
  <c r="AP26" i="79"/>
  <c r="W47" i="79"/>
  <c r="W48" i="79" s="1"/>
  <c r="T46" i="79"/>
  <c r="AD45" i="79"/>
  <c r="AD44" i="79"/>
  <c r="AD43" i="79"/>
  <c r="AD42" i="79"/>
  <c r="AD41" i="79"/>
  <c r="AD38" i="79"/>
  <c r="W35" i="79"/>
  <c r="W36" i="79" s="1"/>
  <c r="W50" i="79" s="1"/>
  <c r="T34" i="79"/>
  <c r="AE33" i="79"/>
  <c r="AD33" i="79"/>
  <c r="AE32" i="79"/>
  <c r="AD32" i="79"/>
  <c r="AE31" i="79"/>
  <c r="AD31" i="79"/>
  <c r="AE30" i="79"/>
  <c r="AD30" i="79"/>
  <c r="AE29" i="79"/>
  <c r="AD29" i="79"/>
  <c r="AS26" i="79"/>
  <c r="AQ26" i="79"/>
  <c r="AE26" i="79"/>
  <c r="AD26" i="79"/>
  <c r="U24" i="79"/>
  <c r="M46" i="79"/>
  <c r="AC32" i="79" l="1"/>
  <c r="AC41" i="79"/>
  <c r="AC29" i="79"/>
  <c r="AC33" i="79"/>
  <c r="AC30" i="79"/>
  <c r="AI3" i="79"/>
  <c r="AC45" i="79"/>
  <c r="AC43" i="79"/>
  <c r="AC31" i="79"/>
  <c r="AC44" i="79"/>
  <c r="AC26" i="79"/>
  <c r="AC42" i="79"/>
  <c r="AF33" i="79"/>
  <c r="AF32" i="79"/>
  <c r="AF31" i="79"/>
  <c r="AF30" i="79"/>
  <c r="AF29" i="79"/>
  <c r="AF26" i="79"/>
  <c r="AF24" i="79"/>
  <c r="AF41" i="79"/>
  <c r="AF42" i="79"/>
  <c r="AF43" i="79"/>
  <c r="AF44" i="79"/>
  <c r="AF45" i="79"/>
  <c r="AC38" i="79"/>
  <c r="AF38" i="79"/>
  <c r="AC24" i="79"/>
  <c r="U148" i="25"/>
  <c r="AQ150" i="25"/>
  <c r="AS150" i="25"/>
  <c r="AS169" i="25"/>
  <c r="AR169" i="25"/>
  <c r="AQ169" i="25"/>
  <c r="AP169" i="25"/>
  <c r="AE169" i="25"/>
  <c r="AD169" i="25"/>
  <c r="AS168" i="25"/>
  <c r="AR168" i="25"/>
  <c r="AQ168" i="25"/>
  <c r="AP168" i="25"/>
  <c r="AE168" i="25"/>
  <c r="AD168" i="25"/>
  <c r="AS167" i="25"/>
  <c r="AR167" i="25"/>
  <c r="AQ167" i="25"/>
  <c r="AP167" i="25"/>
  <c r="AE167" i="25"/>
  <c r="AD167" i="25"/>
  <c r="AS166" i="25"/>
  <c r="AR166" i="25"/>
  <c r="AQ166" i="25"/>
  <c r="AP166" i="25"/>
  <c r="AE166" i="25"/>
  <c r="AD166" i="25"/>
  <c r="AS165" i="25"/>
  <c r="AR165" i="25"/>
  <c r="AQ165" i="25"/>
  <c r="AP165" i="25"/>
  <c r="AE165" i="25"/>
  <c r="AD165" i="25"/>
  <c r="AS162" i="25"/>
  <c r="AR162" i="25"/>
  <c r="AQ162" i="25"/>
  <c r="AP162" i="25"/>
  <c r="AE162" i="25"/>
  <c r="AD162" i="25"/>
  <c r="AS157" i="25"/>
  <c r="AR157" i="25"/>
  <c r="AQ157" i="25"/>
  <c r="AP157" i="25"/>
  <c r="AE157" i="25"/>
  <c r="AD157" i="25"/>
  <c r="AS156" i="25"/>
  <c r="AR156" i="25"/>
  <c r="AQ156" i="25"/>
  <c r="AP156" i="25"/>
  <c r="AE156" i="25"/>
  <c r="AD156" i="25"/>
  <c r="AS155" i="25"/>
  <c r="AR155" i="25"/>
  <c r="AQ155" i="25"/>
  <c r="AP155" i="25"/>
  <c r="AE155" i="25"/>
  <c r="AD155" i="25"/>
  <c r="AS154" i="25"/>
  <c r="AR154" i="25"/>
  <c r="AQ154" i="25"/>
  <c r="AP154" i="25"/>
  <c r="AE154" i="25"/>
  <c r="AD154" i="25"/>
  <c r="AS153" i="25"/>
  <c r="AR153" i="25"/>
  <c r="AQ153" i="25"/>
  <c r="AP153" i="25"/>
  <c r="AE153" i="25"/>
  <c r="AD153" i="25"/>
  <c r="AR150" i="25"/>
  <c r="AP150" i="25"/>
  <c r="AE150" i="25"/>
  <c r="AD150" i="25"/>
  <c r="M45" i="79"/>
  <c r="M42" i="79"/>
  <c r="M41" i="79"/>
  <c r="M43" i="79"/>
  <c r="M44" i="79"/>
  <c r="M32" i="79"/>
  <c r="M30" i="79"/>
  <c r="M29" i="79"/>
  <c r="M33" i="79"/>
  <c r="M31" i="79"/>
  <c r="M34" i="79"/>
  <c r="AC153" i="25" l="1"/>
  <c r="AC157" i="25"/>
  <c r="AC156" i="25"/>
  <c r="AF904" i="16"/>
  <c r="AD904" i="16"/>
  <c r="AC150" i="25"/>
  <c r="CE4" i="2"/>
  <c r="AC154" i="25"/>
  <c r="AG3" i="79"/>
  <c r="AC169" i="25"/>
  <c r="AC167" i="25"/>
  <c r="AC168" i="25"/>
  <c r="AC166" i="25"/>
  <c r="AC165" i="25"/>
  <c r="AC162" i="25"/>
  <c r="AC155" i="25"/>
  <c r="T148" i="28"/>
  <c r="T1049" i="16"/>
  <c r="AX1206" i="16"/>
  <c r="AX23" i="29"/>
  <c r="AY23" i="29"/>
  <c r="AD1083" i="16"/>
  <c r="AX949" i="16"/>
  <c r="AX23" i="28"/>
  <c r="AY23" i="28"/>
  <c r="S182" i="28" s="1"/>
  <c r="R182" i="28" s="1"/>
  <c r="E20" i="23"/>
  <c r="P20" i="23" s="1"/>
  <c r="AY949" i="16" s="1"/>
  <c r="S1083" i="16" s="1"/>
  <c r="L70" i="80"/>
  <c r="L69" i="80"/>
  <c r="L68" i="80"/>
  <c r="L67" i="80"/>
  <c r="L65" i="80"/>
  <c r="L64" i="80"/>
  <c r="L63" i="80"/>
  <c r="L62" i="80"/>
  <c r="L57" i="80"/>
  <c r="L56" i="80"/>
  <c r="L55" i="80"/>
  <c r="L54" i="80"/>
  <c r="L53" i="80"/>
  <c r="L51" i="80"/>
  <c r="L50" i="80"/>
  <c r="L49" i="80"/>
  <c r="L48" i="80"/>
  <c r="L47" i="80"/>
  <c r="L45" i="80"/>
  <c r="L44" i="80"/>
  <c r="L43" i="80"/>
  <c r="L42" i="80"/>
  <c r="L41" i="80"/>
  <c r="L39" i="80"/>
  <c r="L38" i="80"/>
  <c r="L37" i="80"/>
  <c r="L36" i="80"/>
  <c r="L35" i="80"/>
  <c r="L33" i="80"/>
  <c r="L32" i="80"/>
  <c r="N62" i="27"/>
  <c r="N70" i="27"/>
  <c r="N69" i="27"/>
  <c r="N68" i="27"/>
  <c r="N67" i="27"/>
  <c r="N65" i="27"/>
  <c r="N64" i="27"/>
  <c r="N63" i="27"/>
  <c r="J70" i="27"/>
  <c r="J69" i="27"/>
  <c r="J68" i="27"/>
  <c r="J67" i="27"/>
  <c r="J65" i="27"/>
  <c r="J64" i="27"/>
  <c r="J63" i="27"/>
  <c r="J62" i="27"/>
  <c r="M155" i="25"/>
  <c r="M154" i="25"/>
  <c r="M169" i="25"/>
  <c r="M156" i="25"/>
  <c r="M158" i="25"/>
  <c r="M168" i="25"/>
  <c r="M166" i="25"/>
  <c r="M165" i="25"/>
  <c r="M157" i="25"/>
  <c r="M153" i="25"/>
  <c r="M170" i="25"/>
  <c r="M167" i="25"/>
  <c r="AE904" i="16" l="1"/>
  <c r="AC904" i="16" s="1"/>
  <c r="AY1206" i="16"/>
  <c r="AS535" i="16" l="1"/>
  <c r="AR535" i="16"/>
  <c r="AQ535" i="16"/>
  <c r="AP535" i="16"/>
  <c r="AL535" i="16"/>
  <c r="AD535" i="16"/>
  <c r="AS58" i="29"/>
  <c r="AR58" i="29"/>
  <c r="AQ58" i="29"/>
  <c r="AP58" i="29"/>
  <c r="B1346" i="66"/>
  <c r="B1345" i="66"/>
  <c r="B1344" i="66"/>
  <c r="B1343" i="66"/>
  <c r="B1342" i="66"/>
  <c r="B1341" i="66"/>
  <c r="B1340" i="66"/>
  <c r="B1339" i="66"/>
  <c r="B1338" i="66"/>
  <c r="B1337" i="66"/>
  <c r="B1336" i="66"/>
  <c r="B1335" i="66"/>
  <c r="B1334" i="66"/>
  <c r="B1333" i="66"/>
  <c r="B1332" i="66"/>
  <c r="B1331" i="66"/>
  <c r="B1330" i="66"/>
  <c r="B1329" i="66"/>
  <c r="B1328" i="66"/>
  <c r="B1327" i="66"/>
  <c r="B1326" i="66"/>
  <c r="B1325" i="66"/>
  <c r="B1324" i="66"/>
  <c r="B1323" i="66"/>
  <c r="B1322" i="66"/>
  <c r="B1321" i="66"/>
  <c r="B1320" i="66"/>
  <c r="B1319" i="66"/>
  <c r="B1318" i="66"/>
  <c r="B1317" i="66"/>
  <c r="B1316" i="66"/>
  <c r="B1315" i="66"/>
  <c r="B1314" i="66"/>
  <c r="B1313" i="66"/>
  <c r="B1312" i="66"/>
  <c r="B1311" i="66"/>
  <c r="B1310" i="66"/>
  <c r="B1309" i="66"/>
  <c r="B1308" i="66"/>
  <c r="B1307" i="66"/>
  <c r="B1306" i="66"/>
  <c r="B1305" i="66"/>
  <c r="B1304" i="66"/>
  <c r="B1303" i="66"/>
  <c r="B1302" i="66"/>
  <c r="B1301" i="66"/>
  <c r="B1300" i="66"/>
  <c r="B1299" i="66"/>
  <c r="B1298" i="66"/>
  <c r="B1297" i="66"/>
  <c r="B1296" i="66"/>
  <c r="B1295" i="66"/>
  <c r="B1294" i="66"/>
  <c r="B1293" i="66"/>
  <c r="B1292" i="66"/>
  <c r="B1291" i="66"/>
  <c r="B1290" i="66"/>
  <c r="B1289" i="66"/>
  <c r="B1288" i="66"/>
  <c r="B1287" i="66"/>
  <c r="B1286" i="66"/>
  <c r="B1285" i="66"/>
  <c r="B1284" i="66"/>
  <c r="B1283" i="66"/>
  <c r="B1282" i="66"/>
  <c r="B1281" i="66"/>
  <c r="B1280" i="66"/>
  <c r="B1279" i="66"/>
  <c r="B1278" i="66"/>
  <c r="B1277" i="66"/>
  <c r="B1276" i="66"/>
  <c r="B1275" i="66"/>
  <c r="B1274" i="66"/>
  <c r="B1273" i="66"/>
  <c r="B1272" i="66"/>
  <c r="B1271" i="66"/>
  <c r="B1270" i="66"/>
  <c r="B1269" i="66"/>
  <c r="B1268" i="66"/>
  <c r="B1267" i="66"/>
  <c r="B1266" i="66"/>
  <c r="B1265" i="66"/>
  <c r="B1264" i="66"/>
  <c r="B1263" i="66"/>
  <c r="B1262" i="66"/>
  <c r="B1261" i="66"/>
  <c r="B1260" i="66"/>
  <c r="B1259" i="66"/>
  <c r="B1258" i="66"/>
  <c r="B1257" i="66"/>
  <c r="B1256" i="66"/>
  <c r="B1255" i="66"/>
  <c r="B1254" i="66"/>
  <c r="B1253" i="66"/>
  <c r="B1252" i="66"/>
  <c r="B1251" i="66"/>
  <c r="B1250" i="66"/>
  <c r="B1249" i="66"/>
  <c r="B1248" i="66"/>
  <c r="B1247" i="66"/>
  <c r="B1246" i="66"/>
  <c r="B1245" i="66"/>
  <c r="B1244" i="66"/>
  <c r="B1243" i="66"/>
  <c r="B1242" i="66"/>
  <c r="B1241" i="66"/>
  <c r="B1240" i="66"/>
  <c r="B1239" i="66"/>
  <c r="B1238" i="66"/>
  <c r="B1237" i="66"/>
  <c r="B1236" i="66"/>
  <c r="B1235" i="66"/>
  <c r="B1234" i="66"/>
  <c r="B1233" i="66"/>
  <c r="B1232" i="66"/>
  <c r="B1231" i="66"/>
  <c r="B1230" i="66"/>
  <c r="B1229" i="66"/>
  <c r="B1228" i="66"/>
  <c r="B1227" i="66"/>
  <c r="B1226" i="66"/>
  <c r="B1225" i="66"/>
  <c r="B1224" i="66"/>
  <c r="B1223" i="66"/>
  <c r="B1222" i="66"/>
  <c r="B1221" i="66"/>
  <c r="B1220" i="66"/>
  <c r="B1219" i="66"/>
  <c r="B1218" i="66"/>
  <c r="B1217" i="66"/>
  <c r="B1216" i="66"/>
  <c r="B1215" i="66"/>
  <c r="B1214" i="66"/>
  <c r="B1213" i="66"/>
  <c r="B1212" i="66"/>
  <c r="B1211" i="66"/>
  <c r="B1210" i="66"/>
  <c r="B1209" i="66"/>
  <c r="B1208" i="66"/>
  <c r="B1207" i="66"/>
  <c r="B1206" i="66"/>
  <c r="B1205" i="66"/>
  <c r="B1204" i="66"/>
  <c r="B1203" i="66"/>
  <c r="B1202" i="66"/>
  <c r="B1201" i="66"/>
  <c r="B1200" i="66"/>
  <c r="B1199" i="66"/>
  <c r="B1198" i="66"/>
  <c r="B1197" i="66"/>
  <c r="B1196" i="66"/>
  <c r="B1195" i="66"/>
  <c r="B1194" i="66"/>
  <c r="B1193" i="66"/>
  <c r="B1192" i="66"/>
  <c r="B1191" i="66"/>
  <c r="B1190" i="66"/>
  <c r="B1189" i="66"/>
  <c r="B1188" i="66"/>
  <c r="B1187" i="66"/>
  <c r="B1186" i="66"/>
  <c r="B1185" i="66"/>
  <c r="B1184" i="66"/>
  <c r="B1183" i="66"/>
  <c r="B1182" i="66"/>
  <c r="B1181" i="66"/>
  <c r="B1180" i="66"/>
  <c r="B1179" i="66"/>
  <c r="B1178" i="66"/>
  <c r="B1177" i="66"/>
  <c r="B1176" i="66"/>
  <c r="B1175" i="66"/>
  <c r="B1174" i="66"/>
  <c r="B1173" i="66"/>
  <c r="B1172" i="66"/>
  <c r="B1171" i="66"/>
  <c r="B1170" i="66"/>
  <c r="B1169" i="66"/>
  <c r="B1168" i="66"/>
  <c r="B1167" i="66"/>
  <c r="B1166" i="66"/>
  <c r="B1165" i="66"/>
  <c r="B1164" i="66"/>
  <c r="B1163" i="66"/>
  <c r="B1162" i="66"/>
  <c r="B1161" i="66"/>
  <c r="B1160" i="66"/>
  <c r="B1159" i="66"/>
  <c r="B1158" i="66"/>
  <c r="B1157" i="66"/>
  <c r="B1156" i="66"/>
  <c r="B1155" i="66"/>
  <c r="B1154" i="66"/>
  <c r="B1153" i="66"/>
  <c r="B1152" i="66"/>
  <c r="B1151" i="66"/>
  <c r="B1150" i="66"/>
  <c r="B1149" i="66"/>
  <c r="B1148" i="66"/>
  <c r="B1147" i="66"/>
  <c r="B1146" i="66"/>
  <c r="B1145" i="66"/>
  <c r="B1144" i="66"/>
  <c r="B1143" i="66"/>
  <c r="B1142" i="66"/>
  <c r="B1141" i="66"/>
  <c r="B1140" i="66"/>
  <c r="B1139" i="66"/>
  <c r="B1138" i="66"/>
  <c r="B1137" i="66"/>
  <c r="B1136" i="66"/>
  <c r="B1135" i="66"/>
  <c r="B1134" i="66"/>
  <c r="B1133" i="66"/>
  <c r="B1132" i="66"/>
  <c r="B1131" i="66"/>
  <c r="B1130" i="66"/>
  <c r="B1129" i="66"/>
  <c r="B1128" i="66"/>
  <c r="B1127" i="66"/>
  <c r="B1126" i="66"/>
  <c r="B1125" i="66"/>
  <c r="B1124" i="66"/>
  <c r="B1123" i="66"/>
  <c r="B1122" i="66"/>
  <c r="B1121" i="66"/>
  <c r="B1120" i="66"/>
  <c r="B1119" i="66"/>
  <c r="B1118" i="66"/>
  <c r="B1117" i="66"/>
  <c r="B1116" i="66"/>
  <c r="B1115" i="66"/>
  <c r="B1114" i="66"/>
  <c r="B1113" i="66"/>
  <c r="B1112" i="66"/>
  <c r="B1111" i="66"/>
  <c r="B1110" i="66"/>
  <c r="B1109" i="66"/>
  <c r="B1108" i="66"/>
  <c r="B1107" i="66"/>
  <c r="B1106" i="66"/>
  <c r="B1105" i="66"/>
  <c r="B1104" i="66"/>
  <c r="B1103" i="66"/>
  <c r="B1102" i="66"/>
  <c r="B1101" i="66"/>
  <c r="B1100" i="66"/>
  <c r="B1099" i="66"/>
  <c r="B1098" i="66"/>
  <c r="B1097" i="66"/>
  <c r="B1096" i="66"/>
  <c r="B1095" i="66"/>
  <c r="B1094" i="66"/>
  <c r="B1093" i="66"/>
  <c r="B1092" i="66"/>
  <c r="B1091" i="66"/>
  <c r="B1090" i="66"/>
  <c r="B1089" i="66"/>
  <c r="B1088" i="66"/>
  <c r="B1087" i="66"/>
  <c r="B1086" i="66"/>
  <c r="B1085" i="66"/>
  <c r="B1084" i="66"/>
  <c r="B1083" i="66"/>
  <c r="B1082" i="66"/>
  <c r="B1081" i="66"/>
  <c r="B1080" i="66"/>
  <c r="B1079" i="66"/>
  <c r="B1078" i="66"/>
  <c r="B1077" i="66"/>
  <c r="B1076" i="66"/>
  <c r="B1075" i="66"/>
  <c r="B1074" i="66"/>
  <c r="B1073" i="66"/>
  <c r="C1073" i="66" s="1"/>
  <c r="B1072" i="66"/>
  <c r="B1071" i="66"/>
  <c r="B1070" i="66"/>
  <c r="C1070" i="66" s="1"/>
  <c r="B1069" i="66"/>
  <c r="B1068" i="66"/>
  <c r="B1067" i="66"/>
  <c r="B1066" i="66"/>
  <c r="B1065" i="66"/>
  <c r="B1064" i="66"/>
  <c r="B1063" i="66"/>
  <c r="B1062" i="66"/>
  <c r="B1061" i="66"/>
  <c r="B1060" i="66"/>
  <c r="B1059" i="66"/>
  <c r="B1058" i="66"/>
  <c r="B1057" i="66"/>
  <c r="B1056" i="66"/>
  <c r="B1055" i="66"/>
  <c r="B1054" i="66"/>
  <c r="B1053" i="66"/>
  <c r="B1052" i="66"/>
  <c r="B1051" i="66"/>
  <c r="B1050" i="66"/>
  <c r="B1049" i="66"/>
  <c r="B1048" i="66"/>
  <c r="B1047" i="66"/>
  <c r="B1046" i="66"/>
  <c r="B1045" i="66"/>
  <c r="B1044" i="66"/>
  <c r="B1043" i="66"/>
  <c r="B1042" i="66"/>
  <c r="B1041" i="66"/>
  <c r="B1040" i="66"/>
  <c r="B1039" i="66"/>
  <c r="B1038" i="66"/>
  <c r="B1037" i="66"/>
  <c r="B1036" i="66"/>
  <c r="B1035" i="66"/>
  <c r="B1034" i="66"/>
  <c r="B1033" i="66"/>
  <c r="B1032" i="66"/>
  <c r="B1031" i="66"/>
  <c r="B1030" i="66"/>
  <c r="B1029" i="66"/>
  <c r="B1028" i="66"/>
  <c r="B1027" i="66"/>
  <c r="B1026" i="66"/>
  <c r="B1025" i="66"/>
  <c r="B1024" i="66"/>
  <c r="B1023" i="66"/>
  <c r="B1022" i="66"/>
  <c r="B1021" i="66"/>
  <c r="B1020" i="66"/>
  <c r="B1019" i="66"/>
  <c r="B1018" i="66"/>
  <c r="B1017" i="66"/>
  <c r="B1016" i="66"/>
  <c r="B1015" i="66"/>
  <c r="B1014" i="66"/>
  <c r="B1013" i="66"/>
  <c r="B1012" i="66"/>
  <c r="B1011" i="66"/>
  <c r="B1010" i="66"/>
  <c r="B1009" i="66"/>
  <c r="B1008" i="66"/>
  <c r="B1007" i="66"/>
  <c r="B1006" i="66"/>
  <c r="B1005" i="66"/>
  <c r="B1004" i="66"/>
  <c r="B1003" i="66"/>
  <c r="B1002" i="66"/>
  <c r="B1001" i="66"/>
  <c r="B1000" i="66"/>
  <c r="B999" i="66"/>
  <c r="B998" i="66"/>
  <c r="B997" i="66"/>
  <c r="B996" i="66"/>
  <c r="B995" i="66"/>
  <c r="B994" i="66"/>
  <c r="B993" i="66"/>
  <c r="B992" i="66"/>
  <c r="B991" i="66"/>
  <c r="B990" i="66"/>
  <c r="B989" i="66"/>
  <c r="B988" i="66"/>
  <c r="B987" i="66"/>
  <c r="B986" i="66"/>
  <c r="B985" i="66"/>
  <c r="B984" i="66"/>
  <c r="B983" i="66"/>
  <c r="B982" i="66"/>
  <c r="B981" i="66"/>
  <c r="B980" i="66"/>
  <c r="B979" i="66"/>
  <c r="B978" i="66"/>
  <c r="B977" i="66"/>
  <c r="B976" i="66"/>
  <c r="B975" i="66"/>
  <c r="B974" i="66"/>
  <c r="B973" i="66"/>
  <c r="B972" i="66"/>
  <c r="B971" i="66"/>
  <c r="B970" i="66"/>
  <c r="B969" i="66"/>
  <c r="B968" i="66"/>
  <c r="B967" i="66"/>
  <c r="B966" i="66"/>
  <c r="B965" i="66"/>
  <c r="B964" i="66"/>
  <c r="B963" i="66"/>
  <c r="B962" i="66"/>
  <c r="B961" i="66"/>
  <c r="B960" i="66"/>
  <c r="B959" i="66"/>
  <c r="B958" i="66"/>
  <c r="B957" i="66"/>
  <c r="B956" i="66"/>
  <c r="B955" i="66"/>
  <c r="B954" i="66"/>
  <c r="B953" i="66"/>
  <c r="B952" i="66"/>
  <c r="B951" i="66"/>
  <c r="B950" i="66"/>
  <c r="B949" i="66"/>
  <c r="B948" i="66"/>
  <c r="B947" i="66"/>
  <c r="B946" i="66"/>
  <c r="B945" i="66"/>
  <c r="B944" i="66"/>
  <c r="B943" i="66"/>
  <c r="B942" i="66"/>
  <c r="B941" i="66"/>
  <c r="B940" i="66"/>
  <c r="B939" i="66"/>
  <c r="B938" i="66"/>
  <c r="B937" i="66"/>
  <c r="B936" i="66"/>
  <c r="B935" i="66"/>
  <c r="B934" i="66"/>
  <c r="B933" i="66"/>
  <c r="B932" i="66"/>
  <c r="B931" i="66"/>
  <c r="B930" i="66"/>
  <c r="B929" i="66"/>
  <c r="B928" i="66"/>
  <c r="B927" i="66"/>
  <c r="B926" i="66"/>
  <c r="B925" i="66"/>
  <c r="B924" i="66"/>
  <c r="B923" i="66"/>
  <c r="B922" i="66"/>
  <c r="B921" i="66"/>
  <c r="B920" i="66"/>
  <c r="B919" i="66"/>
  <c r="B918" i="66"/>
  <c r="B917" i="66"/>
  <c r="B916" i="66"/>
  <c r="B915" i="66"/>
  <c r="B914" i="66"/>
  <c r="B913" i="66"/>
  <c r="B912" i="66"/>
  <c r="B911" i="66"/>
  <c r="B910" i="66"/>
  <c r="B909" i="66"/>
  <c r="B908" i="66"/>
  <c r="B907" i="66"/>
  <c r="B906" i="66"/>
  <c r="B905" i="66"/>
  <c r="B904" i="66"/>
  <c r="B903" i="66"/>
  <c r="B902" i="66"/>
  <c r="B901" i="66"/>
  <c r="B900" i="66"/>
  <c r="B899" i="66"/>
  <c r="B898" i="66"/>
  <c r="B896" i="66"/>
  <c r="B895" i="66"/>
  <c r="B894" i="66"/>
  <c r="B893" i="66"/>
  <c r="B891" i="66"/>
  <c r="B890" i="66"/>
  <c r="B889" i="66"/>
  <c r="B888" i="66"/>
  <c r="B887" i="66"/>
  <c r="B886" i="66"/>
  <c r="B885" i="66"/>
  <c r="B884" i="66"/>
  <c r="B883" i="66"/>
  <c r="B882" i="66"/>
  <c r="B881" i="66"/>
  <c r="B880" i="66"/>
  <c r="B879" i="66"/>
  <c r="B878" i="66"/>
  <c r="B877" i="66"/>
  <c r="B876" i="66"/>
  <c r="B875" i="66"/>
  <c r="B874" i="66"/>
  <c r="B873" i="66"/>
  <c r="B872" i="66"/>
  <c r="B871" i="66"/>
  <c r="B870" i="66"/>
  <c r="B869" i="66"/>
  <c r="B868" i="66"/>
  <c r="B867" i="66"/>
  <c r="B866" i="66"/>
  <c r="B865" i="66"/>
  <c r="B864" i="66"/>
  <c r="B863" i="66"/>
  <c r="B862" i="66"/>
  <c r="B861" i="66"/>
  <c r="B860" i="66"/>
  <c r="B859" i="66"/>
  <c r="B858" i="66"/>
  <c r="B857" i="66"/>
  <c r="B856" i="66"/>
  <c r="B855" i="66"/>
  <c r="B854" i="66"/>
  <c r="B853" i="66"/>
  <c r="B852" i="66"/>
  <c r="B851" i="66"/>
  <c r="B850" i="66"/>
  <c r="B849" i="66"/>
  <c r="B848" i="66"/>
  <c r="B847" i="66"/>
  <c r="B846" i="66"/>
  <c r="B845" i="66"/>
  <c r="B844" i="66"/>
  <c r="B843" i="66"/>
  <c r="B842" i="66"/>
  <c r="B841" i="66"/>
  <c r="B840" i="66"/>
  <c r="B839" i="66"/>
  <c r="B838" i="66"/>
  <c r="B837" i="66"/>
  <c r="B836" i="66"/>
  <c r="B835" i="66"/>
  <c r="B834" i="66"/>
  <c r="B833" i="66"/>
  <c r="B832" i="66"/>
  <c r="B831" i="66"/>
  <c r="B830" i="66"/>
  <c r="B829" i="66"/>
  <c r="B828" i="66"/>
  <c r="B827" i="66"/>
  <c r="B826" i="66"/>
  <c r="B825" i="66"/>
  <c r="B824" i="66"/>
  <c r="B823" i="66"/>
  <c r="B822" i="66"/>
  <c r="B821" i="66"/>
  <c r="B820" i="66"/>
  <c r="B819" i="66"/>
  <c r="B818" i="66"/>
  <c r="B817" i="66"/>
  <c r="B816" i="66"/>
  <c r="B815" i="66"/>
  <c r="B814" i="66"/>
  <c r="B813" i="66"/>
  <c r="B812" i="66"/>
  <c r="B811" i="66"/>
  <c r="B810" i="66"/>
  <c r="B809" i="66"/>
  <c r="B808" i="66"/>
  <c r="B807" i="66"/>
  <c r="B806" i="66"/>
  <c r="B805" i="66"/>
  <c r="B804" i="66"/>
  <c r="B803" i="66"/>
  <c r="B802" i="66"/>
  <c r="B801" i="66"/>
  <c r="B800" i="66"/>
  <c r="B799" i="66"/>
  <c r="B798" i="66"/>
  <c r="B797" i="66"/>
  <c r="B796" i="66"/>
  <c r="B795" i="66"/>
  <c r="B794" i="66"/>
  <c r="B793" i="66"/>
  <c r="B792" i="66"/>
  <c r="B791" i="66"/>
  <c r="B790" i="66"/>
  <c r="B789" i="66"/>
  <c r="B788" i="66"/>
  <c r="B787" i="66"/>
  <c r="B786" i="66"/>
  <c r="B785" i="66"/>
  <c r="B784" i="66"/>
  <c r="B783" i="66"/>
  <c r="B782" i="66"/>
  <c r="B781" i="66"/>
  <c r="B780" i="66"/>
  <c r="B779" i="66"/>
  <c r="B778" i="66"/>
  <c r="B777" i="66"/>
  <c r="B776" i="66"/>
  <c r="B775" i="66"/>
  <c r="B774" i="66"/>
  <c r="B773" i="66"/>
  <c r="B772" i="66"/>
  <c r="B771" i="66"/>
  <c r="B770" i="66"/>
  <c r="B769" i="66"/>
  <c r="B768" i="66"/>
  <c r="B767" i="66"/>
  <c r="B766" i="66"/>
  <c r="B765" i="66"/>
  <c r="B764" i="66"/>
  <c r="B763" i="66"/>
  <c r="B762" i="66"/>
  <c r="B761" i="66"/>
  <c r="B760" i="66"/>
  <c r="B759" i="66"/>
  <c r="B758" i="66"/>
  <c r="B757" i="66"/>
  <c r="B756" i="66"/>
  <c r="B755" i="66"/>
  <c r="B754" i="66"/>
  <c r="B753" i="66"/>
  <c r="B752" i="66"/>
  <c r="B751" i="66"/>
  <c r="B750" i="66"/>
  <c r="B749" i="66"/>
  <c r="B748" i="66"/>
  <c r="B747" i="66"/>
  <c r="B746" i="66"/>
  <c r="B745" i="66"/>
  <c r="B744" i="66"/>
  <c r="B743" i="66"/>
  <c r="B742" i="66"/>
  <c r="B741" i="66"/>
  <c r="B740" i="66"/>
  <c r="B739" i="66"/>
  <c r="B738" i="66"/>
  <c r="B737" i="66"/>
  <c r="B736" i="66"/>
  <c r="B735" i="66"/>
  <c r="B734" i="66"/>
  <c r="B733" i="66"/>
  <c r="B732" i="66"/>
  <c r="B731" i="66"/>
  <c r="B730" i="66"/>
  <c r="B729" i="66"/>
  <c r="B728" i="66"/>
  <c r="B727" i="66"/>
  <c r="B726" i="66"/>
  <c r="B725" i="66"/>
  <c r="B724" i="66"/>
  <c r="B723" i="66"/>
  <c r="B722" i="66"/>
  <c r="B721" i="66"/>
  <c r="B720" i="66"/>
  <c r="B719" i="66"/>
  <c r="B718" i="66"/>
  <c r="B717" i="66"/>
  <c r="B716" i="66"/>
  <c r="B715" i="66"/>
  <c r="B714" i="66"/>
  <c r="B713" i="66"/>
  <c r="B712" i="66"/>
  <c r="B711" i="66"/>
  <c r="B710" i="66"/>
  <c r="B709" i="66"/>
  <c r="B708" i="66"/>
  <c r="B707" i="66"/>
  <c r="B706" i="66"/>
  <c r="B705" i="66"/>
  <c r="B704" i="66"/>
  <c r="B703" i="66"/>
  <c r="B702" i="66"/>
  <c r="B701" i="66"/>
  <c r="B700" i="66"/>
  <c r="B699" i="66"/>
  <c r="B698" i="66"/>
  <c r="B697" i="66"/>
  <c r="B696" i="66"/>
  <c r="B695" i="66"/>
  <c r="B694" i="66"/>
  <c r="B693" i="66"/>
  <c r="B692" i="66"/>
  <c r="B691" i="66"/>
  <c r="B690" i="66"/>
  <c r="B689" i="66"/>
  <c r="B688" i="66"/>
  <c r="B687" i="66"/>
  <c r="B686" i="66"/>
  <c r="B685" i="66"/>
  <c r="B684" i="66"/>
  <c r="B683" i="66"/>
  <c r="B682" i="66"/>
  <c r="B681" i="66"/>
  <c r="B680" i="66"/>
  <c r="B679" i="66"/>
  <c r="B678" i="66"/>
  <c r="B677" i="66"/>
  <c r="B676" i="66"/>
  <c r="B675" i="66"/>
  <c r="B674" i="66"/>
  <c r="B673" i="66"/>
  <c r="B672" i="66"/>
  <c r="B671" i="66"/>
  <c r="B670" i="66"/>
  <c r="B669" i="66"/>
  <c r="B668" i="66"/>
  <c r="B667" i="66"/>
  <c r="B666" i="66"/>
  <c r="B665" i="66"/>
  <c r="B664" i="66"/>
  <c r="B663" i="66"/>
  <c r="B662" i="66"/>
  <c r="B661" i="66"/>
  <c r="B660" i="66"/>
  <c r="B659" i="66"/>
  <c r="B658" i="66"/>
  <c r="B657" i="66"/>
  <c r="B656" i="66"/>
  <c r="B655" i="66"/>
  <c r="B654" i="66"/>
  <c r="B653" i="66"/>
  <c r="B652" i="66"/>
  <c r="B651" i="66"/>
  <c r="B650" i="66"/>
  <c r="B649" i="66"/>
  <c r="B648" i="66"/>
  <c r="B647" i="66"/>
  <c r="B646" i="66"/>
  <c r="B645" i="66"/>
  <c r="B644" i="66"/>
  <c r="B643" i="66"/>
  <c r="B642" i="66"/>
  <c r="B641" i="66"/>
  <c r="B640" i="66"/>
  <c r="B639" i="66"/>
  <c r="B638" i="66"/>
  <c r="B637" i="66"/>
  <c r="B636" i="66"/>
  <c r="B635" i="66"/>
  <c r="B634" i="66"/>
  <c r="B633" i="66"/>
  <c r="B632" i="66"/>
  <c r="B631" i="66"/>
  <c r="B630" i="66"/>
  <c r="B629" i="66"/>
  <c r="B628" i="66"/>
  <c r="B627" i="66"/>
  <c r="B626" i="66"/>
  <c r="B625" i="66"/>
  <c r="B624" i="66"/>
  <c r="B623" i="66"/>
  <c r="B622" i="66"/>
  <c r="B621" i="66"/>
  <c r="B620" i="66"/>
  <c r="B619" i="66"/>
  <c r="B618" i="66"/>
  <c r="B617" i="66"/>
  <c r="B616" i="66"/>
  <c r="B615" i="66"/>
  <c r="B614" i="66"/>
  <c r="B613" i="66"/>
  <c r="B612" i="66"/>
  <c r="B611" i="66"/>
  <c r="B610" i="66"/>
  <c r="B609" i="66"/>
  <c r="B608" i="66"/>
  <c r="B607" i="66"/>
  <c r="B606" i="66"/>
  <c r="B605" i="66"/>
  <c r="B604" i="66"/>
  <c r="B603" i="66"/>
  <c r="B602" i="66"/>
  <c r="B601" i="66"/>
  <c r="B600" i="66"/>
  <c r="B599" i="66"/>
  <c r="B598" i="66"/>
  <c r="B597" i="66"/>
  <c r="B596" i="66"/>
  <c r="B595" i="66"/>
  <c r="B594" i="66"/>
  <c r="B593" i="66"/>
  <c r="B592" i="66"/>
  <c r="B591" i="66"/>
  <c r="B590" i="66"/>
  <c r="B589" i="66"/>
  <c r="B588" i="66"/>
  <c r="B587" i="66"/>
  <c r="B586" i="66"/>
  <c r="B585" i="66"/>
  <c r="B584" i="66"/>
  <c r="B583" i="66"/>
  <c r="B582" i="66"/>
  <c r="B581" i="66"/>
  <c r="B580" i="66"/>
  <c r="B579" i="66"/>
  <c r="B578" i="66"/>
  <c r="B577" i="66"/>
  <c r="B576" i="66"/>
  <c r="B575" i="66"/>
  <c r="B574" i="66"/>
  <c r="B573" i="66"/>
  <c r="B572" i="66"/>
  <c r="B571" i="66"/>
  <c r="B570" i="66"/>
  <c r="B569" i="66"/>
  <c r="B568" i="66"/>
  <c r="B567" i="66"/>
  <c r="B566" i="66"/>
  <c r="B565" i="66"/>
  <c r="B564" i="66"/>
  <c r="B563" i="66"/>
  <c r="B562" i="66"/>
  <c r="B561" i="66"/>
  <c r="B560" i="66"/>
  <c r="B559" i="66"/>
  <c r="B558" i="66"/>
  <c r="B557" i="66"/>
  <c r="B556" i="66"/>
  <c r="B555" i="66"/>
  <c r="B554" i="66"/>
  <c r="B553" i="66"/>
  <c r="B552" i="66"/>
  <c r="B551" i="66"/>
  <c r="B550" i="66"/>
  <c r="B549" i="66"/>
  <c r="B548" i="66"/>
  <c r="B547" i="66"/>
  <c r="B546" i="66"/>
  <c r="B545" i="66"/>
  <c r="B544" i="66"/>
  <c r="B543" i="66"/>
  <c r="B542" i="66"/>
  <c r="B541" i="66"/>
  <c r="B540" i="66"/>
  <c r="B539" i="66"/>
  <c r="B538" i="66"/>
  <c r="B537" i="66"/>
  <c r="B536" i="66"/>
  <c r="B535" i="66"/>
  <c r="B534" i="66"/>
  <c r="B533" i="66"/>
  <c r="B532" i="66"/>
  <c r="B531" i="66"/>
  <c r="B530" i="66"/>
  <c r="B529" i="66"/>
  <c r="B528" i="66"/>
  <c r="B527" i="66"/>
  <c r="B526" i="66"/>
  <c r="B525" i="66"/>
  <c r="B524" i="66"/>
  <c r="B523" i="66"/>
  <c r="B522" i="66"/>
  <c r="B521" i="66"/>
  <c r="B520" i="66"/>
  <c r="B519" i="66"/>
  <c r="B518" i="66"/>
  <c r="B517" i="66"/>
  <c r="B516" i="66"/>
  <c r="B515" i="66"/>
  <c r="B514" i="66"/>
  <c r="B513" i="66"/>
  <c r="B512" i="66"/>
  <c r="B511" i="66"/>
  <c r="B510" i="66"/>
  <c r="B509" i="66"/>
  <c r="B508" i="66"/>
  <c r="B507" i="66"/>
  <c r="B506" i="66"/>
  <c r="B505" i="66"/>
  <c r="B504" i="66"/>
  <c r="B503" i="66"/>
  <c r="B502" i="66"/>
  <c r="B501" i="66"/>
  <c r="B500" i="66"/>
  <c r="B499" i="66"/>
  <c r="B498" i="66"/>
  <c r="B497" i="66"/>
  <c r="B496" i="66"/>
  <c r="B495" i="66"/>
  <c r="B494" i="66"/>
  <c r="B493" i="66"/>
  <c r="B492" i="66"/>
  <c r="B491" i="66"/>
  <c r="B490" i="66"/>
  <c r="B489" i="66"/>
  <c r="B488" i="66"/>
  <c r="B487" i="66"/>
  <c r="B486" i="66"/>
  <c r="B485" i="66"/>
  <c r="B484" i="66"/>
  <c r="B483" i="66"/>
  <c r="B482" i="66"/>
  <c r="B481" i="66"/>
  <c r="B480" i="66"/>
  <c r="B479" i="66"/>
  <c r="B478" i="66"/>
  <c r="B477" i="66"/>
  <c r="B476" i="66"/>
  <c r="B475" i="66"/>
  <c r="B474" i="66"/>
  <c r="B473" i="66"/>
  <c r="B472" i="66"/>
  <c r="B471" i="66"/>
  <c r="B470" i="66"/>
  <c r="B469" i="66"/>
  <c r="B468" i="66"/>
  <c r="B467" i="66"/>
  <c r="B466" i="66"/>
  <c r="B465" i="66"/>
  <c r="B464" i="66"/>
  <c r="B463" i="66"/>
  <c r="B462" i="66"/>
  <c r="B461" i="66"/>
  <c r="B460" i="66"/>
  <c r="B459" i="66"/>
  <c r="B458" i="66"/>
  <c r="B457" i="66"/>
  <c r="B456" i="66"/>
  <c r="B455" i="66"/>
  <c r="B454" i="66"/>
  <c r="B453" i="66"/>
  <c r="B452" i="66"/>
  <c r="B451" i="66"/>
  <c r="B450" i="66"/>
  <c r="B449" i="66"/>
  <c r="B448" i="66"/>
  <c r="B447" i="66"/>
  <c r="B446" i="66"/>
  <c r="B445" i="66"/>
  <c r="B444" i="66"/>
  <c r="B443" i="66"/>
  <c r="B442" i="66"/>
  <c r="B441" i="66"/>
  <c r="B440" i="66"/>
  <c r="B439" i="66"/>
  <c r="B438" i="66"/>
  <c r="B437" i="66"/>
  <c r="B436" i="66"/>
  <c r="B435" i="66"/>
  <c r="B434" i="66"/>
  <c r="B433" i="66"/>
  <c r="B432" i="66"/>
  <c r="B431" i="66"/>
  <c r="B430" i="66"/>
  <c r="B429" i="66"/>
  <c r="B428" i="66"/>
  <c r="B427" i="66"/>
  <c r="B426" i="66"/>
  <c r="B425" i="66"/>
  <c r="B424" i="66"/>
  <c r="B423" i="66"/>
  <c r="B422" i="66"/>
  <c r="B421" i="66"/>
  <c r="B420" i="66"/>
  <c r="B419" i="66"/>
  <c r="B418" i="66"/>
  <c r="B417" i="66"/>
  <c r="B416" i="66"/>
  <c r="B415" i="66"/>
  <c r="B414" i="66"/>
  <c r="B413" i="66"/>
  <c r="B412" i="66"/>
  <c r="B411" i="66"/>
  <c r="B410" i="66"/>
  <c r="B409" i="66"/>
  <c r="B408" i="66"/>
  <c r="B407" i="66"/>
  <c r="B406" i="66"/>
  <c r="B405" i="66"/>
  <c r="B404" i="66"/>
  <c r="B403" i="66"/>
  <c r="B402" i="66"/>
  <c r="B401" i="66"/>
  <c r="B400" i="66"/>
  <c r="B399" i="66"/>
  <c r="B398" i="66"/>
  <c r="B397" i="66"/>
  <c r="B396" i="66"/>
  <c r="B395" i="66"/>
  <c r="B394" i="66"/>
  <c r="B393" i="66"/>
  <c r="B392" i="66"/>
  <c r="B391" i="66"/>
  <c r="B390" i="66"/>
  <c r="B389" i="66"/>
  <c r="B388" i="66"/>
  <c r="B387" i="66"/>
  <c r="B386" i="66"/>
  <c r="B385" i="66"/>
  <c r="B384" i="66"/>
  <c r="B383" i="66"/>
  <c r="B382" i="66"/>
  <c r="B381" i="66"/>
  <c r="B380" i="66"/>
  <c r="B379" i="66"/>
  <c r="B378" i="66"/>
  <c r="B377" i="66"/>
  <c r="B376" i="66"/>
  <c r="B375" i="66"/>
  <c r="B374" i="66"/>
  <c r="B373" i="66"/>
  <c r="B372" i="66"/>
  <c r="B371" i="66"/>
  <c r="B370" i="66"/>
  <c r="B369" i="66"/>
  <c r="B368" i="66"/>
  <c r="B367" i="66"/>
  <c r="B366" i="66"/>
  <c r="B365" i="66"/>
  <c r="B364" i="66"/>
  <c r="B363" i="66"/>
  <c r="B362" i="66"/>
  <c r="B361" i="66"/>
  <c r="B360" i="66"/>
  <c r="B359" i="66"/>
  <c r="B358" i="66"/>
  <c r="B357" i="66"/>
  <c r="B356" i="66"/>
  <c r="B355" i="66"/>
  <c r="B354" i="66"/>
  <c r="B353" i="66"/>
  <c r="B352" i="66"/>
  <c r="B351" i="66"/>
  <c r="B350" i="66"/>
  <c r="B349" i="66"/>
  <c r="B348" i="66"/>
  <c r="B347" i="66"/>
  <c r="B346" i="66"/>
  <c r="B345" i="66"/>
  <c r="B344" i="66"/>
  <c r="B343" i="66"/>
  <c r="B342" i="66"/>
  <c r="B341" i="66"/>
  <c r="B340" i="66"/>
  <c r="B339" i="66"/>
  <c r="B338" i="66"/>
  <c r="B337" i="66"/>
  <c r="B336" i="66"/>
  <c r="B335" i="66"/>
  <c r="B334" i="66"/>
  <c r="B333" i="66"/>
  <c r="B332" i="66"/>
  <c r="B331" i="66"/>
  <c r="B330" i="66"/>
  <c r="B329" i="66"/>
  <c r="B328" i="66"/>
  <c r="B327" i="66"/>
  <c r="B326" i="66"/>
  <c r="B325" i="66"/>
  <c r="B324" i="66"/>
  <c r="B323" i="66"/>
  <c r="B322" i="66"/>
  <c r="B321" i="66"/>
  <c r="B320" i="66"/>
  <c r="B319" i="66"/>
  <c r="B318" i="66"/>
  <c r="B317" i="66"/>
  <c r="B316" i="66"/>
  <c r="B315" i="66"/>
  <c r="B314" i="66"/>
  <c r="B313" i="66"/>
  <c r="B312" i="66"/>
  <c r="B311" i="66"/>
  <c r="B310" i="66"/>
  <c r="B309" i="66"/>
  <c r="B308" i="66"/>
  <c r="B307" i="66"/>
  <c r="B306" i="66"/>
  <c r="B305" i="66"/>
  <c r="B304" i="66"/>
  <c r="B303" i="66"/>
  <c r="B302" i="66"/>
  <c r="B301" i="66"/>
  <c r="B300" i="66"/>
  <c r="B299" i="66"/>
  <c r="B298" i="66"/>
  <c r="B297" i="66"/>
  <c r="B296" i="66"/>
  <c r="B295" i="66"/>
  <c r="B294" i="66"/>
  <c r="B293" i="66"/>
  <c r="B292" i="66"/>
  <c r="B291" i="66"/>
  <c r="B290" i="66"/>
  <c r="B289" i="66"/>
  <c r="B288" i="66"/>
  <c r="B287" i="66"/>
  <c r="B286" i="66"/>
  <c r="B285" i="66"/>
  <c r="B284" i="66"/>
  <c r="B283" i="66"/>
  <c r="B282" i="66"/>
  <c r="B281" i="66"/>
  <c r="B280" i="66"/>
  <c r="B279" i="66"/>
  <c r="B270" i="66"/>
  <c r="B269" i="66"/>
  <c r="B268" i="66"/>
  <c r="P70" i="80"/>
  <c r="P69" i="80"/>
  <c r="P68" i="80"/>
  <c r="P67" i="80"/>
  <c r="P65" i="80"/>
  <c r="P64" i="80"/>
  <c r="P63" i="80"/>
  <c r="P62" i="80"/>
  <c r="P57" i="80"/>
  <c r="P56" i="80"/>
  <c r="P55" i="80"/>
  <c r="P54" i="80"/>
  <c r="P53" i="80"/>
  <c r="P51" i="80"/>
  <c r="P50" i="80"/>
  <c r="P49" i="80"/>
  <c r="P48" i="80"/>
  <c r="P47" i="80"/>
  <c r="P45" i="80"/>
  <c r="P44" i="80"/>
  <c r="P43" i="80"/>
  <c r="P42" i="80"/>
  <c r="P41" i="80"/>
  <c r="P39" i="80"/>
  <c r="P38" i="80"/>
  <c r="P37" i="80"/>
  <c r="P36" i="80"/>
  <c r="P35" i="80"/>
  <c r="P33" i="80"/>
  <c r="P32" i="80"/>
  <c r="P72" i="80" l="1"/>
  <c r="O17" i="3"/>
  <c r="L72" i="80"/>
  <c r="L74" i="80" s="1"/>
  <c r="Y32" i="80" l="1"/>
  <c r="X32" i="80"/>
  <c r="AE908" i="16" s="1"/>
  <c r="AC908" i="16" s="1"/>
  <c r="O18" i="3"/>
  <c r="B250" i="66"/>
  <c r="C250" i="66" s="1"/>
  <c r="B239" i="66"/>
  <c r="AS148" i="28"/>
  <c r="AR148" i="28"/>
  <c r="AQ148" i="28"/>
  <c r="AP148" i="28"/>
  <c r="AL148" i="28"/>
  <c r="AS1049" i="16"/>
  <c r="AR1049" i="16"/>
  <c r="AQ1049" i="16"/>
  <c r="AP1049" i="16"/>
  <c r="AL1049" i="16"/>
  <c r="AD1049" i="16"/>
  <c r="U1049" i="16"/>
  <c r="Y1049" i="16"/>
  <c r="R1049" i="16"/>
  <c r="M1049" i="16" s="1"/>
  <c r="AM1049" i="16" s="1"/>
  <c r="G1050" i="16"/>
  <c r="G1051" i="16" s="1"/>
  <c r="A1038" i="66"/>
  <c r="A1039" i="66" s="1"/>
  <c r="C1039" i="66" s="1"/>
  <c r="AD148" i="28"/>
  <c r="U148" i="28"/>
  <c r="CV4" i="2" s="1"/>
  <c r="R148" i="28"/>
  <c r="M148" i="28" s="1"/>
  <c r="AM148" i="28" s="1"/>
  <c r="AE148" i="28" l="1"/>
  <c r="Z3" i="80"/>
  <c r="AF908" i="16"/>
  <c r="AE1049" i="16"/>
  <c r="AF1049" i="16" s="1"/>
  <c r="C1037" i="66"/>
  <c r="C1038" i="66"/>
  <c r="AC148" i="28"/>
  <c r="AC1049" i="16" l="1"/>
  <c r="AS1241" i="16" l="1"/>
  <c r="AR1241" i="16"/>
  <c r="AQ1241" i="16"/>
  <c r="AP1241" i="16"/>
  <c r="Y1241" i="16"/>
  <c r="C1230" i="66"/>
  <c r="H1229" i="66"/>
  <c r="C1229" i="66"/>
  <c r="AS182" i="28" l="1"/>
  <c r="AR182" i="28"/>
  <c r="AQ182" i="28"/>
  <c r="AP182" i="28"/>
  <c r="AL182" i="28"/>
  <c r="AS1083" i="16"/>
  <c r="AR1083" i="16"/>
  <c r="AQ1083" i="16"/>
  <c r="AP1083" i="16"/>
  <c r="AL1083" i="16"/>
  <c r="Y1083" i="16"/>
  <c r="R1083" i="16"/>
  <c r="AE182" i="28"/>
  <c r="AD182" i="28"/>
  <c r="CX4" i="2"/>
  <c r="M182" i="28"/>
  <c r="AM182" i="28" s="1"/>
  <c r="AC182" i="28" l="1"/>
  <c r="A1072" i="66"/>
  <c r="C1072" i="66" s="1"/>
  <c r="C1071" i="66"/>
  <c r="M1083" i="16"/>
  <c r="AM1083" i="16" s="1"/>
  <c r="AE1083" i="16"/>
  <c r="C1017" i="66"/>
  <c r="AF1083" i="16" l="1"/>
  <c r="AC1083" i="16"/>
  <c r="A894" i="66"/>
  <c r="A895" i="66" s="1"/>
  <c r="C895" i="66" s="1"/>
  <c r="A890" i="66"/>
  <c r="A891" i="66" s="1"/>
  <c r="C891" i="66" s="1"/>
  <c r="AS897" i="16"/>
  <c r="AR897" i="16"/>
  <c r="AQ897" i="16"/>
  <c r="AP897" i="16"/>
  <c r="AL897" i="16"/>
  <c r="AS893" i="16"/>
  <c r="AR893" i="16"/>
  <c r="AQ893" i="16"/>
  <c r="AP893" i="16"/>
  <c r="AL893" i="16"/>
  <c r="Y897" i="16"/>
  <c r="Y893" i="16"/>
  <c r="T897" i="16"/>
  <c r="AD897" i="16" s="1"/>
  <c r="R897" i="16"/>
  <c r="AE897" i="16" s="1"/>
  <c r="AF897" i="16" s="1"/>
  <c r="T893" i="16"/>
  <c r="AD893" i="16" s="1"/>
  <c r="R893" i="16"/>
  <c r="AE893" i="16" s="1"/>
  <c r="AF893" i="16" s="1"/>
  <c r="T874" i="16"/>
  <c r="AS128" i="25"/>
  <c r="AR128" i="25"/>
  <c r="AQ128" i="25"/>
  <c r="AP128" i="25"/>
  <c r="AL128" i="25"/>
  <c r="AS124" i="25"/>
  <c r="AR124" i="25"/>
  <c r="AQ124" i="25"/>
  <c r="AP124" i="25"/>
  <c r="AL124" i="25"/>
  <c r="T128" i="25"/>
  <c r="AD128" i="25" s="1"/>
  <c r="R128" i="25"/>
  <c r="AE128" i="25" s="1"/>
  <c r="T124" i="25"/>
  <c r="AD124" i="25" s="1"/>
  <c r="R124" i="25"/>
  <c r="AE124" i="25" s="1"/>
  <c r="R119" i="25"/>
  <c r="A780" i="66"/>
  <c r="A781" i="66" s="1"/>
  <c r="C781" i="66" s="1"/>
  <c r="AS14" i="25"/>
  <c r="AR14" i="25"/>
  <c r="AQ14" i="25"/>
  <c r="AP14" i="25"/>
  <c r="AL14" i="25"/>
  <c r="AS783" i="16"/>
  <c r="AR783" i="16"/>
  <c r="AQ783" i="16"/>
  <c r="AP783" i="16"/>
  <c r="AL783" i="16"/>
  <c r="Y783" i="16"/>
  <c r="T783" i="16"/>
  <c r="AD783" i="16" s="1"/>
  <c r="R783" i="16"/>
  <c r="M783" i="16" s="1"/>
  <c r="AM783" i="16" s="1"/>
  <c r="T14" i="25"/>
  <c r="AD14" i="25" s="1"/>
  <c r="R14" i="25"/>
  <c r="AE14" i="25" s="1"/>
  <c r="A535" i="66"/>
  <c r="C467" i="66"/>
  <c r="C466" i="66"/>
  <c r="C433" i="66"/>
  <c r="C432" i="66"/>
  <c r="C421" i="66"/>
  <c r="C420" i="66"/>
  <c r="C419" i="66"/>
  <c r="C373" i="66"/>
  <c r="C372" i="66"/>
  <c r="C362" i="66"/>
  <c r="C350" i="66"/>
  <c r="C294" i="66"/>
  <c r="C293" i="66"/>
  <c r="C281" i="66"/>
  <c r="C280" i="66"/>
  <c r="C269" i="66"/>
  <c r="C268" i="66"/>
  <c r="Y535" i="16"/>
  <c r="R535" i="16"/>
  <c r="AS296" i="24"/>
  <c r="AR296" i="24"/>
  <c r="AQ296" i="24"/>
  <c r="AP296" i="24"/>
  <c r="AL296" i="24"/>
  <c r="AE296" i="24"/>
  <c r="AD296" i="24"/>
  <c r="R296" i="24"/>
  <c r="M296" i="24" s="1"/>
  <c r="AM296" i="24" s="1"/>
  <c r="AC296" i="24" l="1"/>
  <c r="M14" i="25"/>
  <c r="AM14" i="25" s="1"/>
  <c r="AC14" i="25"/>
  <c r="M535" i="16"/>
  <c r="AM535" i="16" s="1"/>
  <c r="AE535" i="16"/>
  <c r="AC124" i="25"/>
  <c r="AC128" i="25"/>
  <c r="M897" i="16"/>
  <c r="AM897" i="16" s="1"/>
  <c r="AC897" i="16"/>
  <c r="AC893" i="16"/>
  <c r="M893" i="16"/>
  <c r="AM893" i="16" s="1"/>
  <c r="AE783" i="16"/>
  <c r="AF783" i="16" s="1"/>
  <c r="C890" i="66"/>
  <c r="C893" i="66"/>
  <c r="C894" i="66"/>
  <c r="C889" i="66"/>
  <c r="A896" i="66"/>
  <c r="C896" i="66" s="1"/>
  <c r="M128" i="25"/>
  <c r="AM128" i="25" s="1"/>
  <c r="M124" i="25"/>
  <c r="AM124" i="25" s="1"/>
  <c r="A782" i="66"/>
  <c r="A783" i="66" s="1"/>
  <c r="A784" i="66" s="1"/>
  <c r="A785" i="66" s="1"/>
  <c r="C779" i="66"/>
  <c r="C780" i="66"/>
  <c r="C534" i="66"/>
  <c r="A536" i="66"/>
  <c r="C536" i="66" s="1"/>
  <c r="C535" i="66"/>
  <c r="U423" i="16"/>
  <c r="U184" i="24"/>
  <c r="AY4" i="2" s="1"/>
  <c r="AF535" i="16" l="1"/>
  <c r="AC535" i="16"/>
  <c r="AC783" i="16"/>
  <c r="C782" i="66"/>
  <c r="C783" i="66"/>
  <c r="C784" i="66"/>
  <c r="U349" i="16"/>
  <c r="U110" i="24"/>
  <c r="AS4" i="2" s="1"/>
  <c r="U336" i="16"/>
  <c r="C338" i="66"/>
  <c r="U97" i="24"/>
  <c r="AR4" i="2" s="1"/>
  <c r="N33" i="27" l="1"/>
  <c r="N32" i="27"/>
  <c r="N39" i="27"/>
  <c r="N38" i="27"/>
  <c r="N37" i="27"/>
  <c r="N36" i="27"/>
  <c r="N35" i="27"/>
  <c r="N45" i="27"/>
  <c r="N44" i="27"/>
  <c r="N43" i="27"/>
  <c r="N42" i="27"/>
  <c r="N41" i="27"/>
  <c r="N51" i="27"/>
  <c r="N50" i="27"/>
  <c r="N49" i="27"/>
  <c r="N48" i="27"/>
  <c r="N47" i="27"/>
  <c r="N57" i="27"/>
  <c r="N56" i="27"/>
  <c r="N55" i="27"/>
  <c r="N54" i="27"/>
  <c r="N53" i="27"/>
  <c r="J57" i="27"/>
  <c r="J56" i="27"/>
  <c r="J55" i="27"/>
  <c r="J54" i="27"/>
  <c r="J53" i="27"/>
  <c r="J51" i="27"/>
  <c r="J50" i="27"/>
  <c r="J49" i="27"/>
  <c r="J48" i="27"/>
  <c r="J47" i="27"/>
  <c r="J45" i="27"/>
  <c r="J44" i="27"/>
  <c r="J43" i="27"/>
  <c r="J42" i="27"/>
  <c r="J41" i="27"/>
  <c r="J39" i="27"/>
  <c r="J38" i="27"/>
  <c r="J37" i="27"/>
  <c r="J36" i="27"/>
  <c r="J35" i="27"/>
  <c r="J33" i="27"/>
  <c r="T170" i="25"/>
  <c r="T158" i="25"/>
  <c r="N72" i="27" l="1"/>
  <c r="J32" i="27"/>
  <c r="J72" i="27" l="1"/>
  <c r="J74" i="27" s="1"/>
  <c r="W171" i="25"/>
  <c r="W172" i="25" s="1"/>
  <c r="W159" i="25"/>
  <c r="W160" i="25" s="1"/>
  <c r="W174" i="25" s="1"/>
  <c r="I18" i="3" l="1"/>
  <c r="L18" i="3" s="1"/>
  <c r="K18" i="3" s="1"/>
  <c r="D27" i="17" s="1"/>
  <c r="R18" i="3"/>
  <c r="Q18" i="3" s="1"/>
  <c r="I17" i="3"/>
  <c r="L17" i="3" s="1"/>
  <c r="K17" i="3" s="1"/>
  <c r="D26" i="17" s="1"/>
  <c r="R17" i="3"/>
  <c r="Q17" i="3" s="1"/>
  <c r="AC1" i="80" l="1"/>
  <c r="D1" i="80" s="1"/>
  <c r="AJ1" i="79"/>
  <c r="AI1" i="79"/>
  <c r="I1" i="79" s="1"/>
  <c r="AB1" i="80"/>
  <c r="E26" i="17"/>
  <c r="E27" i="17"/>
  <c r="AJ1" i="16"/>
  <c r="E27" i="18"/>
  <c r="X1" i="27"/>
  <c r="B1" i="27" s="1"/>
  <c r="D27" i="18"/>
  <c r="AI1" i="16"/>
  <c r="E26" i="18"/>
  <c r="D26" i="18"/>
  <c r="H1232" i="66"/>
  <c r="H1231" i="66"/>
  <c r="C1232" i="66"/>
  <c r="C1231" i="66"/>
  <c r="Y1244" i="16"/>
  <c r="Y1243" i="16"/>
  <c r="AS1244" i="16"/>
  <c r="AR1244" i="16"/>
  <c r="AQ1244" i="16"/>
  <c r="AP1244" i="16"/>
  <c r="AS1243" i="16"/>
  <c r="AR1243" i="16"/>
  <c r="AQ1243" i="16"/>
  <c r="AP1243" i="16"/>
  <c r="AS61" i="29"/>
  <c r="AR61" i="29"/>
  <c r="AQ61" i="29"/>
  <c r="AP61" i="29"/>
  <c r="AS60" i="29"/>
  <c r="AR60" i="29"/>
  <c r="AQ60" i="29"/>
  <c r="AP60" i="29"/>
  <c r="S60" i="24" l="1"/>
  <c r="S59" i="24"/>
  <c r="S58" i="24"/>
  <c r="S57" i="24"/>
  <c r="S221" i="28" l="1"/>
  <c r="S42" i="25" l="1"/>
  <c r="S1122" i="16"/>
  <c r="S811" i="16"/>
  <c r="S299" i="16" l="1"/>
  <c r="S298" i="16"/>
  <c r="S297" i="16"/>
  <c r="S296" i="16"/>
  <c r="AX13" i="16" l="1"/>
  <c r="AX14" i="16"/>
  <c r="BC14" i="16"/>
  <c r="BD14" i="16"/>
  <c r="AX15" i="16"/>
  <c r="AX16" i="16"/>
  <c r="AF730" i="16" l="1"/>
  <c r="AF729" i="16"/>
  <c r="AF728" i="16"/>
  <c r="AF727" i="16"/>
  <c r="AF726" i="16"/>
  <c r="AF725" i="16"/>
  <c r="AF724" i="16"/>
  <c r="AF469" i="16"/>
  <c r="AF393" i="16"/>
  <c r="AF389" i="16"/>
  <c r="AF385" i="16"/>
  <c r="AF379" i="16"/>
  <c r="AF377" i="16"/>
  <c r="AF299" i="16"/>
  <c r="AF298" i="16"/>
  <c r="AF297" i="16"/>
  <c r="AF296" i="16"/>
  <c r="AF256" i="16"/>
  <c r="AA7" i="16" l="1"/>
  <c r="F221" i="76" l="1"/>
  <c r="AA941" i="16"/>
  <c r="AA501" i="16"/>
  <c r="AA503" i="16"/>
  <c r="AA734" i="16"/>
  <c r="AA955" i="16"/>
  <c r="AA968" i="16"/>
  <c r="AA957" i="16"/>
  <c r="AA496" i="16"/>
  <c r="AA492" i="16"/>
  <c r="AA481" i="16"/>
  <c r="AA480" i="16"/>
  <c r="AA478" i="16"/>
  <c r="AA469" i="16"/>
  <c r="AA452" i="16"/>
  <c r="AA411" i="16"/>
  <c r="AA316" i="16"/>
  <c r="AA310" i="16"/>
  <c r="AA309" i="16"/>
  <c r="AA300" i="16"/>
  <c r="AA253" i="16"/>
  <c r="AA232" i="16"/>
  <c r="AA229" i="16"/>
  <c r="AA224" i="16"/>
  <c r="AA221" i="16"/>
  <c r="AA206" i="16"/>
  <c r="AA180" i="16"/>
  <c r="AA179" i="16"/>
  <c r="AA177" i="16"/>
  <c r="AA130" i="16"/>
  <c r="AA129" i="16"/>
  <c r="AA124" i="16"/>
  <c r="AA118" i="16"/>
  <c r="AA103" i="16"/>
  <c r="AA60" i="16"/>
  <c r="F734" i="76"/>
  <c r="F496" i="76"/>
  <c r="F453" i="76"/>
  <c r="F411" i="76"/>
  <c r="F316" i="76"/>
  <c r="F310" i="76"/>
  <c r="F309" i="76"/>
  <c r="F224" i="76"/>
  <c r="F61" i="76"/>
  <c r="E1180" i="76"/>
  <c r="E1178" i="76"/>
  <c r="E1177" i="76"/>
  <c r="E1176" i="76"/>
  <c r="E1175" i="76"/>
  <c r="E1172" i="76"/>
  <c r="E1171" i="76"/>
  <c r="E1169" i="76"/>
  <c r="E1168" i="76"/>
  <c r="E1167" i="76"/>
  <c r="E1166" i="76"/>
  <c r="E1158" i="76"/>
  <c r="E1144" i="76"/>
  <c r="E1137" i="76"/>
  <c r="E1127" i="76"/>
  <c r="E1126" i="76"/>
  <c r="E1124" i="76"/>
  <c r="E1123" i="76"/>
  <c r="E1121" i="76"/>
  <c r="E1113" i="76"/>
  <c r="E1111" i="76"/>
  <c r="E1101" i="76"/>
  <c r="E1092" i="76"/>
  <c r="E1088" i="76"/>
  <c r="E1086" i="76"/>
  <c r="E1085" i="76"/>
  <c r="E1081" i="76"/>
  <c r="E1071" i="76"/>
  <c r="E1069" i="76"/>
  <c r="E1063" i="76"/>
  <c r="E1059" i="76"/>
  <c r="E1058" i="76"/>
  <c r="E1057" i="76"/>
  <c r="E1056" i="76"/>
  <c r="E1044" i="76"/>
  <c r="E1042" i="76"/>
  <c r="E1037" i="76"/>
  <c r="E1036" i="76"/>
  <c r="E1035" i="76"/>
  <c r="E1034" i="76"/>
  <c r="E1033" i="76"/>
  <c r="E1030" i="76"/>
  <c r="E1029" i="76"/>
  <c r="E1028" i="76"/>
  <c r="E1021" i="76"/>
  <c r="E1015" i="76"/>
  <c r="E1014" i="76"/>
  <c r="E1013" i="76"/>
  <c r="E1012" i="76"/>
  <c r="E1011" i="76"/>
  <c r="E994" i="76"/>
  <c r="E993" i="76"/>
  <c r="E992" i="76"/>
  <c r="E991" i="76"/>
  <c r="E990" i="76"/>
  <c r="E989" i="76"/>
  <c r="E985" i="76"/>
  <c r="E984" i="76"/>
  <c r="E982" i="76"/>
  <c r="E961" i="76"/>
  <c r="E959" i="76"/>
  <c r="E956" i="76"/>
  <c r="E955" i="76"/>
  <c r="E954" i="76"/>
  <c r="E953" i="76"/>
  <c r="E952" i="76"/>
  <c r="E950" i="76"/>
  <c r="E948" i="76"/>
  <c r="E943" i="76"/>
  <c r="E941" i="76"/>
  <c r="E939" i="76"/>
  <c r="E938" i="76"/>
  <c r="E936" i="76"/>
  <c r="E934" i="76"/>
  <c r="E933" i="76"/>
  <c r="E925" i="76"/>
  <c r="E924" i="76"/>
  <c r="E909" i="76"/>
  <c r="E907" i="76"/>
  <c r="E906" i="76"/>
  <c r="E905" i="76"/>
  <c r="E904" i="76"/>
  <c r="E903" i="76"/>
  <c r="E761" i="76"/>
  <c r="E760" i="76"/>
  <c r="E759" i="76"/>
  <c r="E758" i="76"/>
  <c r="E733" i="76"/>
  <c r="E723" i="76"/>
  <c r="E722" i="76"/>
  <c r="E720" i="76"/>
  <c r="E719" i="76"/>
  <c r="E718" i="76"/>
  <c r="E717" i="76"/>
  <c r="E716" i="76"/>
  <c r="E715" i="76"/>
  <c r="E714" i="76"/>
  <c r="E673" i="76"/>
  <c r="E672" i="76"/>
  <c r="E671" i="76"/>
  <c r="E669" i="76"/>
  <c r="E667" i="76"/>
  <c r="E666" i="76"/>
  <c r="E665" i="76"/>
  <c r="E664" i="76"/>
  <c r="E663" i="76"/>
  <c r="E662" i="76"/>
  <c r="E660" i="76"/>
  <c r="E659" i="76"/>
  <c r="E658" i="76"/>
  <c r="E657" i="76"/>
  <c r="E656" i="76"/>
  <c r="E655" i="76"/>
  <c r="E654" i="76"/>
  <c r="E653" i="76"/>
  <c r="E642" i="76"/>
  <c r="E641" i="76"/>
  <c r="E640" i="76"/>
  <c r="E639" i="76"/>
  <c r="E638" i="76"/>
  <c r="E637" i="76"/>
  <c r="E634" i="76"/>
  <c r="E633" i="76"/>
  <c r="E632" i="76"/>
  <c r="E631" i="76"/>
  <c r="E630" i="76"/>
  <c r="E629" i="76"/>
  <c r="E628" i="76"/>
  <c r="E625" i="76"/>
  <c r="E622" i="76"/>
  <c r="E617" i="76"/>
  <c r="E616" i="76"/>
  <c r="E615" i="76"/>
  <c r="E614" i="76"/>
  <c r="E613" i="76"/>
  <c r="E611" i="76"/>
  <c r="E610" i="76"/>
  <c r="E608" i="76"/>
  <c r="E607" i="76"/>
  <c r="E587" i="76"/>
  <c r="E586" i="76"/>
  <c r="E585" i="76"/>
  <c r="E584" i="76"/>
  <c r="E583" i="76"/>
  <c r="E582" i="76"/>
  <c r="E581" i="76"/>
  <c r="E580" i="76"/>
  <c r="E579" i="76"/>
  <c r="E563" i="76"/>
  <c r="E554" i="76"/>
  <c r="E552" i="76"/>
  <c r="E551" i="76"/>
  <c r="E550" i="76"/>
  <c r="E549" i="76"/>
  <c r="E548" i="76"/>
  <c r="E547" i="76"/>
  <c r="E546" i="76"/>
  <c r="E545" i="76"/>
  <c r="E544" i="76"/>
  <c r="E543" i="76"/>
  <c r="E542" i="76"/>
  <c r="E541" i="76"/>
  <c r="E540" i="76"/>
  <c r="E539" i="76"/>
  <c r="E522" i="76"/>
  <c r="E521" i="76"/>
  <c r="E519" i="76"/>
  <c r="E518" i="76"/>
  <c r="E517" i="76"/>
  <c r="E516" i="76"/>
  <c r="E515" i="76"/>
  <c r="E514" i="76"/>
  <c r="E512" i="76"/>
  <c r="E511" i="76"/>
  <c r="E510" i="76"/>
  <c r="E509" i="76"/>
  <c r="E508" i="76"/>
  <c r="E502" i="76"/>
  <c r="E494" i="76"/>
  <c r="E493" i="76"/>
  <c r="E485" i="76"/>
  <c r="E484" i="76"/>
  <c r="E483" i="76"/>
  <c r="E479" i="76"/>
  <c r="E471" i="76"/>
  <c r="E470" i="76"/>
  <c r="E464" i="76"/>
  <c r="E463" i="76"/>
  <c r="E462" i="76"/>
  <c r="E461" i="76"/>
  <c r="E460" i="76"/>
  <c r="E459" i="76"/>
  <c r="E458" i="76"/>
  <c r="E457" i="76"/>
  <c r="E456" i="76"/>
  <c r="E455" i="76"/>
  <c r="E454" i="76"/>
  <c r="E453" i="76"/>
  <c r="E450" i="76"/>
  <c r="E442" i="76"/>
  <c r="E441" i="76"/>
  <c r="E440" i="76"/>
  <c r="E437" i="76"/>
  <c r="E436" i="76"/>
  <c r="E410" i="76"/>
  <c r="E409" i="76"/>
  <c r="E408" i="76"/>
  <c r="E406" i="76"/>
  <c r="E404" i="76"/>
  <c r="E402" i="76"/>
  <c r="E401" i="76"/>
  <c r="E399" i="76"/>
  <c r="E395" i="76"/>
  <c r="E394" i="76"/>
  <c r="E392" i="76"/>
  <c r="E391" i="76"/>
  <c r="E390" i="76"/>
  <c r="E388" i="76"/>
  <c r="E387" i="76"/>
  <c r="E386" i="76"/>
  <c r="E381" i="76"/>
  <c r="E380" i="76"/>
  <c r="E378" i="76"/>
  <c r="E370" i="76"/>
  <c r="E361" i="76"/>
  <c r="E354" i="76"/>
  <c r="E347" i="76"/>
  <c r="E346" i="76"/>
  <c r="E345" i="76"/>
  <c r="E342" i="76"/>
  <c r="E330" i="76"/>
  <c r="E329" i="76"/>
  <c r="E328" i="76"/>
  <c r="E327" i="76"/>
  <c r="E326" i="76"/>
  <c r="E325" i="76"/>
  <c r="E324" i="76"/>
  <c r="E306" i="76"/>
  <c r="E302" i="76"/>
  <c r="E301" i="76"/>
  <c r="E290" i="76"/>
  <c r="E289" i="76"/>
  <c r="E276" i="76"/>
  <c r="E275" i="76"/>
  <c r="E273" i="76"/>
  <c r="E272" i="76"/>
  <c r="E256" i="76"/>
  <c r="E255" i="76"/>
  <c r="E254" i="76"/>
  <c r="E247" i="76"/>
  <c r="E246" i="76"/>
  <c r="E245" i="76"/>
  <c r="E244" i="76"/>
  <c r="E243" i="76"/>
  <c r="E241" i="76"/>
  <c r="E231" i="76"/>
  <c r="E230" i="76"/>
  <c r="E220" i="76"/>
  <c r="E214" i="76"/>
  <c r="E207" i="76"/>
  <c r="E199" i="76"/>
  <c r="E198" i="76"/>
  <c r="E197" i="76"/>
  <c r="E196" i="76"/>
  <c r="E195" i="76"/>
  <c r="E194" i="76"/>
  <c r="E193" i="76"/>
  <c r="E190" i="76"/>
  <c r="E189" i="76"/>
  <c r="E187" i="76"/>
  <c r="E186" i="76"/>
  <c r="E185" i="76"/>
  <c r="E183" i="76"/>
  <c r="E181" i="76"/>
  <c r="E178" i="76"/>
  <c r="E173" i="76"/>
  <c r="E171" i="76"/>
  <c r="E166" i="76"/>
  <c r="E165" i="76"/>
  <c r="E164" i="76"/>
  <c r="E163" i="76"/>
  <c r="E158" i="76"/>
  <c r="E156" i="76"/>
  <c r="E147" i="76"/>
  <c r="E145" i="76"/>
  <c r="E143" i="76"/>
  <c r="E141" i="76"/>
  <c r="E139" i="76"/>
  <c r="E138" i="76"/>
  <c r="E136" i="76"/>
  <c r="E134" i="76"/>
  <c r="E133" i="76"/>
  <c r="E132" i="76"/>
  <c r="E131" i="76"/>
  <c r="E121" i="76"/>
  <c r="E123" i="76"/>
  <c r="E119" i="76"/>
  <c r="E113" i="76"/>
  <c r="E104" i="76"/>
  <c r="E99" i="76"/>
  <c r="E98" i="76"/>
  <c r="E97" i="76"/>
  <c r="E95" i="76"/>
  <c r="E94" i="76"/>
  <c r="E84" i="76"/>
  <c r="E83" i="76"/>
  <c r="E82" i="76"/>
  <c r="E81" i="76"/>
  <c r="E80" i="76"/>
  <c r="E79" i="76"/>
  <c r="E77" i="76"/>
  <c r="E71" i="76"/>
  <c r="E66" i="76"/>
  <c r="E64" i="76"/>
  <c r="E27" i="76"/>
  <c r="E26" i="76"/>
  <c r="E25" i="76"/>
  <c r="E24" i="76"/>
  <c r="E23" i="76"/>
  <c r="E22" i="76"/>
  <c r="E21" i="76"/>
  <c r="E20" i="76"/>
  <c r="E30" i="76"/>
  <c r="E29" i="76"/>
  <c r="E59" i="76"/>
  <c r="E57" i="76"/>
  <c r="E53" i="76"/>
  <c r="E51" i="76"/>
  <c r="E39" i="76"/>
  <c r="E524" i="76"/>
  <c r="D458" i="76"/>
  <c r="S955" i="16" l="1"/>
  <c r="S54" i="28"/>
  <c r="S960" i="16" l="1"/>
  <c r="T960" i="16" s="1"/>
  <c r="AD960" i="16" s="1"/>
  <c r="S958" i="16"/>
  <c r="T958" i="16" s="1"/>
  <c r="AD958" i="16" s="1"/>
  <c r="K13" i="7"/>
  <c r="L13" i="7"/>
  <c r="AS831" i="16"/>
  <c r="AR831" i="16"/>
  <c r="AQ831" i="16"/>
  <c r="AP831" i="16"/>
  <c r="Y831" i="16"/>
  <c r="AS62" i="25"/>
  <c r="AR62" i="25"/>
  <c r="AQ62" i="25"/>
  <c r="AP62" i="25"/>
  <c r="AY24" i="24"/>
  <c r="O14" i="24" s="1"/>
  <c r="A252" i="66" s="1"/>
  <c r="AY33" i="24"/>
  <c r="AZ33" i="24" s="1"/>
  <c r="S121" i="24" s="1"/>
  <c r="T121" i="24" s="1"/>
  <c r="AD121" i="24" s="1"/>
  <c r="AC121" i="24" s="1"/>
  <c r="AY33" i="25"/>
  <c r="AY19" i="29"/>
  <c r="S58" i="29" s="1"/>
  <c r="C1181" i="66"/>
  <c r="C1182" i="66"/>
  <c r="C1192" i="66"/>
  <c r="C1193" i="66"/>
  <c r="C1194" i="66"/>
  <c r="C1195" i="66"/>
  <c r="C1196" i="66"/>
  <c r="C1197" i="66"/>
  <c r="C1198" i="66"/>
  <c r="C1199" i="66"/>
  <c r="C1200" i="66"/>
  <c r="C1201" i="66"/>
  <c r="C1202" i="66"/>
  <c r="C1203" i="66"/>
  <c r="C1204" i="66"/>
  <c r="C1205" i="66"/>
  <c r="C1206" i="66"/>
  <c r="C1207" i="66"/>
  <c r="C1208" i="66"/>
  <c r="C1209" i="66"/>
  <c r="C1210" i="66"/>
  <c r="C1211" i="66"/>
  <c r="C1212" i="66"/>
  <c r="C1213" i="66"/>
  <c r="C1214" i="66"/>
  <c r="C1215" i="66"/>
  <c r="C1216" i="66"/>
  <c r="C1217" i="66"/>
  <c r="C1218" i="66"/>
  <c r="C1219" i="66"/>
  <c r="C1220" i="66"/>
  <c r="C1221" i="66"/>
  <c r="C1222" i="66"/>
  <c r="C1223" i="66"/>
  <c r="C1224" i="66"/>
  <c r="C1225" i="66"/>
  <c r="C1226" i="66"/>
  <c r="C1227" i="66"/>
  <c r="C1228" i="66"/>
  <c r="C1237" i="66"/>
  <c r="C1238" i="66"/>
  <c r="C1239" i="66"/>
  <c r="C1240" i="66"/>
  <c r="C1241" i="66"/>
  <c r="C1242" i="66"/>
  <c r="C1243" i="66"/>
  <c r="C1244" i="66"/>
  <c r="C1245" i="66"/>
  <c r="C1246" i="66"/>
  <c r="C1247" i="66"/>
  <c r="C1248" i="66"/>
  <c r="C1249" i="66"/>
  <c r="C1250" i="66"/>
  <c r="C1262" i="66"/>
  <c r="C1263" i="66"/>
  <c r="C1264" i="66"/>
  <c r="C1265" i="66"/>
  <c r="C1266" i="66"/>
  <c r="C1267" i="66"/>
  <c r="C1268" i="66"/>
  <c r="C1272" i="66"/>
  <c r="C1278" i="66"/>
  <c r="C1279" i="66"/>
  <c r="C1280" i="66"/>
  <c r="C1281" i="66"/>
  <c r="C1282" i="66"/>
  <c r="C1283" i="66"/>
  <c r="C1284" i="66"/>
  <c r="C1285" i="66"/>
  <c r="C1286" i="66"/>
  <c r="C1287" i="66"/>
  <c r="C1288" i="66"/>
  <c r="C1289" i="66"/>
  <c r="C1290" i="66"/>
  <c r="C1291" i="66"/>
  <c r="C1292" i="66"/>
  <c r="C1293" i="66"/>
  <c r="C1294" i="66"/>
  <c r="C1295" i="66"/>
  <c r="C1299" i="66"/>
  <c r="C1302" i="66"/>
  <c r="C1303" i="66"/>
  <c r="C1304" i="66"/>
  <c r="C1305" i="66"/>
  <c r="C1306" i="66"/>
  <c r="C1307" i="66"/>
  <c r="C1308" i="66"/>
  <c r="C1309" i="66"/>
  <c r="C1310" i="66"/>
  <c r="C1311" i="66"/>
  <c r="C1312" i="66"/>
  <c r="C1313" i="66"/>
  <c r="C1314" i="66"/>
  <c r="C1315" i="66"/>
  <c r="C1316" i="66"/>
  <c r="C1317" i="66"/>
  <c r="C1318" i="66"/>
  <c r="C1319" i="66"/>
  <c r="C1320" i="66"/>
  <c r="C1321" i="66"/>
  <c r="C1327" i="66"/>
  <c r="C1328" i="66"/>
  <c r="C1329" i="66"/>
  <c r="C1330" i="66"/>
  <c r="C1331" i="66"/>
  <c r="C1332" i="66"/>
  <c r="C1333" i="66"/>
  <c r="C1334" i="66"/>
  <c r="C1335" i="66"/>
  <c r="C1336" i="66"/>
  <c r="C1337" i="66"/>
  <c r="C1180" i="66"/>
  <c r="C899" i="66"/>
  <c r="C905" i="66"/>
  <c r="C906" i="66"/>
  <c r="C909" i="66"/>
  <c r="C912" i="66"/>
  <c r="C913" i="66"/>
  <c r="C914" i="66"/>
  <c r="C915" i="66"/>
  <c r="C916" i="66"/>
  <c r="C917" i="66"/>
  <c r="C926" i="66"/>
  <c r="C927" i="66"/>
  <c r="C965" i="66"/>
  <c r="C979" i="66"/>
  <c r="C992" i="66"/>
  <c r="C993" i="66"/>
  <c r="C1005" i="66"/>
  <c r="C1006" i="66"/>
  <c r="C1007" i="66"/>
  <c r="C1008" i="66"/>
  <c r="C1015" i="66"/>
  <c r="C1016" i="66"/>
  <c r="C1018" i="66"/>
  <c r="C1021" i="66"/>
  <c r="C1022" i="66"/>
  <c r="C1023" i="66"/>
  <c r="C1024" i="66"/>
  <c r="C1025" i="66"/>
  <c r="C1028" i="66"/>
  <c r="C1029" i="66"/>
  <c r="C1030" i="66"/>
  <c r="C1044" i="66"/>
  <c r="C1045" i="66"/>
  <c r="C1046" i="66"/>
  <c r="C1047" i="66"/>
  <c r="C1048" i="66"/>
  <c r="C1049" i="66"/>
  <c r="C1050" i="66"/>
  <c r="C1051" i="66"/>
  <c r="C1052" i="66"/>
  <c r="C1053" i="66"/>
  <c r="C1063" i="66"/>
  <c r="C1064" i="66"/>
  <c r="C1067" i="66"/>
  <c r="C1068" i="66"/>
  <c r="C1069" i="66"/>
  <c r="C1074" i="66"/>
  <c r="C1088" i="66"/>
  <c r="C1089" i="66"/>
  <c r="C1092" i="66"/>
  <c r="C1093" i="66"/>
  <c r="C1095" i="66"/>
  <c r="C1096" i="66"/>
  <c r="C1097" i="66"/>
  <c r="C1098" i="66"/>
  <c r="C1101" i="66"/>
  <c r="C1102" i="66"/>
  <c r="C1103" i="66"/>
  <c r="C1104" i="66"/>
  <c r="C1105" i="66"/>
  <c r="C1106" i="66"/>
  <c r="C1107" i="66"/>
  <c r="C1113" i="66"/>
  <c r="C1114" i="66"/>
  <c r="C1115" i="66"/>
  <c r="C1116" i="66"/>
  <c r="C1117" i="66"/>
  <c r="C1118" i="66"/>
  <c r="C1146" i="66"/>
  <c r="C1147" i="66"/>
  <c r="C1149" i="66"/>
  <c r="C1150" i="66"/>
  <c r="C1151" i="66"/>
  <c r="C1153" i="66"/>
  <c r="C1154" i="66"/>
  <c r="C1155" i="66"/>
  <c r="C1158" i="66"/>
  <c r="C1159" i="66"/>
  <c r="C1160" i="66"/>
  <c r="C1161" i="66"/>
  <c r="C1162" i="66"/>
  <c r="C1163" i="66"/>
  <c r="C1172" i="66"/>
  <c r="C898" i="66"/>
  <c r="C778" i="66"/>
  <c r="C785" i="66"/>
  <c r="C809" i="66"/>
  <c r="C810" i="66"/>
  <c r="C811" i="66"/>
  <c r="C812" i="66"/>
  <c r="C813" i="66"/>
  <c r="C814" i="66"/>
  <c r="C815" i="66"/>
  <c r="C816" i="66"/>
  <c r="C817" i="66"/>
  <c r="C818" i="66"/>
  <c r="C819" i="66"/>
  <c r="C820" i="66"/>
  <c r="C829" i="66"/>
  <c r="C830" i="66"/>
  <c r="C831" i="66"/>
  <c r="C832" i="66"/>
  <c r="C833" i="66"/>
  <c r="C834" i="66"/>
  <c r="C835" i="66"/>
  <c r="C836" i="66"/>
  <c r="C837" i="66"/>
  <c r="C838" i="66"/>
  <c r="C839" i="66"/>
  <c r="C842" i="66"/>
  <c r="C844" i="66"/>
  <c r="C845" i="66"/>
  <c r="C846" i="66"/>
  <c r="C847" i="66"/>
  <c r="C848" i="66"/>
  <c r="C849" i="66"/>
  <c r="C850" i="66"/>
  <c r="C851" i="66"/>
  <c r="C852" i="66"/>
  <c r="C853" i="66"/>
  <c r="C854" i="66"/>
  <c r="C855" i="66"/>
  <c r="C856" i="66"/>
  <c r="C857" i="66"/>
  <c r="C858" i="66"/>
  <c r="C859" i="66"/>
  <c r="C860" i="66"/>
  <c r="C861" i="66"/>
  <c r="C862" i="66"/>
  <c r="C863" i="66"/>
  <c r="C864" i="66"/>
  <c r="C865" i="66"/>
  <c r="C866" i="66"/>
  <c r="C884" i="66"/>
  <c r="C885" i="66"/>
  <c r="C886" i="66"/>
  <c r="C777" i="66"/>
  <c r="B248" i="66"/>
  <c r="C248" i="66" s="1"/>
  <c r="B249" i="66"/>
  <c r="C249" i="66" s="1"/>
  <c r="B251" i="66"/>
  <c r="C251" i="66" s="1"/>
  <c r="B252" i="66"/>
  <c r="B253" i="66"/>
  <c r="B254" i="66"/>
  <c r="B255" i="66"/>
  <c r="B256" i="66"/>
  <c r="C256" i="66" s="1"/>
  <c r="B257" i="66"/>
  <c r="C257" i="66" s="1"/>
  <c r="B258" i="66"/>
  <c r="C258" i="66" s="1"/>
  <c r="B259" i="66"/>
  <c r="C259" i="66" s="1"/>
  <c r="B260" i="66"/>
  <c r="C260" i="66" s="1"/>
  <c r="B261" i="66"/>
  <c r="C261" i="66" s="1"/>
  <c r="B262" i="66"/>
  <c r="C262" i="66" s="1"/>
  <c r="B263" i="66"/>
  <c r="C263" i="66" s="1"/>
  <c r="B264" i="66"/>
  <c r="C264" i="66" s="1"/>
  <c r="B265" i="66"/>
  <c r="C265" i="66" s="1"/>
  <c r="B266" i="66"/>
  <c r="B267" i="66"/>
  <c r="B271" i="66"/>
  <c r="B272" i="66"/>
  <c r="B273" i="66"/>
  <c r="B274" i="66"/>
  <c r="B275" i="66"/>
  <c r="B276" i="66"/>
  <c r="B277" i="66"/>
  <c r="B278" i="66"/>
  <c r="C282" i="66"/>
  <c r="C283" i="66"/>
  <c r="C284" i="66"/>
  <c r="C285" i="66"/>
  <c r="C286" i="66"/>
  <c r="C302" i="66"/>
  <c r="C303" i="66"/>
  <c r="C306" i="66"/>
  <c r="C307" i="66"/>
  <c r="C308" i="66"/>
  <c r="C309" i="66"/>
  <c r="C310" i="66"/>
  <c r="C311" i="66"/>
  <c r="C312" i="66"/>
  <c r="C313" i="66"/>
  <c r="C314" i="66"/>
  <c r="C315" i="66"/>
  <c r="C316" i="66"/>
  <c r="C317" i="66"/>
  <c r="C318" i="66"/>
  <c r="C319" i="66"/>
  <c r="C320" i="66"/>
  <c r="C321" i="66"/>
  <c r="C327" i="66"/>
  <c r="C328" i="66"/>
  <c r="C329" i="66"/>
  <c r="C330" i="66"/>
  <c r="C331" i="66"/>
  <c r="C332" i="66"/>
  <c r="C345" i="66"/>
  <c r="C346" i="66"/>
  <c r="C359" i="66"/>
  <c r="C360" i="66"/>
  <c r="C361" i="66"/>
  <c r="C375" i="66"/>
  <c r="C376" i="66"/>
  <c r="C377" i="66"/>
  <c r="C378" i="66"/>
  <c r="C379" i="66"/>
  <c r="C380" i="66"/>
  <c r="C383" i="66"/>
  <c r="C384" i="66"/>
  <c r="C385" i="66"/>
  <c r="C386" i="66"/>
  <c r="C387" i="66"/>
  <c r="C388" i="66"/>
  <c r="C389" i="66"/>
  <c r="C390" i="66"/>
  <c r="C391" i="66"/>
  <c r="C392" i="66"/>
  <c r="C393" i="66"/>
  <c r="C394" i="66"/>
  <c r="C401" i="66"/>
  <c r="C413" i="66"/>
  <c r="C414" i="66"/>
  <c r="C415" i="66"/>
  <c r="C416" i="66"/>
  <c r="C417" i="66"/>
  <c r="C418" i="66"/>
  <c r="C422" i="66"/>
  <c r="C423" i="66"/>
  <c r="C424" i="66"/>
  <c r="C425" i="66"/>
  <c r="C426" i="66"/>
  <c r="C427" i="66"/>
  <c r="C428" i="66"/>
  <c r="C429" i="66"/>
  <c r="C430" i="66"/>
  <c r="C431" i="66"/>
  <c r="C434" i="66"/>
  <c r="C435" i="66"/>
  <c r="C436" i="66"/>
  <c r="C437" i="66"/>
  <c r="C438" i="66"/>
  <c r="C439" i="66"/>
  <c r="C440" i="66"/>
  <c r="C441" i="66"/>
  <c r="C442" i="66"/>
  <c r="C443" i="66"/>
  <c r="C444" i="66"/>
  <c r="C445" i="66"/>
  <c r="C446" i="66"/>
  <c r="C447" i="66"/>
  <c r="C448" i="66"/>
  <c r="C449" i="66"/>
  <c r="C450" i="66"/>
  <c r="C457" i="66"/>
  <c r="C458" i="66"/>
  <c r="C459" i="66"/>
  <c r="C460" i="66"/>
  <c r="C461" i="66"/>
  <c r="C462" i="66"/>
  <c r="C463" i="66"/>
  <c r="C470" i="66"/>
  <c r="C477" i="66"/>
  <c r="C478" i="66"/>
  <c r="C479" i="66"/>
  <c r="C480" i="66"/>
  <c r="C485" i="66"/>
  <c r="C486" i="66"/>
  <c r="C487" i="66"/>
  <c r="C488" i="66"/>
  <c r="C489" i="66"/>
  <c r="C490" i="66"/>
  <c r="C503" i="66"/>
  <c r="C504" i="66"/>
  <c r="C505" i="66"/>
  <c r="C508" i="66"/>
  <c r="C509" i="66"/>
  <c r="C510" i="66"/>
  <c r="C511" i="66"/>
  <c r="C515" i="66"/>
  <c r="C516" i="66"/>
  <c r="C517" i="66"/>
  <c r="C518" i="66"/>
  <c r="C521" i="66"/>
  <c r="C522" i="66"/>
  <c r="C525" i="66"/>
  <c r="C526" i="66"/>
  <c r="C527" i="66"/>
  <c r="C528" i="66"/>
  <c r="C529" i="66"/>
  <c r="C530" i="66"/>
  <c r="C531" i="66"/>
  <c r="C532" i="66"/>
  <c r="C533" i="66"/>
  <c r="C543" i="66"/>
  <c r="C544" i="66"/>
  <c r="C545" i="66"/>
  <c r="C546" i="66"/>
  <c r="C547" i="66"/>
  <c r="C548" i="66"/>
  <c r="C549" i="66"/>
  <c r="C550" i="66"/>
  <c r="C551" i="66"/>
  <c r="C554" i="66"/>
  <c r="C555" i="66"/>
  <c r="C556" i="66"/>
  <c r="C557" i="66"/>
  <c r="C558" i="66"/>
  <c r="C559" i="66"/>
  <c r="C560" i="66"/>
  <c r="C563" i="66"/>
  <c r="C564" i="66"/>
  <c r="C565" i="66"/>
  <c r="C566" i="66"/>
  <c r="C567" i="66"/>
  <c r="C568" i="66"/>
  <c r="C569" i="66"/>
  <c r="C570" i="66"/>
  <c r="C571" i="66"/>
  <c r="C572" i="66"/>
  <c r="C573" i="66"/>
  <c r="C574" i="66"/>
  <c r="C575" i="66"/>
  <c r="C576" i="66"/>
  <c r="C578" i="66"/>
  <c r="C579" i="66"/>
  <c r="C580" i="66"/>
  <c r="C581" i="66"/>
  <c r="C582" i="66"/>
  <c r="C583" i="66"/>
  <c r="C584" i="66"/>
  <c r="C585" i="66"/>
  <c r="C586" i="66"/>
  <c r="C587" i="66"/>
  <c r="C588" i="66"/>
  <c r="C589" i="66"/>
  <c r="C590" i="66"/>
  <c r="C591" i="66"/>
  <c r="C592" i="66"/>
  <c r="C593" i="66"/>
  <c r="C596" i="66"/>
  <c r="C597" i="66"/>
  <c r="C598" i="66"/>
  <c r="C599" i="66"/>
  <c r="C600" i="66"/>
  <c r="C601" i="66"/>
  <c r="C602" i="66"/>
  <c r="C603" i="66"/>
  <c r="C604" i="66"/>
  <c r="C605" i="66"/>
  <c r="C606" i="66"/>
  <c r="C607" i="66"/>
  <c r="C608" i="66"/>
  <c r="C609" i="66"/>
  <c r="C610" i="66"/>
  <c r="C615" i="66"/>
  <c r="C616" i="66"/>
  <c r="C617" i="66"/>
  <c r="C620" i="66"/>
  <c r="C621" i="66"/>
  <c r="C622" i="66"/>
  <c r="C625" i="66"/>
  <c r="C629" i="66"/>
  <c r="C630" i="66"/>
  <c r="C631" i="66"/>
  <c r="C632" i="66"/>
  <c r="C633" i="66"/>
  <c r="C634" i="66"/>
  <c r="C637" i="66"/>
  <c r="C638" i="66"/>
  <c r="C639" i="66"/>
  <c r="C640" i="66"/>
  <c r="C641" i="66"/>
  <c r="C642" i="66"/>
  <c r="C643" i="66"/>
  <c r="C644" i="66"/>
  <c r="C645" i="66"/>
  <c r="C646" i="66"/>
  <c r="C647" i="66"/>
  <c r="C648" i="66"/>
  <c r="C651" i="66"/>
  <c r="C652" i="66"/>
  <c r="C653" i="66"/>
  <c r="C654" i="66"/>
  <c r="C655" i="66"/>
  <c r="C656" i="66"/>
  <c r="C657" i="66"/>
  <c r="C658" i="66"/>
  <c r="C659" i="66"/>
  <c r="C660" i="66"/>
  <c r="C661" i="66"/>
  <c r="C662" i="66"/>
  <c r="C663" i="66"/>
  <c r="C664" i="66"/>
  <c r="C665" i="66"/>
  <c r="C666" i="66"/>
  <c r="C667" i="66"/>
  <c r="C668" i="66"/>
  <c r="C669" i="66"/>
  <c r="C670" i="66"/>
  <c r="C671" i="66"/>
  <c r="C672" i="66"/>
  <c r="C676" i="66"/>
  <c r="C677" i="66"/>
  <c r="C678" i="66"/>
  <c r="C679" i="66"/>
  <c r="C680" i="66"/>
  <c r="C681" i="66"/>
  <c r="C682" i="66"/>
  <c r="C683" i="66"/>
  <c r="C684" i="66"/>
  <c r="C685" i="66"/>
  <c r="C686" i="66"/>
  <c r="C695" i="66"/>
  <c r="C696" i="66"/>
  <c r="C697" i="66"/>
  <c r="C698" i="66"/>
  <c r="C699" i="66"/>
  <c r="C700" i="66"/>
  <c r="C701" i="66"/>
  <c r="C702" i="66"/>
  <c r="C703" i="66"/>
  <c r="C704" i="66"/>
  <c r="C705" i="66"/>
  <c r="C706" i="66"/>
  <c r="C707" i="66"/>
  <c r="C708" i="66"/>
  <c r="C709" i="66"/>
  <c r="C710" i="66"/>
  <c r="C711" i="66"/>
  <c r="C717" i="66"/>
  <c r="C718" i="66"/>
  <c r="C719" i="66"/>
  <c r="C723" i="66"/>
  <c r="C724" i="66"/>
  <c r="C725" i="66"/>
  <c r="C726" i="66"/>
  <c r="C727" i="66"/>
  <c r="C728" i="66"/>
  <c r="C729" i="66"/>
  <c r="C730" i="66"/>
  <c r="C733" i="66"/>
  <c r="C734" i="66"/>
  <c r="C735" i="66"/>
  <c r="C736" i="66"/>
  <c r="C737" i="66"/>
  <c r="C738" i="66"/>
  <c r="C739" i="66"/>
  <c r="C740" i="66"/>
  <c r="C741" i="66"/>
  <c r="C742" i="66"/>
  <c r="C743" i="66"/>
  <c r="C744" i="66"/>
  <c r="C745" i="66"/>
  <c r="C746" i="66"/>
  <c r="C747" i="66"/>
  <c r="C748" i="66"/>
  <c r="C749" i="66"/>
  <c r="C750" i="66"/>
  <c r="C751" i="66"/>
  <c r="C752" i="66"/>
  <c r="C753" i="66"/>
  <c r="C754" i="66"/>
  <c r="C755" i="66"/>
  <c r="C769" i="66"/>
  <c r="C776" i="66"/>
  <c r="B247" i="66"/>
  <c r="C247" i="66" s="1"/>
  <c r="B8" i="66"/>
  <c r="C8" i="66" s="1"/>
  <c r="B9" i="66"/>
  <c r="C9" i="66" s="1"/>
  <c r="B10" i="66"/>
  <c r="C10" i="66" s="1"/>
  <c r="B11" i="66"/>
  <c r="C11" i="66" s="1"/>
  <c r="B12" i="66"/>
  <c r="B13" i="66"/>
  <c r="B14" i="66"/>
  <c r="B15" i="66"/>
  <c r="B16" i="66"/>
  <c r="B17" i="66"/>
  <c r="B18" i="66"/>
  <c r="B19" i="66"/>
  <c r="B20" i="66"/>
  <c r="B21" i="66"/>
  <c r="B22" i="66"/>
  <c r="C22" i="66" s="1"/>
  <c r="B23" i="66"/>
  <c r="C23" i="66" s="1"/>
  <c r="B24" i="66"/>
  <c r="C24" i="66" s="1"/>
  <c r="B25" i="66"/>
  <c r="C25" i="66" s="1"/>
  <c r="B26" i="66"/>
  <c r="C26" i="66" s="1"/>
  <c r="B27" i="66"/>
  <c r="B28" i="66"/>
  <c r="B29" i="66"/>
  <c r="B30" i="66"/>
  <c r="B31" i="66"/>
  <c r="B32" i="66"/>
  <c r="C32" i="66" s="1"/>
  <c r="B33" i="66"/>
  <c r="C33" i="66" s="1"/>
  <c r="B34" i="66"/>
  <c r="C34" i="66" s="1"/>
  <c r="B35" i="66"/>
  <c r="C35" i="66" s="1"/>
  <c r="B36" i="66"/>
  <c r="B37" i="66"/>
  <c r="B38" i="66"/>
  <c r="B39" i="66"/>
  <c r="B40" i="66"/>
  <c r="C40" i="66" s="1"/>
  <c r="B41" i="66"/>
  <c r="C41" i="66" s="1"/>
  <c r="B42" i="66"/>
  <c r="C42" i="66" s="1"/>
  <c r="B43" i="66"/>
  <c r="C43" i="66" s="1"/>
  <c r="B44" i="66"/>
  <c r="C44" i="66" s="1"/>
  <c r="B45" i="66"/>
  <c r="C45" i="66" s="1"/>
  <c r="B46" i="66"/>
  <c r="B48" i="66"/>
  <c r="B49" i="66"/>
  <c r="B50" i="66"/>
  <c r="B51" i="66"/>
  <c r="B52" i="66"/>
  <c r="B53" i="66"/>
  <c r="B54" i="66"/>
  <c r="B55" i="66"/>
  <c r="B56" i="66"/>
  <c r="B57" i="66"/>
  <c r="B58" i="66"/>
  <c r="B59" i="66"/>
  <c r="B60" i="66"/>
  <c r="C60" i="66" s="1"/>
  <c r="B61" i="66"/>
  <c r="B62" i="66"/>
  <c r="B63" i="66"/>
  <c r="B64" i="66"/>
  <c r="B65" i="66"/>
  <c r="B66" i="66"/>
  <c r="C66" i="66" s="1"/>
  <c r="B67" i="66"/>
  <c r="C67" i="66" s="1"/>
  <c r="B68" i="66"/>
  <c r="C68" i="66" s="1"/>
  <c r="B69" i="66"/>
  <c r="B70" i="66"/>
  <c r="B71" i="66"/>
  <c r="B72" i="66"/>
  <c r="B73" i="66"/>
  <c r="B74" i="66"/>
  <c r="C74" i="66" s="1"/>
  <c r="B75" i="66"/>
  <c r="B76" i="66"/>
  <c r="B77" i="66"/>
  <c r="B78" i="66"/>
  <c r="B79" i="66"/>
  <c r="B80" i="66"/>
  <c r="B81" i="66"/>
  <c r="B82" i="66"/>
  <c r="B83" i="66"/>
  <c r="B84" i="66"/>
  <c r="B85" i="66"/>
  <c r="B86" i="66"/>
  <c r="B87" i="66"/>
  <c r="B88" i="66"/>
  <c r="B89" i="66"/>
  <c r="C89" i="66" s="1"/>
  <c r="B90" i="66"/>
  <c r="C90" i="66" s="1"/>
  <c r="B91" i="66"/>
  <c r="C91" i="66" s="1"/>
  <c r="B92" i="66"/>
  <c r="B93" i="66"/>
  <c r="B94" i="66"/>
  <c r="B95" i="66"/>
  <c r="B96" i="66"/>
  <c r="B97" i="66"/>
  <c r="B98" i="66"/>
  <c r="B99" i="66"/>
  <c r="C99" i="66" s="1"/>
  <c r="B100" i="66"/>
  <c r="C100" i="66" s="1"/>
  <c r="B101" i="66"/>
  <c r="C101" i="66" s="1"/>
  <c r="B102" i="66"/>
  <c r="B103" i="66"/>
  <c r="B104" i="66"/>
  <c r="C104" i="66" s="1"/>
  <c r="B105" i="66"/>
  <c r="C105" i="66" s="1"/>
  <c r="B106" i="66"/>
  <c r="C106" i="66" s="1"/>
  <c r="B107" i="66"/>
  <c r="B108" i="66"/>
  <c r="B109" i="66"/>
  <c r="C109" i="66" s="1"/>
  <c r="B110" i="66"/>
  <c r="C110" i="66" s="1"/>
  <c r="B111" i="66"/>
  <c r="B112" i="66"/>
  <c r="B113" i="66"/>
  <c r="C113" i="66" s="1"/>
  <c r="B114" i="66"/>
  <c r="C114" i="66" s="1"/>
  <c r="B115" i="66"/>
  <c r="C115" i="66" s="1"/>
  <c r="B116" i="66"/>
  <c r="C116" i="66" s="1"/>
  <c r="B117" i="66"/>
  <c r="B118" i="66"/>
  <c r="B119" i="66"/>
  <c r="B120" i="66"/>
  <c r="B121" i="66"/>
  <c r="B122" i="66"/>
  <c r="B123" i="66"/>
  <c r="B124" i="66"/>
  <c r="C124" i="66" s="1"/>
  <c r="B125" i="66"/>
  <c r="C125" i="66" s="1"/>
  <c r="B126" i="66"/>
  <c r="C126" i="66" s="1"/>
  <c r="B127" i="66"/>
  <c r="C127" i="66" s="1"/>
  <c r="B128" i="66"/>
  <c r="B129" i="66"/>
  <c r="B130" i="66"/>
  <c r="B131" i="66"/>
  <c r="B132" i="66"/>
  <c r="B133" i="66"/>
  <c r="B134" i="66"/>
  <c r="B135" i="66"/>
  <c r="B136" i="66"/>
  <c r="B137" i="66"/>
  <c r="B138" i="66"/>
  <c r="B139" i="66"/>
  <c r="B140" i="66"/>
  <c r="B141" i="66"/>
  <c r="B142" i="66"/>
  <c r="B143" i="66"/>
  <c r="B144" i="66"/>
  <c r="B145" i="66"/>
  <c r="B146" i="66"/>
  <c r="B147" i="66"/>
  <c r="C147" i="66" s="1"/>
  <c r="B148" i="66"/>
  <c r="C148" i="66" s="1"/>
  <c r="B149" i="66"/>
  <c r="C149" i="66" s="1"/>
  <c r="B150" i="66"/>
  <c r="C150" i="66" s="1"/>
  <c r="B151" i="66"/>
  <c r="C151" i="66" s="1"/>
  <c r="B152" i="66"/>
  <c r="B153" i="66"/>
  <c r="B154" i="66"/>
  <c r="B155" i="66"/>
  <c r="B156" i="66"/>
  <c r="B157" i="66"/>
  <c r="B158" i="66"/>
  <c r="C158" i="66" s="1"/>
  <c r="B159" i="66"/>
  <c r="C159" i="66" s="1"/>
  <c r="B160" i="66"/>
  <c r="C160" i="66" s="1"/>
  <c r="B161" i="66"/>
  <c r="B162" i="66"/>
  <c r="B163" i="66"/>
  <c r="B164" i="66"/>
  <c r="B165" i="66"/>
  <c r="C165" i="66" s="1"/>
  <c r="B166" i="66"/>
  <c r="B167" i="66"/>
  <c r="B168" i="66"/>
  <c r="B169" i="66"/>
  <c r="B170" i="66"/>
  <c r="B171" i="66"/>
  <c r="B172" i="66"/>
  <c r="B173" i="66"/>
  <c r="B174" i="66"/>
  <c r="B175" i="66"/>
  <c r="B176" i="66"/>
  <c r="B177" i="66"/>
  <c r="B178" i="66"/>
  <c r="B179" i="66"/>
  <c r="B180" i="66"/>
  <c r="B181" i="66"/>
  <c r="B182" i="66"/>
  <c r="B183" i="66"/>
  <c r="B184" i="66"/>
  <c r="B185" i="66"/>
  <c r="B186" i="66"/>
  <c r="B187" i="66"/>
  <c r="B188" i="66"/>
  <c r="B189" i="66"/>
  <c r="B190" i="66"/>
  <c r="B191" i="66"/>
  <c r="B192" i="66"/>
  <c r="B193" i="66"/>
  <c r="B194" i="66"/>
  <c r="B195" i="66"/>
  <c r="B196" i="66"/>
  <c r="B197" i="66"/>
  <c r="B198" i="66"/>
  <c r="C198" i="66" s="1"/>
  <c r="B199" i="66"/>
  <c r="C199" i="66" s="1"/>
  <c r="B200" i="66"/>
  <c r="C200" i="66" s="1"/>
  <c r="B201" i="66"/>
  <c r="C201" i="66" s="1"/>
  <c r="B202" i="66"/>
  <c r="C202" i="66" s="1"/>
  <c r="B203" i="66"/>
  <c r="B204" i="66"/>
  <c r="B205" i="66"/>
  <c r="B206" i="66"/>
  <c r="B207" i="66"/>
  <c r="B208" i="66"/>
  <c r="B209" i="66"/>
  <c r="C209" i="66" s="1"/>
  <c r="B210" i="66"/>
  <c r="C210" i="66" s="1"/>
  <c r="B211" i="66"/>
  <c r="C211" i="66" s="1"/>
  <c r="B212" i="66"/>
  <c r="B213" i="66"/>
  <c r="B214" i="66"/>
  <c r="C214" i="66" s="1"/>
  <c r="B215" i="66"/>
  <c r="C215" i="66" s="1"/>
  <c r="B216" i="66"/>
  <c r="C216" i="66" s="1"/>
  <c r="B217" i="66"/>
  <c r="B218" i="66"/>
  <c r="B219" i="66"/>
  <c r="B220" i="66"/>
  <c r="C220" i="66" s="1"/>
  <c r="B221" i="66"/>
  <c r="C221" i="66" s="1"/>
  <c r="B222" i="66"/>
  <c r="C222" i="66" s="1"/>
  <c r="B223" i="66"/>
  <c r="C223" i="66" s="1"/>
  <c r="B224" i="66"/>
  <c r="C224" i="66" s="1"/>
  <c r="B225" i="66"/>
  <c r="C225" i="66" s="1"/>
  <c r="B226" i="66"/>
  <c r="C226" i="66" s="1"/>
  <c r="B227" i="66"/>
  <c r="C227" i="66" s="1"/>
  <c r="B228" i="66"/>
  <c r="B229" i="66"/>
  <c r="B230" i="66"/>
  <c r="B231" i="66"/>
  <c r="B232" i="66"/>
  <c r="C232" i="66" s="1"/>
  <c r="B233" i="66"/>
  <c r="C233" i="66" s="1"/>
  <c r="B234" i="66"/>
  <c r="C234" i="66" s="1"/>
  <c r="B235" i="66"/>
  <c r="C235" i="66" s="1"/>
  <c r="B236" i="66"/>
  <c r="C236" i="66" s="1"/>
  <c r="B237" i="66"/>
  <c r="B238" i="66"/>
  <c r="B240" i="66"/>
  <c r="B241" i="66"/>
  <c r="B242" i="66"/>
  <c r="B243" i="66"/>
  <c r="B244" i="66"/>
  <c r="B245" i="66"/>
  <c r="B246" i="66"/>
  <c r="B7" i="66"/>
  <c r="C7" i="66" s="1"/>
  <c r="P17" i="23"/>
  <c r="AY798" i="16" s="1"/>
  <c r="P18" i="23"/>
  <c r="AY1204" i="16" s="1"/>
  <c r="P22" i="23"/>
  <c r="AY951" i="16" s="1"/>
  <c r="P23" i="23"/>
  <c r="AY1209" i="16" s="1"/>
  <c r="P28" i="23"/>
  <c r="AY810" i="16" s="1"/>
  <c r="P30" i="23"/>
  <c r="AY813" i="16" s="1"/>
  <c r="P34" i="23"/>
  <c r="AY963" i="16" s="1"/>
  <c r="P35" i="23"/>
  <c r="AY36" i="16" s="1"/>
  <c r="P38" i="23"/>
  <c r="AY1224" i="16" s="1"/>
  <c r="P40" i="23"/>
  <c r="AY823" i="16" s="1"/>
  <c r="P42" i="23"/>
  <c r="AY43" i="16" s="1"/>
  <c r="P46" i="23"/>
  <c r="AY278" i="16" s="1"/>
  <c r="AY959" i="16"/>
  <c r="BD941" i="16"/>
  <c r="BD1198" i="16"/>
  <c r="BC1198" i="16"/>
  <c r="BC941" i="16"/>
  <c r="AR13" i="16"/>
  <c r="AR15" i="16"/>
  <c r="AR17" i="16"/>
  <c r="AR19" i="16"/>
  <c r="AR28" i="16"/>
  <c r="AR31" i="16"/>
  <c r="AR37" i="16"/>
  <c r="AR42" i="16"/>
  <c r="AR47" i="16"/>
  <c r="AR60" i="16"/>
  <c r="AR73" i="16"/>
  <c r="AR86" i="16"/>
  <c r="AR93" i="16"/>
  <c r="AR96" i="16"/>
  <c r="AR103" i="16"/>
  <c r="AR108" i="16"/>
  <c r="AR112" i="16"/>
  <c r="AR118" i="16"/>
  <c r="AR120" i="16"/>
  <c r="AR122" i="16"/>
  <c r="AR124" i="16"/>
  <c r="AR130" i="16"/>
  <c r="AR129" i="16"/>
  <c r="AR135" i="16"/>
  <c r="AR137" i="16"/>
  <c r="AR140" i="16"/>
  <c r="AR142" i="16"/>
  <c r="AR144" i="16"/>
  <c r="AR146" i="16"/>
  <c r="AR153" i="16"/>
  <c r="AR162" i="16"/>
  <c r="AR167" i="16"/>
  <c r="AR174" i="16"/>
  <c r="AR177" i="16"/>
  <c r="AR180" i="16"/>
  <c r="AR179" i="16"/>
  <c r="AR182" i="16"/>
  <c r="AR184" i="16"/>
  <c r="AR188" i="16"/>
  <c r="AR192" i="16"/>
  <c r="AR191" i="16"/>
  <c r="AR206" i="16"/>
  <c r="AR209" i="16"/>
  <c r="AR208" i="16"/>
  <c r="AR213" i="16"/>
  <c r="AR219" i="16"/>
  <c r="AR229" i="16"/>
  <c r="AR232" i="16"/>
  <c r="AR239" i="16"/>
  <c r="AR238" i="16"/>
  <c r="AR242" i="16"/>
  <c r="AR253" i="16"/>
  <c r="AR271" i="16"/>
  <c r="AR274" i="16"/>
  <c r="AR277" i="16"/>
  <c r="AR288" i="16"/>
  <c r="AR287" i="16"/>
  <c r="AR286" i="16"/>
  <c r="AR285" i="16"/>
  <c r="AR284" i="16"/>
  <c r="AR283" i="16"/>
  <c r="AR300" i="16"/>
  <c r="AR299" i="16"/>
  <c r="AR298" i="16"/>
  <c r="AR297" i="16"/>
  <c r="AR296" i="16"/>
  <c r="AR305" i="16"/>
  <c r="AR323" i="16"/>
  <c r="AR336" i="16"/>
  <c r="AR340" i="16"/>
  <c r="AR343" i="16"/>
  <c r="AR349" i="16"/>
  <c r="AR352" i="16"/>
  <c r="AR360" i="16"/>
  <c r="AR362" i="16"/>
  <c r="AR369" i="16"/>
  <c r="AR371" i="16"/>
  <c r="AR376" i="16"/>
  <c r="AR385" i="16"/>
  <c r="AR398" i="16"/>
  <c r="AR400" i="16"/>
  <c r="AR403" i="16"/>
  <c r="AR405" i="16"/>
  <c r="AR407" i="16"/>
  <c r="AR411" i="16"/>
  <c r="AR423" i="16"/>
  <c r="AR435" i="16"/>
  <c r="AR439" i="16"/>
  <c r="AR438" i="16"/>
  <c r="AR443" i="16"/>
  <c r="AR449" i="16"/>
  <c r="AR451" i="16"/>
  <c r="AR453" i="16"/>
  <c r="AR465" i="16"/>
  <c r="AR469" i="16"/>
  <c r="AR472" i="16"/>
  <c r="AR478" i="16"/>
  <c r="AR481" i="16"/>
  <c r="AR480" i="16"/>
  <c r="AR486" i="16"/>
  <c r="AR489" i="16"/>
  <c r="AR488" i="16"/>
  <c r="AR492" i="16"/>
  <c r="AR496" i="16"/>
  <c r="AR501" i="16"/>
  <c r="AR503" i="16"/>
  <c r="AR507" i="16"/>
  <c r="AR513" i="16"/>
  <c r="AR520" i="16"/>
  <c r="AR524" i="16"/>
  <c r="AR526" i="16"/>
  <c r="AR528" i="16"/>
  <c r="AR530" i="16"/>
  <c r="AR538" i="16"/>
  <c r="AR553" i="16"/>
  <c r="AR566" i="16"/>
  <c r="AR574" i="16"/>
  <c r="AR573" i="16"/>
  <c r="AR579" i="16"/>
  <c r="AR607" i="16"/>
  <c r="AR606" i="16"/>
  <c r="AR610" i="16"/>
  <c r="AR609" i="16"/>
  <c r="AR612" i="16"/>
  <c r="AR621" i="16"/>
  <c r="AR624" i="16"/>
  <c r="AR623" i="16"/>
  <c r="AR627" i="16"/>
  <c r="AR636" i="16"/>
  <c r="AR639" i="16"/>
  <c r="AR652" i="16"/>
  <c r="AR661" i="16"/>
  <c r="AR668" i="16"/>
  <c r="AR674" i="16"/>
  <c r="AR681" i="16"/>
  <c r="AR688" i="16"/>
  <c r="AR694" i="16"/>
  <c r="AR700" i="16"/>
  <c r="AR706" i="16"/>
  <c r="AR713" i="16"/>
  <c r="AR730" i="16"/>
  <c r="AR729" i="16"/>
  <c r="AR728" i="16"/>
  <c r="AR727" i="16"/>
  <c r="AR726" i="16"/>
  <c r="AR725" i="16"/>
  <c r="AR724" i="16"/>
  <c r="AR734" i="16"/>
  <c r="AR739" i="16"/>
  <c r="AR743" i="16"/>
  <c r="AR745" i="16"/>
  <c r="AR749" i="16"/>
  <c r="AR748" i="16"/>
  <c r="AR747" i="16"/>
  <c r="AR753" i="16"/>
  <c r="AR755" i="16"/>
  <c r="AR762" i="16"/>
  <c r="AR771" i="16"/>
  <c r="AR790" i="16"/>
  <c r="AR793" i="16"/>
  <c r="AR799" i="16"/>
  <c r="AR805" i="16"/>
  <c r="AR802" i="16"/>
  <c r="AR808" i="16"/>
  <c r="AR824" i="16"/>
  <c r="AR823" i="16"/>
  <c r="AR822" i="16"/>
  <c r="AR821" i="16"/>
  <c r="AR820" i="16"/>
  <c r="AR819" i="16"/>
  <c r="AR818" i="16"/>
  <c r="AR817" i="16"/>
  <c r="AR816" i="16"/>
  <c r="AR815" i="16"/>
  <c r="AR814" i="16"/>
  <c r="AR813" i="16"/>
  <c r="AR828" i="16"/>
  <c r="AR834" i="16"/>
  <c r="AR833" i="16"/>
  <c r="AR837" i="16"/>
  <c r="AR836" i="16"/>
  <c r="AR842" i="16"/>
  <c r="AR841" i="16"/>
  <c r="AR840" i="16"/>
  <c r="AR839" i="16"/>
  <c r="AR844" i="16"/>
  <c r="AR849" i="16"/>
  <c r="AR848" i="16"/>
  <c r="AR852" i="16"/>
  <c r="AR851" i="16"/>
  <c r="AR856" i="16"/>
  <c r="AR858" i="16"/>
  <c r="AR861" i="16"/>
  <c r="AR865" i="16"/>
  <c r="AR864" i="16"/>
  <c r="AR863" i="16"/>
  <c r="AR868" i="16"/>
  <c r="AR871" i="16"/>
  <c r="AR874" i="16"/>
  <c r="AR880" i="16"/>
  <c r="AR888" i="16"/>
  <c r="AR891" i="16"/>
  <c r="AR890" i="16"/>
  <c r="AR913" i="16"/>
  <c r="AR919" i="16"/>
  <c r="AR924" i="16"/>
  <c r="AR927" i="16"/>
  <c r="AR930" i="16"/>
  <c r="AR934" i="16"/>
  <c r="AR937" i="16"/>
  <c r="AR943" i="16"/>
  <c r="AR946" i="16"/>
  <c r="AR948" i="16"/>
  <c r="AR951" i="16"/>
  <c r="AR953" i="16"/>
  <c r="AR955" i="16"/>
  <c r="AR958" i="16"/>
  <c r="AR960" i="16"/>
  <c r="AR962" i="16"/>
  <c r="AR968" i="16"/>
  <c r="AR973" i="16"/>
  <c r="AR978" i="16"/>
  <c r="AR992" i="16"/>
  <c r="AR994" i="16"/>
  <c r="AR997" i="16"/>
  <c r="AR1006" i="16"/>
  <c r="AR1017" i="16"/>
  <c r="AR1021" i="16"/>
  <c r="AR1027" i="16"/>
  <c r="AR1033" i="16"/>
  <c r="AR1036" i="16"/>
  <c r="AR1035" i="16"/>
  <c r="AR1038" i="16"/>
  <c r="AR1043" i="16"/>
  <c r="AR1056" i="16"/>
  <c r="AR1062" i="16"/>
  <c r="AR1061" i="16"/>
  <c r="AR1066" i="16"/>
  <c r="AR1071" i="16"/>
  <c r="AR1073" i="16"/>
  <c r="AR1079" i="16"/>
  <c r="AR1081" i="16"/>
  <c r="AR1089" i="16"/>
  <c r="AR1091" i="16"/>
  <c r="AR1093" i="16"/>
  <c r="AR1095" i="16"/>
  <c r="AR1098" i="16"/>
  <c r="AR1102" i="16"/>
  <c r="AR1106" i="16"/>
  <c r="AR1113" i="16"/>
  <c r="AR1115" i="16"/>
  <c r="AR1117" i="16"/>
  <c r="AR1121" i="16"/>
  <c r="AR1131" i="16"/>
  <c r="AR1133" i="16"/>
  <c r="AR1136" i="16"/>
  <c r="AR1139" i="16"/>
  <c r="AR1149" i="16"/>
  <c r="AR1151" i="16"/>
  <c r="AR1154" i="16"/>
  <c r="AR1156" i="16"/>
  <c r="AR1160" i="16"/>
  <c r="AR1164" i="16"/>
  <c r="AR1168" i="16"/>
  <c r="AR1176" i="16"/>
  <c r="AR1181" i="16"/>
  <c r="AR1185" i="16"/>
  <c r="AR1190" i="16"/>
  <c r="AR1200" i="16"/>
  <c r="AR1199" i="16"/>
  <c r="AR1198" i="16"/>
  <c r="AR1206" i="16"/>
  <c r="AR1205" i="16"/>
  <c r="AR1204" i="16"/>
  <c r="AR1208" i="16"/>
  <c r="AR1215" i="16"/>
  <c r="AR1214" i="16"/>
  <c r="AR1213" i="16"/>
  <c r="AR1211" i="16"/>
  <c r="AR1210" i="16"/>
  <c r="AR1221" i="16"/>
  <c r="AR1225" i="16"/>
  <c r="AR1227" i="16"/>
  <c r="AR1230" i="16"/>
  <c r="AR1229" i="16"/>
  <c r="AR1232" i="16"/>
  <c r="AR1235" i="16"/>
  <c r="AR1234" i="16"/>
  <c r="AR1237" i="16"/>
  <c r="AR1239" i="16"/>
  <c r="AR1245" i="16"/>
  <c r="AR1266" i="16"/>
  <c r="AR1269" i="16"/>
  <c r="AR1272" i="16"/>
  <c r="AR1275" i="16"/>
  <c r="AR1274" i="16"/>
  <c r="AR1279" i="16"/>
  <c r="AR1278" i="16"/>
  <c r="AR1277" i="16"/>
  <c r="AR1285" i="16"/>
  <c r="AR1287" i="16"/>
  <c r="AR1290" i="16"/>
  <c r="AR1292" i="16"/>
  <c r="AR1295" i="16"/>
  <c r="AR1298" i="16"/>
  <c r="AR1297" i="16"/>
  <c r="AR1300" i="16"/>
  <c r="AR1303" i="16"/>
  <c r="AR1302" i="16"/>
  <c r="AR1306" i="16"/>
  <c r="AR1312" i="16"/>
  <c r="AR1314" i="16"/>
  <c r="AR1318" i="16"/>
  <c r="AR1325" i="16"/>
  <c r="AR1328" i="16"/>
  <c r="AR1327" i="16"/>
  <c r="AR1334" i="16"/>
  <c r="AR1333" i="16"/>
  <c r="AR1332" i="16"/>
  <c r="AR1331" i="16"/>
  <c r="AR1330" i="16"/>
  <c r="AR1351" i="16"/>
  <c r="AR1353" i="16"/>
  <c r="AR1356" i="16"/>
  <c r="AP1356" i="16"/>
  <c r="AP1353" i="16"/>
  <c r="AP1351" i="16"/>
  <c r="AP1334" i="16"/>
  <c r="AP1333" i="16"/>
  <c r="AP1332" i="16"/>
  <c r="AP1331" i="16"/>
  <c r="AP1330" i="16"/>
  <c r="AP1328" i="16"/>
  <c r="AP1327" i="16"/>
  <c r="AP1325" i="16"/>
  <c r="AP1318" i="16"/>
  <c r="AP1314" i="16"/>
  <c r="AP1312" i="16"/>
  <c r="AP1306" i="16"/>
  <c r="AP1303" i="16"/>
  <c r="AP1302" i="16"/>
  <c r="AP1300" i="16"/>
  <c r="AP1298" i="16"/>
  <c r="AP1297" i="16"/>
  <c r="AP1295" i="16"/>
  <c r="AP1292" i="16"/>
  <c r="AP1290" i="16"/>
  <c r="AP1287" i="16"/>
  <c r="AP1285" i="16"/>
  <c r="AP1279" i="16"/>
  <c r="AP1278" i="16"/>
  <c r="AP1277" i="16"/>
  <c r="AP1275" i="16"/>
  <c r="AP1274" i="16"/>
  <c r="AP1272" i="16"/>
  <c r="AP1269" i="16"/>
  <c r="AP1266" i="16"/>
  <c r="AP1245" i="16"/>
  <c r="AP1239" i="16"/>
  <c r="AP1237" i="16"/>
  <c r="AP1235" i="16"/>
  <c r="AP1234" i="16"/>
  <c r="AP1232" i="16"/>
  <c r="AP1230" i="16"/>
  <c r="AP1229" i="16"/>
  <c r="AP1227" i="16"/>
  <c r="AP1225" i="16"/>
  <c r="AP1221" i="16"/>
  <c r="AP1215" i="16"/>
  <c r="AP1214" i="16"/>
  <c r="AP1213" i="16"/>
  <c r="AP1211" i="16"/>
  <c r="AP1210" i="16"/>
  <c r="AP1208" i="16"/>
  <c r="AP1206" i="16"/>
  <c r="AP1205" i="16"/>
  <c r="AP1204" i="16"/>
  <c r="AP1200" i="16"/>
  <c r="AP1199" i="16"/>
  <c r="AP1198" i="16"/>
  <c r="AP1190" i="16"/>
  <c r="AP1185" i="16"/>
  <c r="AP1181" i="16"/>
  <c r="AP1176" i="16"/>
  <c r="AP1171" i="16"/>
  <c r="AP1170" i="16"/>
  <c r="AP1164" i="16"/>
  <c r="AP1160" i="16"/>
  <c r="AP1156" i="16"/>
  <c r="AP1154" i="16"/>
  <c r="AP1151" i="16"/>
  <c r="AP1149" i="16"/>
  <c r="AP1146" i="16"/>
  <c r="AP1142" i="16"/>
  <c r="AP1136" i="16"/>
  <c r="AP1133" i="16"/>
  <c r="AP1131" i="16"/>
  <c r="AP1121" i="16"/>
  <c r="AP1117" i="16"/>
  <c r="AP1115" i="16"/>
  <c r="AP1113" i="16"/>
  <c r="AP1110" i="16"/>
  <c r="AP1108" i="16"/>
  <c r="AP1102" i="16"/>
  <c r="AP1101" i="16"/>
  <c r="AP1099" i="16"/>
  <c r="AP1095" i="16"/>
  <c r="AP1093" i="16"/>
  <c r="AP1091" i="16"/>
  <c r="AP1089" i="16"/>
  <c r="AP1081" i="16"/>
  <c r="AP1079" i="16"/>
  <c r="AP1076" i="16"/>
  <c r="AP1075" i="16"/>
  <c r="AP1071" i="16"/>
  <c r="AP1066" i="16"/>
  <c r="AP1062" i="16"/>
  <c r="AP1061" i="16"/>
  <c r="AP1056" i="16"/>
  <c r="AP1043" i="16"/>
  <c r="AP1038" i="16"/>
  <c r="AP1036" i="16"/>
  <c r="AP1035" i="16"/>
  <c r="AP1033" i="16"/>
  <c r="AP1021" i="16"/>
  <c r="AP1018" i="16"/>
  <c r="AP1017" i="16"/>
  <c r="AP1006" i="16"/>
  <c r="AP997" i="16"/>
  <c r="AP994" i="16"/>
  <c r="AP992" i="16"/>
  <c r="AP981" i="16"/>
  <c r="AP980" i="16"/>
  <c r="AP979" i="16"/>
  <c r="AP978" i="16"/>
  <c r="AP973" i="16"/>
  <c r="AP968" i="16"/>
  <c r="AP962" i="16"/>
  <c r="AP960" i="16"/>
  <c r="AP958" i="16"/>
  <c r="AP955" i="16"/>
  <c r="AP953" i="16"/>
  <c r="AP951" i="16"/>
  <c r="AP948" i="16"/>
  <c r="AP946" i="16"/>
  <c r="AP943" i="16"/>
  <c r="AP937" i="16"/>
  <c r="AP934" i="16"/>
  <c r="AP930" i="16"/>
  <c r="AP927" i="16"/>
  <c r="AP924" i="16"/>
  <c r="AP919" i="16"/>
  <c r="AP913" i="16"/>
  <c r="AP891" i="16"/>
  <c r="AP890" i="16"/>
  <c r="AP888" i="16"/>
  <c r="AP880" i="16"/>
  <c r="AP874" i="16"/>
  <c r="AP847" i="16"/>
  <c r="AP844" i="16"/>
  <c r="AP828" i="16"/>
  <c r="AP811" i="16"/>
  <c r="AP809" i="16"/>
  <c r="AP805" i="16"/>
  <c r="AP802" i="16"/>
  <c r="AP799" i="16"/>
  <c r="AP793" i="16"/>
  <c r="AP790" i="16"/>
  <c r="AP773" i="16"/>
  <c r="AP763" i="16"/>
  <c r="AP755" i="16"/>
  <c r="AP753" i="16"/>
  <c r="AP749" i="16"/>
  <c r="AP748" i="16"/>
  <c r="AP747" i="16"/>
  <c r="AP745" i="16"/>
  <c r="AP743" i="16"/>
  <c r="AP739" i="16"/>
  <c r="AP734" i="16"/>
  <c r="AP730" i="16"/>
  <c r="AP729" i="16"/>
  <c r="AP728" i="16"/>
  <c r="AP727" i="16"/>
  <c r="AP726" i="16"/>
  <c r="AP725" i="16"/>
  <c r="AP724" i="16"/>
  <c r="AP713" i="16"/>
  <c r="AP707" i="16"/>
  <c r="AP701" i="16"/>
  <c r="AP695" i="16"/>
  <c r="AP689" i="16"/>
  <c r="AP683" i="16"/>
  <c r="AP676" i="16"/>
  <c r="AP668" i="16"/>
  <c r="AP661" i="16"/>
  <c r="AP652" i="16"/>
  <c r="AP640" i="16"/>
  <c r="AP637" i="16"/>
  <c r="AP627" i="16"/>
  <c r="AP624" i="16"/>
  <c r="AP623" i="16"/>
  <c r="AP621" i="16"/>
  <c r="AP612" i="16"/>
  <c r="AP610" i="16"/>
  <c r="AP609" i="16"/>
  <c r="AP607" i="16"/>
  <c r="AP606" i="16"/>
  <c r="AP586" i="16"/>
  <c r="AP585" i="16"/>
  <c r="AP584" i="16"/>
  <c r="AP583" i="16"/>
  <c r="AP582" i="16"/>
  <c r="AP581" i="16"/>
  <c r="AP580" i="16"/>
  <c r="AP579" i="16"/>
  <c r="AP574" i="16"/>
  <c r="AP573" i="16"/>
  <c r="AP572" i="16"/>
  <c r="AP571" i="16"/>
  <c r="AP570" i="16"/>
  <c r="AP569" i="16"/>
  <c r="AP568" i="16"/>
  <c r="AP567" i="16"/>
  <c r="AP566" i="16"/>
  <c r="AP553" i="16"/>
  <c r="AP551" i="16"/>
  <c r="AP538" i="16"/>
  <c r="AP531" i="16"/>
  <c r="AP529" i="16"/>
  <c r="AP527" i="16"/>
  <c r="AP525" i="16"/>
  <c r="AP520" i="16"/>
  <c r="AP513" i="16"/>
  <c r="AP507" i="16"/>
  <c r="AP503" i="16"/>
  <c r="AP501" i="16"/>
  <c r="AP496" i="16"/>
  <c r="AP492" i="16"/>
  <c r="AP489" i="16"/>
  <c r="AP488" i="16"/>
  <c r="AP486" i="16"/>
  <c r="AP481" i="16"/>
  <c r="AP480" i="16"/>
  <c r="AP478" i="16"/>
  <c r="AP472" i="16"/>
  <c r="AP469" i="16"/>
  <c r="AP465" i="16"/>
  <c r="AP453" i="16"/>
  <c r="AP451" i="16"/>
  <c r="AP449" i="16"/>
  <c r="AP443" i="16"/>
  <c r="AP439" i="16"/>
  <c r="AP438" i="16"/>
  <c r="AP435" i="16"/>
  <c r="AP423" i="16"/>
  <c r="AP411" i="16"/>
  <c r="AP407" i="16"/>
  <c r="AP405" i="16"/>
  <c r="AP403" i="16"/>
  <c r="AP400" i="16"/>
  <c r="AP398" i="16"/>
  <c r="AP393" i="16"/>
  <c r="AP389" i="16"/>
  <c r="AP385" i="16"/>
  <c r="AP379" i="16"/>
  <c r="AP377" i="16"/>
  <c r="AP376" i="16"/>
  <c r="AP371" i="16"/>
  <c r="AP369" i="16"/>
  <c r="AP362" i="16"/>
  <c r="AP360" i="16"/>
  <c r="AP352" i="16"/>
  <c r="AP349" i="16"/>
  <c r="AP347" i="16"/>
  <c r="AP346" i="16"/>
  <c r="AP340" i="16"/>
  <c r="AP336" i="16"/>
  <c r="AP323" i="16"/>
  <c r="AP316" i="16"/>
  <c r="AP314" i="16"/>
  <c r="AP310" i="16"/>
  <c r="AP309" i="16"/>
  <c r="AP308" i="16"/>
  <c r="AP301" i="16"/>
  <c r="AP299" i="16"/>
  <c r="AP298" i="16"/>
  <c r="AP297" i="16"/>
  <c r="AP296" i="16"/>
  <c r="AP288" i="16"/>
  <c r="AP287" i="16"/>
  <c r="AP286" i="16"/>
  <c r="AP285" i="16"/>
  <c r="AP284" i="16"/>
  <c r="AP283" i="16"/>
  <c r="AP277" i="16"/>
  <c r="AP274" i="16"/>
  <c r="AP271" i="16"/>
  <c r="AP242" i="16"/>
  <c r="AP239" i="16"/>
  <c r="AP238" i="16"/>
  <c r="AP232" i="16"/>
  <c r="AP229" i="16"/>
  <c r="AP228" i="16"/>
  <c r="AP224" i="16"/>
  <c r="AP221" i="16"/>
  <c r="AP213" i="16"/>
  <c r="AP209" i="16"/>
  <c r="AP208" i="16"/>
  <c r="AP206" i="16"/>
  <c r="AP198" i="16"/>
  <c r="AP197" i="16"/>
  <c r="AP196" i="16"/>
  <c r="AP195" i="16"/>
  <c r="AP194" i="16"/>
  <c r="AP193" i="16"/>
  <c r="AP191" i="16"/>
  <c r="AP188" i="16"/>
  <c r="AP184" i="16"/>
  <c r="AP182" i="16"/>
  <c r="AP180" i="16"/>
  <c r="AP179" i="16"/>
  <c r="AP177" i="16"/>
  <c r="AP172" i="16"/>
  <c r="AP170" i="16"/>
  <c r="AP169" i="16"/>
  <c r="AP162" i="16"/>
  <c r="AP157" i="16"/>
  <c r="AP155" i="16"/>
  <c r="AP152" i="16"/>
  <c r="AP150" i="16"/>
  <c r="AP149" i="16"/>
  <c r="AP148" i="16"/>
  <c r="AP144" i="16"/>
  <c r="AP142" i="16"/>
  <c r="AP140" i="16"/>
  <c r="AP137" i="16"/>
  <c r="AP135" i="16"/>
  <c r="AP130" i="16"/>
  <c r="AP129" i="16"/>
  <c r="AP124" i="16"/>
  <c r="AP122" i="16"/>
  <c r="AP120" i="16"/>
  <c r="AP118" i="16"/>
  <c r="AP112" i="16"/>
  <c r="AP110" i="16"/>
  <c r="AP103" i="16"/>
  <c r="AP96" i="16"/>
  <c r="AP93" i="16"/>
  <c r="AP85" i="16"/>
  <c r="AP84" i="16"/>
  <c r="AP83" i="16"/>
  <c r="AP81" i="16"/>
  <c r="AP80" i="16"/>
  <c r="AP76" i="16"/>
  <c r="AP72" i="16"/>
  <c r="AP70" i="16"/>
  <c r="AP65" i="16"/>
  <c r="AP63" i="16"/>
  <c r="AP62" i="16"/>
  <c r="AP61" i="16"/>
  <c r="AP58" i="16"/>
  <c r="AP56" i="16"/>
  <c r="AP55" i="16"/>
  <c r="AP54" i="16"/>
  <c r="AP52" i="16"/>
  <c r="AP50" i="16"/>
  <c r="AP49" i="16"/>
  <c r="AP37" i="16"/>
  <c r="AP31" i="16"/>
  <c r="AP28" i="16"/>
  <c r="AP19" i="16"/>
  <c r="AP17" i="16"/>
  <c r="AP15" i="16"/>
  <c r="AN15" i="16"/>
  <c r="AN17" i="16"/>
  <c r="AN19" i="16"/>
  <c r="AN28" i="16"/>
  <c r="AN31" i="16"/>
  <c r="AN37" i="16"/>
  <c r="AN50" i="16"/>
  <c r="AN49" i="16"/>
  <c r="AN52" i="16"/>
  <c r="AN56" i="16"/>
  <c r="AN55" i="16"/>
  <c r="AN54" i="16"/>
  <c r="AN58" i="16"/>
  <c r="AN63" i="16"/>
  <c r="AN62" i="16"/>
  <c r="AN65" i="16"/>
  <c r="AN70" i="16"/>
  <c r="AN72" i="16"/>
  <c r="AN76" i="16"/>
  <c r="AN78" i="16"/>
  <c r="AN85" i="16"/>
  <c r="AN93" i="16"/>
  <c r="AN96" i="16"/>
  <c r="AN103" i="16"/>
  <c r="AN112" i="16"/>
  <c r="AN118" i="16"/>
  <c r="AN120" i="16"/>
  <c r="AN122" i="16"/>
  <c r="AN124" i="16"/>
  <c r="AN130" i="16"/>
  <c r="AN129" i="16"/>
  <c r="AN135" i="16"/>
  <c r="AN137" i="16"/>
  <c r="AN140" i="16"/>
  <c r="AN142" i="16"/>
  <c r="AN144" i="16"/>
  <c r="AN150" i="16"/>
  <c r="AN149" i="16"/>
  <c r="AN148" i="16"/>
  <c r="AN152" i="16"/>
  <c r="AN155" i="16"/>
  <c r="AN157" i="16"/>
  <c r="AN162" i="16"/>
  <c r="AN170" i="16"/>
  <c r="AN169" i="16"/>
  <c r="AN172" i="16"/>
  <c r="AN177" i="16"/>
  <c r="AN180" i="16"/>
  <c r="AN179" i="16"/>
  <c r="AN182" i="16"/>
  <c r="AN184" i="16"/>
  <c r="AN188" i="16"/>
  <c r="AN192" i="16"/>
  <c r="AN191" i="16"/>
  <c r="AN206" i="16"/>
  <c r="AN209" i="16"/>
  <c r="AN208" i="16"/>
  <c r="AN213" i="16"/>
  <c r="AN219" i="16"/>
  <c r="AN229" i="16"/>
  <c r="AN232" i="16"/>
  <c r="AN239" i="16"/>
  <c r="AN238" i="16"/>
  <c r="AN242" i="16"/>
  <c r="AN253" i="16"/>
  <c r="AN271" i="16"/>
  <c r="AN274" i="16"/>
  <c r="AN277" i="16"/>
  <c r="AN288" i="16"/>
  <c r="AN287" i="16"/>
  <c r="AN286" i="16"/>
  <c r="AN285" i="16"/>
  <c r="AN284" i="16"/>
  <c r="AN283" i="16"/>
  <c r="AN300" i="16"/>
  <c r="AN299" i="16"/>
  <c r="AN298" i="16"/>
  <c r="AN297" i="16"/>
  <c r="AN296" i="16"/>
  <c r="AN305" i="16"/>
  <c r="AN323" i="16"/>
  <c r="AN340" i="16"/>
  <c r="AN343" i="16"/>
  <c r="AN352" i="16"/>
  <c r="AN360" i="16"/>
  <c r="AN369" i="16"/>
  <c r="AN377" i="16"/>
  <c r="AN379" i="16"/>
  <c r="AN385" i="16"/>
  <c r="AN389" i="16"/>
  <c r="AN393" i="16"/>
  <c r="AN398" i="16"/>
  <c r="AN400" i="16"/>
  <c r="AN403" i="16"/>
  <c r="AN405" i="16"/>
  <c r="AN407" i="16"/>
  <c r="AN435" i="16"/>
  <c r="AN439" i="16"/>
  <c r="AN438" i="16"/>
  <c r="AN443" i="16"/>
  <c r="AN449" i="16"/>
  <c r="AN452" i="16"/>
  <c r="AN451" i="16"/>
  <c r="AN469" i="16"/>
  <c r="AN478" i="16"/>
  <c r="AN482" i="16"/>
  <c r="AN481" i="16"/>
  <c r="AN480" i="16"/>
  <c r="AN492" i="16"/>
  <c r="AN501" i="16"/>
  <c r="AN503" i="16"/>
  <c r="AN507" i="16"/>
  <c r="AN513" i="16"/>
  <c r="AN520" i="16"/>
  <c r="AN524" i="16"/>
  <c r="AN538" i="16"/>
  <c r="AN553" i="16"/>
  <c r="AN562" i="16"/>
  <c r="AN578" i="16"/>
  <c r="AN606" i="16"/>
  <c r="AN609" i="16"/>
  <c r="AN612" i="16"/>
  <c r="AN621" i="16"/>
  <c r="AN624" i="16"/>
  <c r="AN623" i="16"/>
  <c r="AN627" i="16"/>
  <c r="AN636" i="16"/>
  <c r="AN652" i="16"/>
  <c r="AN661" i="16"/>
  <c r="AN668" i="16"/>
  <c r="AN670" i="16"/>
  <c r="AN713" i="16"/>
  <c r="AN721" i="16"/>
  <c r="AN732" i="16"/>
  <c r="AN757" i="16"/>
  <c r="AN913" i="16"/>
  <c r="AN919" i="16"/>
  <c r="AN924" i="16"/>
  <c r="AN927" i="16"/>
  <c r="AN934" i="16"/>
  <c r="AN937" i="16"/>
  <c r="AN943" i="16"/>
  <c r="AN946" i="16"/>
  <c r="AN948" i="16"/>
  <c r="AN951" i="16"/>
  <c r="AN953" i="16"/>
  <c r="AN955" i="16"/>
  <c r="AN958" i="16"/>
  <c r="AN960" i="16"/>
  <c r="AN962" i="16"/>
  <c r="AN969" i="16"/>
  <c r="AN968" i="16"/>
  <c r="AN992" i="16"/>
  <c r="AN994" i="16"/>
  <c r="AN999" i="16"/>
  <c r="AN1021" i="16"/>
  <c r="AN1031" i="16"/>
  <c r="AN1038" i="16"/>
  <c r="AN1043" i="16"/>
  <c r="AN1052" i="16"/>
  <c r="AN1066" i="16"/>
  <c r="AN1073" i="16"/>
  <c r="AN1079" i="16"/>
  <c r="AN1081" i="16"/>
  <c r="AN1091" i="16"/>
  <c r="AN1095" i="16"/>
  <c r="AN1098" i="16"/>
  <c r="AN1102" i="16"/>
  <c r="AN1106" i="16"/>
  <c r="AN1111" i="16"/>
  <c r="AN1121" i="16"/>
  <c r="AN1131" i="16"/>
  <c r="AN1133" i="16"/>
  <c r="AN1136" i="16"/>
  <c r="AN1142" i="16"/>
  <c r="AN1147" i="16"/>
  <c r="AN1146" i="16"/>
  <c r="AN1154" i="16"/>
  <c r="AN1160" i="16"/>
  <c r="AN1164" i="16"/>
  <c r="AN1168" i="16"/>
  <c r="AN1176" i="16"/>
  <c r="AN1181" i="16"/>
  <c r="AN1185" i="16"/>
  <c r="AN1190" i="16"/>
  <c r="AN1195" i="16"/>
  <c r="AN1263" i="16"/>
  <c r="AN1281" i="16"/>
  <c r="AN1308" i="16"/>
  <c r="AN1350" i="16"/>
  <c r="AL1356" i="16"/>
  <c r="AL1353" i="16"/>
  <c r="AL1351" i="16"/>
  <c r="AL1350" i="16"/>
  <c r="AL1334" i="16"/>
  <c r="AL1312" i="16"/>
  <c r="AL1308" i="16"/>
  <c r="AL1287" i="16"/>
  <c r="AL1285" i="16"/>
  <c r="AL1281" i="16"/>
  <c r="AL1272" i="16"/>
  <c r="AL1269" i="16"/>
  <c r="AL1266" i="16"/>
  <c r="AL1263" i="16"/>
  <c r="AL1245" i="16"/>
  <c r="AL1200" i="16"/>
  <c r="AL1199" i="16"/>
  <c r="AL1198" i="16"/>
  <c r="AL1195" i="16"/>
  <c r="AL1190" i="16"/>
  <c r="AL1185" i="16"/>
  <c r="AL1181" i="16"/>
  <c r="AL1176" i="16"/>
  <c r="AL1168" i="16"/>
  <c r="AL1166" i="16"/>
  <c r="AL1165" i="16"/>
  <c r="AL1163" i="16"/>
  <c r="AL1161" i="16"/>
  <c r="AL1156" i="16"/>
  <c r="AL1154" i="16"/>
  <c r="AL1147" i="16"/>
  <c r="AL1146" i="16"/>
  <c r="AL1144" i="16"/>
  <c r="AL1143" i="16"/>
  <c r="AL1142" i="16"/>
  <c r="AL1136" i="16"/>
  <c r="AL1133" i="16"/>
  <c r="AL1131" i="16"/>
  <c r="AL1130" i="16"/>
  <c r="AL1129" i="16"/>
  <c r="AL1127" i="16"/>
  <c r="AL1125" i="16"/>
  <c r="AL1121" i="16"/>
  <c r="AL1111" i="16"/>
  <c r="AL1109" i="16"/>
  <c r="AL1107" i="16"/>
  <c r="AL1106" i="16"/>
  <c r="AL1102" i="16"/>
  <c r="AL1101" i="16"/>
  <c r="AL1100" i="16"/>
  <c r="AL1098" i="16"/>
  <c r="AL1095" i="16"/>
  <c r="AL1093" i="16"/>
  <c r="AL1091" i="16"/>
  <c r="AL1081" i="16"/>
  <c r="AL1079" i="16"/>
  <c r="AL1076" i="16"/>
  <c r="AL1075" i="16"/>
  <c r="AL1071" i="16"/>
  <c r="AL1066" i="16"/>
  <c r="AL1062" i="16"/>
  <c r="AL1061" i="16"/>
  <c r="AL1056" i="16"/>
  <c r="AL1043" i="16"/>
  <c r="AL1038" i="16"/>
  <c r="AL1031" i="16"/>
  <c r="AL1021" i="16"/>
  <c r="AL999" i="16"/>
  <c r="AL997" i="16"/>
  <c r="AL994" i="16"/>
  <c r="AL992" i="16"/>
  <c r="AL988" i="16"/>
  <c r="AL986" i="16"/>
  <c r="AL985" i="16"/>
  <c r="AL984" i="16"/>
  <c r="AL982" i="16"/>
  <c r="AL973" i="16"/>
  <c r="AL969" i="16"/>
  <c r="AL968" i="16"/>
  <c r="AL962" i="16"/>
  <c r="AL961" i="16"/>
  <c r="AL959" i="16"/>
  <c r="AL955" i="16"/>
  <c r="AL954" i="16"/>
  <c r="AL952" i="16"/>
  <c r="AL949" i="16"/>
  <c r="AL947" i="16"/>
  <c r="AL944" i="16"/>
  <c r="AL939" i="16"/>
  <c r="AL938" i="16"/>
  <c r="AL934" i="16"/>
  <c r="AL930" i="16"/>
  <c r="AL929" i="16"/>
  <c r="AL928" i="16"/>
  <c r="AL926" i="16"/>
  <c r="AL925" i="16"/>
  <c r="AL919" i="16"/>
  <c r="AL913" i="16"/>
  <c r="AL891" i="16"/>
  <c r="AL886" i="16"/>
  <c r="AL880" i="16"/>
  <c r="AL874" i="16"/>
  <c r="AL847" i="16"/>
  <c r="AL825" i="16"/>
  <c r="AL808" i="16"/>
  <c r="AL805" i="16"/>
  <c r="AL802" i="16"/>
  <c r="AL799" i="16"/>
  <c r="AL793" i="16"/>
  <c r="AL790" i="16"/>
  <c r="AL757" i="16"/>
  <c r="AL755" i="16"/>
  <c r="AL753" i="16"/>
  <c r="AL749" i="16"/>
  <c r="AL748" i="16"/>
  <c r="AL747" i="16"/>
  <c r="AL745" i="16"/>
  <c r="AL743" i="16"/>
  <c r="AL739" i="16"/>
  <c r="AL734" i="16"/>
  <c r="AL732" i="16"/>
  <c r="AL730" i="16"/>
  <c r="AL729" i="16"/>
  <c r="AL728" i="16"/>
  <c r="AL727" i="16"/>
  <c r="AL726" i="16"/>
  <c r="AL725" i="16"/>
  <c r="AL724" i="16"/>
  <c r="AL721" i="16"/>
  <c r="AL713" i="16"/>
  <c r="AL688" i="16"/>
  <c r="AL674" i="16"/>
  <c r="AL670" i="16"/>
  <c r="AL668" i="16"/>
  <c r="AL661" i="16"/>
  <c r="AL652" i="16"/>
  <c r="AL636" i="16"/>
  <c r="AL627" i="16"/>
  <c r="AL624" i="16"/>
  <c r="AL623" i="16"/>
  <c r="AL621" i="16"/>
  <c r="AL612" i="16"/>
  <c r="AL609" i="16"/>
  <c r="AL606" i="16"/>
  <c r="AL593" i="16"/>
  <c r="AL591" i="16"/>
  <c r="AL589" i="16"/>
  <c r="AL565" i="16"/>
  <c r="AL564" i="16"/>
  <c r="AL562" i="16"/>
  <c r="AL553" i="16"/>
  <c r="AL538" i="16"/>
  <c r="AL524" i="16"/>
  <c r="AL520" i="16"/>
  <c r="AL513" i="16"/>
  <c r="AL507" i="16"/>
  <c r="AL503" i="16"/>
  <c r="AL501" i="16"/>
  <c r="AL496" i="16"/>
  <c r="AL492" i="16"/>
  <c r="AL482" i="16"/>
  <c r="AL481" i="16"/>
  <c r="AL480" i="16"/>
  <c r="AL478" i="16"/>
  <c r="AL472" i="16"/>
  <c r="AL469" i="16"/>
  <c r="AL465" i="16"/>
  <c r="AL452" i="16"/>
  <c r="AL451" i="16"/>
  <c r="AL449" i="16"/>
  <c r="AL447" i="16"/>
  <c r="AL444" i="16"/>
  <c r="AL439" i="16"/>
  <c r="AL438" i="16"/>
  <c r="AL435" i="16"/>
  <c r="AL423" i="16"/>
  <c r="AL411" i="16"/>
  <c r="AL407" i="16"/>
  <c r="AL405" i="16"/>
  <c r="AL403" i="16"/>
  <c r="AL400" i="16"/>
  <c r="AL398" i="16"/>
  <c r="AL393" i="16"/>
  <c r="AL389" i="16"/>
  <c r="AL385" i="16"/>
  <c r="AL379" i="16"/>
  <c r="AL377" i="16"/>
  <c r="AL371" i="16"/>
  <c r="AL369" i="16"/>
  <c r="AL362" i="16"/>
  <c r="AL360" i="16"/>
  <c r="AL352" i="16"/>
  <c r="AL349" i="16"/>
  <c r="AL343" i="16"/>
  <c r="AL340" i="16"/>
  <c r="AL336" i="16"/>
  <c r="AL323" i="16"/>
  <c r="AL321" i="16"/>
  <c r="AL319" i="16"/>
  <c r="AL318" i="16"/>
  <c r="AL305" i="16"/>
  <c r="AL304" i="16"/>
  <c r="AL303" i="16"/>
  <c r="AL300" i="16"/>
  <c r="AL299" i="16"/>
  <c r="AL298" i="16"/>
  <c r="AL297" i="16"/>
  <c r="AL296" i="16"/>
  <c r="AL291" i="16"/>
  <c r="AL288" i="16"/>
  <c r="AL287" i="16"/>
  <c r="AL286" i="16"/>
  <c r="AL285" i="16"/>
  <c r="AL284" i="16"/>
  <c r="AL283" i="16"/>
  <c r="AL277" i="16"/>
  <c r="AL274" i="16"/>
  <c r="AL271" i="16"/>
  <c r="AL261" i="16"/>
  <c r="AL260" i="16"/>
  <c r="AL259" i="16"/>
  <c r="AL258" i="16"/>
  <c r="AL257" i="16"/>
  <c r="AL242" i="16"/>
  <c r="AL239" i="16"/>
  <c r="AL238" i="16"/>
  <c r="AL237" i="16"/>
  <c r="AL236" i="16"/>
  <c r="AL235" i="16"/>
  <c r="AL234" i="16"/>
  <c r="AL233" i="16"/>
  <c r="AL229" i="16"/>
  <c r="AL219" i="16"/>
  <c r="AL217" i="16"/>
  <c r="AL216" i="16"/>
  <c r="AL215" i="16"/>
  <c r="AL212" i="16"/>
  <c r="AL211" i="16"/>
  <c r="AL210" i="16"/>
  <c r="AL208" i="16"/>
  <c r="AL206" i="16"/>
  <c r="AL192" i="16"/>
  <c r="AL191" i="16"/>
  <c r="AL188" i="16"/>
  <c r="AL184" i="16"/>
  <c r="AL182" i="16"/>
  <c r="AL180" i="16"/>
  <c r="AL179" i="16"/>
  <c r="AL177" i="16"/>
  <c r="AL172" i="16"/>
  <c r="AL170" i="16"/>
  <c r="AL169" i="16"/>
  <c r="AL162" i="16"/>
  <c r="AL157" i="16"/>
  <c r="AL155" i="16"/>
  <c r="AL152" i="16"/>
  <c r="AL150" i="16"/>
  <c r="AL149" i="16"/>
  <c r="AL148" i="16"/>
  <c r="AL144" i="16"/>
  <c r="AL142" i="16"/>
  <c r="AL140" i="16"/>
  <c r="AL137" i="16"/>
  <c r="AL135" i="16"/>
  <c r="AL130" i="16"/>
  <c r="AL129" i="16"/>
  <c r="AL128" i="16"/>
  <c r="AL127" i="16"/>
  <c r="AL126" i="16"/>
  <c r="AL125" i="16"/>
  <c r="AL122" i="16"/>
  <c r="AL120" i="16"/>
  <c r="AL118" i="16"/>
  <c r="AL117" i="16"/>
  <c r="AL116" i="16"/>
  <c r="AL115" i="16"/>
  <c r="AL114" i="16"/>
  <c r="AL107" i="16"/>
  <c r="AL106" i="16"/>
  <c r="AL105" i="16"/>
  <c r="AL102" i="16"/>
  <c r="AL101" i="16"/>
  <c r="AL100" i="16"/>
  <c r="AL93" i="16"/>
  <c r="AL85" i="16"/>
  <c r="AL78" i="16"/>
  <c r="AL76" i="16"/>
  <c r="AL72" i="16"/>
  <c r="AL70" i="16"/>
  <c r="AL69" i="16"/>
  <c r="AL68" i="16"/>
  <c r="AL67" i="16"/>
  <c r="AL63" i="16"/>
  <c r="AL62" i="16"/>
  <c r="AL58" i="16"/>
  <c r="AL56" i="16"/>
  <c r="AL55" i="16"/>
  <c r="AL54" i="16"/>
  <c r="AL52" i="16"/>
  <c r="AL50" i="16"/>
  <c r="AL49" i="16"/>
  <c r="AL37" i="16"/>
  <c r="AL35" i="16"/>
  <c r="AL34" i="16"/>
  <c r="AL33" i="16"/>
  <c r="AL28" i="16"/>
  <c r="AL19" i="16"/>
  <c r="AL17" i="16"/>
  <c r="AL15" i="16"/>
  <c r="U31" i="16"/>
  <c r="AL12" i="29"/>
  <c r="AL17" i="29"/>
  <c r="AL16" i="29"/>
  <c r="AL15" i="29"/>
  <c r="AL62" i="29"/>
  <c r="AL80" i="29"/>
  <c r="AL83" i="29"/>
  <c r="AL86" i="29"/>
  <c r="AL89" i="29"/>
  <c r="AL98" i="29"/>
  <c r="AL102" i="29"/>
  <c r="AL104" i="29"/>
  <c r="AL125" i="29"/>
  <c r="AL129" i="29"/>
  <c r="AL151" i="29"/>
  <c r="AL167" i="29"/>
  <c r="AL168" i="29"/>
  <c r="AL170" i="29"/>
  <c r="AL173" i="29"/>
  <c r="AN167" i="29"/>
  <c r="AN125" i="29"/>
  <c r="AN98" i="29"/>
  <c r="AN80"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2" i="29"/>
  <c r="AP83" i="29"/>
  <c r="AP86" i="29"/>
  <c r="AP89" i="29"/>
  <c r="AP92" i="29"/>
  <c r="AP91" i="29"/>
  <c r="AP96" i="29"/>
  <c r="AP95" i="29"/>
  <c r="AP94" i="29"/>
  <c r="AP102" i="29"/>
  <c r="AP104" i="29"/>
  <c r="AP107" i="29"/>
  <c r="AP109" i="29"/>
  <c r="AP112" i="29"/>
  <c r="AP115" i="29"/>
  <c r="AP114" i="29"/>
  <c r="AP117" i="29"/>
  <c r="AP120" i="29"/>
  <c r="AP119" i="29"/>
  <c r="AP123" i="29"/>
  <c r="AP129" i="29"/>
  <c r="AP131" i="29"/>
  <c r="AP135" i="29"/>
  <c r="AP142" i="29"/>
  <c r="AP145" i="29"/>
  <c r="AP144" i="29"/>
  <c r="AP151" i="29"/>
  <c r="AP150" i="29"/>
  <c r="AP149" i="29"/>
  <c r="AP148" i="29"/>
  <c r="AP147" i="29"/>
  <c r="AP168" i="29"/>
  <c r="AP170" i="29"/>
  <c r="AP173" i="29"/>
  <c r="AR173" i="29"/>
  <c r="AR170" i="29"/>
  <c r="AR168" i="29"/>
  <c r="AR151" i="29"/>
  <c r="AR150" i="29"/>
  <c r="AR149" i="29"/>
  <c r="AR148" i="29"/>
  <c r="AR147" i="29"/>
  <c r="AR145" i="29"/>
  <c r="AR144" i="29"/>
  <c r="AR142" i="29"/>
  <c r="AR135" i="29"/>
  <c r="AR131" i="29"/>
  <c r="AR129" i="29"/>
  <c r="AR123" i="29"/>
  <c r="AR120" i="29"/>
  <c r="AR119" i="29"/>
  <c r="AR117" i="29"/>
  <c r="AR115" i="29"/>
  <c r="AR114" i="29"/>
  <c r="AR112" i="29"/>
  <c r="AR109" i="29"/>
  <c r="AR107" i="29"/>
  <c r="AR104" i="29"/>
  <c r="AR102" i="29"/>
  <c r="AR96" i="29"/>
  <c r="AR95" i="29"/>
  <c r="AR94" i="29"/>
  <c r="AR92" i="29"/>
  <c r="AR91" i="29"/>
  <c r="AR89" i="29"/>
  <c r="AR86" i="29"/>
  <c r="AR83" i="29"/>
  <c r="AR62"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3" i="28"/>
  <c r="AR36" i="28"/>
  <c r="AR42" i="28"/>
  <c r="AR45" i="28"/>
  <c r="AR47" i="28"/>
  <c r="AR50" i="28"/>
  <c r="AR52" i="28"/>
  <c r="AR54" i="28"/>
  <c r="AR57" i="28"/>
  <c r="AR59" i="28"/>
  <c r="AR61" i="28"/>
  <c r="AR67" i="28"/>
  <c r="AR72" i="28"/>
  <c r="AR77" i="28"/>
  <c r="AR91" i="28"/>
  <c r="AR93" i="28"/>
  <c r="AR96" i="28"/>
  <c r="AR105" i="28"/>
  <c r="AR116" i="28"/>
  <c r="AR120" i="28"/>
  <c r="AR126" i="28"/>
  <c r="AR132" i="28"/>
  <c r="AR135" i="28"/>
  <c r="AR134" i="28"/>
  <c r="AR137" i="28"/>
  <c r="AR142" i="28"/>
  <c r="AR155" i="28"/>
  <c r="AR160" i="28"/>
  <c r="AR161" i="28"/>
  <c r="AR165" i="28"/>
  <c r="AR170" i="28"/>
  <c r="AR172" i="28"/>
  <c r="AR178" i="28"/>
  <c r="AR180" i="28"/>
  <c r="AR188" i="28"/>
  <c r="AR190" i="28"/>
  <c r="AR192" i="28"/>
  <c r="AR194" i="28"/>
  <c r="AR197" i="28"/>
  <c r="AR201" i="28"/>
  <c r="AR205" i="28"/>
  <c r="AR212" i="28"/>
  <c r="AR214" i="28"/>
  <c r="AR216" i="28"/>
  <c r="AR220" i="28"/>
  <c r="AR230" i="28"/>
  <c r="AR232" i="28"/>
  <c r="AR235" i="28"/>
  <c r="AR238" i="28"/>
  <c r="AR248" i="28"/>
  <c r="AR250" i="28"/>
  <c r="AR253" i="28"/>
  <c r="AR255" i="28"/>
  <c r="AR259" i="28"/>
  <c r="AR263" i="28"/>
  <c r="AR267" i="28"/>
  <c r="AR275" i="28"/>
  <c r="AR280" i="28"/>
  <c r="AR284" i="28"/>
  <c r="AR289" i="28"/>
  <c r="AP289" i="28"/>
  <c r="AP284" i="28"/>
  <c r="AP280" i="28"/>
  <c r="AP275" i="28"/>
  <c r="AP270" i="28"/>
  <c r="AP269" i="28"/>
  <c r="AP263" i="28"/>
  <c r="AP259" i="28"/>
  <c r="AP255" i="28"/>
  <c r="AP253" i="28"/>
  <c r="AP250" i="28"/>
  <c r="AP248" i="28"/>
  <c r="AP245" i="28"/>
  <c r="AP241" i="28"/>
  <c r="AP235" i="28"/>
  <c r="AP232" i="28"/>
  <c r="AP230" i="28"/>
  <c r="AP220" i="28"/>
  <c r="AP216" i="28"/>
  <c r="AP214" i="28"/>
  <c r="AP212" i="28"/>
  <c r="AP209" i="28"/>
  <c r="AP207" i="28"/>
  <c r="AP201" i="28"/>
  <c r="AP200" i="28"/>
  <c r="AP198" i="28"/>
  <c r="AP194" i="28"/>
  <c r="AP192" i="28"/>
  <c r="AP190" i="28"/>
  <c r="AP188" i="28"/>
  <c r="AP180" i="28"/>
  <c r="AP178" i="28"/>
  <c r="AP175" i="28"/>
  <c r="AP174" i="28"/>
  <c r="AP170" i="28"/>
  <c r="AP165" i="28"/>
  <c r="AP161" i="28"/>
  <c r="AP160" i="28"/>
  <c r="AP155" i="28"/>
  <c r="AP142" i="28"/>
  <c r="AP137" i="28"/>
  <c r="AP135" i="28"/>
  <c r="AP134" i="28"/>
  <c r="AP132" i="28"/>
  <c r="AP120" i="28"/>
  <c r="AP117" i="28"/>
  <c r="AP116" i="28"/>
  <c r="AP105" i="28"/>
  <c r="AP96" i="28"/>
  <c r="AP93" i="28"/>
  <c r="AP91" i="28"/>
  <c r="AP80" i="28"/>
  <c r="AP79" i="28"/>
  <c r="AP78" i="28"/>
  <c r="AP77" i="28"/>
  <c r="AP72" i="28"/>
  <c r="AP67" i="28"/>
  <c r="AP61" i="28"/>
  <c r="AP59" i="28"/>
  <c r="AP57" i="28"/>
  <c r="AP54" i="28"/>
  <c r="AP52" i="28"/>
  <c r="AP50" i="28"/>
  <c r="AP47" i="28"/>
  <c r="AP45" i="28"/>
  <c r="AP42" i="28"/>
  <c r="AP36" i="28"/>
  <c r="AP33" i="28"/>
  <c r="AP29" i="28"/>
  <c r="AP26" i="28"/>
  <c r="AP23" i="28"/>
  <c r="AP18" i="28"/>
  <c r="AP12" i="28"/>
  <c r="AN12" i="28"/>
  <c r="AN18" i="28"/>
  <c r="AN23" i="28"/>
  <c r="AN26" i="28"/>
  <c r="AN33" i="28"/>
  <c r="AN36" i="28"/>
  <c r="AN42" i="28"/>
  <c r="AN45" i="28"/>
  <c r="AN47" i="28"/>
  <c r="AN50" i="28"/>
  <c r="AN52" i="28"/>
  <c r="AN54" i="28"/>
  <c r="AN57" i="28"/>
  <c r="AN59" i="28"/>
  <c r="AN61" i="28"/>
  <c r="AN67" i="28"/>
  <c r="AN68" i="28"/>
  <c r="AN91" i="28"/>
  <c r="AN93" i="28"/>
  <c r="AN98" i="28"/>
  <c r="AN120" i="28"/>
  <c r="AN130" i="28"/>
  <c r="AN137" i="28"/>
  <c r="AN142" i="28"/>
  <c r="AN151" i="28"/>
  <c r="AN165" i="28"/>
  <c r="AN172" i="28"/>
  <c r="AN178" i="28"/>
  <c r="AN180" i="28"/>
  <c r="AN190" i="28"/>
  <c r="AN194" i="28"/>
  <c r="AN197" i="28"/>
  <c r="AN201" i="28"/>
  <c r="AN205" i="28"/>
  <c r="AN210" i="28"/>
  <c r="AN220" i="28"/>
  <c r="AN230" i="28"/>
  <c r="AN232" i="28"/>
  <c r="AN235" i="28"/>
  <c r="AN241" i="28"/>
  <c r="AN245" i="28"/>
  <c r="AN246" i="28"/>
  <c r="AN253" i="28"/>
  <c r="AN259" i="28"/>
  <c r="AN263" i="28"/>
  <c r="AN267" i="28"/>
  <c r="AN275" i="28"/>
  <c r="AN280" i="28"/>
  <c r="AN284" i="28"/>
  <c r="AN289" i="28"/>
  <c r="AL289" i="28"/>
  <c r="AL284" i="28"/>
  <c r="AL280" i="28"/>
  <c r="AL275" i="28"/>
  <c r="AL267" i="28"/>
  <c r="AL265" i="28"/>
  <c r="AL264" i="28"/>
  <c r="AL262" i="28"/>
  <c r="AL260" i="28"/>
  <c r="AL255" i="28"/>
  <c r="AL253" i="28"/>
  <c r="AL246" i="28"/>
  <c r="AL245" i="28"/>
  <c r="AL243" i="28"/>
  <c r="AL242" i="28"/>
  <c r="AL241" i="28"/>
  <c r="AL235" i="28"/>
  <c r="AL232" i="28"/>
  <c r="AL230" i="28"/>
  <c r="AL229" i="28"/>
  <c r="AL228" i="28"/>
  <c r="AL226" i="28"/>
  <c r="AL224" i="28"/>
  <c r="AL220" i="28"/>
  <c r="AL210" i="28"/>
  <c r="AL208" i="28"/>
  <c r="AL206" i="28"/>
  <c r="AL205" i="28"/>
  <c r="AL201" i="28"/>
  <c r="AL200" i="28"/>
  <c r="AL199" i="28"/>
  <c r="AL197" i="28"/>
  <c r="AL194" i="28"/>
  <c r="AL192" i="28"/>
  <c r="AL190" i="28"/>
  <c r="AL180" i="28"/>
  <c r="AL178" i="28"/>
  <c r="AL175" i="28"/>
  <c r="AL174" i="28"/>
  <c r="AL170" i="28"/>
  <c r="AL165" i="28"/>
  <c r="AL161" i="28"/>
  <c r="AL160" i="28"/>
  <c r="AL155" i="28"/>
  <c r="AL142" i="28"/>
  <c r="AL137" i="28"/>
  <c r="AL130" i="28"/>
  <c r="AL120" i="28"/>
  <c r="AL98" i="28"/>
  <c r="AL96" i="28"/>
  <c r="AL93" i="28"/>
  <c r="AL91" i="28"/>
  <c r="AL87" i="28"/>
  <c r="AL85" i="28"/>
  <c r="AL84" i="28"/>
  <c r="AL83" i="28"/>
  <c r="AL81" i="28"/>
  <c r="AL72" i="28"/>
  <c r="AL68" i="28"/>
  <c r="AL67" i="28"/>
  <c r="AL61" i="28"/>
  <c r="AL60" i="28"/>
  <c r="AL58" i="28"/>
  <c r="AL54" i="28"/>
  <c r="AL53" i="28"/>
  <c r="AL51" i="28"/>
  <c r="AL48" i="28"/>
  <c r="AL46" i="28"/>
  <c r="AL43" i="28"/>
  <c r="AL38" i="28"/>
  <c r="AL37" i="28"/>
  <c r="AL33" i="28"/>
  <c r="AL29" i="28"/>
  <c r="AL28" i="28"/>
  <c r="AL27" i="28"/>
  <c r="AL25" i="28"/>
  <c r="AL24" i="28"/>
  <c r="AL18" i="28"/>
  <c r="AL12" i="28"/>
  <c r="AR21" i="25"/>
  <c r="AR24" i="25"/>
  <c r="AR30" i="25"/>
  <c r="AR36" i="25"/>
  <c r="AR33" i="25"/>
  <c r="AR39" i="25"/>
  <c r="AR55" i="25"/>
  <c r="AR54" i="25"/>
  <c r="AR53" i="25"/>
  <c r="AR52" i="25"/>
  <c r="AR51" i="25"/>
  <c r="AR50" i="25"/>
  <c r="AR49" i="25"/>
  <c r="AR48" i="25"/>
  <c r="AR47" i="25"/>
  <c r="AR46" i="25"/>
  <c r="AR45" i="25"/>
  <c r="AR44" i="25"/>
  <c r="AR59" i="25"/>
  <c r="AR65" i="25"/>
  <c r="AR64" i="25"/>
  <c r="AR68" i="25"/>
  <c r="AR67" i="25"/>
  <c r="AR73" i="25"/>
  <c r="AR72" i="25"/>
  <c r="AR71" i="25"/>
  <c r="AR70" i="25"/>
  <c r="AR75" i="25"/>
  <c r="AR80" i="25"/>
  <c r="AR79" i="25"/>
  <c r="AR83" i="25"/>
  <c r="AR82" i="25"/>
  <c r="AR87" i="25"/>
  <c r="AR89" i="25"/>
  <c r="AR92" i="25"/>
  <c r="AR96" i="25"/>
  <c r="AR95" i="25"/>
  <c r="AR94" i="25"/>
  <c r="AR99" i="25"/>
  <c r="AR102" i="25"/>
  <c r="AR105" i="25"/>
  <c r="AR111" i="25"/>
  <c r="AR119" i="25"/>
  <c r="AR121" i="25"/>
  <c r="AR122" i="25"/>
  <c r="AP122" i="25"/>
  <c r="AP121" i="25"/>
  <c r="AP119" i="25"/>
  <c r="AP111" i="25"/>
  <c r="AP105" i="25"/>
  <c r="AP78" i="25"/>
  <c r="AP75" i="25"/>
  <c r="AP59" i="25"/>
  <c r="AP42" i="25"/>
  <c r="AP40" i="25"/>
  <c r="AP36" i="25"/>
  <c r="AP33" i="25"/>
  <c r="AP30" i="25"/>
  <c r="AP24" i="25"/>
  <c r="AP21" i="25"/>
  <c r="AL122" i="25"/>
  <c r="AL117" i="25"/>
  <c r="AL111" i="25"/>
  <c r="AL105" i="25"/>
  <c r="AL78" i="25"/>
  <c r="AL56" i="25"/>
  <c r="AL39" i="25"/>
  <c r="AL36" i="25"/>
  <c r="AL33" i="25"/>
  <c r="AL30" i="25"/>
  <c r="AL24" i="25"/>
  <c r="AL21" i="25"/>
  <c r="AL518" i="24"/>
  <c r="AL516" i="24"/>
  <c r="AL514" i="24"/>
  <c r="AL510" i="24"/>
  <c r="AL509" i="24"/>
  <c r="AL508" i="24"/>
  <c r="AL506" i="24"/>
  <c r="AL504" i="24"/>
  <c r="AL500" i="24"/>
  <c r="AL495" i="24"/>
  <c r="AL493" i="24"/>
  <c r="AL491" i="24"/>
  <c r="AL490" i="24"/>
  <c r="AL489" i="24"/>
  <c r="AL488" i="24"/>
  <c r="AL487" i="24"/>
  <c r="AL486" i="24"/>
  <c r="AL485" i="24"/>
  <c r="AL482" i="24"/>
  <c r="AL474" i="24"/>
  <c r="AL449" i="24"/>
  <c r="AL435" i="24"/>
  <c r="AL431" i="24"/>
  <c r="AL429" i="24"/>
  <c r="AL422" i="24"/>
  <c r="AL413" i="24"/>
  <c r="AL397" i="24"/>
  <c r="AL388" i="24"/>
  <c r="AL385" i="24"/>
  <c r="AL384" i="24"/>
  <c r="AL382" i="24"/>
  <c r="AL373" i="24"/>
  <c r="AL370" i="24"/>
  <c r="AL367" i="24"/>
  <c r="AL354" i="24"/>
  <c r="AL352" i="24"/>
  <c r="AL350" i="24"/>
  <c r="AL326" i="24"/>
  <c r="AL325" i="24"/>
  <c r="AL323" i="24"/>
  <c r="AL314" i="24"/>
  <c r="AL299" i="24"/>
  <c r="AL285" i="24"/>
  <c r="AL281" i="24"/>
  <c r="AL274" i="24"/>
  <c r="AL268" i="24"/>
  <c r="AL264" i="24"/>
  <c r="AL262" i="24"/>
  <c r="AL257" i="24"/>
  <c r="AL253" i="24"/>
  <c r="AL243" i="24"/>
  <c r="AL242" i="24"/>
  <c r="AL241" i="24"/>
  <c r="AL239" i="24"/>
  <c r="AL233" i="24"/>
  <c r="AL230" i="24"/>
  <c r="AL226" i="24"/>
  <c r="AL213" i="24"/>
  <c r="AL212" i="24"/>
  <c r="AL210" i="24"/>
  <c r="AL208" i="24"/>
  <c r="AL205" i="24"/>
  <c r="AL200" i="24"/>
  <c r="AL199" i="24"/>
  <c r="AL196" i="24"/>
  <c r="AL184" i="24"/>
  <c r="AL172" i="24"/>
  <c r="AL168" i="24"/>
  <c r="AL166" i="24"/>
  <c r="AL164" i="24"/>
  <c r="AL161" i="24"/>
  <c r="AL159" i="24"/>
  <c r="AL154" i="24"/>
  <c r="AL150" i="24"/>
  <c r="AL146" i="24"/>
  <c r="AL140" i="24"/>
  <c r="AL138" i="24"/>
  <c r="AL132" i="24"/>
  <c r="AL130" i="24"/>
  <c r="AL123" i="24"/>
  <c r="AL121" i="24"/>
  <c r="AL113" i="24"/>
  <c r="AL110" i="24"/>
  <c r="AL104" i="24"/>
  <c r="AL101" i="24"/>
  <c r="AL97" i="24"/>
  <c r="AL84" i="24"/>
  <c r="AL82" i="24"/>
  <c r="AL80" i="24"/>
  <c r="AL79" i="24"/>
  <c r="AL66" i="24"/>
  <c r="AL65" i="24"/>
  <c r="AL64" i="24"/>
  <c r="AL61" i="24"/>
  <c r="AL60" i="24"/>
  <c r="AL59" i="24"/>
  <c r="AL58" i="24"/>
  <c r="AL57" i="24"/>
  <c r="AL52" i="24"/>
  <c r="AL49" i="24"/>
  <c r="AL48" i="24"/>
  <c r="AL47" i="24"/>
  <c r="AL46" i="24"/>
  <c r="AL45" i="24"/>
  <c r="AL44" i="24"/>
  <c r="AL38" i="24"/>
  <c r="AL35" i="24"/>
  <c r="AL32" i="24"/>
  <c r="AL22" i="24"/>
  <c r="AL21" i="24"/>
  <c r="AL20" i="24"/>
  <c r="AL19" i="24"/>
  <c r="AL18" i="24"/>
  <c r="AN14" i="24"/>
  <c r="AN32" i="24"/>
  <c r="AN35" i="24"/>
  <c r="AN38" i="24"/>
  <c r="AN49" i="24"/>
  <c r="AN48" i="24"/>
  <c r="AN47" i="24"/>
  <c r="AN46" i="24"/>
  <c r="AN45" i="24"/>
  <c r="AN44" i="24"/>
  <c r="AN61" i="24"/>
  <c r="AN60" i="24"/>
  <c r="AN59" i="24"/>
  <c r="AN58" i="24"/>
  <c r="AN57" i="24"/>
  <c r="AN66" i="24"/>
  <c r="AN84" i="24"/>
  <c r="AN101" i="24"/>
  <c r="AN104" i="24"/>
  <c r="AN113" i="24"/>
  <c r="AN121" i="24"/>
  <c r="AN130" i="24"/>
  <c r="AN138" i="24"/>
  <c r="AN140" i="24"/>
  <c r="AN146" i="24"/>
  <c r="AN150" i="24"/>
  <c r="AN154" i="24"/>
  <c r="AN159" i="24"/>
  <c r="AN161" i="24"/>
  <c r="AN164" i="24"/>
  <c r="AN166" i="24"/>
  <c r="AN168" i="24"/>
  <c r="AN196" i="24"/>
  <c r="AN200" i="24"/>
  <c r="AN199" i="24"/>
  <c r="AN204" i="24"/>
  <c r="AN210" i="24"/>
  <c r="AN213" i="24"/>
  <c r="AN212" i="24"/>
  <c r="AN230" i="24"/>
  <c r="AN239" i="24"/>
  <c r="AN243" i="24"/>
  <c r="AN242" i="24"/>
  <c r="AN241" i="24"/>
  <c r="AN253" i="24"/>
  <c r="AN262" i="24"/>
  <c r="AN264" i="24"/>
  <c r="AN268" i="24"/>
  <c r="AN274" i="24"/>
  <c r="AN281" i="24"/>
  <c r="AN285" i="24"/>
  <c r="AN299" i="24"/>
  <c r="AN314" i="24"/>
  <c r="AN323" i="24"/>
  <c r="AN339" i="24"/>
  <c r="AN367" i="24"/>
  <c r="AN370" i="24"/>
  <c r="AN373" i="24"/>
  <c r="AN382" i="24"/>
  <c r="AN385" i="24"/>
  <c r="AN384" i="24"/>
  <c r="AN388" i="24"/>
  <c r="AN397" i="24"/>
  <c r="AN413" i="24"/>
  <c r="AN422" i="24"/>
  <c r="AN429" i="24"/>
  <c r="AN431" i="24"/>
  <c r="AN474" i="24"/>
  <c r="AN482" i="24"/>
  <c r="AN493" i="24"/>
  <c r="AN518" i="24"/>
  <c r="AP534" i="24"/>
  <c r="AP524" i="24"/>
  <c r="AP516" i="24"/>
  <c r="AP514" i="24"/>
  <c r="AP510" i="24"/>
  <c r="AP509" i="24"/>
  <c r="AP508" i="24"/>
  <c r="AP506" i="24"/>
  <c r="AP504" i="24"/>
  <c r="AP500" i="24"/>
  <c r="AP495" i="24"/>
  <c r="AP491" i="24"/>
  <c r="AP490" i="24"/>
  <c r="AP489" i="24"/>
  <c r="AP488" i="24"/>
  <c r="AP487" i="24"/>
  <c r="AP486" i="24"/>
  <c r="AP485" i="24"/>
  <c r="AP474" i="24"/>
  <c r="AP468" i="24"/>
  <c r="AP462" i="24"/>
  <c r="AP456" i="24"/>
  <c r="AP450" i="24"/>
  <c r="AP444" i="24"/>
  <c r="AP437" i="24"/>
  <c r="AP429" i="24"/>
  <c r="AP422" i="24"/>
  <c r="AP413" i="24"/>
  <c r="AP401" i="24"/>
  <c r="AP398" i="24"/>
  <c r="AP388" i="24"/>
  <c r="AP385" i="24"/>
  <c r="AP384" i="24"/>
  <c r="AP382" i="24"/>
  <c r="AP373" i="24"/>
  <c r="AP371" i="24"/>
  <c r="AP370" i="24"/>
  <c r="AP368" i="24"/>
  <c r="AP367" i="24"/>
  <c r="AP347" i="24"/>
  <c r="AP346" i="24"/>
  <c r="AP345" i="24"/>
  <c r="AP344" i="24"/>
  <c r="AP343" i="24"/>
  <c r="AP342" i="24"/>
  <c r="AP341" i="24"/>
  <c r="AP340" i="24"/>
  <c r="AP335" i="24"/>
  <c r="AP334" i="24"/>
  <c r="AP333" i="24"/>
  <c r="AP332" i="24"/>
  <c r="AP331" i="24"/>
  <c r="AP330" i="24"/>
  <c r="AP329" i="24"/>
  <c r="AP328" i="24"/>
  <c r="AP327" i="24"/>
  <c r="AP314" i="24"/>
  <c r="AP312" i="24"/>
  <c r="AP299" i="24"/>
  <c r="AP292" i="24"/>
  <c r="AP290" i="24"/>
  <c r="AP288" i="24"/>
  <c r="AP286" i="24"/>
  <c r="AP281" i="24"/>
  <c r="AP274" i="24"/>
  <c r="AP268" i="24"/>
  <c r="AP264" i="24"/>
  <c r="AP262" i="24"/>
  <c r="AP257" i="24"/>
  <c r="AP253" i="24"/>
  <c r="AP250" i="24"/>
  <c r="AP249" i="24"/>
  <c r="AP247" i="24"/>
  <c r="AP242" i="24"/>
  <c r="AP241" i="24"/>
  <c r="AP239" i="24"/>
  <c r="AP233" i="24"/>
  <c r="AP230" i="24"/>
  <c r="AP226" i="24"/>
  <c r="AP214" i="24"/>
  <c r="AP212" i="24"/>
  <c r="AP210" i="24"/>
  <c r="AP204" i="24"/>
  <c r="AP200" i="24"/>
  <c r="AP199" i="24"/>
  <c r="AP196" i="24"/>
  <c r="AP184" i="24"/>
  <c r="AP172" i="24"/>
  <c r="AP168" i="24"/>
  <c r="AP166" i="24"/>
  <c r="AP164" i="24"/>
  <c r="AP161" i="24"/>
  <c r="AP159" i="24"/>
  <c r="AP154" i="24"/>
  <c r="AP150" i="24"/>
  <c r="AP146" i="24"/>
  <c r="AP140" i="24"/>
  <c r="AP138" i="24"/>
  <c r="AP137" i="24"/>
  <c r="AP132" i="24"/>
  <c r="AP130" i="24"/>
  <c r="AP123" i="24"/>
  <c r="AP121" i="24"/>
  <c r="AP113" i="24"/>
  <c r="AP110" i="24"/>
  <c r="AP108" i="24"/>
  <c r="AP107" i="24"/>
  <c r="AP101" i="24"/>
  <c r="AP97" i="24"/>
  <c r="AP84" i="24"/>
  <c r="AP77" i="24"/>
  <c r="AP75" i="24"/>
  <c r="AP71" i="24"/>
  <c r="AP70" i="24"/>
  <c r="AP69" i="24"/>
  <c r="AP62" i="24"/>
  <c r="AP60" i="24"/>
  <c r="AP59" i="24"/>
  <c r="AP58" i="24"/>
  <c r="AP57" i="24"/>
  <c r="AP49" i="24"/>
  <c r="AP48" i="24"/>
  <c r="AP47" i="24"/>
  <c r="AP46" i="24"/>
  <c r="AP45" i="24"/>
  <c r="AP44" i="24"/>
  <c r="AP38" i="24"/>
  <c r="AP35" i="24"/>
  <c r="AP32" i="24"/>
  <c r="AR532" i="24"/>
  <c r="AR523" i="24"/>
  <c r="AR516" i="24"/>
  <c r="AR514" i="24"/>
  <c r="AR509" i="24"/>
  <c r="AR510" i="24"/>
  <c r="AR508" i="24"/>
  <c r="AR506" i="24"/>
  <c r="AR504" i="24"/>
  <c r="AR500" i="24"/>
  <c r="AR495" i="24"/>
  <c r="AR491" i="24"/>
  <c r="AR490" i="24"/>
  <c r="AR489" i="24"/>
  <c r="AR488" i="24"/>
  <c r="AR487" i="24"/>
  <c r="AR486" i="24"/>
  <c r="AR485" i="24"/>
  <c r="AR474" i="24"/>
  <c r="AR467" i="24"/>
  <c r="AR461" i="24"/>
  <c r="AR455" i="24"/>
  <c r="AR449" i="24"/>
  <c r="AR442" i="24"/>
  <c r="AR435" i="24"/>
  <c r="AR429" i="24"/>
  <c r="AR422" i="24"/>
  <c r="AR413" i="24"/>
  <c r="AR400" i="24"/>
  <c r="AR397" i="24"/>
  <c r="AR388" i="24"/>
  <c r="AR385" i="24"/>
  <c r="AR384" i="24"/>
  <c r="AR382" i="24"/>
  <c r="AR373" i="24"/>
  <c r="AR371" i="24"/>
  <c r="AR370" i="24"/>
  <c r="AR368" i="24"/>
  <c r="AR367" i="24"/>
  <c r="AR340" i="24"/>
  <c r="AR335" i="24"/>
  <c r="AR334" i="24"/>
  <c r="AR327" i="24"/>
  <c r="AR314" i="24"/>
  <c r="AR299" i="24"/>
  <c r="AR291" i="24"/>
  <c r="AR289" i="24"/>
  <c r="AR287" i="24"/>
  <c r="AR285" i="24"/>
  <c r="AR281" i="24"/>
  <c r="AR274" i="24"/>
  <c r="AR268" i="24"/>
  <c r="AR264" i="24"/>
  <c r="AR262" i="24"/>
  <c r="AR257" i="24"/>
  <c r="AR253" i="24"/>
  <c r="AR250" i="24"/>
  <c r="AR249" i="24"/>
  <c r="AR247" i="24"/>
  <c r="AR242" i="24"/>
  <c r="AR241" i="24"/>
  <c r="AR239" i="24"/>
  <c r="AR233" i="24"/>
  <c r="AR230" i="24"/>
  <c r="AR226" i="24"/>
  <c r="AR214" i="24"/>
  <c r="AR212" i="24"/>
  <c r="AR210" i="24"/>
  <c r="AR204" i="24"/>
  <c r="AR200" i="24"/>
  <c r="AR199" i="24"/>
  <c r="AR196" i="24"/>
  <c r="AR184" i="24"/>
  <c r="AR172" i="24"/>
  <c r="AR168" i="24"/>
  <c r="AR166" i="24"/>
  <c r="AR164" i="24"/>
  <c r="AR161" i="24"/>
  <c r="AR159" i="24"/>
  <c r="AR146" i="24"/>
  <c r="AR137" i="24"/>
  <c r="AR132" i="24"/>
  <c r="AR130" i="24"/>
  <c r="AR123" i="24"/>
  <c r="AR121" i="24"/>
  <c r="AR113" i="24"/>
  <c r="AR110" i="24"/>
  <c r="AR104" i="24"/>
  <c r="AR101" i="24"/>
  <c r="AR97" i="24"/>
  <c r="AR84" i="24"/>
  <c r="AR66" i="24"/>
  <c r="AR61" i="24"/>
  <c r="AR60" i="24"/>
  <c r="AR59" i="24"/>
  <c r="AR58" i="24"/>
  <c r="AR57" i="24"/>
  <c r="AR48" i="24"/>
  <c r="AR47" i="24"/>
  <c r="AR46" i="24"/>
  <c r="AR45" i="24"/>
  <c r="AR49" i="24"/>
  <c r="AR44" i="24"/>
  <c r="AR38" i="24"/>
  <c r="AR35" i="24"/>
  <c r="AR32" i="24"/>
  <c r="AR14" i="24"/>
  <c r="AR243" i="8"/>
  <c r="AR240" i="8"/>
  <c r="AR239" i="8"/>
  <c r="AR233" i="8"/>
  <c r="AR230" i="8"/>
  <c r="AR220" i="8"/>
  <c r="AR214" i="8"/>
  <c r="AR210" i="8"/>
  <c r="AR209" i="8"/>
  <c r="AR207" i="8"/>
  <c r="AR193" i="8"/>
  <c r="AR192" i="8"/>
  <c r="AR189" i="8"/>
  <c r="AR185" i="8"/>
  <c r="AR183" i="8"/>
  <c r="AR181" i="8"/>
  <c r="AR180" i="8"/>
  <c r="AR178" i="8"/>
  <c r="AR175" i="8"/>
  <c r="AR168" i="8"/>
  <c r="AR163" i="8"/>
  <c r="AR154" i="8"/>
  <c r="AR147" i="8"/>
  <c r="AR145" i="8"/>
  <c r="AR143" i="8"/>
  <c r="AR141" i="8"/>
  <c r="AR138" i="8"/>
  <c r="AR136" i="8"/>
  <c r="AR131" i="8"/>
  <c r="AR130" i="8"/>
  <c r="AR125" i="8"/>
  <c r="AR123" i="8"/>
  <c r="AR121" i="8"/>
  <c r="AR119" i="8"/>
  <c r="AR113" i="8"/>
  <c r="AR109" i="8"/>
  <c r="AR104" i="8"/>
  <c r="AR97" i="8"/>
  <c r="AR94" i="8"/>
  <c r="AR87" i="8"/>
  <c r="AR74" i="8"/>
  <c r="AR61" i="8"/>
  <c r="AR48" i="8"/>
  <c r="AR43" i="8"/>
  <c r="AR38" i="8"/>
  <c r="AR32" i="8"/>
  <c r="AR29" i="8"/>
  <c r="AR20" i="8"/>
  <c r="AR18" i="8"/>
  <c r="AR16" i="8"/>
  <c r="AR14" i="8"/>
  <c r="AP16" i="8"/>
  <c r="AP18" i="8"/>
  <c r="AP20" i="8"/>
  <c r="AP29" i="8"/>
  <c r="AP32" i="8"/>
  <c r="AP38" i="8"/>
  <c r="AP51" i="8"/>
  <c r="AP50" i="8"/>
  <c r="AP53" i="8"/>
  <c r="AP57" i="8"/>
  <c r="AP56" i="8"/>
  <c r="AP55" i="8"/>
  <c r="AP59" i="8"/>
  <c r="AP64" i="8"/>
  <c r="AP63" i="8"/>
  <c r="AP62" i="8"/>
  <c r="AP66" i="8"/>
  <c r="AP71" i="8"/>
  <c r="AP73" i="8"/>
  <c r="AP77" i="8"/>
  <c r="AP82" i="8"/>
  <c r="AP81" i="8"/>
  <c r="AP86" i="8"/>
  <c r="AP85" i="8"/>
  <c r="AP84" i="8"/>
  <c r="AP94" i="8"/>
  <c r="AP97" i="8"/>
  <c r="AP104" i="8"/>
  <c r="AP111" i="8"/>
  <c r="AP113" i="8"/>
  <c r="AP119" i="8"/>
  <c r="AP121" i="8"/>
  <c r="AP123" i="8"/>
  <c r="AP125" i="8"/>
  <c r="AP131" i="8"/>
  <c r="AP130" i="8"/>
  <c r="AP136" i="8"/>
  <c r="AP138" i="8"/>
  <c r="AP141" i="8"/>
  <c r="AP143" i="8"/>
  <c r="AP145" i="8"/>
  <c r="AP151" i="8"/>
  <c r="AP150" i="8"/>
  <c r="AP149" i="8"/>
  <c r="AP153" i="8"/>
  <c r="AP156" i="8"/>
  <c r="AP158" i="8"/>
  <c r="AP163" i="8"/>
  <c r="AP171" i="8"/>
  <c r="AP170" i="8"/>
  <c r="AP173" i="8"/>
  <c r="AP178" i="8"/>
  <c r="AP181" i="8"/>
  <c r="AP180" i="8"/>
  <c r="AP183" i="8"/>
  <c r="AP185" i="8"/>
  <c r="AP189" i="8"/>
  <c r="AP192" i="8"/>
  <c r="AP199" i="8"/>
  <c r="AP198" i="8"/>
  <c r="AP197" i="8"/>
  <c r="AP196" i="8"/>
  <c r="AP195" i="8"/>
  <c r="AP194" i="8"/>
  <c r="AP207" i="8"/>
  <c r="AP210" i="8"/>
  <c r="AP209" i="8"/>
  <c r="AP214" i="8"/>
  <c r="AP222" i="8"/>
  <c r="AP225" i="8"/>
  <c r="AP230" i="8"/>
  <c r="AP229" i="8"/>
  <c r="AP233" i="8"/>
  <c r="AP240" i="8"/>
  <c r="AP239" i="8"/>
  <c r="AP243" i="8"/>
  <c r="AN243" i="8"/>
  <c r="AN240" i="8"/>
  <c r="AN239" i="8"/>
  <c r="AN233" i="8"/>
  <c r="AN230" i="8"/>
  <c r="AN220" i="8"/>
  <c r="AN214" i="8"/>
  <c r="AN210" i="8"/>
  <c r="AN209" i="8"/>
  <c r="AN207" i="8"/>
  <c r="AN193" i="8"/>
  <c r="AN192" i="8"/>
  <c r="AN189" i="8"/>
  <c r="AN185" i="8"/>
  <c r="AN183" i="8"/>
  <c r="AN181" i="8"/>
  <c r="AN180" i="8"/>
  <c r="AN178" i="8"/>
  <c r="AN173" i="8"/>
  <c r="AN171" i="8"/>
  <c r="AN170" i="8"/>
  <c r="AN163" i="8"/>
  <c r="AN158" i="8"/>
  <c r="AN156" i="8"/>
  <c r="AN153" i="8"/>
  <c r="AN151" i="8"/>
  <c r="AN150" i="8"/>
  <c r="AN149" i="8"/>
  <c r="AN145" i="8"/>
  <c r="AN143" i="8"/>
  <c r="AN141" i="8"/>
  <c r="AN138" i="8"/>
  <c r="AN136" i="8"/>
  <c r="AN131" i="8"/>
  <c r="AN130" i="8"/>
  <c r="AN125" i="8"/>
  <c r="AN123" i="8"/>
  <c r="AN121" i="8"/>
  <c r="AN119" i="8"/>
  <c r="AN113" i="8"/>
  <c r="AN104" i="8"/>
  <c r="AN97" i="8"/>
  <c r="AN94" i="8"/>
  <c r="AN86" i="8"/>
  <c r="AN79" i="8"/>
  <c r="AN77" i="8"/>
  <c r="AN73" i="8"/>
  <c r="AN71" i="8"/>
  <c r="AN66" i="8"/>
  <c r="AN64" i="8"/>
  <c r="AN63" i="8"/>
  <c r="AN59" i="8"/>
  <c r="AN57" i="8"/>
  <c r="AN56" i="8"/>
  <c r="AN55" i="8"/>
  <c r="AN53" i="8"/>
  <c r="AN51" i="8"/>
  <c r="AN50" i="8"/>
  <c r="AN38" i="8"/>
  <c r="AN32" i="8"/>
  <c r="AN29" i="8"/>
  <c r="AN20" i="8"/>
  <c r="AN18" i="8"/>
  <c r="AN16" i="8"/>
  <c r="AL243" i="8"/>
  <c r="AL240" i="8"/>
  <c r="AL239" i="8"/>
  <c r="AL238" i="8"/>
  <c r="AL237" i="8"/>
  <c r="AL236" i="8"/>
  <c r="AL235" i="8"/>
  <c r="AL234" i="8"/>
  <c r="AL230" i="8"/>
  <c r="AL220" i="8"/>
  <c r="AL218" i="8"/>
  <c r="AL217" i="8"/>
  <c r="AL216" i="8"/>
  <c r="AL213" i="8"/>
  <c r="AL212" i="8"/>
  <c r="AL211" i="8"/>
  <c r="AL209" i="8"/>
  <c r="AL207" i="8"/>
  <c r="AL193" i="8"/>
  <c r="AL192" i="8"/>
  <c r="AL189" i="8"/>
  <c r="AL185" i="8"/>
  <c r="AL183" i="8"/>
  <c r="AL181" i="8"/>
  <c r="AL180" i="8"/>
  <c r="AL178" i="8"/>
  <c r="AL173" i="8"/>
  <c r="AL171" i="8"/>
  <c r="AL170" i="8"/>
  <c r="AL163" i="8"/>
  <c r="AL158" i="8"/>
  <c r="AL156" i="8"/>
  <c r="AL153" i="8"/>
  <c r="AL151" i="8"/>
  <c r="AL150" i="8"/>
  <c r="AL149" i="8"/>
  <c r="AL145" i="8"/>
  <c r="AL143" i="8"/>
  <c r="AL141" i="8"/>
  <c r="AL138" i="8"/>
  <c r="AL136" i="8"/>
  <c r="AL131" i="8"/>
  <c r="AL130" i="8"/>
  <c r="AL129" i="8"/>
  <c r="AL128" i="8"/>
  <c r="AL127" i="8"/>
  <c r="AL126" i="8"/>
  <c r="AL123" i="8"/>
  <c r="AL121" i="8"/>
  <c r="AL119" i="8"/>
  <c r="AL118" i="8"/>
  <c r="AL117" i="8"/>
  <c r="AL116" i="8"/>
  <c r="AL115" i="8"/>
  <c r="AL108" i="8"/>
  <c r="AL107" i="8"/>
  <c r="AL106" i="8"/>
  <c r="AL103" i="8"/>
  <c r="AL102" i="8"/>
  <c r="AL101" i="8"/>
  <c r="AL94" i="8"/>
  <c r="AL86" i="8"/>
  <c r="AL79" i="8"/>
  <c r="AL77" i="8"/>
  <c r="AL73" i="8"/>
  <c r="AL71" i="8"/>
  <c r="AL70" i="8"/>
  <c r="AL69" i="8"/>
  <c r="AL68" i="8"/>
  <c r="AL64" i="8"/>
  <c r="AL63" i="8"/>
  <c r="AL59" i="8"/>
  <c r="AL57" i="8"/>
  <c r="AL56" i="8"/>
  <c r="AL55" i="8"/>
  <c r="AL53" i="8"/>
  <c r="AL51" i="8"/>
  <c r="AL50" i="8"/>
  <c r="AL38" i="8"/>
  <c r="AL36" i="8"/>
  <c r="AL35" i="8"/>
  <c r="AL34" i="8"/>
  <c r="AL29" i="8"/>
  <c r="AL20" i="8"/>
  <c r="AL18" i="8"/>
  <c r="AL16" i="8"/>
  <c r="U32" i="8"/>
  <c r="Y31" i="16"/>
  <c r="Y28" i="16"/>
  <c r="Y19" i="16"/>
  <c r="Y17" i="16"/>
  <c r="Y15" i="16"/>
  <c r="Y13" i="16"/>
  <c r="A1345" i="66"/>
  <c r="A1346" i="66" s="1"/>
  <c r="A1342" i="66"/>
  <c r="A1340" i="66"/>
  <c r="A1323" i="66"/>
  <c r="A1234" i="66"/>
  <c r="A1235" i="66" s="1"/>
  <c r="A1179" i="66"/>
  <c r="A1174" i="66"/>
  <c r="A1175" i="66" s="1"/>
  <c r="A1170" i="66"/>
  <c r="A1165" i="66"/>
  <c r="A1166" i="66" s="1"/>
  <c r="A1145" i="66"/>
  <c r="A1143" i="66"/>
  <c r="A1140" i="66"/>
  <c r="A1138" i="66"/>
  <c r="A1131" i="66"/>
  <c r="A1125" i="66"/>
  <c r="A1126" i="66" s="1"/>
  <c r="A1128" i="66" s="1"/>
  <c r="C1128" i="66" s="1"/>
  <c r="A1122" i="66"/>
  <c r="A1123" i="66" s="1"/>
  <c r="A1120" i="66"/>
  <c r="A1110" i="66"/>
  <c r="A1091" i="66"/>
  <c r="A1084" i="66"/>
  <c r="A1082" i="66"/>
  <c r="A1080" i="66"/>
  <c r="A1060" i="66"/>
  <c r="A1055" i="66"/>
  <c r="A1032" i="66"/>
  <c r="A1027" i="66"/>
  <c r="A1010" i="66"/>
  <c r="A986" i="66"/>
  <c r="A983" i="66"/>
  <c r="A981" i="66"/>
  <c r="A977" i="66" s="1"/>
  <c r="A962" i="66"/>
  <c r="A963" i="66" s="1"/>
  <c r="A964" i="66" s="1"/>
  <c r="A951" i="66"/>
  <c r="A949" i="66"/>
  <c r="A947" i="66"/>
  <c r="A945" i="66" s="1"/>
  <c r="A942" i="66"/>
  <c r="A940" i="66"/>
  <c r="A937" i="66"/>
  <c r="A935" i="66"/>
  <c r="A932" i="66"/>
  <c r="A923" i="66"/>
  <c r="A924" i="66" s="1"/>
  <c r="A919" i="66"/>
  <c r="A908" i="66"/>
  <c r="A902" i="66"/>
  <c r="A888" i="66"/>
  <c r="C888" i="66" s="1"/>
  <c r="A877" i="66"/>
  <c r="A871" i="66"/>
  <c r="A868" i="66"/>
  <c r="A869" i="66" s="1"/>
  <c r="A841" i="66"/>
  <c r="A825" i="66"/>
  <c r="A804" i="66"/>
  <c r="A805" i="66" s="1"/>
  <c r="A806" i="66" s="1"/>
  <c r="A802" i="66"/>
  <c r="A799" i="66"/>
  <c r="A796" i="66"/>
  <c r="A790" i="66"/>
  <c r="A787" i="66"/>
  <c r="A788" i="66" s="1"/>
  <c r="A773" i="66"/>
  <c r="A713" i="66"/>
  <c r="A624" i="66"/>
  <c r="A612" i="66"/>
  <c r="A613" i="66" s="1"/>
  <c r="A553" i="66"/>
  <c r="A538" i="66"/>
  <c r="A539" i="66" s="1"/>
  <c r="A520" i="66"/>
  <c r="A513" i="66"/>
  <c r="A501" i="66"/>
  <c r="A472" i="66"/>
  <c r="A469" i="66"/>
  <c r="A465" i="66"/>
  <c r="A411" i="66"/>
  <c r="A407" i="66"/>
  <c r="A408" i="66" s="1"/>
  <c r="A405" i="66"/>
  <c r="A403" i="66"/>
  <c r="A400" i="66"/>
  <c r="A398" i="66"/>
  <c r="A371" i="66"/>
  <c r="A352" i="66"/>
  <c r="A340" i="66"/>
  <c r="A336" i="66"/>
  <c r="A323" i="66"/>
  <c r="A288" i="66"/>
  <c r="A289" i="66" s="1"/>
  <c r="A274" i="66"/>
  <c r="A275" i="66" s="1"/>
  <c r="A242" i="66"/>
  <c r="A240" i="66"/>
  <c r="A239" i="66"/>
  <c r="C239" i="66" s="1"/>
  <c r="A229" i="66"/>
  <c r="A213" i="66"/>
  <c r="A206" i="66"/>
  <c r="A203" i="66" s="1"/>
  <c r="A188" i="66"/>
  <c r="A184" i="66"/>
  <c r="A182" i="66"/>
  <c r="A180" i="66"/>
  <c r="A177" i="66"/>
  <c r="A172" i="66"/>
  <c r="A162" i="66"/>
  <c r="A157" i="66"/>
  <c r="A155" i="66"/>
  <c r="A152" i="66" s="1"/>
  <c r="A144" i="66"/>
  <c r="A142" i="66"/>
  <c r="A140" i="66"/>
  <c r="A137" i="66"/>
  <c r="A135" i="66"/>
  <c r="A130" i="66"/>
  <c r="A122" i="66"/>
  <c r="A120" i="66"/>
  <c r="A118" i="66"/>
  <c r="A112" i="66"/>
  <c r="A103" i="66"/>
  <c r="A96" i="66"/>
  <c r="A97" i="66" s="1"/>
  <c r="A93" i="66"/>
  <c r="A81" i="66"/>
  <c r="A76" i="66"/>
  <c r="A70" i="66"/>
  <c r="A65" i="66"/>
  <c r="A63" i="66"/>
  <c r="A58" i="66"/>
  <c r="A56" i="66"/>
  <c r="A52" i="66"/>
  <c r="A50" i="66"/>
  <c r="A46" i="66" s="1"/>
  <c r="A37" i="66"/>
  <c r="A31" i="66"/>
  <c r="A28" i="66"/>
  <c r="A19" i="66"/>
  <c r="A20" i="66" s="1"/>
  <c r="A21" i="66" s="1"/>
  <c r="A17" i="66"/>
  <c r="A15" i="66"/>
  <c r="K96" i="18"/>
  <c r="J96" i="18" s="1"/>
  <c r="K95" i="18"/>
  <c r="J95" i="18" s="1"/>
  <c r="K94" i="18"/>
  <c r="J94" i="18" s="1"/>
  <c r="K93" i="18"/>
  <c r="J93" i="18" s="1"/>
  <c r="K92" i="18"/>
  <c r="J92" i="18" s="1"/>
  <c r="J92" i="17"/>
  <c r="K96" i="17"/>
  <c r="J96" i="17" s="1"/>
  <c r="K95" i="17"/>
  <c r="J95" i="17" s="1"/>
  <c r="K94" i="17"/>
  <c r="J94" i="17"/>
  <c r="K93" i="17"/>
  <c r="J93" i="17" s="1"/>
  <c r="K113" i="17"/>
  <c r="J113" i="17" s="1"/>
  <c r="K112" i="17"/>
  <c r="J112" i="17" s="1"/>
  <c r="K111" i="17"/>
  <c r="J111" i="17" s="1"/>
  <c r="K110" i="17"/>
  <c r="L110" i="18" s="1"/>
  <c r="K109" i="17"/>
  <c r="L109" i="18" s="1"/>
  <c r="K108" i="17"/>
  <c r="L108" i="18" s="1"/>
  <c r="K107" i="17"/>
  <c r="J107" i="17" s="1"/>
  <c r="K106" i="17"/>
  <c r="L106" i="18" s="1"/>
  <c r="K105" i="17"/>
  <c r="L105" i="18" s="1"/>
  <c r="L104" i="18"/>
  <c r="J83" i="17"/>
  <c r="J81" i="17"/>
  <c r="J79" i="17"/>
  <c r="J77" i="17"/>
  <c r="J75" i="17"/>
  <c r="J73" i="17"/>
  <c r="J61" i="18"/>
  <c r="J83" i="18"/>
  <c r="J81" i="18"/>
  <c r="J79" i="18"/>
  <c r="J77" i="18"/>
  <c r="J75" i="18"/>
  <c r="J73" i="18"/>
  <c r="J63" i="18"/>
  <c r="J60" i="18"/>
  <c r="J53" i="18"/>
  <c r="J52" i="18"/>
  <c r="J51" i="18"/>
  <c r="J49" i="18"/>
  <c r="J47" i="18"/>
  <c r="J45" i="18"/>
  <c r="AD773" i="16"/>
  <c r="AD763" i="16"/>
  <c r="AD713" i="16"/>
  <c r="AD640" i="16"/>
  <c r="AD637" i="16"/>
  <c r="AD627" i="16"/>
  <c r="AD612" i="16"/>
  <c r="AD610" i="16"/>
  <c r="AD609" i="16"/>
  <c r="AD607" i="16"/>
  <c r="AD606" i="16"/>
  <c r="AD586" i="16"/>
  <c r="AD574" i="16"/>
  <c r="AD573" i="16"/>
  <c r="AD531" i="16"/>
  <c r="AD529" i="16"/>
  <c r="AD527" i="16"/>
  <c r="AD525" i="16"/>
  <c r="AD520" i="16"/>
  <c r="AD513" i="16"/>
  <c r="AD198" i="16"/>
  <c r="AD19" i="16"/>
  <c r="H105" i="18"/>
  <c r="H106" i="18"/>
  <c r="H107" i="18"/>
  <c r="H108" i="18"/>
  <c r="H109" i="18"/>
  <c r="H110" i="18"/>
  <c r="H111" i="18"/>
  <c r="H112" i="18"/>
  <c r="H113" i="18"/>
  <c r="H104" i="18"/>
  <c r="D104" i="18"/>
  <c r="K104" i="18" s="1"/>
  <c r="J104" i="18" s="1"/>
  <c r="D105" i="18"/>
  <c r="D106" i="18"/>
  <c r="D107" i="18"/>
  <c r="D108" i="18"/>
  <c r="D109" i="18"/>
  <c r="D110" i="18"/>
  <c r="D111" i="18"/>
  <c r="D112" i="18"/>
  <c r="D113" i="18"/>
  <c r="L113" i="18"/>
  <c r="E20" i="18"/>
  <c r="E20" i="17"/>
  <c r="H1344" i="66"/>
  <c r="H1341" i="66"/>
  <c r="H1339" i="66"/>
  <c r="H1321" i="66"/>
  <c r="H1320" i="66"/>
  <c r="H1319" i="66"/>
  <c r="H1322" i="66"/>
  <c r="H1318" i="66"/>
  <c r="H1316" i="66"/>
  <c r="H1315" i="66"/>
  <c r="H1313" i="66"/>
  <c r="H1306" i="66"/>
  <c r="H1302" i="66"/>
  <c r="H1300" i="66"/>
  <c r="H1294" i="66"/>
  <c r="H1291" i="66"/>
  <c r="H1290" i="66"/>
  <c r="H1288" i="66"/>
  <c r="H1286" i="66"/>
  <c r="H1285" i="66"/>
  <c r="H1283" i="66"/>
  <c r="H1280" i="66"/>
  <c r="H1278" i="66"/>
  <c r="H1275" i="66"/>
  <c r="H1273" i="66"/>
  <c r="H1266" i="66"/>
  <c r="H1267" i="66"/>
  <c r="H1265" i="66"/>
  <c r="H1263" i="66"/>
  <c r="H1262" i="66"/>
  <c r="H1260" i="66"/>
  <c r="H1257" i="66"/>
  <c r="H1254" i="66"/>
  <c r="H1233" i="66"/>
  <c r="H1227" i="66"/>
  <c r="H1225" i="66"/>
  <c r="H1223" i="66"/>
  <c r="H1222" i="66"/>
  <c r="H1220" i="66"/>
  <c r="H1218" i="66"/>
  <c r="H1217" i="66"/>
  <c r="H1215" i="66"/>
  <c r="H1213" i="66"/>
  <c r="H1209" i="66"/>
  <c r="H1199" i="66"/>
  <c r="H1201" i="66"/>
  <c r="H1202" i="66"/>
  <c r="H1203" i="66"/>
  <c r="H1198" i="66"/>
  <c r="H1196" i="66"/>
  <c r="H1193" i="66"/>
  <c r="H1194" i="66"/>
  <c r="H1192" i="66"/>
  <c r="H1188" i="66"/>
  <c r="H1187" i="66"/>
  <c r="H1186" i="66"/>
  <c r="H1178" i="66"/>
  <c r="H1173" i="66"/>
  <c r="H1169" i="66"/>
  <c r="H1164" i="66"/>
  <c r="H1159" i="66"/>
  <c r="H1158" i="66"/>
  <c r="H1152" i="66"/>
  <c r="H1148" i="66"/>
  <c r="H1144" i="66"/>
  <c r="H1142" i="66"/>
  <c r="H1139" i="66"/>
  <c r="H1137" i="66"/>
  <c r="H1134" i="66"/>
  <c r="H1130" i="66"/>
  <c r="H1124" i="66"/>
  <c r="H1121" i="66"/>
  <c r="H1119" i="66"/>
  <c r="H1109" i="66"/>
  <c r="H1105" i="66"/>
  <c r="H1103" i="66"/>
  <c r="H1101" i="66"/>
  <c r="H1098" i="66"/>
  <c r="H1096" i="66"/>
  <c r="H1090" i="66"/>
  <c r="H1089" i="66"/>
  <c r="H1087" i="66"/>
  <c r="H1083" i="66"/>
  <c r="H1081" i="66"/>
  <c r="H1079" i="66"/>
  <c r="H1077" i="66"/>
  <c r="H1069" i="66"/>
  <c r="H1067" i="66"/>
  <c r="H1064" i="66"/>
  <c r="H1063" i="66"/>
  <c r="H1059" i="66"/>
  <c r="H1054" i="66"/>
  <c r="H1050" i="66"/>
  <c r="H1049" i="66"/>
  <c r="H1044" i="66"/>
  <c r="H1031" i="66"/>
  <c r="H1026" i="66"/>
  <c r="H1024" i="66"/>
  <c r="H1023" i="66"/>
  <c r="H1021" i="66"/>
  <c r="H1009" i="66"/>
  <c r="H1006" i="66"/>
  <c r="H1005" i="66"/>
  <c r="H994" i="66"/>
  <c r="H985" i="66"/>
  <c r="H982" i="66"/>
  <c r="H980" i="66"/>
  <c r="H969" i="66"/>
  <c r="H968" i="66"/>
  <c r="H967" i="66"/>
  <c r="H966" i="66"/>
  <c r="H961" i="66"/>
  <c r="H956" i="66"/>
  <c r="H950" i="66"/>
  <c r="H948" i="66"/>
  <c r="H946" i="66"/>
  <c r="H943" i="66"/>
  <c r="H941" i="66"/>
  <c r="H939" i="66"/>
  <c r="H936" i="66"/>
  <c r="H934" i="66"/>
  <c r="H931" i="66"/>
  <c r="H925" i="66"/>
  <c r="H922" i="66"/>
  <c r="H918" i="66"/>
  <c r="H915" i="66"/>
  <c r="H912" i="66"/>
  <c r="H907" i="66"/>
  <c r="H901" i="66"/>
  <c r="H887" i="66"/>
  <c r="H886" i="66"/>
  <c r="H884" i="66"/>
  <c r="A882" i="66" s="1"/>
  <c r="H876" i="66"/>
  <c r="H870" i="66"/>
  <c r="H843" i="66"/>
  <c r="H840" i="66"/>
  <c r="H824" i="66"/>
  <c r="A821" i="66" s="1"/>
  <c r="H807" i="66"/>
  <c r="H805" i="66"/>
  <c r="H801" i="66"/>
  <c r="H798" i="66"/>
  <c r="H795" i="66"/>
  <c r="H789" i="66"/>
  <c r="H786" i="66"/>
  <c r="H772" i="66"/>
  <c r="H762" i="66"/>
  <c r="H754" i="66"/>
  <c r="H752" i="66"/>
  <c r="H747" i="66"/>
  <c r="H748" i="66"/>
  <c r="H746" i="66"/>
  <c r="H744" i="66"/>
  <c r="H742" i="66"/>
  <c r="H738" i="66"/>
  <c r="H733" i="66"/>
  <c r="H729" i="66"/>
  <c r="H728" i="66"/>
  <c r="H727" i="66"/>
  <c r="H726" i="66"/>
  <c r="H725" i="66"/>
  <c r="H724" i="66"/>
  <c r="H723" i="66"/>
  <c r="H712" i="66"/>
  <c r="H706" i="66"/>
  <c r="H700" i="66"/>
  <c r="H694" i="66"/>
  <c r="H688" i="66"/>
  <c r="H682" i="66"/>
  <c r="H675" i="66"/>
  <c r="H667" i="66"/>
  <c r="H660" i="66"/>
  <c r="H651" i="66"/>
  <c r="H639" i="66"/>
  <c r="H636" i="66"/>
  <c r="H626" i="66"/>
  <c r="H623" i="66"/>
  <c r="H622" i="66"/>
  <c r="H620" i="66"/>
  <c r="H611" i="66"/>
  <c r="H609" i="66"/>
  <c r="H608" i="66"/>
  <c r="H606" i="66"/>
  <c r="H605" i="66"/>
  <c r="H585" i="66"/>
  <c r="H584" i="66"/>
  <c r="H583" i="66"/>
  <c r="H582" i="66"/>
  <c r="H581" i="66"/>
  <c r="H580" i="66"/>
  <c r="H579" i="66"/>
  <c r="H578" i="66"/>
  <c r="H573" i="66"/>
  <c r="H572" i="66"/>
  <c r="H571" i="66"/>
  <c r="H570" i="66"/>
  <c r="H569" i="66"/>
  <c r="H568" i="66"/>
  <c r="H567" i="66"/>
  <c r="H566" i="66"/>
  <c r="H565" i="66"/>
  <c r="H552" i="66"/>
  <c r="H550" i="66"/>
  <c r="H537" i="66"/>
  <c r="H530" i="66"/>
  <c r="H528" i="66"/>
  <c r="H526" i="66"/>
  <c r="H524" i="66"/>
  <c r="H519" i="66"/>
  <c r="H512" i="66"/>
  <c r="H506" i="66"/>
  <c r="H502" i="66"/>
  <c r="H500" i="66"/>
  <c r="H495" i="66"/>
  <c r="H491" i="66"/>
  <c r="H488" i="66"/>
  <c r="H487" i="66"/>
  <c r="H485" i="66"/>
  <c r="H480" i="66"/>
  <c r="H479" i="66"/>
  <c r="H477" i="66"/>
  <c r="H471" i="66"/>
  <c r="H468" i="66"/>
  <c r="H464" i="66"/>
  <c r="H452" i="66"/>
  <c r="H450" i="66"/>
  <c r="H448" i="66"/>
  <c r="H442" i="66"/>
  <c r="H438" i="66"/>
  <c r="H437" i="66"/>
  <c r="H434" i="66"/>
  <c r="H422" i="66"/>
  <c r="H410" i="66"/>
  <c r="H406" i="66"/>
  <c r="H404" i="66"/>
  <c r="H402" i="66"/>
  <c r="H399" i="66"/>
  <c r="H397" i="66"/>
  <c r="H392" i="66"/>
  <c r="H388" i="66"/>
  <c r="H384" i="66"/>
  <c r="H378" i="66"/>
  <c r="H376" i="66"/>
  <c r="H375" i="66"/>
  <c r="H370" i="66"/>
  <c r="H368" i="66"/>
  <c r="H361" i="66"/>
  <c r="H359" i="66"/>
  <c r="H351" i="66"/>
  <c r="H348" i="66"/>
  <c r="H346" i="66"/>
  <c r="H345" i="66"/>
  <c r="H339" i="66"/>
  <c r="H335" i="66"/>
  <c r="H322" i="66"/>
  <c r="H315" i="66"/>
  <c r="H313" i="66"/>
  <c r="H308" i="66"/>
  <c r="H309" i="66"/>
  <c r="H307" i="66"/>
  <c r="H300" i="66"/>
  <c r="H298" i="66"/>
  <c r="H297" i="66"/>
  <c r="H296" i="66"/>
  <c r="H295" i="66"/>
  <c r="H287" i="66"/>
  <c r="H286" i="66"/>
  <c r="H285" i="66"/>
  <c r="H284" i="66"/>
  <c r="H283" i="66"/>
  <c r="H282" i="66"/>
  <c r="H276" i="66"/>
  <c r="H273" i="66"/>
  <c r="H270" i="66"/>
  <c r="H241" i="66"/>
  <c r="H238" i="66"/>
  <c r="H237" i="66"/>
  <c r="H231" i="66"/>
  <c r="H228" i="66"/>
  <c r="H227" i="66"/>
  <c r="H223" i="66"/>
  <c r="H220" i="66"/>
  <c r="H212" i="66"/>
  <c r="H208" i="66"/>
  <c r="H207" i="66"/>
  <c r="H205" i="66"/>
  <c r="H196" i="66"/>
  <c r="H195" i="66"/>
  <c r="H194" i="66"/>
  <c r="H193" i="66"/>
  <c r="H197" i="66"/>
  <c r="H192" i="66"/>
  <c r="H190" i="66"/>
  <c r="H187" i="66"/>
  <c r="H183" i="66"/>
  <c r="H181" i="66"/>
  <c r="H179" i="66"/>
  <c r="H178" i="66"/>
  <c r="H176" i="66"/>
  <c r="H171" i="66"/>
  <c r="H169" i="66"/>
  <c r="H168" i="66"/>
  <c r="H161" i="66"/>
  <c r="H156" i="66"/>
  <c r="H154" i="66"/>
  <c r="H151" i="66"/>
  <c r="H148" i="66"/>
  <c r="H149" i="66"/>
  <c r="H147" i="66"/>
  <c r="H143" i="66"/>
  <c r="H141" i="66"/>
  <c r="H139" i="66"/>
  <c r="H136" i="66"/>
  <c r="H134" i="66"/>
  <c r="H129" i="66"/>
  <c r="H128" i="66"/>
  <c r="H123" i="66"/>
  <c r="H121" i="66"/>
  <c r="H119" i="66"/>
  <c r="H117" i="66"/>
  <c r="H111" i="66"/>
  <c r="H109" i="66"/>
  <c r="H102" i="66"/>
  <c r="H95" i="66"/>
  <c r="H92" i="66"/>
  <c r="H83" i="66"/>
  <c r="H84" i="66"/>
  <c r="H82" i="66"/>
  <c r="H80" i="66"/>
  <c r="H79" i="66"/>
  <c r="H75" i="66"/>
  <c r="H71" i="66"/>
  <c r="H69" i="66"/>
  <c r="H64" i="66"/>
  <c r="H61" i="66"/>
  <c r="H62" i="66"/>
  <c r="H60" i="66"/>
  <c r="H57" i="66"/>
  <c r="H54" i="66"/>
  <c r="H55" i="66"/>
  <c r="H53" i="66"/>
  <c r="H51" i="66"/>
  <c r="H49" i="66"/>
  <c r="H48" i="66"/>
  <c r="H36" i="66"/>
  <c r="H30" i="66"/>
  <c r="H27" i="66"/>
  <c r="H18" i="66"/>
  <c r="H16" i="66"/>
  <c r="H14" i="66"/>
  <c r="AX1247" i="16"/>
  <c r="AX1246" i="16"/>
  <c r="AX1244" i="16"/>
  <c r="AX1241" i="16"/>
  <c r="AX1240" i="16"/>
  <c r="AX1239" i="16"/>
  <c r="AX1238" i="16"/>
  <c r="AX1237" i="16"/>
  <c r="AX1236" i="16"/>
  <c r="AX1234" i="16"/>
  <c r="AX1233" i="16"/>
  <c r="AX1232" i="16"/>
  <c r="AX1231" i="16"/>
  <c r="AX1230" i="16"/>
  <c r="AX1229" i="16"/>
  <c r="AX1228" i="16"/>
  <c r="AX1227" i="16"/>
  <c r="AX1226" i="16"/>
  <c r="AX1224" i="16"/>
  <c r="AX1223" i="16"/>
  <c r="AX1222" i="16"/>
  <c r="AX1221" i="16"/>
  <c r="AX1220" i="16"/>
  <c r="AX1219" i="16"/>
  <c r="AX1218" i="16"/>
  <c r="AX1217" i="16"/>
  <c r="AX1216" i="16"/>
  <c r="AX1214" i="16"/>
  <c r="AX1213" i="16"/>
  <c r="AX1211" i="16"/>
  <c r="AX1209" i="16"/>
  <c r="AX1208" i="16"/>
  <c r="AX1207" i="16"/>
  <c r="AX1204" i="16"/>
  <c r="AX1203" i="16"/>
  <c r="AX1202" i="16"/>
  <c r="AX1200" i="16"/>
  <c r="AX1199" i="16"/>
  <c r="AX1198" i="16"/>
  <c r="AX1197" i="16"/>
  <c r="AX1196" i="16"/>
  <c r="AX1195" i="16"/>
  <c r="AX1194" i="16"/>
  <c r="AX989" i="16"/>
  <c r="AX988" i="16"/>
  <c r="AX986" i="16"/>
  <c r="AX985" i="16"/>
  <c r="AX984" i="16"/>
  <c r="AX983" i="16"/>
  <c r="AX982" i="16"/>
  <c r="AX981" i="16"/>
  <c r="AX980" i="16"/>
  <c r="AX978" i="16"/>
  <c r="AX977" i="16"/>
  <c r="AX976" i="16"/>
  <c r="AX975" i="16"/>
  <c r="AX974" i="16"/>
  <c r="AX973" i="16"/>
  <c r="AX971" i="16"/>
  <c r="AX970" i="16"/>
  <c r="AX969" i="16"/>
  <c r="AX967" i="16"/>
  <c r="AX966" i="16"/>
  <c r="AX965" i="16"/>
  <c r="AX964" i="16"/>
  <c r="AX963" i="16"/>
  <c r="AX962" i="16"/>
  <c r="AX961" i="16"/>
  <c r="AX960" i="16"/>
  <c r="AX959" i="16"/>
  <c r="AX957" i="16"/>
  <c r="AX956" i="16"/>
  <c r="AX954" i="16"/>
  <c r="AX952" i="16"/>
  <c r="AX951" i="16"/>
  <c r="AX950" i="16"/>
  <c r="AX947" i="16"/>
  <c r="AX946" i="16"/>
  <c r="AX945" i="16"/>
  <c r="AX943" i="16"/>
  <c r="AX942" i="16"/>
  <c r="AX941" i="16"/>
  <c r="AX940" i="16"/>
  <c r="AX939" i="16"/>
  <c r="AX938" i="16"/>
  <c r="AX937" i="16"/>
  <c r="D5" i="80"/>
  <c r="G151" i="16"/>
  <c r="G146" i="16" s="1"/>
  <c r="R1121" i="16"/>
  <c r="T1177" i="16"/>
  <c r="S1176" i="16" s="1"/>
  <c r="Y1356" i="16"/>
  <c r="Y1353" i="16"/>
  <c r="Y1351" i="16"/>
  <c r="Y1334" i="16"/>
  <c r="Y1333" i="16"/>
  <c r="Y1332" i="16"/>
  <c r="Y1331" i="16"/>
  <c r="Y1330" i="16"/>
  <c r="Y1328" i="16"/>
  <c r="Y1327" i="16"/>
  <c r="Y1325" i="16"/>
  <c r="Y1318" i="16"/>
  <c r="Y1314" i="16"/>
  <c r="Y1312" i="16"/>
  <c r="Y1306" i="16"/>
  <c r="Y1303" i="16"/>
  <c r="Y1302" i="16"/>
  <c r="Y1300" i="16"/>
  <c r="Y1298" i="16"/>
  <c r="Y1297" i="16"/>
  <c r="Y1295" i="16"/>
  <c r="Y1292" i="16"/>
  <c r="Y1290" i="16"/>
  <c r="Y1287" i="16"/>
  <c r="Y1285" i="16"/>
  <c r="Y1279" i="16"/>
  <c r="Y1278" i="16"/>
  <c r="Y1277" i="16"/>
  <c r="Y1275" i="16"/>
  <c r="Y1274" i="16"/>
  <c r="Y1272" i="16"/>
  <c r="Y1269" i="16"/>
  <c r="Y1266" i="16"/>
  <c r="Y1245" i="16"/>
  <c r="Y1239" i="16"/>
  <c r="Y1237" i="16"/>
  <c r="Y1235" i="16"/>
  <c r="Y1234" i="16"/>
  <c r="Y1232" i="16"/>
  <c r="Y1230" i="16"/>
  <c r="Y1229" i="16"/>
  <c r="Y1227" i="16"/>
  <c r="Y1225" i="16"/>
  <c r="Y1221" i="16"/>
  <c r="Y1215" i="16"/>
  <c r="Y1214" i="16"/>
  <c r="Y1213" i="16"/>
  <c r="Y1211" i="16"/>
  <c r="Y1210" i="16"/>
  <c r="Y1208" i="16"/>
  <c r="Y1206" i="16"/>
  <c r="Y1205" i="16"/>
  <c r="Y1204" i="16"/>
  <c r="Y1200" i="16"/>
  <c r="Y1199" i="16"/>
  <c r="Y1198" i="16"/>
  <c r="Y1190" i="16"/>
  <c r="Y1185" i="16"/>
  <c r="Y1181" i="16"/>
  <c r="Y1176" i="16"/>
  <c r="Y1168" i="16"/>
  <c r="Y1164" i="16"/>
  <c r="Y1160" i="16"/>
  <c r="Y1156" i="16"/>
  <c r="Y1154" i="16"/>
  <c r="Y1151" i="16"/>
  <c r="Y1149" i="16"/>
  <c r="Y1139" i="16"/>
  <c r="Y1136" i="16"/>
  <c r="Y1133" i="16"/>
  <c r="Y1131" i="16"/>
  <c r="Y1121" i="16"/>
  <c r="Y1117" i="16"/>
  <c r="Y1115" i="16"/>
  <c r="Y1113" i="16"/>
  <c r="Y1106" i="16"/>
  <c r="Y1102" i="16"/>
  <c r="Y1098" i="16"/>
  <c r="Y1095" i="16"/>
  <c r="Y1093" i="16"/>
  <c r="Y1091" i="16"/>
  <c r="Y1089" i="16"/>
  <c r="Y1081" i="16"/>
  <c r="Y1079" i="16"/>
  <c r="Y1073" i="16"/>
  <c r="Y1071" i="16"/>
  <c r="Y1066" i="16"/>
  <c r="Y1062" i="16"/>
  <c r="Y1061" i="16"/>
  <c r="Y1056" i="16"/>
  <c r="Y1043" i="16"/>
  <c r="Y1038" i="16"/>
  <c r="Y1036" i="16"/>
  <c r="Y1035" i="16"/>
  <c r="Y1033" i="16"/>
  <c r="Y1027" i="16"/>
  <c r="Y1021" i="16"/>
  <c r="Y1017" i="16"/>
  <c r="Y1006" i="16"/>
  <c r="Y997" i="16"/>
  <c r="Y994" i="16"/>
  <c r="Y992" i="16"/>
  <c r="Y978" i="16"/>
  <c r="Y973" i="16"/>
  <c r="Y968" i="16"/>
  <c r="Y962" i="16"/>
  <c r="Y960" i="16"/>
  <c r="Y958" i="16"/>
  <c r="Y955" i="16"/>
  <c r="Y953" i="16"/>
  <c r="Y951" i="16"/>
  <c r="Y948" i="16"/>
  <c r="Y946" i="16"/>
  <c r="Y943" i="16"/>
  <c r="Y937" i="16"/>
  <c r="Y934" i="16"/>
  <c r="Y930" i="16"/>
  <c r="Y927" i="16"/>
  <c r="Y924" i="16"/>
  <c r="Y919" i="16"/>
  <c r="Y913" i="16"/>
  <c r="AS1356" i="16"/>
  <c r="AQ1356" i="16"/>
  <c r="AM1356" i="16"/>
  <c r="AS1353" i="16"/>
  <c r="AQ1353" i="16"/>
  <c r="AM1353" i="16"/>
  <c r="AS1351" i="16"/>
  <c r="AQ1351" i="16"/>
  <c r="AM1351" i="16"/>
  <c r="AM1350" i="16"/>
  <c r="O1350" i="16"/>
  <c r="AO1350" i="16" s="1"/>
  <c r="M1338" i="16"/>
  <c r="M1337" i="16"/>
  <c r="M1336" i="16"/>
  <c r="M1335" i="16"/>
  <c r="AS1334" i="16"/>
  <c r="AQ1334" i="16"/>
  <c r="AS1333" i="16"/>
  <c r="AQ1333" i="16"/>
  <c r="AS1332" i="16"/>
  <c r="AQ1332" i="16"/>
  <c r="AS1331" i="16"/>
  <c r="AQ1331" i="16"/>
  <c r="AS1330" i="16"/>
  <c r="AQ1330" i="16"/>
  <c r="AS1328" i="16"/>
  <c r="AQ1328" i="16"/>
  <c r="AS1327" i="16"/>
  <c r="AQ1327" i="16"/>
  <c r="AS1325" i="16"/>
  <c r="AQ1325" i="16"/>
  <c r="AS1318" i="16"/>
  <c r="AQ1318" i="16"/>
  <c r="AS1314" i="16"/>
  <c r="AQ1314" i="16"/>
  <c r="M1313" i="16"/>
  <c r="AS1312" i="16"/>
  <c r="AQ1312" i="16"/>
  <c r="AM1308" i="16"/>
  <c r="AS1306" i="16"/>
  <c r="AQ1306" i="16"/>
  <c r="AS1303" i="16"/>
  <c r="AQ1303" i="16"/>
  <c r="AS1302" i="16"/>
  <c r="AQ1302" i="16"/>
  <c r="AS1300" i="16"/>
  <c r="AQ1300" i="16"/>
  <c r="AS1298" i="16"/>
  <c r="AQ1298" i="16"/>
  <c r="AS1297" i="16"/>
  <c r="AQ1297" i="16"/>
  <c r="AS1295" i="16"/>
  <c r="AQ1295" i="16"/>
  <c r="AS1292" i="16"/>
  <c r="AQ1292" i="16"/>
  <c r="AS1290" i="16"/>
  <c r="AQ1290" i="16"/>
  <c r="M1289" i="16"/>
  <c r="M1288" i="16"/>
  <c r="AS1287" i="16"/>
  <c r="AQ1287" i="16"/>
  <c r="M1286" i="16"/>
  <c r="AS1285" i="16"/>
  <c r="AQ1285" i="16"/>
  <c r="AM1281" i="16"/>
  <c r="AS1279" i="16"/>
  <c r="AQ1279" i="16"/>
  <c r="AS1278" i="16"/>
  <c r="AQ1278" i="16"/>
  <c r="AS1277" i="16"/>
  <c r="AQ1277" i="16"/>
  <c r="AS1275" i="16"/>
  <c r="AQ1275" i="16"/>
  <c r="AS1274" i="16"/>
  <c r="AQ1274" i="16"/>
  <c r="M1273" i="16"/>
  <c r="AS1272" i="16"/>
  <c r="AQ1272" i="16"/>
  <c r="M1271" i="16"/>
  <c r="M1270" i="16"/>
  <c r="AS1269" i="16"/>
  <c r="AQ1269" i="16"/>
  <c r="M1268" i="16"/>
  <c r="M1267" i="16"/>
  <c r="AS1266" i="16"/>
  <c r="AQ1266" i="16"/>
  <c r="AM1263" i="16"/>
  <c r="AS1245" i="16"/>
  <c r="AQ1245" i="16"/>
  <c r="AS1239" i="16"/>
  <c r="AQ1239" i="16"/>
  <c r="AS1237" i="16"/>
  <c r="AQ1237" i="16"/>
  <c r="AS1235" i="16"/>
  <c r="AQ1235" i="16"/>
  <c r="AS1234" i="16"/>
  <c r="AQ1234" i="16"/>
  <c r="AS1232" i="16"/>
  <c r="AQ1232" i="16"/>
  <c r="AS1230" i="16"/>
  <c r="AQ1230" i="16"/>
  <c r="AS1229" i="16"/>
  <c r="AQ1229" i="16"/>
  <c r="AS1227" i="16"/>
  <c r="AQ1227" i="16"/>
  <c r="AS1225" i="16"/>
  <c r="AQ1225" i="16"/>
  <c r="AS1221" i="16"/>
  <c r="AQ1221" i="16"/>
  <c r="AS1215" i="16"/>
  <c r="AQ1215" i="16"/>
  <c r="AS1214" i="16"/>
  <c r="AQ1214" i="16"/>
  <c r="AS1213" i="16"/>
  <c r="AQ1213" i="16"/>
  <c r="AS1211" i="16"/>
  <c r="AQ1211" i="16"/>
  <c r="AS1210" i="16"/>
  <c r="AQ1210" i="16"/>
  <c r="AS1208" i="16"/>
  <c r="AQ1208" i="16"/>
  <c r="AS1206" i="16"/>
  <c r="AQ1206" i="16"/>
  <c r="AS1205" i="16"/>
  <c r="AQ1205" i="16"/>
  <c r="AS1204" i="16"/>
  <c r="AQ1204" i="16"/>
  <c r="M1203" i="16"/>
  <c r="M1202" i="16"/>
  <c r="M1201" i="16"/>
  <c r="AS1200" i="16"/>
  <c r="AQ1200" i="16"/>
  <c r="AS1199" i="16"/>
  <c r="AQ1199" i="16"/>
  <c r="AS1198" i="16"/>
  <c r="AQ1198" i="16"/>
  <c r="AM1195" i="16"/>
  <c r="AS1190" i="16"/>
  <c r="AQ1190" i="16"/>
  <c r="AM1190" i="16"/>
  <c r="AE1190" i="16"/>
  <c r="AF1190" i="16" s="1"/>
  <c r="AD1190" i="16"/>
  <c r="O1190" i="16"/>
  <c r="E1179" i="76" s="1"/>
  <c r="AS1185" i="16"/>
  <c r="AQ1185" i="16"/>
  <c r="AM1185" i="16"/>
  <c r="AE1185" i="16"/>
  <c r="AF1185" i="16" s="1"/>
  <c r="AD1185" i="16"/>
  <c r="O1185" i="16"/>
  <c r="E1174" i="76" s="1"/>
  <c r="AS1181" i="16"/>
  <c r="AQ1181" i="16"/>
  <c r="AM1181" i="16"/>
  <c r="AE1181" i="16"/>
  <c r="AF1181" i="16" s="1"/>
  <c r="AS1176" i="16"/>
  <c r="AQ1176" i="16"/>
  <c r="AM1176" i="16"/>
  <c r="AE1176" i="16"/>
  <c r="AF1176" i="16" s="1"/>
  <c r="AQ1171" i="16"/>
  <c r="AE1171" i="16"/>
  <c r="AF1171" i="16" s="1"/>
  <c r="AQ1170" i="16"/>
  <c r="AE1170" i="16"/>
  <c r="AF1170" i="16" s="1"/>
  <c r="AS1168" i="16"/>
  <c r="AM1168" i="16"/>
  <c r="AM1166" i="16"/>
  <c r="AM1165" i="16"/>
  <c r="AS1164" i="16"/>
  <c r="AQ1164" i="16"/>
  <c r="AE1164" i="16"/>
  <c r="AF1164" i="16" s="1"/>
  <c r="AD1164" i="16"/>
  <c r="U1164" i="16"/>
  <c r="AM1163" i="16"/>
  <c r="AM1161" i="16"/>
  <c r="AS1160" i="16"/>
  <c r="AQ1160" i="16"/>
  <c r="AE1160" i="16"/>
  <c r="AF1160" i="16" s="1"/>
  <c r="AD1160" i="16"/>
  <c r="U1160" i="16"/>
  <c r="AS1156" i="16"/>
  <c r="AQ1156" i="16"/>
  <c r="AD1156" i="16"/>
  <c r="R1156" i="16"/>
  <c r="M1156" i="16" s="1"/>
  <c r="AM1156" i="16" s="1"/>
  <c r="AS1154" i="16"/>
  <c r="AQ1154" i="16"/>
  <c r="AM1154" i="16"/>
  <c r="AE1154" i="16"/>
  <c r="AF1154" i="16" s="1"/>
  <c r="AD1154" i="16"/>
  <c r="O1154" i="16"/>
  <c r="E1143" i="76" s="1"/>
  <c r="AS1151" i="16"/>
  <c r="AQ1151" i="16"/>
  <c r="AE1151" i="16"/>
  <c r="AF1151" i="16" s="1"/>
  <c r="AD1151" i="16"/>
  <c r="AS1149" i="16"/>
  <c r="AQ1149" i="16"/>
  <c r="AE1149" i="16"/>
  <c r="AF1149" i="16" s="1"/>
  <c r="AD1149" i="16"/>
  <c r="AM1147" i="16"/>
  <c r="O1147" i="16"/>
  <c r="E1136" i="76" s="1"/>
  <c r="AQ1146" i="16"/>
  <c r="AM1146" i="16"/>
  <c r="AE1146" i="16"/>
  <c r="AF1146" i="16" s="1"/>
  <c r="AM1144" i="16"/>
  <c r="AM1143" i="16"/>
  <c r="AQ1142" i="16"/>
  <c r="U1142" i="16"/>
  <c r="AS1139" i="16"/>
  <c r="AS1136" i="16"/>
  <c r="AQ1136" i="16"/>
  <c r="AM1136" i="16"/>
  <c r="AE1136" i="16"/>
  <c r="AF1136" i="16" s="1"/>
  <c r="AS1133" i="16"/>
  <c r="AQ1133" i="16"/>
  <c r="AM1133" i="16"/>
  <c r="AE1133" i="16"/>
  <c r="AF1133" i="16" s="1"/>
  <c r="AS1131" i="16"/>
  <c r="AQ1131" i="16"/>
  <c r="AM1131" i="16"/>
  <c r="AE1131" i="16"/>
  <c r="AF1131" i="16" s="1"/>
  <c r="AM1130" i="16"/>
  <c r="AM1129" i="16"/>
  <c r="AM1127" i="16"/>
  <c r="AM1125" i="16"/>
  <c r="AS1121" i="16"/>
  <c r="AQ1121" i="16"/>
  <c r="U1121" i="16"/>
  <c r="AS1117" i="16"/>
  <c r="AQ1117" i="16"/>
  <c r="AE1117" i="16"/>
  <c r="AF1117" i="16" s="1"/>
  <c r="AD1117" i="16"/>
  <c r="AS1115" i="16"/>
  <c r="AQ1115" i="16"/>
  <c r="AE1115" i="16"/>
  <c r="AF1115" i="16" s="1"/>
  <c r="AD1115" i="16"/>
  <c r="AS1113" i="16"/>
  <c r="AQ1113" i="16"/>
  <c r="AE1113" i="16"/>
  <c r="AF1113" i="16" s="1"/>
  <c r="AD1113" i="16"/>
  <c r="AM1111" i="16"/>
  <c r="O1111" i="16"/>
  <c r="E1100" i="76" s="1"/>
  <c r="AQ1110" i="16"/>
  <c r="AE1110" i="16"/>
  <c r="AF1110" i="16" s="1"/>
  <c r="AD1110" i="16"/>
  <c r="AM1109" i="16"/>
  <c r="AQ1108" i="16"/>
  <c r="AE1108" i="16"/>
  <c r="AF1108" i="16" s="1"/>
  <c r="AD1108" i="16"/>
  <c r="AM1107" i="16"/>
  <c r="AS1106" i="16"/>
  <c r="AM1106" i="16"/>
  <c r="O1106" i="16"/>
  <c r="E1095" i="76" s="1"/>
  <c r="AS1102" i="16"/>
  <c r="AQ1102" i="16"/>
  <c r="AM1102" i="16"/>
  <c r="AE1102" i="16"/>
  <c r="AF1102" i="16" s="1"/>
  <c r="AD1102" i="16"/>
  <c r="O1102" i="16"/>
  <c r="E1091" i="76" s="1"/>
  <c r="AQ1101" i="16"/>
  <c r="AM1101" i="16"/>
  <c r="AE1101" i="16"/>
  <c r="AF1101" i="16" s="1"/>
  <c r="AD1101" i="16"/>
  <c r="AM1100" i="16"/>
  <c r="AQ1099" i="16"/>
  <c r="AE1099" i="16"/>
  <c r="AF1099" i="16" s="1"/>
  <c r="AD1099" i="16"/>
  <c r="AS1098" i="16"/>
  <c r="AM1098" i="16"/>
  <c r="O1098" i="16"/>
  <c r="E1087" i="76" s="1"/>
  <c r="AS1095" i="16"/>
  <c r="AQ1095" i="16"/>
  <c r="AM1095" i="16"/>
  <c r="AE1095" i="16"/>
  <c r="AF1095" i="16" s="1"/>
  <c r="AD1095" i="16"/>
  <c r="O1095" i="16"/>
  <c r="E1084" i="76" s="1"/>
  <c r="AS1093" i="16"/>
  <c r="AQ1093" i="16"/>
  <c r="AD1093" i="16"/>
  <c r="U1093" i="16"/>
  <c r="R1093" i="16"/>
  <c r="M1093" i="16" s="1"/>
  <c r="AM1093" i="16" s="1"/>
  <c r="AS1091" i="16"/>
  <c r="AQ1091" i="16"/>
  <c r="AM1091" i="16"/>
  <c r="AE1091" i="16"/>
  <c r="AF1091" i="16" s="1"/>
  <c r="S1091" i="16"/>
  <c r="T1091" i="16" s="1"/>
  <c r="AD1091" i="16" s="1"/>
  <c r="AS1089" i="16"/>
  <c r="AQ1089" i="16"/>
  <c r="AD1089" i="16"/>
  <c r="R1089" i="16"/>
  <c r="AE1089" i="16" s="1"/>
  <c r="AF1089" i="16" s="1"/>
  <c r="AS1081" i="16"/>
  <c r="AQ1081" i="16"/>
  <c r="AM1081" i="16"/>
  <c r="AE1081" i="16"/>
  <c r="AF1081" i="16" s="1"/>
  <c r="AS1079" i="16"/>
  <c r="AQ1079" i="16"/>
  <c r="AM1079" i="16"/>
  <c r="AE1079" i="16"/>
  <c r="AF1079" i="16" s="1"/>
  <c r="AQ1076" i="16"/>
  <c r="AM1076" i="16"/>
  <c r="AE1076" i="16"/>
  <c r="AF1076" i="16" s="1"/>
  <c r="AQ1075" i="16"/>
  <c r="AM1075" i="16"/>
  <c r="AE1075" i="16"/>
  <c r="AF1075" i="16" s="1"/>
  <c r="AS1073" i="16"/>
  <c r="AS1071" i="16"/>
  <c r="AQ1071" i="16"/>
  <c r="AD1071" i="16"/>
  <c r="U1071" i="16"/>
  <c r="R1071" i="16"/>
  <c r="AE1071" i="16" s="1"/>
  <c r="AS1066" i="16"/>
  <c r="AQ1066" i="16"/>
  <c r="AM1066" i="16"/>
  <c r="AE1066" i="16"/>
  <c r="AF1066" i="16" s="1"/>
  <c r="AD1066" i="16"/>
  <c r="O1066" i="16"/>
  <c r="E1055" i="76" s="1"/>
  <c r="AS1062" i="16"/>
  <c r="AQ1062" i="16"/>
  <c r="AM1062" i="16"/>
  <c r="AE1062" i="16"/>
  <c r="AF1062" i="16" s="1"/>
  <c r="AD1062" i="16"/>
  <c r="AS1061" i="16"/>
  <c r="AQ1061" i="16"/>
  <c r="AM1061" i="16"/>
  <c r="AE1061" i="16"/>
  <c r="AF1061" i="16" s="1"/>
  <c r="AD1061" i="16"/>
  <c r="AS1056" i="16"/>
  <c r="AQ1056" i="16"/>
  <c r="AM1056" i="16"/>
  <c r="AE1056" i="16"/>
  <c r="AF1056" i="16" s="1"/>
  <c r="AD1056" i="16"/>
  <c r="O1052" i="16"/>
  <c r="E1041" i="76" s="1"/>
  <c r="AS1043" i="16"/>
  <c r="AQ1043" i="16"/>
  <c r="AM1043" i="16"/>
  <c r="AE1043" i="16"/>
  <c r="AF1043" i="16" s="1"/>
  <c r="S1043" i="16"/>
  <c r="T1043" i="16" s="1"/>
  <c r="AD1043" i="16" s="1"/>
  <c r="AS1038" i="16"/>
  <c r="AQ1038" i="16"/>
  <c r="AM1038" i="16"/>
  <c r="AE1038" i="16"/>
  <c r="AF1038" i="16" s="1"/>
  <c r="S1038" i="16"/>
  <c r="T1038" i="16" s="1"/>
  <c r="AD1038" i="16" s="1"/>
  <c r="AS1036" i="16"/>
  <c r="AQ1036" i="16"/>
  <c r="AE1036" i="16"/>
  <c r="AF1036" i="16" s="1"/>
  <c r="S1036" i="16"/>
  <c r="T1036" i="16" s="1"/>
  <c r="AD1036" i="16" s="1"/>
  <c r="AS1035" i="16"/>
  <c r="AQ1035" i="16"/>
  <c r="AE1035" i="16"/>
  <c r="AF1035" i="16" s="1"/>
  <c r="S1035" i="16"/>
  <c r="T1035" i="16" s="1"/>
  <c r="AD1035" i="16" s="1"/>
  <c r="AS1033" i="16"/>
  <c r="AQ1033" i="16"/>
  <c r="AE1033" i="16"/>
  <c r="AF1033" i="16" s="1"/>
  <c r="S1033" i="16"/>
  <c r="O1031" i="16" s="1"/>
  <c r="AM1031" i="16"/>
  <c r="AS1027" i="16"/>
  <c r="AS1021" i="16"/>
  <c r="AQ1021" i="16"/>
  <c r="AM1021" i="16"/>
  <c r="AE1021" i="16"/>
  <c r="AF1021" i="16" s="1"/>
  <c r="AD1021" i="16"/>
  <c r="O1021" i="16"/>
  <c r="E1010" i="76" s="1"/>
  <c r="AQ1018" i="16"/>
  <c r="AE1018" i="16"/>
  <c r="AF1018" i="16" s="1"/>
  <c r="T1018" i="16"/>
  <c r="AD1018" i="16" s="1"/>
  <c r="AS1017" i="16"/>
  <c r="AQ1017" i="16"/>
  <c r="AE1017" i="16"/>
  <c r="AF1017" i="16" s="1"/>
  <c r="T1017" i="16"/>
  <c r="AD1017" i="16" s="1"/>
  <c r="AS1006" i="16"/>
  <c r="AQ1006" i="16"/>
  <c r="AE1006" i="16"/>
  <c r="AF1006" i="16" s="1"/>
  <c r="T1006" i="16"/>
  <c r="AD1006" i="16" s="1"/>
  <c r="AM999" i="16"/>
  <c r="O999" i="16"/>
  <c r="E988" i="76" s="1"/>
  <c r="AS997" i="16"/>
  <c r="AQ997" i="16"/>
  <c r="AD997" i="16"/>
  <c r="R997" i="16"/>
  <c r="M997" i="16" s="1"/>
  <c r="AM997" i="16" s="1"/>
  <c r="AS994" i="16"/>
  <c r="AQ994" i="16"/>
  <c r="AM994" i="16"/>
  <c r="AE994" i="16"/>
  <c r="AF994" i="16" s="1"/>
  <c r="AD994" i="16"/>
  <c r="O994" i="16"/>
  <c r="E983" i="76" s="1"/>
  <c r="AS992" i="16"/>
  <c r="AQ992" i="16"/>
  <c r="AM992" i="16"/>
  <c r="AE992" i="16"/>
  <c r="AF992" i="16" s="1"/>
  <c r="AD992" i="16"/>
  <c r="O992" i="16"/>
  <c r="E981" i="76" s="1"/>
  <c r="AM988" i="16"/>
  <c r="AM986" i="16"/>
  <c r="AM985" i="16"/>
  <c r="AM984" i="16"/>
  <c r="AM982" i="16"/>
  <c r="AQ981" i="16"/>
  <c r="AE981" i="16"/>
  <c r="AF981" i="16" s="1"/>
  <c r="AD981" i="16"/>
  <c r="U981" i="16"/>
  <c r="AQ980" i="16"/>
  <c r="AE980" i="16"/>
  <c r="AF980" i="16" s="1"/>
  <c r="AD980" i="16"/>
  <c r="U980" i="16"/>
  <c r="AQ979" i="16"/>
  <c r="AE979" i="16"/>
  <c r="AF979" i="16" s="1"/>
  <c r="AD979" i="16"/>
  <c r="U979" i="16"/>
  <c r="AS978" i="16"/>
  <c r="AQ978" i="16"/>
  <c r="AE978" i="16"/>
  <c r="AF978" i="16" s="1"/>
  <c r="AD978" i="16"/>
  <c r="U978" i="16"/>
  <c r="AS973" i="16"/>
  <c r="AQ973" i="16"/>
  <c r="AD973" i="16"/>
  <c r="U973" i="16"/>
  <c r="R973" i="16"/>
  <c r="M973" i="16" s="1"/>
  <c r="AM973" i="16" s="1"/>
  <c r="AM969" i="16"/>
  <c r="AS968" i="16"/>
  <c r="AQ968" i="16"/>
  <c r="AM968" i="16"/>
  <c r="AE968" i="16"/>
  <c r="AF968" i="16" s="1"/>
  <c r="S968" i="16"/>
  <c r="T968" i="16" s="1"/>
  <c r="AD968" i="16" s="1"/>
  <c r="AS962" i="16"/>
  <c r="AQ962" i="16"/>
  <c r="AM962" i="16"/>
  <c r="AE962" i="16"/>
  <c r="AF962" i="16" s="1"/>
  <c r="AM961" i="16"/>
  <c r="AS960" i="16"/>
  <c r="AQ960" i="16"/>
  <c r="U960" i="16"/>
  <c r="AM959" i="16"/>
  <c r="AS958" i="16"/>
  <c r="AQ958" i="16"/>
  <c r="U958" i="16"/>
  <c r="R958" i="16"/>
  <c r="AE958" i="16" s="1"/>
  <c r="AF958" i="16" s="1"/>
  <c r="AS955" i="16"/>
  <c r="AQ955" i="16"/>
  <c r="AM955" i="16"/>
  <c r="AE955" i="16"/>
  <c r="AF955" i="16" s="1"/>
  <c r="T955" i="16"/>
  <c r="AD955" i="16" s="1"/>
  <c r="AM954" i="16"/>
  <c r="AS953" i="16"/>
  <c r="AQ953" i="16"/>
  <c r="U953" i="16"/>
  <c r="S953" i="16"/>
  <c r="R953" i="16" s="1"/>
  <c r="AM952" i="16"/>
  <c r="AS951" i="16"/>
  <c r="AQ951" i="16"/>
  <c r="U951" i="16"/>
  <c r="S951" i="16"/>
  <c r="O951" i="16" s="1"/>
  <c r="E940" i="76" s="1"/>
  <c r="AM949" i="16"/>
  <c r="AS948" i="16"/>
  <c r="AQ948" i="16"/>
  <c r="U948" i="16"/>
  <c r="S948" i="16"/>
  <c r="R948" i="16" s="1"/>
  <c r="AM947" i="16"/>
  <c r="AS946" i="16"/>
  <c r="AQ946" i="16"/>
  <c r="U946" i="16"/>
  <c r="S946" i="16"/>
  <c r="R946" i="16" s="1"/>
  <c r="M946" i="16" s="1"/>
  <c r="AM944" i="16"/>
  <c r="AS943" i="16"/>
  <c r="AQ943" i="16"/>
  <c r="U943" i="16"/>
  <c r="S943" i="16"/>
  <c r="O943" i="16" s="1"/>
  <c r="AM939" i="16"/>
  <c r="AM938" i="16"/>
  <c r="AS937" i="16"/>
  <c r="AQ937" i="16"/>
  <c r="AE937" i="16"/>
  <c r="AF937" i="16" s="1"/>
  <c r="U937" i="16"/>
  <c r="AS934" i="16"/>
  <c r="AQ934" i="16"/>
  <c r="AM934" i="16"/>
  <c r="AE934" i="16"/>
  <c r="AF934" i="16" s="1"/>
  <c r="S934" i="16"/>
  <c r="T934" i="16" s="1"/>
  <c r="AD934" i="16" s="1"/>
  <c r="AS930" i="16"/>
  <c r="AQ930" i="16"/>
  <c r="AD930" i="16"/>
  <c r="U930" i="16"/>
  <c r="R930" i="16"/>
  <c r="AE930" i="16" s="1"/>
  <c r="AF930" i="16" s="1"/>
  <c r="AM929" i="16"/>
  <c r="AM928" i="16"/>
  <c r="AS927" i="16"/>
  <c r="AQ927" i="16"/>
  <c r="U927" i="16"/>
  <c r="AM926" i="16"/>
  <c r="AM925" i="16"/>
  <c r="AS924" i="16"/>
  <c r="AQ924" i="16"/>
  <c r="U924" i="16"/>
  <c r="AS919" i="16"/>
  <c r="AQ919" i="16"/>
  <c r="AM919" i="16"/>
  <c r="AE919" i="16"/>
  <c r="AF919" i="16" s="1"/>
  <c r="AD919" i="16"/>
  <c r="O919" i="16"/>
  <c r="E908" i="76" s="1"/>
  <c r="AS913" i="16"/>
  <c r="AQ913" i="16"/>
  <c r="AM913" i="16"/>
  <c r="AE913" i="16"/>
  <c r="AF913" i="16" s="1"/>
  <c r="AD913" i="16"/>
  <c r="O913" i="16"/>
  <c r="E902" i="76" s="1"/>
  <c r="R960" i="16"/>
  <c r="M960" i="16" s="1"/>
  <c r="O955" i="16"/>
  <c r="E944" i="76" s="1"/>
  <c r="O958" i="16"/>
  <c r="E947" i="76" s="1"/>
  <c r="O960" i="16"/>
  <c r="E949" i="76" s="1"/>
  <c r="T1121" i="16"/>
  <c r="AD1121" i="16" s="1"/>
  <c r="Y891" i="16"/>
  <c r="Y890" i="16"/>
  <c r="Y888" i="16"/>
  <c r="Y880" i="16"/>
  <c r="Y874" i="16"/>
  <c r="Y871" i="16"/>
  <c r="Y868" i="16"/>
  <c r="Y865" i="16"/>
  <c r="Y864" i="16"/>
  <c r="Y863" i="16"/>
  <c r="Y861" i="16"/>
  <c r="Y858" i="16"/>
  <c r="Y856" i="16"/>
  <c r="Y852" i="16"/>
  <c r="Y851" i="16"/>
  <c r="Y849" i="16"/>
  <c r="Y848" i="16"/>
  <c r="Y844" i="16"/>
  <c r="Y842" i="16"/>
  <c r="Y841" i="16"/>
  <c r="Y840" i="16"/>
  <c r="Y839" i="16"/>
  <c r="Y837" i="16"/>
  <c r="Y836" i="16"/>
  <c r="Y834" i="16"/>
  <c r="Y833" i="16"/>
  <c r="Y828" i="16"/>
  <c r="Y824" i="16"/>
  <c r="Y823" i="16"/>
  <c r="Y822" i="16"/>
  <c r="Y821" i="16"/>
  <c r="Y820" i="16"/>
  <c r="Y819" i="16"/>
  <c r="Y818" i="16"/>
  <c r="Y817" i="16"/>
  <c r="Y816" i="16"/>
  <c r="Y815" i="16"/>
  <c r="Y814" i="16"/>
  <c r="Y813" i="16"/>
  <c r="Y808" i="16"/>
  <c r="Y805" i="16"/>
  <c r="Y802" i="16"/>
  <c r="Y799" i="16"/>
  <c r="Y793" i="16"/>
  <c r="Y790" i="16"/>
  <c r="BD793" i="16"/>
  <c r="BC793" i="16"/>
  <c r="AX797" i="16"/>
  <c r="AX798" i="16"/>
  <c r="AX799" i="16"/>
  <c r="AX801" i="16"/>
  <c r="AX802" i="16"/>
  <c r="AX805" i="16"/>
  <c r="AX807" i="16"/>
  <c r="AX809" i="16"/>
  <c r="AX810" i="16"/>
  <c r="AX813" i="16"/>
  <c r="AX814" i="16"/>
  <c r="AX815" i="16"/>
  <c r="AX816" i="16"/>
  <c r="AX817" i="16"/>
  <c r="AX818" i="16"/>
  <c r="AX819" i="16"/>
  <c r="AX820" i="16"/>
  <c r="AX821" i="16"/>
  <c r="AX823" i="16"/>
  <c r="AX824" i="16"/>
  <c r="AX825" i="16"/>
  <c r="AX826" i="16"/>
  <c r="AX827" i="16"/>
  <c r="AX828" i="16"/>
  <c r="AX829" i="16"/>
  <c r="AX830" i="16"/>
  <c r="AX831" i="16"/>
  <c r="AX834" i="16"/>
  <c r="AX835" i="16"/>
  <c r="AX836" i="16"/>
  <c r="AX837" i="16"/>
  <c r="AX838" i="16"/>
  <c r="AX839" i="16"/>
  <c r="AX841" i="16"/>
  <c r="AX842" i="16"/>
  <c r="AX790" i="16"/>
  <c r="AX791" i="16"/>
  <c r="AX792" i="16"/>
  <c r="AX793" i="16"/>
  <c r="AX794" i="16"/>
  <c r="AX795" i="16"/>
  <c r="AX789" i="16"/>
  <c r="AS891" i="16"/>
  <c r="AQ891" i="16"/>
  <c r="AS890" i="16"/>
  <c r="AQ890" i="16"/>
  <c r="AS888" i="16"/>
  <c r="AQ888" i="16"/>
  <c r="AS880" i="16"/>
  <c r="AQ880" i="16"/>
  <c r="U880" i="16"/>
  <c r="AS874" i="16"/>
  <c r="AQ874" i="16"/>
  <c r="AS871" i="16"/>
  <c r="AS868" i="16"/>
  <c r="AS865" i="16"/>
  <c r="AS864" i="16"/>
  <c r="AS863" i="16"/>
  <c r="AS861" i="16"/>
  <c r="AS858" i="16"/>
  <c r="AS856" i="16"/>
  <c r="AS852" i="16"/>
  <c r="AS851" i="16"/>
  <c r="AS849" i="16"/>
  <c r="AS848" i="16"/>
  <c r="AQ847" i="16"/>
  <c r="AS844" i="16"/>
  <c r="AQ844" i="16"/>
  <c r="AS842" i="16"/>
  <c r="AS841" i="16"/>
  <c r="AS840" i="16"/>
  <c r="AS839" i="16"/>
  <c r="AS837" i="16"/>
  <c r="AS836" i="16"/>
  <c r="AS834" i="16"/>
  <c r="AS833" i="16"/>
  <c r="AS828" i="16"/>
  <c r="AQ828" i="16"/>
  <c r="AS824" i="16"/>
  <c r="AS823" i="16"/>
  <c r="AS822" i="16"/>
  <c r="AS821" i="16"/>
  <c r="AS820" i="16"/>
  <c r="AS819" i="16"/>
  <c r="AS818" i="16"/>
  <c r="AS817" i="16"/>
  <c r="AS816" i="16"/>
  <c r="AS815" i="16"/>
  <c r="AS814" i="16"/>
  <c r="AS813" i="16"/>
  <c r="AQ811" i="16"/>
  <c r="AQ809" i="16"/>
  <c r="AS808" i="16"/>
  <c r="AS805" i="16"/>
  <c r="AQ805" i="16"/>
  <c r="AS802" i="16"/>
  <c r="AQ802" i="16"/>
  <c r="AS799" i="16"/>
  <c r="AQ799" i="16"/>
  <c r="AS793" i="16"/>
  <c r="AQ793" i="16"/>
  <c r="U793" i="16"/>
  <c r="AS790" i="16"/>
  <c r="AQ790" i="16"/>
  <c r="AM173" i="29"/>
  <c r="AM170" i="29"/>
  <c r="AM168" i="29"/>
  <c r="AM167" i="29"/>
  <c r="AM125" i="29"/>
  <c r="AM98" i="29"/>
  <c r="AM80" i="29"/>
  <c r="AM12" i="29"/>
  <c r="AQ173" i="29"/>
  <c r="AQ170" i="29"/>
  <c r="AQ168" i="29"/>
  <c r="AQ151" i="29"/>
  <c r="AQ150" i="29"/>
  <c r="AQ149" i="29"/>
  <c r="AQ148" i="29"/>
  <c r="AQ147" i="29"/>
  <c r="AQ145" i="29"/>
  <c r="AQ144" i="29"/>
  <c r="AQ142" i="29"/>
  <c r="AQ135" i="29"/>
  <c r="AQ131" i="29"/>
  <c r="AQ129" i="29"/>
  <c r="AQ123" i="29"/>
  <c r="AQ120" i="29"/>
  <c r="AQ119" i="29"/>
  <c r="AQ117" i="29"/>
  <c r="AQ115" i="29"/>
  <c r="AQ114" i="29"/>
  <c r="AQ112" i="29"/>
  <c r="AQ109" i="29"/>
  <c r="AQ107" i="29"/>
  <c r="AQ104" i="29"/>
  <c r="AQ102" i="29"/>
  <c r="AQ96" i="29"/>
  <c r="AQ95" i="29"/>
  <c r="AQ94" i="29"/>
  <c r="AQ92" i="29"/>
  <c r="AQ91" i="29"/>
  <c r="AQ89" i="29"/>
  <c r="AQ86" i="29"/>
  <c r="AQ83" i="29"/>
  <c r="AQ62" i="29"/>
  <c r="AQ56" i="29"/>
  <c r="AQ54" i="29"/>
  <c r="AQ52" i="29"/>
  <c r="AQ51" i="29"/>
  <c r="AQ49" i="29"/>
  <c r="AQ47" i="29"/>
  <c r="AQ46" i="29"/>
  <c r="AQ44" i="29"/>
  <c r="AQ42" i="29"/>
  <c r="AQ38" i="29"/>
  <c r="AQ32" i="29"/>
  <c r="AQ31" i="29"/>
  <c r="AQ30" i="29"/>
  <c r="AQ28" i="29"/>
  <c r="AQ27" i="29"/>
  <c r="AQ25" i="29"/>
  <c r="AQ22" i="29"/>
  <c r="AQ23" i="29"/>
  <c r="AQ21" i="29"/>
  <c r="AQ17" i="29"/>
  <c r="AQ16" i="29"/>
  <c r="AQ15" i="29"/>
  <c r="AS173" i="29"/>
  <c r="AS170" i="29"/>
  <c r="AS168" i="29"/>
  <c r="AS151" i="29"/>
  <c r="AS150" i="29"/>
  <c r="AS149" i="29"/>
  <c r="AS148" i="29"/>
  <c r="AS147" i="29"/>
  <c r="AS145" i="29"/>
  <c r="AS144" i="29"/>
  <c r="AS142" i="29"/>
  <c r="AS135" i="29"/>
  <c r="AS131" i="29"/>
  <c r="AS129" i="29"/>
  <c r="AS123" i="29"/>
  <c r="AS120" i="29"/>
  <c r="AS119" i="29"/>
  <c r="AS117" i="29"/>
  <c r="AS115" i="29"/>
  <c r="AS114" i="29"/>
  <c r="AS112" i="29"/>
  <c r="AS109" i="29"/>
  <c r="AS107" i="29"/>
  <c r="AS104" i="29"/>
  <c r="AS102" i="29"/>
  <c r="AS96" i="29"/>
  <c r="AS95" i="29"/>
  <c r="AS94" i="29"/>
  <c r="AS92" i="29"/>
  <c r="AS91" i="29"/>
  <c r="AS89" i="29"/>
  <c r="AS86" i="29"/>
  <c r="AS83" i="29"/>
  <c r="AS62" i="29"/>
  <c r="AS56" i="29"/>
  <c r="AS54" i="29"/>
  <c r="AS52" i="29"/>
  <c r="AS51" i="29"/>
  <c r="AS49" i="29"/>
  <c r="AS47" i="29"/>
  <c r="AS46" i="29"/>
  <c r="AS44" i="29"/>
  <c r="AS42" i="29"/>
  <c r="AS38" i="29"/>
  <c r="AS32" i="29"/>
  <c r="AS31" i="29"/>
  <c r="AS30" i="29"/>
  <c r="AS28" i="29"/>
  <c r="AS27" i="29"/>
  <c r="AS25" i="29"/>
  <c r="AS23" i="29"/>
  <c r="AS22" i="29"/>
  <c r="AS21" i="29"/>
  <c r="AS17" i="29"/>
  <c r="AS16" i="29"/>
  <c r="AS15" i="29"/>
  <c r="AQ289" i="28"/>
  <c r="AQ284" i="28"/>
  <c r="AQ280" i="28"/>
  <c r="AQ275" i="28"/>
  <c r="AQ270" i="28"/>
  <c r="AQ269" i="28"/>
  <c r="AQ263" i="28"/>
  <c r="AQ259" i="28"/>
  <c r="AQ255" i="28"/>
  <c r="AQ253" i="28"/>
  <c r="AQ250" i="28"/>
  <c r="AQ248" i="28"/>
  <c r="AQ245" i="28"/>
  <c r="AQ241" i="28"/>
  <c r="AQ235" i="28"/>
  <c r="AQ232" i="28"/>
  <c r="AQ230" i="28"/>
  <c r="AQ220" i="28"/>
  <c r="AQ216" i="28"/>
  <c r="AQ214" i="28"/>
  <c r="AQ212" i="28"/>
  <c r="AQ209" i="28"/>
  <c r="AQ207" i="28"/>
  <c r="AQ201" i="28"/>
  <c r="AQ200" i="28"/>
  <c r="AQ198" i="28"/>
  <c r="AQ194" i="28"/>
  <c r="AQ192" i="28"/>
  <c r="AQ190" i="28"/>
  <c r="AQ188" i="28"/>
  <c r="AQ180" i="28"/>
  <c r="AQ178" i="28"/>
  <c r="AQ175" i="28"/>
  <c r="AQ174" i="28"/>
  <c r="AQ170" i="28"/>
  <c r="AQ165" i="28"/>
  <c r="AQ161" i="28"/>
  <c r="AQ160" i="28"/>
  <c r="AQ155" i="28"/>
  <c r="AQ142" i="28"/>
  <c r="AQ137" i="28"/>
  <c r="AQ135" i="28"/>
  <c r="AQ134" i="28"/>
  <c r="AQ132" i="28"/>
  <c r="AQ120" i="28"/>
  <c r="AQ117" i="28"/>
  <c r="AQ116" i="28"/>
  <c r="AQ105" i="28"/>
  <c r="AQ96" i="28"/>
  <c r="AQ93" i="28"/>
  <c r="AQ91" i="28"/>
  <c r="AQ80" i="28"/>
  <c r="AQ79" i="28"/>
  <c r="AQ78" i="28"/>
  <c r="AQ77" i="28"/>
  <c r="AQ72" i="28"/>
  <c r="AQ67" i="28"/>
  <c r="AQ61" i="28"/>
  <c r="AQ59" i="28"/>
  <c r="AQ57" i="28"/>
  <c r="AQ54" i="28"/>
  <c r="AQ52" i="28"/>
  <c r="AQ50" i="28"/>
  <c r="AQ47" i="28"/>
  <c r="AQ45" i="28"/>
  <c r="AQ42" i="28"/>
  <c r="AQ36" i="28"/>
  <c r="AQ33" i="28"/>
  <c r="AQ29" i="28"/>
  <c r="AQ26" i="28"/>
  <c r="AQ23" i="28"/>
  <c r="AQ18" i="28"/>
  <c r="AS289" i="28"/>
  <c r="AS284" i="28"/>
  <c r="AS280" i="28"/>
  <c r="AS275" i="28"/>
  <c r="AS267" i="28"/>
  <c r="AS263" i="28"/>
  <c r="AS259" i="28"/>
  <c r="AS255" i="28"/>
  <c r="AS253" i="28"/>
  <c r="AS250" i="28"/>
  <c r="AS248" i="28"/>
  <c r="AS238" i="28"/>
  <c r="AS235" i="28"/>
  <c r="AS232" i="28"/>
  <c r="AS230" i="28"/>
  <c r="AS220" i="28"/>
  <c r="AS216" i="28"/>
  <c r="AS214" i="28"/>
  <c r="AS212" i="28"/>
  <c r="AS205" i="28"/>
  <c r="AS201" i="28"/>
  <c r="AS197" i="28"/>
  <c r="AS194" i="28"/>
  <c r="AS192" i="28"/>
  <c r="AS190" i="28"/>
  <c r="AS188" i="28"/>
  <c r="AS180" i="28"/>
  <c r="AS178" i="28"/>
  <c r="AS172" i="28"/>
  <c r="AS170" i="28"/>
  <c r="AS165" i="28"/>
  <c r="AS161" i="28"/>
  <c r="AS160" i="28"/>
  <c r="AS155" i="28"/>
  <c r="AS142" i="28"/>
  <c r="AS137" i="28"/>
  <c r="AS135" i="28"/>
  <c r="AS134" i="28"/>
  <c r="AS132" i="28"/>
  <c r="AS126" i="28"/>
  <c r="AS120" i="28"/>
  <c r="AS116" i="28"/>
  <c r="AS105" i="28"/>
  <c r="AS96" i="28"/>
  <c r="AS93" i="28"/>
  <c r="AS91" i="28"/>
  <c r="AS77" i="28"/>
  <c r="AS72" i="28"/>
  <c r="AS67" i="28"/>
  <c r="AS61" i="28"/>
  <c r="AS59" i="28"/>
  <c r="AS57" i="28"/>
  <c r="AS54" i="28"/>
  <c r="AS52" i="28"/>
  <c r="AS50" i="28"/>
  <c r="AS47" i="28"/>
  <c r="AS45" i="28"/>
  <c r="AS42" i="28"/>
  <c r="AS36" i="28"/>
  <c r="AS33" i="28"/>
  <c r="AS29" i="28"/>
  <c r="AS26" i="28"/>
  <c r="AS23" i="28"/>
  <c r="AS18" i="28"/>
  <c r="AM289" i="28"/>
  <c r="AM284" i="28"/>
  <c r="AM280" i="28"/>
  <c r="AM275" i="28"/>
  <c r="AM267" i="28"/>
  <c r="AM265" i="28"/>
  <c r="AM264" i="28"/>
  <c r="AM262" i="28"/>
  <c r="AM260" i="28"/>
  <c r="AM253" i="28"/>
  <c r="AM246" i="28"/>
  <c r="AM245" i="28"/>
  <c r="AM243" i="28"/>
  <c r="AM242" i="28"/>
  <c r="AM235" i="28"/>
  <c r="AM232" i="28"/>
  <c r="AM230" i="28"/>
  <c r="AM229" i="28"/>
  <c r="AM228" i="28"/>
  <c r="AM226" i="28"/>
  <c r="AM224" i="28"/>
  <c r="AM210" i="28"/>
  <c r="AM208" i="28"/>
  <c r="AM206" i="28"/>
  <c r="AM205" i="28"/>
  <c r="AM201" i="28"/>
  <c r="AM200" i="28"/>
  <c r="AM199" i="28"/>
  <c r="AM197" i="28"/>
  <c r="AM194" i="28"/>
  <c r="AM190" i="28"/>
  <c r="AM180" i="28"/>
  <c r="AM178" i="28"/>
  <c r="AM175" i="28"/>
  <c r="AM174" i="28"/>
  <c r="AM165" i="28"/>
  <c r="AM161" i="28"/>
  <c r="AM160" i="28"/>
  <c r="AM155" i="28"/>
  <c r="AM142" i="28"/>
  <c r="AM137" i="28"/>
  <c r="AM130" i="28"/>
  <c r="AM120" i="28"/>
  <c r="AM98" i="28"/>
  <c r="AM93" i="28"/>
  <c r="AM91" i="28"/>
  <c r="AM87" i="28"/>
  <c r="AM85" i="28"/>
  <c r="AM84" i="28"/>
  <c r="AM83" i="28"/>
  <c r="AM81" i="28"/>
  <c r="AM68" i="28"/>
  <c r="AM67" i="28"/>
  <c r="AM61" i="28"/>
  <c r="AM60" i="28"/>
  <c r="AM58" i="28"/>
  <c r="AM54" i="28"/>
  <c r="AM53" i="28"/>
  <c r="AM51" i="28"/>
  <c r="AM48" i="28"/>
  <c r="AM46" i="28"/>
  <c r="AM43" i="28"/>
  <c r="AM38" i="28"/>
  <c r="AM37" i="28"/>
  <c r="AM33" i="28"/>
  <c r="AM27" i="28"/>
  <c r="AM28" i="28"/>
  <c r="AM25" i="28"/>
  <c r="AM24" i="28"/>
  <c r="AM18" i="28"/>
  <c r="AS12" i="28"/>
  <c r="AQ12" i="28"/>
  <c r="AM12" i="28"/>
  <c r="AS122" i="25"/>
  <c r="AS121" i="25"/>
  <c r="AS119" i="25"/>
  <c r="AS111" i="25"/>
  <c r="AS105" i="25"/>
  <c r="AS102" i="25"/>
  <c r="AS99" i="25"/>
  <c r="AS96" i="25"/>
  <c r="AS95" i="25"/>
  <c r="AS94" i="25"/>
  <c r="AS92" i="25"/>
  <c r="AS89" i="25"/>
  <c r="AS87" i="25"/>
  <c r="AS83" i="25"/>
  <c r="AS82" i="25"/>
  <c r="AS80" i="25"/>
  <c r="AS79" i="25"/>
  <c r="AS75" i="25"/>
  <c r="AS73" i="25"/>
  <c r="AS72" i="25"/>
  <c r="AS71" i="25"/>
  <c r="AS70" i="25"/>
  <c r="AS68" i="25"/>
  <c r="AS67" i="25"/>
  <c r="AS65" i="25"/>
  <c r="AS64" i="25"/>
  <c r="AS59" i="25"/>
  <c r="AS55" i="25"/>
  <c r="AS54" i="25"/>
  <c r="AS53" i="25"/>
  <c r="AS52" i="25"/>
  <c r="AS51" i="25"/>
  <c r="AS50" i="25"/>
  <c r="AS49" i="25"/>
  <c r="AS48" i="25"/>
  <c r="AS47" i="25"/>
  <c r="AS46" i="25"/>
  <c r="AS45" i="25"/>
  <c r="AS44" i="25"/>
  <c r="AS39" i="25"/>
  <c r="AS36" i="25"/>
  <c r="AS33" i="25"/>
  <c r="AS30" i="25"/>
  <c r="AS24" i="25"/>
  <c r="AS21" i="25"/>
  <c r="AQ122" i="25"/>
  <c r="AQ121" i="25"/>
  <c r="AQ119" i="25"/>
  <c r="AQ111" i="25"/>
  <c r="AQ105" i="25"/>
  <c r="AQ78" i="25"/>
  <c r="AQ75" i="25"/>
  <c r="AQ59" i="25"/>
  <c r="AQ42" i="25"/>
  <c r="AQ40" i="25"/>
  <c r="AQ33" i="25"/>
  <c r="AQ36" i="25"/>
  <c r="AQ30" i="25"/>
  <c r="AQ24" i="25"/>
  <c r="AQ21" i="25"/>
  <c r="U170" i="28"/>
  <c r="CW4" i="2" s="1"/>
  <c r="P61" i="23"/>
  <c r="C8" i="18" s="1"/>
  <c r="G457" i="66"/>
  <c r="AX11" i="29"/>
  <c r="AY11" i="29"/>
  <c r="AX12" i="29"/>
  <c r="AY12" i="29"/>
  <c r="AX13" i="29"/>
  <c r="AY13" i="29"/>
  <c r="AX14" i="29"/>
  <c r="AY14" i="29"/>
  <c r="AX15" i="29"/>
  <c r="AY15" i="29"/>
  <c r="BC15" i="29"/>
  <c r="BD15" i="29"/>
  <c r="AX16" i="29"/>
  <c r="AY16" i="29"/>
  <c r="AX17" i="29"/>
  <c r="AY17" i="29"/>
  <c r="AX19" i="29"/>
  <c r="S114" i="29"/>
  <c r="T114" i="29" s="1"/>
  <c r="AD114" i="29" s="1"/>
  <c r="AC114" i="29" s="1"/>
  <c r="AX20" i="29"/>
  <c r="AY20" i="29"/>
  <c r="AX21" i="29"/>
  <c r="AY21" i="29"/>
  <c r="T58" i="29" s="1"/>
  <c r="AD58" i="29" s="1"/>
  <c r="AC58" i="29" s="1"/>
  <c r="AX24" i="29"/>
  <c r="AY24" i="29"/>
  <c r="AX25" i="29"/>
  <c r="AY25" i="29"/>
  <c r="AX26" i="29"/>
  <c r="AY26" i="29"/>
  <c r="AX28" i="29"/>
  <c r="AY28" i="29"/>
  <c r="AX31" i="29"/>
  <c r="AY31" i="29"/>
  <c r="AX32" i="29"/>
  <c r="AY32" i="29"/>
  <c r="AX34" i="29"/>
  <c r="AY34" i="29"/>
  <c r="AX35" i="29"/>
  <c r="AY35" i="29"/>
  <c r="AX36" i="29"/>
  <c r="AY36" i="29"/>
  <c r="AX37" i="29"/>
  <c r="AY37" i="29"/>
  <c r="AX38" i="29"/>
  <c r="AY38" i="29"/>
  <c r="AX39" i="29"/>
  <c r="AY39" i="29"/>
  <c r="AX40" i="29"/>
  <c r="AY40" i="29"/>
  <c r="AX41" i="29"/>
  <c r="AY41" i="29"/>
  <c r="AX42" i="29"/>
  <c r="AY42" i="29"/>
  <c r="AX44" i="29"/>
  <c r="AY44" i="29"/>
  <c r="AX45" i="29"/>
  <c r="AY45" i="29"/>
  <c r="AX46" i="29"/>
  <c r="AY46" i="29"/>
  <c r="AX47" i="29"/>
  <c r="AY47" i="29"/>
  <c r="AX48" i="29"/>
  <c r="AY48" i="29"/>
  <c r="AX49" i="29"/>
  <c r="AY49" i="29"/>
  <c r="AX50" i="29"/>
  <c r="AY50" i="29"/>
  <c r="AX51" i="29"/>
  <c r="AY51" i="29"/>
  <c r="AX52" i="29"/>
  <c r="AY52" i="29"/>
  <c r="AX54" i="29"/>
  <c r="AY54" i="29"/>
  <c r="AX55" i="29"/>
  <c r="AY55" i="29"/>
  <c r="AX56" i="29"/>
  <c r="AY56" i="29"/>
  <c r="AX57" i="29"/>
  <c r="AY57" i="29"/>
  <c r="AX58" i="29"/>
  <c r="AY58" i="29"/>
  <c r="AX61" i="29"/>
  <c r="AY61" i="29"/>
  <c r="AX62" i="29"/>
  <c r="AY62" i="29"/>
  <c r="AX64" i="29"/>
  <c r="AY64" i="29"/>
  <c r="AX65" i="29"/>
  <c r="AY65" i="29"/>
  <c r="A21" i="3"/>
  <c r="AX61" i="16"/>
  <c r="AX55" i="16"/>
  <c r="AX56" i="16"/>
  <c r="AX57" i="16"/>
  <c r="AX58" i="16"/>
  <c r="AX60" i="16"/>
  <c r="AX31" i="16"/>
  <c r="AX32" i="16"/>
  <c r="AX33" i="16"/>
  <c r="AX34" i="16"/>
  <c r="AX35" i="16"/>
  <c r="AX36" i="16"/>
  <c r="AX37" i="16"/>
  <c r="AX38" i="16"/>
  <c r="AX39" i="16"/>
  <c r="AX41" i="16"/>
  <c r="AX42" i="16"/>
  <c r="AX43" i="16"/>
  <c r="AX44" i="16"/>
  <c r="AX45" i="16"/>
  <c r="AX46" i="16"/>
  <c r="AX47" i="16"/>
  <c r="AX49" i="16"/>
  <c r="AX50" i="16"/>
  <c r="AX52" i="16"/>
  <c r="AX53" i="16"/>
  <c r="AX54" i="16"/>
  <c r="AX24" i="16"/>
  <c r="Q34" i="23"/>
  <c r="Q35" i="23"/>
  <c r="P36" i="23"/>
  <c r="AY819" i="16" s="1"/>
  <c r="Q36" i="23"/>
  <c r="P37" i="23"/>
  <c r="AY820" i="16" s="1"/>
  <c r="Q37" i="23"/>
  <c r="Q38" i="23"/>
  <c r="P41" i="23"/>
  <c r="AY1227" i="16" s="1"/>
  <c r="P43" i="23"/>
  <c r="AY1229" i="16" s="1"/>
  <c r="E42" i="23"/>
  <c r="E43" i="23"/>
  <c r="E34" i="23"/>
  <c r="E35" i="23"/>
  <c r="E36" i="23"/>
  <c r="E37" i="23"/>
  <c r="E38" i="23"/>
  <c r="E40" i="23"/>
  <c r="E41" i="23"/>
  <c r="E23" i="23"/>
  <c r="AO103" i="27"/>
  <c r="AP103" i="27"/>
  <c r="AO104" i="27"/>
  <c r="AP104" i="27"/>
  <c r="AO105" i="27"/>
  <c r="AP105" i="27"/>
  <c r="AO106" i="27"/>
  <c r="AP106" i="27"/>
  <c r="AO107" i="27"/>
  <c r="AP107" i="27"/>
  <c r="AO108" i="27"/>
  <c r="AP108" i="27"/>
  <c r="AO109" i="27"/>
  <c r="AP109" i="27"/>
  <c r="AO110" i="27"/>
  <c r="AP110" i="27"/>
  <c r="AO111" i="27"/>
  <c r="AP111" i="27"/>
  <c r="AO112" i="27"/>
  <c r="AP112" i="27"/>
  <c r="AO92" i="27"/>
  <c r="AP92" i="27"/>
  <c r="AX39" i="24"/>
  <c r="AY39" i="24"/>
  <c r="AX40" i="24"/>
  <c r="AY40" i="24"/>
  <c r="AX41" i="24"/>
  <c r="AY41" i="24"/>
  <c r="AX44" i="24"/>
  <c r="AY44" i="24"/>
  <c r="AX45" i="24"/>
  <c r="AY45" i="24"/>
  <c r="AX47" i="24"/>
  <c r="AY47" i="24"/>
  <c r="AX48" i="24"/>
  <c r="AY48" i="24"/>
  <c r="AX49" i="24"/>
  <c r="AY49" i="24"/>
  <c r="AX50" i="24"/>
  <c r="AY50" i="24"/>
  <c r="AX26" i="24"/>
  <c r="AY26" i="24"/>
  <c r="AX36" i="8"/>
  <c r="AY36" i="8"/>
  <c r="AX37" i="8"/>
  <c r="AY37" i="8"/>
  <c r="AX38" i="8"/>
  <c r="AY38" i="8"/>
  <c r="AX39" i="8"/>
  <c r="AY39" i="8"/>
  <c r="AX40" i="8"/>
  <c r="AY40" i="8"/>
  <c r="AX42" i="8"/>
  <c r="AY42" i="8"/>
  <c r="AX43" i="8"/>
  <c r="AY43" i="8"/>
  <c r="AX44" i="8"/>
  <c r="AY44" i="8"/>
  <c r="AX45" i="8"/>
  <c r="AY45" i="8"/>
  <c r="AX25" i="8"/>
  <c r="AY25" i="8"/>
  <c r="O151" i="28"/>
  <c r="AD29" i="28"/>
  <c r="AE36" i="28"/>
  <c r="AD72" i="28"/>
  <c r="AE80" i="28"/>
  <c r="AD80" i="28"/>
  <c r="AE79" i="28"/>
  <c r="AD79" i="28"/>
  <c r="AE78" i="28"/>
  <c r="AD78" i="28"/>
  <c r="AE77" i="28"/>
  <c r="AD77" i="28"/>
  <c r="AE105" i="28"/>
  <c r="AE117" i="28"/>
  <c r="AE116" i="28"/>
  <c r="AD192" i="28"/>
  <c r="AE200" i="28"/>
  <c r="AD200" i="28"/>
  <c r="AE198" i="28"/>
  <c r="AD198" i="28"/>
  <c r="AE209" i="28"/>
  <c r="AC209" i="28" s="1"/>
  <c r="AD209" i="28"/>
  <c r="AE207" i="28"/>
  <c r="AD207" i="28"/>
  <c r="AE259" i="28"/>
  <c r="AD259" i="28"/>
  <c r="AE263" i="28"/>
  <c r="AD263" i="28"/>
  <c r="AE289" i="28"/>
  <c r="AC289" i="28" s="1"/>
  <c r="AD289" i="28"/>
  <c r="AE284" i="28"/>
  <c r="AD284" i="28"/>
  <c r="AE280" i="28"/>
  <c r="AE275" i="28"/>
  <c r="AE270" i="28"/>
  <c r="AE269" i="28"/>
  <c r="AD255" i="28"/>
  <c r="AE253" i="28"/>
  <c r="AD253" i="28"/>
  <c r="AE250" i="28"/>
  <c r="AD250" i="28"/>
  <c r="AE248" i="28"/>
  <c r="AD248" i="28"/>
  <c r="AE245" i="28"/>
  <c r="AE235" i="28"/>
  <c r="AE232" i="28"/>
  <c r="AE230" i="28"/>
  <c r="AE216" i="28"/>
  <c r="AD216" i="28"/>
  <c r="AE214" i="28"/>
  <c r="AD214" i="28"/>
  <c r="AE212" i="28"/>
  <c r="AD212" i="28"/>
  <c r="AC212" i="28" s="1"/>
  <c r="AE201" i="28"/>
  <c r="AD201" i="28"/>
  <c r="AE194" i="28"/>
  <c r="AD194" i="28"/>
  <c r="AE190" i="28"/>
  <c r="AD188" i="28"/>
  <c r="AE180" i="28"/>
  <c r="AE178" i="28"/>
  <c r="AE175" i="28"/>
  <c r="AE174" i="28"/>
  <c r="AD170" i="28"/>
  <c r="AE165" i="28"/>
  <c r="AD165" i="28"/>
  <c r="AE161" i="28"/>
  <c r="AD161" i="28"/>
  <c r="AE160" i="28"/>
  <c r="AD160" i="28"/>
  <c r="AE155" i="28"/>
  <c r="AD155" i="28"/>
  <c r="AE142" i="28"/>
  <c r="AE137" i="28"/>
  <c r="AE135" i="28"/>
  <c r="AE134" i="28"/>
  <c r="AE132" i="28"/>
  <c r="AE120" i="28"/>
  <c r="AD120" i="28"/>
  <c r="AD96" i="28"/>
  <c r="AE93" i="28"/>
  <c r="AD93" i="28"/>
  <c r="AE91" i="28"/>
  <c r="AD91" i="28"/>
  <c r="AE67" i="28"/>
  <c r="AE61" i="28"/>
  <c r="AE54" i="28"/>
  <c r="AE33" i="28"/>
  <c r="AE18" i="28"/>
  <c r="AD18" i="28"/>
  <c r="AE12" i="28"/>
  <c r="AD12" i="28"/>
  <c r="T276" i="28"/>
  <c r="S280" i="28" s="1"/>
  <c r="O289" i="28"/>
  <c r="I1178" i="66" s="1"/>
  <c r="O284" i="28"/>
  <c r="I1173" i="66" s="1"/>
  <c r="O253" i="28"/>
  <c r="I1142" i="66" s="1"/>
  <c r="O246" i="28"/>
  <c r="A1135" i="66" s="1"/>
  <c r="O210" i="28"/>
  <c r="O205" i="28"/>
  <c r="A1094" i="66" s="1"/>
  <c r="O201" i="28"/>
  <c r="I1090" i="66" s="1"/>
  <c r="O197" i="28"/>
  <c r="O194" i="28"/>
  <c r="I1083" i="66"/>
  <c r="S190" i="28"/>
  <c r="O190" i="28" s="1"/>
  <c r="O165" i="28"/>
  <c r="I1054" i="66" s="1"/>
  <c r="S135" i="28"/>
  <c r="T135" i="28" s="1"/>
  <c r="AD135" i="28" s="1"/>
  <c r="S134" i="28"/>
  <c r="T134" i="28" s="1"/>
  <c r="AD134" i="28" s="1"/>
  <c r="S132" i="28"/>
  <c r="O130" i="28" s="1"/>
  <c r="S137" i="28"/>
  <c r="O137" i="28" s="1"/>
  <c r="S142" i="28"/>
  <c r="T142" i="28" s="1"/>
  <c r="AD142" i="28" s="1"/>
  <c r="O120" i="28"/>
  <c r="I1009" i="66" s="1"/>
  <c r="O98" i="28"/>
  <c r="A987" i="66" s="1"/>
  <c r="T117" i="28"/>
  <c r="AD117" i="28" s="1"/>
  <c r="AC117" i="28" s="1"/>
  <c r="T116" i="28"/>
  <c r="AD116" i="28" s="1"/>
  <c r="T105" i="28"/>
  <c r="AD105" i="28"/>
  <c r="AC105" i="28" s="1"/>
  <c r="R170" i="28"/>
  <c r="R188" i="28"/>
  <c r="M188" i="28" s="1"/>
  <c r="R192" i="28"/>
  <c r="AE192" i="28" s="1"/>
  <c r="AC192" i="28" s="1"/>
  <c r="R255" i="28"/>
  <c r="M255" i="28" s="1"/>
  <c r="AM255" i="28" s="1"/>
  <c r="R96" i="28"/>
  <c r="M96" i="28" s="1"/>
  <c r="AM96" i="28" s="1"/>
  <c r="O93" i="28"/>
  <c r="I982" i="66" s="1"/>
  <c r="O91" i="28"/>
  <c r="I980" i="66"/>
  <c r="R72" i="28"/>
  <c r="AE72" i="28"/>
  <c r="S67" i="28"/>
  <c r="T67" i="28" s="1"/>
  <c r="AD67" i="28" s="1"/>
  <c r="S59" i="28"/>
  <c r="O59" i="28" s="1"/>
  <c r="S57" i="28"/>
  <c r="R57" i="28" s="1"/>
  <c r="O54" i="28"/>
  <c r="I943" i="66" s="1"/>
  <c r="S52" i="28"/>
  <c r="O52" i="28" s="1"/>
  <c r="I941" i="66" s="1"/>
  <c r="S50" i="28"/>
  <c r="T50" i="28" s="1"/>
  <c r="AD50" i="28" s="1"/>
  <c r="S47" i="28"/>
  <c r="S45" i="28"/>
  <c r="T45" i="28" s="1"/>
  <c r="AD45" i="28" s="1"/>
  <c r="S42" i="28"/>
  <c r="T42" i="28" s="1"/>
  <c r="AD42" i="28" s="1"/>
  <c r="O18" i="28"/>
  <c r="I907" i="66" s="1"/>
  <c r="O12" i="28"/>
  <c r="I901" i="66"/>
  <c r="R29" i="28"/>
  <c r="AE29" i="28" s="1"/>
  <c r="AC29" i="28" s="1"/>
  <c r="S33" i="28"/>
  <c r="T33" i="28" s="1"/>
  <c r="AD33" i="28" s="1"/>
  <c r="AX44" i="28"/>
  <c r="AY44" i="28"/>
  <c r="AX45" i="28"/>
  <c r="AY45" i="28"/>
  <c r="AX46" i="28"/>
  <c r="AY46" i="28"/>
  <c r="AX37" i="28"/>
  <c r="AY37" i="28"/>
  <c r="AX38" i="28"/>
  <c r="AY38" i="28"/>
  <c r="AX39" i="28"/>
  <c r="AY39" i="28"/>
  <c r="AX40" i="28"/>
  <c r="AY40" i="28"/>
  <c r="AX41" i="28"/>
  <c r="AY41" i="28"/>
  <c r="AX43" i="28"/>
  <c r="AY43" i="28"/>
  <c r="AX32" i="28"/>
  <c r="AY32" i="28"/>
  <c r="AX26" i="28"/>
  <c r="AY26" i="28"/>
  <c r="U80" i="28"/>
  <c r="CU4" i="2" s="1"/>
  <c r="U79" i="28"/>
  <c r="U78" i="28"/>
  <c r="CS4" i="2" s="1"/>
  <c r="U77" i="28"/>
  <c r="CR4" i="2" s="1"/>
  <c r="U263" i="28"/>
  <c r="U259" i="28"/>
  <c r="U241" i="28"/>
  <c r="DA4" i="2" s="1"/>
  <c r="U220" i="28"/>
  <c r="CZ4" i="2" s="1"/>
  <c r="U192" i="28"/>
  <c r="CY4" i="2" s="1"/>
  <c r="U72" i="28"/>
  <c r="CQ4" i="2" s="1"/>
  <c r="U59" i="28"/>
  <c r="CP4" i="2" s="1"/>
  <c r="U57" i="28"/>
  <c r="CO4" i="2" s="1"/>
  <c r="U52" i="28"/>
  <c r="CN4" i="2"/>
  <c r="U50" i="28"/>
  <c r="CM4" i="2" s="1"/>
  <c r="U47" i="28"/>
  <c r="CL4" i="2" s="1"/>
  <c r="U45" i="28"/>
  <c r="CK4" i="2" s="1"/>
  <c r="U42" i="28"/>
  <c r="CJ4" i="2" s="1"/>
  <c r="U36" i="28"/>
  <c r="CI4" i="2" s="1"/>
  <c r="U29" i="28"/>
  <c r="CH4" i="2" s="1"/>
  <c r="U26" i="28"/>
  <c r="CG4" i="2" s="1"/>
  <c r="U23" i="28"/>
  <c r="CF4" i="2"/>
  <c r="M155" i="29"/>
  <c r="M154" i="29"/>
  <c r="M153" i="29"/>
  <c r="M152" i="29"/>
  <c r="M130" i="29"/>
  <c r="M106" i="29"/>
  <c r="M105" i="29"/>
  <c r="M103" i="29"/>
  <c r="M90" i="29"/>
  <c r="M88" i="29"/>
  <c r="M87" i="29"/>
  <c r="M85" i="29"/>
  <c r="M84" i="29"/>
  <c r="M20" i="29"/>
  <c r="M19" i="29"/>
  <c r="M18" i="29"/>
  <c r="U24" i="25"/>
  <c r="CC4" i="2" s="1"/>
  <c r="U111" i="25"/>
  <c r="CD4" i="2" s="1"/>
  <c r="AX48" i="25"/>
  <c r="AY48" i="25"/>
  <c r="AX49" i="25"/>
  <c r="AY49" i="25"/>
  <c r="AX50" i="25"/>
  <c r="AY50" i="25"/>
  <c r="AX51" i="25"/>
  <c r="AY51" i="25"/>
  <c r="AX52" i="25"/>
  <c r="AY52" i="25"/>
  <c r="AX54" i="25"/>
  <c r="AY54" i="25"/>
  <c r="AX55" i="25"/>
  <c r="AY55" i="25"/>
  <c r="AX56" i="25"/>
  <c r="AY56" i="25"/>
  <c r="AX57" i="25"/>
  <c r="AY57" i="25"/>
  <c r="AX36" i="25"/>
  <c r="AY36" i="25"/>
  <c r="Z12" i="23"/>
  <c r="BI793" i="16" s="1"/>
  <c r="Q12" i="7"/>
  <c r="N4" i="2"/>
  <c r="J4" i="2"/>
  <c r="K4" i="2"/>
  <c r="L4" i="2"/>
  <c r="M4" i="2"/>
  <c r="S62" i="16"/>
  <c r="S65" i="16" s="1"/>
  <c r="T65" i="16" s="1"/>
  <c r="AD65" i="16" s="1"/>
  <c r="AC65" i="16" s="1"/>
  <c r="S63" i="8"/>
  <c r="O63" i="8" s="1"/>
  <c r="O20" i="8"/>
  <c r="AO20" i="8" s="1"/>
  <c r="O19" i="16"/>
  <c r="E19" i="76" s="1"/>
  <c r="AS229" i="16"/>
  <c r="AS219" i="16"/>
  <c r="AS213" i="16"/>
  <c r="AS209" i="16"/>
  <c r="AS208" i="16"/>
  <c r="AS206" i="16"/>
  <c r="Y229" i="16"/>
  <c r="Y219" i="16"/>
  <c r="Y213" i="16"/>
  <c r="Y209" i="16"/>
  <c r="Y208" i="16"/>
  <c r="Y206" i="16"/>
  <c r="AS230" i="8"/>
  <c r="AS220" i="8"/>
  <c r="AS214" i="8"/>
  <c r="AS210" i="8"/>
  <c r="AS209" i="8"/>
  <c r="AS207" i="8"/>
  <c r="AE763" i="16"/>
  <c r="AF763" i="16" s="1"/>
  <c r="AE524" i="24"/>
  <c r="AC524" i="24" s="1"/>
  <c r="AX271" i="16"/>
  <c r="AX272" i="16"/>
  <c r="AX273" i="16"/>
  <c r="AX274" i="16"/>
  <c r="AX275" i="16"/>
  <c r="AX276" i="16"/>
  <c r="AX277" i="16"/>
  <c r="AX278" i="16"/>
  <c r="AX279" i="16"/>
  <c r="AX280" i="16"/>
  <c r="AX284" i="16"/>
  <c r="AX285" i="16"/>
  <c r="AX286" i="16"/>
  <c r="AX287" i="16"/>
  <c r="AX288" i="16"/>
  <c r="AX289" i="16"/>
  <c r="AX290" i="16"/>
  <c r="AX292" i="16"/>
  <c r="AX293" i="16"/>
  <c r="AX268" i="16"/>
  <c r="Y771" i="16"/>
  <c r="Y762" i="16"/>
  <c r="Y755" i="16"/>
  <c r="Y753" i="16"/>
  <c r="Y749" i="16"/>
  <c r="Y748" i="16"/>
  <c r="Y747" i="16"/>
  <c r="Y745" i="16"/>
  <c r="Y743" i="16"/>
  <c r="Y739" i="16"/>
  <c r="Y734" i="16"/>
  <c r="Y730" i="16"/>
  <c r="Y729" i="16"/>
  <c r="Y728" i="16"/>
  <c r="Y727" i="16"/>
  <c r="Y726" i="16"/>
  <c r="Y725" i="16"/>
  <c r="Y724" i="16"/>
  <c r="Y713" i="16"/>
  <c r="Y706" i="16"/>
  <c r="Y700" i="16"/>
  <c r="Y694" i="16"/>
  <c r="Y688" i="16"/>
  <c r="Y681" i="16"/>
  <c r="Y674" i="16"/>
  <c r="Y668" i="16"/>
  <c r="Y661" i="16"/>
  <c r="Y652" i="16"/>
  <c r="Y639" i="16"/>
  <c r="Y636" i="16"/>
  <c r="Y627" i="16"/>
  <c r="Y624" i="16"/>
  <c r="Y623" i="16"/>
  <c r="Y621" i="16"/>
  <c r="Y612" i="16"/>
  <c r="Y610" i="16"/>
  <c r="Y609" i="16"/>
  <c r="Y607" i="16"/>
  <c r="Y606" i="16"/>
  <c r="Y579" i="16"/>
  <c r="Y574" i="16"/>
  <c r="Y573" i="16"/>
  <c r="Y566" i="16"/>
  <c r="Y553" i="16"/>
  <c r="Y538" i="16"/>
  <c r="Y530" i="16"/>
  <c r="Y528" i="16"/>
  <c r="Y526" i="16"/>
  <c r="Y524" i="16"/>
  <c r="Y520" i="16"/>
  <c r="Y513" i="16"/>
  <c r="Y507" i="16"/>
  <c r="Y503" i="16"/>
  <c r="Y501" i="16"/>
  <c r="Y496" i="16"/>
  <c r="Y492" i="16"/>
  <c r="Y489" i="16"/>
  <c r="Y488" i="16"/>
  <c r="Y486" i="16"/>
  <c r="Y481" i="16"/>
  <c r="Y480" i="16"/>
  <c r="Y478" i="16"/>
  <c r="Y472" i="16"/>
  <c r="Y469" i="16"/>
  <c r="Y465" i="16"/>
  <c r="Y453" i="16"/>
  <c r="Y451" i="16"/>
  <c r="Y449" i="16"/>
  <c r="Y443" i="16"/>
  <c r="Y439" i="16"/>
  <c r="Y438" i="16"/>
  <c r="Y435" i="16"/>
  <c r="Y423" i="16"/>
  <c r="Y411" i="16"/>
  <c r="Y407" i="16"/>
  <c r="Y405" i="16"/>
  <c r="Y403" i="16"/>
  <c r="Y400" i="16"/>
  <c r="Y398" i="16"/>
  <c r="Y385" i="16"/>
  <c r="Y376" i="16"/>
  <c r="Y371" i="16"/>
  <c r="Y369" i="16"/>
  <c r="Y362" i="16"/>
  <c r="Y360" i="16"/>
  <c r="Y352" i="16"/>
  <c r="Y349" i="16"/>
  <c r="Y343" i="16"/>
  <c r="Y340" i="16"/>
  <c r="Y336" i="16"/>
  <c r="Y323" i="16"/>
  <c r="Y305" i="16"/>
  <c r="Y300" i="16"/>
  <c r="Y299" i="16"/>
  <c r="Y298" i="16"/>
  <c r="Y297" i="16"/>
  <c r="Y296" i="16"/>
  <c r="Y288" i="16"/>
  <c r="Y287" i="16"/>
  <c r="Y286" i="16"/>
  <c r="Y285" i="16"/>
  <c r="Y284" i="16"/>
  <c r="Y283" i="16"/>
  <c r="Y277" i="16"/>
  <c r="Y274" i="16"/>
  <c r="Y271" i="16"/>
  <c r="Y242" i="16"/>
  <c r="Y239" i="16"/>
  <c r="Y238" i="16"/>
  <c r="Y232" i="16"/>
  <c r="Y192" i="16"/>
  <c r="Y191" i="16"/>
  <c r="Y188" i="16"/>
  <c r="Y184" i="16"/>
  <c r="Y182" i="16"/>
  <c r="Y180" i="16"/>
  <c r="Y179" i="16"/>
  <c r="Y177" i="16"/>
  <c r="Y174" i="16"/>
  <c r="Y167" i="16"/>
  <c r="Y162" i="16"/>
  <c r="Y153" i="16"/>
  <c r="Y146" i="16"/>
  <c r="Y144" i="16"/>
  <c r="Y142" i="16"/>
  <c r="Y140" i="16"/>
  <c r="Y137" i="16"/>
  <c r="Y135" i="16"/>
  <c r="Y130" i="16"/>
  <c r="Y129" i="16"/>
  <c r="Y124" i="16"/>
  <c r="Y122" i="16"/>
  <c r="Y120" i="16"/>
  <c r="Y118" i="16"/>
  <c r="Y112" i="16"/>
  <c r="Y108" i="16"/>
  <c r="Y103" i="16"/>
  <c r="Y96" i="16"/>
  <c r="Y93" i="16"/>
  <c r="Y86" i="16"/>
  <c r="Y73" i="16"/>
  <c r="Y60" i="16"/>
  <c r="Y47" i="16"/>
  <c r="Y42" i="16"/>
  <c r="Y37" i="16"/>
  <c r="Y253" i="16"/>
  <c r="S739" i="16"/>
  <c r="T739" i="16" s="1"/>
  <c r="AD739" i="16" s="1"/>
  <c r="AC739" i="16" s="1"/>
  <c r="S743" i="16"/>
  <c r="T743" i="16" s="1"/>
  <c r="AD743" i="16" s="1"/>
  <c r="AC743" i="16" s="1"/>
  <c r="BD255" i="16"/>
  <c r="BC255" i="16"/>
  <c r="AX266" i="16"/>
  <c r="AX264" i="16"/>
  <c r="AX263" i="16"/>
  <c r="AX261" i="16"/>
  <c r="AX260" i="16"/>
  <c r="AX259" i="16"/>
  <c r="AX257" i="16"/>
  <c r="AX256" i="16"/>
  <c r="AX255" i="16"/>
  <c r="AX254" i="16"/>
  <c r="AX253" i="16"/>
  <c r="AX252" i="16"/>
  <c r="AX250" i="16"/>
  <c r="AQ773" i="16"/>
  <c r="AE773" i="16"/>
  <c r="AF773" i="16" s="1"/>
  <c r="AS771" i="16"/>
  <c r="AQ763" i="16"/>
  <c r="AS762" i="16"/>
  <c r="AM757" i="16"/>
  <c r="AS755" i="16"/>
  <c r="AQ755" i="16"/>
  <c r="AM755" i="16"/>
  <c r="AS753" i="16"/>
  <c r="AQ753" i="16"/>
  <c r="AM753" i="16"/>
  <c r="AS749" i="16"/>
  <c r="AQ749" i="16"/>
  <c r="AM749" i="16"/>
  <c r="AS748" i="16"/>
  <c r="AQ748" i="16"/>
  <c r="AM748" i="16"/>
  <c r="AS747" i="16"/>
  <c r="AQ747" i="16"/>
  <c r="AM747" i="16"/>
  <c r="AS745" i="16"/>
  <c r="AQ745" i="16"/>
  <c r="AM745" i="16"/>
  <c r="AS743" i="16"/>
  <c r="AQ743" i="16"/>
  <c r="AM743" i="16"/>
  <c r="AS739" i="16"/>
  <c r="AQ739" i="16"/>
  <c r="AM739" i="16"/>
  <c r="AS734" i="16"/>
  <c r="AQ734" i="16"/>
  <c r="AM734" i="16"/>
  <c r="AM732" i="16"/>
  <c r="AS730" i="16"/>
  <c r="AQ730" i="16"/>
  <c r="AM730" i="16"/>
  <c r="AD730" i="16"/>
  <c r="AC730" i="16" s="1"/>
  <c r="AS729" i="16"/>
  <c r="AQ729" i="16"/>
  <c r="AM729" i="16"/>
  <c r="AD729" i="16"/>
  <c r="AC729" i="16" s="1"/>
  <c r="AS728" i="16"/>
  <c r="AQ728" i="16"/>
  <c r="AM728" i="16"/>
  <c r="AD728" i="16"/>
  <c r="AC728" i="16" s="1"/>
  <c r="AS727" i="16"/>
  <c r="AQ727" i="16"/>
  <c r="AM727" i="16"/>
  <c r="AD727" i="16"/>
  <c r="AC727" i="16" s="1"/>
  <c r="AS726" i="16"/>
  <c r="AQ726" i="16"/>
  <c r="AM726" i="16"/>
  <c r="AD726" i="16"/>
  <c r="AC726" i="16" s="1"/>
  <c r="AS725" i="16"/>
  <c r="AQ725" i="16"/>
  <c r="AM725" i="16"/>
  <c r="AD725" i="16"/>
  <c r="AC725" i="16" s="1"/>
  <c r="AS724" i="16"/>
  <c r="AQ724" i="16"/>
  <c r="AM724" i="16"/>
  <c r="AD724" i="16"/>
  <c r="AC724" i="16" s="1"/>
  <c r="AM721" i="16"/>
  <c r="AS713" i="16"/>
  <c r="AQ713" i="16"/>
  <c r="AM713" i="16"/>
  <c r="AE713" i="16"/>
  <c r="AF713" i="16" s="1"/>
  <c r="AQ707" i="16"/>
  <c r="AE707" i="16"/>
  <c r="AF707" i="16" s="1"/>
  <c r="AS706" i="16"/>
  <c r="AQ701" i="16"/>
  <c r="AE701" i="16"/>
  <c r="AF701" i="16" s="1"/>
  <c r="AS700" i="16"/>
  <c r="AQ695" i="16"/>
  <c r="AE695" i="16"/>
  <c r="AF695" i="16" s="1"/>
  <c r="AS694" i="16"/>
  <c r="AQ689" i="16"/>
  <c r="AE689" i="16"/>
  <c r="AF689" i="16" s="1"/>
  <c r="AS688" i="16"/>
  <c r="AM688" i="16"/>
  <c r="AQ683" i="16"/>
  <c r="AE683" i="16"/>
  <c r="AF683" i="16" s="1"/>
  <c r="AS681" i="16"/>
  <c r="AQ676" i="16"/>
  <c r="AE676" i="16"/>
  <c r="AF676" i="16" s="1"/>
  <c r="AS674" i="16"/>
  <c r="AM674" i="16"/>
  <c r="AM670" i="16"/>
  <c r="AS668" i="16"/>
  <c r="AQ668" i="16"/>
  <c r="AM668" i="16"/>
  <c r="AS661" i="16"/>
  <c r="AQ661" i="16"/>
  <c r="AM661" i="16"/>
  <c r="AS652" i="16"/>
  <c r="AQ652" i="16"/>
  <c r="AM652" i="16"/>
  <c r="AQ640" i="16"/>
  <c r="AE640" i="16"/>
  <c r="AF640" i="16" s="1"/>
  <c r="AS639" i="16"/>
  <c r="AQ637" i="16"/>
  <c r="AE637" i="16"/>
  <c r="AF637" i="16" s="1"/>
  <c r="AS636" i="16"/>
  <c r="AM636" i="16"/>
  <c r="AS627" i="16"/>
  <c r="AQ627" i="16"/>
  <c r="AM627" i="16"/>
  <c r="AE627" i="16"/>
  <c r="AF627" i="16" s="1"/>
  <c r="AS624" i="16"/>
  <c r="AQ624" i="16"/>
  <c r="AM624" i="16"/>
  <c r="AS623" i="16"/>
  <c r="AQ623" i="16"/>
  <c r="AM623" i="16"/>
  <c r="AS621" i="16"/>
  <c r="AQ621" i="16"/>
  <c r="AM621" i="16"/>
  <c r="AS612" i="16"/>
  <c r="AQ612" i="16"/>
  <c r="AM612" i="16"/>
  <c r="AE612" i="16"/>
  <c r="AF612" i="16" s="1"/>
  <c r="AS610" i="16"/>
  <c r="AQ610" i="16"/>
  <c r="AE610" i="16"/>
  <c r="AF610" i="16" s="1"/>
  <c r="AS609" i="16"/>
  <c r="AQ609" i="16"/>
  <c r="AM609" i="16"/>
  <c r="AE609" i="16"/>
  <c r="AF609" i="16" s="1"/>
  <c r="AS607" i="16"/>
  <c r="AQ607" i="16"/>
  <c r="AE607" i="16"/>
  <c r="AF607" i="16" s="1"/>
  <c r="AS606" i="16"/>
  <c r="AQ606" i="16"/>
  <c r="AM606" i="16"/>
  <c r="AE606" i="16"/>
  <c r="AF606" i="16" s="1"/>
  <c r="AM593" i="16"/>
  <c r="AM591" i="16"/>
  <c r="AM589" i="16"/>
  <c r="AQ586" i="16"/>
  <c r="AE586" i="16"/>
  <c r="AF586" i="16" s="1"/>
  <c r="AQ585" i="16"/>
  <c r="AQ584" i="16"/>
  <c r="AQ583" i="16"/>
  <c r="AQ582" i="16"/>
  <c r="AQ581" i="16"/>
  <c r="AQ580" i="16"/>
  <c r="AS579" i="16"/>
  <c r="AQ579" i="16"/>
  <c r="AS574" i="16"/>
  <c r="AQ574" i="16"/>
  <c r="AE574" i="16"/>
  <c r="AF574" i="16" s="1"/>
  <c r="AS573" i="16"/>
  <c r="AQ573" i="16"/>
  <c r="AE573" i="16"/>
  <c r="AF573" i="16" s="1"/>
  <c r="AQ572" i="16"/>
  <c r="AQ571" i="16"/>
  <c r="AQ570" i="16"/>
  <c r="AQ569" i="16"/>
  <c r="AQ568" i="16"/>
  <c r="AQ567" i="16"/>
  <c r="AS566" i="16"/>
  <c r="AQ566" i="16"/>
  <c r="AM565" i="16"/>
  <c r="AM564" i="16"/>
  <c r="AM562" i="16"/>
  <c r="AS553" i="16"/>
  <c r="AQ553" i="16"/>
  <c r="AM553" i="16"/>
  <c r="AQ551" i="16"/>
  <c r="AS538" i="16"/>
  <c r="AQ538" i="16"/>
  <c r="AM538" i="16"/>
  <c r="AQ531" i="16"/>
  <c r="AE531" i="16"/>
  <c r="AS530" i="16"/>
  <c r="AQ529" i="16"/>
  <c r="AE529" i="16"/>
  <c r="AF529" i="16" s="1"/>
  <c r="AS528" i="16"/>
  <c r="AQ527" i="16"/>
  <c r="AE527" i="16"/>
  <c r="AF527" i="16" s="1"/>
  <c r="AS526" i="16"/>
  <c r="AQ525" i="16"/>
  <c r="AE525" i="16"/>
  <c r="AF525" i="16" s="1"/>
  <c r="AS524" i="16"/>
  <c r="AM524" i="16"/>
  <c r="AS520" i="16"/>
  <c r="AQ520" i="16"/>
  <c r="AM520" i="16"/>
  <c r="AE520" i="16"/>
  <c r="AF520" i="16" s="1"/>
  <c r="AS513" i="16"/>
  <c r="AQ513" i="16"/>
  <c r="AM513" i="16"/>
  <c r="AE513" i="16"/>
  <c r="AF513" i="16" s="1"/>
  <c r="AS507" i="16"/>
  <c r="AQ507" i="16"/>
  <c r="AM507" i="16"/>
  <c r="AE507" i="16"/>
  <c r="AF507" i="16" s="1"/>
  <c r="AS503" i="16"/>
  <c r="AQ503" i="16"/>
  <c r="AM503" i="16"/>
  <c r="AS501" i="16"/>
  <c r="AQ501" i="16"/>
  <c r="AM501" i="16"/>
  <c r="AS496" i="16"/>
  <c r="AQ496" i="16"/>
  <c r="AE496" i="16"/>
  <c r="AF496" i="16" s="1"/>
  <c r="AD496" i="16"/>
  <c r="AS492" i="16"/>
  <c r="AQ492" i="16"/>
  <c r="AM492" i="16"/>
  <c r="AS489" i="16"/>
  <c r="AQ489" i="16"/>
  <c r="AS488" i="16"/>
  <c r="AQ488" i="16"/>
  <c r="AS486" i="16"/>
  <c r="AQ486" i="16"/>
  <c r="AM482" i="16"/>
  <c r="AS481" i="16"/>
  <c r="AQ481" i="16"/>
  <c r="AM481" i="16"/>
  <c r="AS480" i="16"/>
  <c r="AQ480" i="16"/>
  <c r="AM480" i="16"/>
  <c r="AS478" i="16"/>
  <c r="AQ478" i="16"/>
  <c r="AD478" i="16"/>
  <c r="AS472" i="16"/>
  <c r="AQ472" i="16"/>
  <c r="AD472" i="16"/>
  <c r="AS469" i="16"/>
  <c r="AQ469" i="16"/>
  <c r="AM469" i="16"/>
  <c r="AS465" i="16"/>
  <c r="AQ465" i="16"/>
  <c r="AD465" i="16"/>
  <c r="AS453" i="16"/>
  <c r="AQ453" i="16"/>
  <c r="AM452" i="16"/>
  <c r="AS451" i="16"/>
  <c r="AQ451" i="16"/>
  <c r="AM451" i="16"/>
  <c r="AS449" i="16"/>
  <c r="AQ449" i="16"/>
  <c r="AM449" i="16"/>
  <c r="AM447" i="16"/>
  <c r="AM444" i="16"/>
  <c r="AS443" i="16"/>
  <c r="AQ443" i="16"/>
  <c r="AS439" i="16"/>
  <c r="AQ439" i="16"/>
  <c r="AM439" i="16"/>
  <c r="AS438" i="16"/>
  <c r="AQ438" i="16"/>
  <c r="AM438" i="16"/>
  <c r="AS435" i="16"/>
  <c r="AQ435" i="16"/>
  <c r="AM435" i="16"/>
  <c r="AS423" i="16"/>
  <c r="AQ423" i="16"/>
  <c r="AD423" i="16"/>
  <c r="AS411" i="16"/>
  <c r="AQ411" i="16"/>
  <c r="AD411" i="16"/>
  <c r="AS407" i="16"/>
  <c r="AQ407" i="16"/>
  <c r="AM407" i="16"/>
  <c r="AS405" i="16"/>
  <c r="AQ405" i="16"/>
  <c r="AM405" i="16"/>
  <c r="AS403" i="16"/>
  <c r="AQ403" i="16"/>
  <c r="AM403" i="16"/>
  <c r="AS400" i="16"/>
  <c r="AQ400" i="16"/>
  <c r="AD400" i="16"/>
  <c r="AS398" i="16"/>
  <c r="AQ398" i="16"/>
  <c r="AM398" i="16"/>
  <c r="AQ393" i="16"/>
  <c r="AM393" i="16"/>
  <c r="AQ389" i="16"/>
  <c r="AM389" i="16"/>
  <c r="AS385" i="16"/>
  <c r="AQ385" i="16"/>
  <c r="AM385" i="16"/>
  <c r="AQ379" i="16"/>
  <c r="AM379" i="16"/>
  <c r="AQ377" i="16"/>
  <c r="AM377" i="16"/>
  <c r="AS376" i="16"/>
  <c r="AQ376" i="16"/>
  <c r="AS371" i="16"/>
  <c r="AQ371" i="16"/>
  <c r="AS369" i="16"/>
  <c r="AQ369" i="16"/>
  <c r="AM369" i="16"/>
  <c r="AS362" i="16"/>
  <c r="AQ362" i="16"/>
  <c r="AS360" i="16"/>
  <c r="AQ360" i="16"/>
  <c r="AM360" i="16"/>
  <c r="AS352" i="16"/>
  <c r="AQ352" i="16"/>
  <c r="AM352" i="16"/>
  <c r="AS349" i="16"/>
  <c r="AQ349" i="16"/>
  <c r="AQ347" i="16"/>
  <c r="AQ346" i="16"/>
  <c r="AS343" i="16"/>
  <c r="AM343" i="16"/>
  <c r="AS340" i="16"/>
  <c r="AQ340" i="16"/>
  <c r="AM340" i="16"/>
  <c r="AS336" i="16"/>
  <c r="AQ336" i="16"/>
  <c r="AS323" i="16"/>
  <c r="AQ323" i="16"/>
  <c r="AM323" i="16"/>
  <c r="AE323" i="16"/>
  <c r="AF323" i="16" s="1"/>
  <c r="AM321" i="16"/>
  <c r="AM319" i="16"/>
  <c r="AM318" i="16"/>
  <c r="AQ316" i="16"/>
  <c r="AQ314" i="16"/>
  <c r="AQ310" i="16"/>
  <c r="AQ309" i="16"/>
  <c r="AQ308" i="16"/>
  <c r="AS305" i="16"/>
  <c r="AM305" i="16"/>
  <c r="AM304" i="16"/>
  <c r="AM303" i="16"/>
  <c r="AQ301" i="16"/>
  <c r="AS300" i="16"/>
  <c r="AM300" i="16"/>
  <c r="AS299" i="16"/>
  <c r="AQ299" i="16"/>
  <c r="AM299" i="16"/>
  <c r="AS298" i="16"/>
  <c r="AQ298" i="16"/>
  <c r="AM298" i="16"/>
  <c r="AS297" i="16"/>
  <c r="AQ297" i="16"/>
  <c r="AM297" i="16"/>
  <c r="AS296" i="16"/>
  <c r="AQ296" i="16"/>
  <c r="AM296" i="16"/>
  <c r="AM291" i="16"/>
  <c r="AS288" i="16"/>
  <c r="AQ288" i="16"/>
  <c r="AM288" i="16"/>
  <c r="AS287" i="16"/>
  <c r="AQ287" i="16"/>
  <c r="AM287" i="16"/>
  <c r="AS286" i="16"/>
  <c r="AQ286" i="16"/>
  <c r="AM286" i="16"/>
  <c r="AS285" i="16"/>
  <c r="AQ285" i="16"/>
  <c r="AM285" i="16"/>
  <c r="AS284" i="16"/>
  <c r="AQ284" i="16"/>
  <c r="AM284" i="16"/>
  <c r="AS283" i="16"/>
  <c r="AQ283" i="16"/>
  <c r="AM283" i="16"/>
  <c r="AS277" i="16"/>
  <c r="AQ277" i="16"/>
  <c r="AM277" i="16"/>
  <c r="AS274" i="16"/>
  <c r="AQ274" i="16"/>
  <c r="AM274" i="16"/>
  <c r="AS271" i="16"/>
  <c r="AQ271" i="16"/>
  <c r="AM271" i="16"/>
  <c r="AM261" i="16"/>
  <c r="AM260" i="16"/>
  <c r="AM259" i="16"/>
  <c r="AM258" i="16"/>
  <c r="AM257" i="16"/>
  <c r="AC256" i="16"/>
  <c r="AS253" i="16"/>
  <c r="O28" i="16"/>
  <c r="E28" i="76" s="1"/>
  <c r="O757" i="16"/>
  <c r="E757" i="76" s="1"/>
  <c r="O721" i="16"/>
  <c r="E721" i="76" s="1"/>
  <c r="U713" i="16"/>
  <c r="U707" i="16"/>
  <c r="S707" i="16"/>
  <c r="T707" i="16" s="1"/>
  <c r="AD707" i="16" s="1"/>
  <c r="U701" i="16"/>
  <c r="S701" i="16"/>
  <c r="T701" i="16" s="1"/>
  <c r="AD701" i="16" s="1"/>
  <c r="U695" i="16"/>
  <c r="S695" i="16"/>
  <c r="T695" i="16" s="1"/>
  <c r="AD695" i="16" s="1"/>
  <c r="U689" i="16"/>
  <c r="S689" i="16"/>
  <c r="T689" i="16" s="1"/>
  <c r="AD689" i="16" s="1"/>
  <c r="U683" i="16"/>
  <c r="S683" i="16"/>
  <c r="T683" i="16" s="1"/>
  <c r="AD683" i="16" s="1"/>
  <c r="U676" i="16"/>
  <c r="S676" i="16"/>
  <c r="T676" i="16" s="1"/>
  <c r="AD676" i="16" s="1"/>
  <c r="S668" i="16"/>
  <c r="T668" i="16" s="1"/>
  <c r="AD668" i="16" s="1"/>
  <c r="AC668" i="16" s="1"/>
  <c r="S661" i="16"/>
  <c r="T661" i="16" s="1"/>
  <c r="AD661" i="16" s="1"/>
  <c r="AC661" i="16" s="1"/>
  <c r="S652" i="16"/>
  <c r="O652" i="16" s="1"/>
  <c r="E652" i="76" s="1"/>
  <c r="U640" i="16"/>
  <c r="U637" i="16"/>
  <c r="U627" i="16"/>
  <c r="O624" i="16"/>
  <c r="E624" i="76" s="1"/>
  <c r="O623" i="16"/>
  <c r="O621" i="16"/>
  <c r="E621" i="76" s="1"/>
  <c r="U612" i="16"/>
  <c r="U610" i="16"/>
  <c r="U609" i="16"/>
  <c r="O609" i="16"/>
  <c r="E609" i="76" s="1"/>
  <c r="U607" i="16"/>
  <c r="U606" i="16"/>
  <c r="O606" i="16"/>
  <c r="E606" i="76" s="1"/>
  <c r="U586" i="16"/>
  <c r="U585" i="16"/>
  <c r="U584" i="16"/>
  <c r="U583" i="16"/>
  <c r="U582" i="16"/>
  <c r="U581" i="16"/>
  <c r="U580" i="16"/>
  <c r="U579" i="16"/>
  <c r="S579" i="16"/>
  <c r="T579" i="16" s="1"/>
  <c r="AD579" i="16" s="1"/>
  <c r="AC579" i="16" s="1"/>
  <c r="O562" i="16"/>
  <c r="E562" i="76" s="1"/>
  <c r="O553" i="16"/>
  <c r="E553" i="76" s="1"/>
  <c r="O538" i="16"/>
  <c r="E538" i="76" s="1"/>
  <c r="O524" i="16"/>
  <c r="AO524" i="16" s="1"/>
  <c r="O520" i="16"/>
  <c r="E520" i="76" s="1"/>
  <c r="O513" i="16"/>
  <c r="E513" i="76" s="1"/>
  <c r="O507" i="16"/>
  <c r="E507" i="76" s="1"/>
  <c r="O503" i="16"/>
  <c r="E503" i="76" s="1"/>
  <c r="O501" i="16"/>
  <c r="E501" i="76" s="1"/>
  <c r="R496" i="16"/>
  <c r="M496" i="16" s="1"/>
  <c r="AM496" i="16" s="1"/>
  <c r="O492" i="16"/>
  <c r="E492" i="76" s="1"/>
  <c r="O482" i="16"/>
  <c r="O481" i="16"/>
  <c r="E481" i="76" s="1"/>
  <c r="O480" i="16"/>
  <c r="E480" i="76" s="1"/>
  <c r="U478" i="16"/>
  <c r="R478" i="16"/>
  <c r="AE478" i="16" s="1"/>
  <c r="O478" i="16"/>
  <c r="E478" i="76" s="1"/>
  <c r="U472" i="16"/>
  <c r="R472" i="16"/>
  <c r="M472" i="16" s="1"/>
  <c r="AM472" i="16" s="1"/>
  <c r="U465" i="16"/>
  <c r="R465" i="16"/>
  <c r="AE465" i="16" s="1"/>
  <c r="U453" i="16"/>
  <c r="O451" i="16"/>
  <c r="E451" i="76" s="1"/>
  <c r="O449" i="16"/>
  <c r="E449" i="76" s="1"/>
  <c r="U443" i="16"/>
  <c r="O439" i="16"/>
  <c r="E439" i="76" s="1"/>
  <c r="O438" i="16"/>
  <c r="E438" i="76" s="1"/>
  <c r="O435" i="16"/>
  <c r="E435" i="76" s="1"/>
  <c r="R423" i="16"/>
  <c r="U411" i="16"/>
  <c r="R411" i="16"/>
  <c r="AE411" i="16" s="1"/>
  <c r="O407" i="16"/>
  <c r="E407" i="76" s="1"/>
  <c r="O405" i="16"/>
  <c r="E405" i="76" s="1"/>
  <c r="O403" i="16"/>
  <c r="E403" i="76" s="1"/>
  <c r="U400" i="16"/>
  <c r="R400" i="16"/>
  <c r="M400" i="16" s="1"/>
  <c r="AM400" i="16" s="1"/>
  <c r="O400" i="16"/>
  <c r="E400" i="76" s="1"/>
  <c r="O398" i="16"/>
  <c r="E398" i="76" s="1"/>
  <c r="U376" i="16"/>
  <c r="U371" i="16"/>
  <c r="U362" i="16"/>
  <c r="O352" i="16"/>
  <c r="E352" i="76" s="1"/>
  <c r="O340" i="16"/>
  <c r="E340" i="76" s="1"/>
  <c r="U316" i="16"/>
  <c r="U314" i="16"/>
  <c r="U310" i="16"/>
  <c r="U309" i="16"/>
  <c r="U308" i="16"/>
  <c r="U301" i="16"/>
  <c r="T299" i="16"/>
  <c r="AD299" i="16" s="1"/>
  <c r="AC299" i="16" s="1"/>
  <c r="T298" i="16"/>
  <c r="AD298" i="16" s="1"/>
  <c r="AC298" i="16" s="1"/>
  <c r="T297" i="16"/>
  <c r="AD297" i="16" s="1"/>
  <c r="AC297" i="16" s="1"/>
  <c r="T296" i="16"/>
  <c r="AD296" i="16" s="1"/>
  <c r="AC296" i="16" s="1"/>
  <c r="O288" i="16"/>
  <c r="E288" i="76" s="1"/>
  <c r="O287" i="16"/>
  <c r="E287" i="76" s="1"/>
  <c r="O286" i="16"/>
  <c r="E286" i="76" s="1"/>
  <c r="O285" i="16"/>
  <c r="E285" i="76" s="1"/>
  <c r="O284" i="16"/>
  <c r="E284" i="76" s="1"/>
  <c r="O283" i="16"/>
  <c r="E283" i="76" s="1"/>
  <c r="O277" i="16"/>
  <c r="E277" i="76" s="1"/>
  <c r="O274" i="16"/>
  <c r="E274" i="76" s="1"/>
  <c r="O271" i="16"/>
  <c r="E271" i="76" s="1"/>
  <c r="AX10" i="16"/>
  <c r="AS242" i="16"/>
  <c r="AQ242" i="16"/>
  <c r="AM242" i="16"/>
  <c r="AS239" i="16"/>
  <c r="AQ239" i="16"/>
  <c r="AM239" i="16"/>
  <c r="AS238" i="16"/>
  <c r="AQ238" i="16"/>
  <c r="AM238" i="16"/>
  <c r="AM237" i="16"/>
  <c r="AM236" i="16"/>
  <c r="AM235" i="16"/>
  <c r="AM234" i="16"/>
  <c r="AM233" i="16"/>
  <c r="AS232" i="16"/>
  <c r="AQ232" i="16"/>
  <c r="AQ229" i="16"/>
  <c r="AM229" i="16"/>
  <c r="AQ228" i="16"/>
  <c r="AQ224" i="16"/>
  <c r="AQ221" i="16"/>
  <c r="AM219" i="16"/>
  <c r="AM217" i="16"/>
  <c r="AM216" i="16"/>
  <c r="AM215" i="16"/>
  <c r="AQ213" i="16"/>
  <c r="AM212" i="16"/>
  <c r="AM211" i="16"/>
  <c r="AM210" i="16"/>
  <c r="AQ209" i="16"/>
  <c r="AQ208" i="16"/>
  <c r="AM208" i="16"/>
  <c r="AQ206" i="16"/>
  <c r="AM206" i="16"/>
  <c r="AQ198" i="16"/>
  <c r="AE198" i="16"/>
  <c r="AQ197" i="16"/>
  <c r="AQ196" i="16"/>
  <c r="AQ195" i="16"/>
  <c r="AQ194" i="16"/>
  <c r="AQ193" i="16"/>
  <c r="AS192" i="16"/>
  <c r="AM192" i="16"/>
  <c r="AE192" i="16"/>
  <c r="AF192" i="16" s="1"/>
  <c r="AS191" i="16"/>
  <c r="AQ191" i="16"/>
  <c r="AM191" i="16"/>
  <c r="AS188" i="16"/>
  <c r="AQ188" i="16"/>
  <c r="AM188" i="16"/>
  <c r="AS184" i="16"/>
  <c r="AQ184" i="16"/>
  <c r="AM184" i="16"/>
  <c r="AS182" i="16"/>
  <c r="AQ182" i="16"/>
  <c r="AM182" i="16"/>
  <c r="AS180" i="16"/>
  <c r="AQ180" i="16"/>
  <c r="AM180" i="16"/>
  <c r="AS179" i="16"/>
  <c r="AQ179" i="16"/>
  <c r="AM179" i="16"/>
  <c r="AS177" i="16"/>
  <c r="AQ177" i="16"/>
  <c r="AM177" i="16"/>
  <c r="AS174" i="16"/>
  <c r="AQ172" i="16"/>
  <c r="AM172" i="16"/>
  <c r="AQ170" i="16"/>
  <c r="AM170" i="16"/>
  <c r="AQ169" i="16"/>
  <c r="AM169" i="16"/>
  <c r="AS167" i="16"/>
  <c r="AS162" i="16"/>
  <c r="AQ162" i="16"/>
  <c r="AM162" i="16"/>
  <c r="AQ157" i="16"/>
  <c r="AM157" i="16"/>
  <c r="AQ155" i="16"/>
  <c r="AM155" i="16"/>
  <c r="AS153" i="16"/>
  <c r="AQ152" i="16"/>
  <c r="AO152" i="16"/>
  <c r="AM152" i="16"/>
  <c r="AQ150" i="16"/>
  <c r="AO150" i="16"/>
  <c r="AM150" i="16"/>
  <c r="AQ149" i="16"/>
  <c r="AO149" i="16"/>
  <c r="AM149" i="16"/>
  <c r="AQ148" i="16"/>
  <c r="AO148" i="16"/>
  <c r="AM148" i="16"/>
  <c r="AS146" i="16"/>
  <c r="AS144" i="16"/>
  <c r="AQ144" i="16"/>
  <c r="AM144" i="16"/>
  <c r="AS142" i="16"/>
  <c r="AQ142" i="16"/>
  <c r="AM142" i="16"/>
  <c r="AS140" i="16"/>
  <c r="AQ140" i="16"/>
  <c r="AM140" i="16"/>
  <c r="AS137" i="16"/>
  <c r="AQ137" i="16"/>
  <c r="AM137" i="16"/>
  <c r="AS135" i="16"/>
  <c r="AQ135" i="16"/>
  <c r="AS130" i="16"/>
  <c r="AQ130" i="16"/>
  <c r="AS129" i="16"/>
  <c r="AQ129" i="16"/>
  <c r="AS124" i="16"/>
  <c r="AQ124" i="16"/>
  <c r="AS122" i="16"/>
  <c r="AQ122" i="16"/>
  <c r="AS120" i="16"/>
  <c r="AQ120" i="16"/>
  <c r="AS118" i="16"/>
  <c r="AQ118" i="16"/>
  <c r="AS112" i="16"/>
  <c r="AQ112" i="16"/>
  <c r="AQ110" i="16"/>
  <c r="AS108" i="16"/>
  <c r="AM107" i="16"/>
  <c r="AM106" i="16"/>
  <c r="AM105" i="16"/>
  <c r="AS103" i="16"/>
  <c r="AQ103" i="16"/>
  <c r="AM102" i="16"/>
  <c r="AM101" i="16"/>
  <c r="AM100" i="16"/>
  <c r="AS96" i="16"/>
  <c r="AQ96" i="16"/>
  <c r="AS93" i="16"/>
  <c r="AQ93" i="16"/>
  <c r="AM93" i="16"/>
  <c r="AS86" i="16"/>
  <c r="AQ85" i="16"/>
  <c r="AM85" i="16"/>
  <c r="AQ84" i="16"/>
  <c r="AQ83" i="16"/>
  <c r="AQ81" i="16"/>
  <c r="AQ80" i="16"/>
  <c r="AM78" i="16"/>
  <c r="AQ76" i="16"/>
  <c r="AM76" i="16"/>
  <c r="AS73" i="16"/>
  <c r="AQ72" i="16"/>
  <c r="AM72" i="16"/>
  <c r="AQ70" i="16"/>
  <c r="AM70" i="16"/>
  <c r="AM69" i="16"/>
  <c r="AM68" i="16"/>
  <c r="AM67" i="16"/>
  <c r="AQ65" i="16"/>
  <c r="AQ63" i="16"/>
  <c r="AM63" i="16"/>
  <c r="AQ62" i="16"/>
  <c r="AM62" i="16"/>
  <c r="AQ61" i="16"/>
  <c r="AS60" i="16"/>
  <c r="AQ58" i="16"/>
  <c r="AM58" i="16"/>
  <c r="AQ56" i="16"/>
  <c r="AM56" i="16"/>
  <c r="AQ55" i="16"/>
  <c r="AM55" i="16"/>
  <c r="AQ54" i="16"/>
  <c r="AM54" i="16"/>
  <c r="AQ52" i="16"/>
  <c r="AM52" i="16"/>
  <c r="AQ50" i="16"/>
  <c r="AM50" i="16"/>
  <c r="AQ49" i="16"/>
  <c r="AM49" i="16"/>
  <c r="AS47" i="16"/>
  <c r="AS42" i="16"/>
  <c r="AS37" i="16"/>
  <c r="AQ37" i="16"/>
  <c r="AM37" i="16"/>
  <c r="AM35" i="16"/>
  <c r="AM34" i="16"/>
  <c r="AM33" i="16"/>
  <c r="AS31" i="16"/>
  <c r="AQ31" i="16"/>
  <c r="AS28" i="16"/>
  <c r="AQ28" i="16"/>
  <c r="AM28" i="16"/>
  <c r="AS19" i="16"/>
  <c r="AQ19" i="16"/>
  <c r="AM19" i="16"/>
  <c r="AE19" i="16"/>
  <c r="AF19" i="16" s="1"/>
  <c r="AS17" i="16"/>
  <c r="AQ17" i="16"/>
  <c r="AM17" i="16"/>
  <c r="AS15" i="16"/>
  <c r="AQ15" i="16"/>
  <c r="AM15" i="16"/>
  <c r="AS13" i="16"/>
  <c r="O239" i="16"/>
  <c r="E239" i="76" s="1"/>
  <c r="U232" i="16"/>
  <c r="O229" i="16"/>
  <c r="E229" i="76" s="1"/>
  <c r="O219" i="16"/>
  <c r="E219" i="76" s="1"/>
  <c r="U213" i="16"/>
  <c r="U209" i="16"/>
  <c r="O206" i="16"/>
  <c r="O192" i="16"/>
  <c r="E192" i="76" s="1"/>
  <c r="O191" i="16"/>
  <c r="E191" i="76" s="1"/>
  <c r="O188" i="16"/>
  <c r="O184" i="16"/>
  <c r="E184" i="76" s="1"/>
  <c r="O182" i="16"/>
  <c r="E182" i="76" s="1"/>
  <c r="O180" i="16"/>
  <c r="E180" i="76" s="1"/>
  <c r="O179" i="16"/>
  <c r="O177" i="16"/>
  <c r="E177" i="76" s="1"/>
  <c r="O172" i="16"/>
  <c r="E172" i="76" s="1"/>
  <c r="O170" i="16"/>
  <c r="E170" i="76" s="1"/>
  <c r="O169" i="16"/>
  <c r="O157" i="16"/>
  <c r="E157" i="76" s="1"/>
  <c r="O155" i="16"/>
  <c r="E155" i="76" s="1"/>
  <c r="O146" i="16"/>
  <c r="E146" i="76" s="1"/>
  <c r="S144" i="16"/>
  <c r="T144" i="16" s="1"/>
  <c r="AD144" i="16" s="1"/>
  <c r="AC144" i="16" s="1"/>
  <c r="S142" i="16"/>
  <c r="T142" i="16" s="1"/>
  <c r="AD142" i="16" s="1"/>
  <c r="AC142" i="16" s="1"/>
  <c r="S140" i="16"/>
  <c r="T140" i="16" s="1"/>
  <c r="AD140" i="16" s="1"/>
  <c r="AC140" i="16" s="1"/>
  <c r="S137" i="16"/>
  <c r="O137" i="16" s="1"/>
  <c r="E137" i="76" s="1"/>
  <c r="S135" i="16"/>
  <c r="T135" i="16" s="1"/>
  <c r="AD135" i="16" s="1"/>
  <c r="AC135" i="16" s="1"/>
  <c r="S130" i="16"/>
  <c r="T130" i="16" s="1"/>
  <c r="AD130" i="16" s="1"/>
  <c r="AC130" i="16" s="1"/>
  <c r="S129" i="16"/>
  <c r="T129" i="16" s="1"/>
  <c r="AD129" i="16" s="1"/>
  <c r="AC129" i="16" s="1"/>
  <c r="U124" i="16"/>
  <c r="S124" i="16"/>
  <c r="T124" i="16" s="1"/>
  <c r="AD124" i="16" s="1"/>
  <c r="AC124" i="16" s="1"/>
  <c r="S122" i="16"/>
  <c r="T122" i="16" s="1"/>
  <c r="AD122" i="16" s="1"/>
  <c r="AC122" i="16" s="1"/>
  <c r="S120" i="16"/>
  <c r="T120" i="16" s="1"/>
  <c r="AD120" i="16" s="1"/>
  <c r="AC120" i="16" s="1"/>
  <c r="S118" i="16"/>
  <c r="T118" i="16" s="1"/>
  <c r="AD118" i="16" s="1"/>
  <c r="AC118" i="16" s="1"/>
  <c r="U112" i="16"/>
  <c r="S112" i="16"/>
  <c r="T112" i="16" s="1"/>
  <c r="AD112" i="16" s="1"/>
  <c r="AC112" i="16" s="1"/>
  <c r="U110" i="16"/>
  <c r="U103" i="16"/>
  <c r="U96" i="16"/>
  <c r="O93" i="16"/>
  <c r="O85" i="16"/>
  <c r="E85" i="76" s="1"/>
  <c r="O78" i="16"/>
  <c r="E78" i="76" s="1"/>
  <c r="O76" i="16"/>
  <c r="E76" i="76" s="1"/>
  <c r="U65" i="16"/>
  <c r="O58" i="16"/>
  <c r="E58" i="76" s="1"/>
  <c r="O56" i="16"/>
  <c r="E56" i="76" s="1"/>
  <c r="O55" i="16"/>
  <c r="E55" i="76" s="1"/>
  <c r="O54" i="16"/>
  <c r="E54" i="76" s="1"/>
  <c r="S52" i="16"/>
  <c r="O52" i="16" s="1"/>
  <c r="E52" i="76" s="1"/>
  <c r="S50" i="16"/>
  <c r="T50" i="16" s="1"/>
  <c r="AD50" i="16" s="1"/>
  <c r="AC50" i="16" s="1"/>
  <c r="O49" i="16"/>
  <c r="O37" i="16"/>
  <c r="E37" i="76" s="1"/>
  <c r="O17" i="16"/>
  <c r="E17" i="76" s="1"/>
  <c r="O15" i="16"/>
  <c r="AS532" i="24"/>
  <c r="AS523" i="24"/>
  <c r="AS516" i="24"/>
  <c r="AS514" i="24"/>
  <c r="AS510" i="24"/>
  <c r="AS509" i="24"/>
  <c r="AS508" i="24"/>
  <c r="AS506" i="24"/>
  <c r="AS504" i="24"/>
  <c r="AS500" i="24"/>
  <c r="AS495" i="24"/>
  <c r="AS491" i="24"/>
  <c r="AS490" i="24"/>
  <c r="AS489" i="24"/>
  <c r="AS488" i="24"/>
  <c r="AS487" i="24"/>
  <c r="AS486" i="24"/>
  <c r="AS485" i="24"/>
  <c r="AS474" i="24"/>
  <c r="AS467" i="24"/>
  <c r="AS461" i="24"/>
  <c r="AS455" i="24"/>
  <c r="AS449" i="24"/>
  <c r="AS442" i="24"/>
  <c r="AS435" i="24"/>
  <c r="AS429" i="24"/>
  <c r="AS422" i="24"/>
  <c r="AS413" i="24"/>
  <c r="AS400" i="24"/>
  <c r="AS397" i="24"/>
  <c r="AS388" i="24"/>
  <c r="AS385" i="24"/>
  <c r="AS384" i="24"/>
  <c r="AS382" i="24"/>
  <c r="AS373" i="24"/>
  <c r="AS371" i="24"/>
  <c r="AS370" i="24"/>
  <c r="AS368" i="24"/>
  <c r="AS367" i="24"/>
  <c r="AS340" i="24"/>
  <c r="AS335" i="24"/>
  <c r="AS334" i="24"/>
  <c r="AS327" i="24"/>
  <c r="AS314" i="24"/>
  <c r="AS299" i="24"/>
  <c r="AS291" i="24"/>
  <c r="AS289" i="24"/>
  <c r="AS287" i="24"/>
  <c r="AS285" i="24"/>
  <c r="AS281" i="24"/>
  <c r="AS274" i="24"/>
  <c r="AS268" i="24"/>
  <c r="AS264" i="24"/>
  <c r="AS262" i="24"/>
  <c r="AS257" i="24"/>
  <c r="AS253" i="24"/>
  <c r="AS250" i="24"/>
  <c r="AS249" i="24"/>
  <c r="AS247" i="24"/>
  <c r="AS242" i="24"/>
  <c r="AS241" i="24"/>
  <c r="AS239" i="24"/>
  <c r="AS233" i="24"/>
  <c r="AS230" i="24"/>
  <c r="AS226" i="24"/>
  <c r="AS214" i="24"/>
  <c r="AS212" i="24"/>
  <c r="AS210" i="24"/>
  <c r="AS204" i="24"/>
  <c r="AS200" i="24"/>
  <c r="AS199" i="24"/>
  <c r="AS196" i="24"/>
  <c r="AS184" i="24"/>
  <c r="AS172" i="24"/>
  <c r="AS168" i="24"/>
  <c r="AS166" i="24"/>
  <c r="AS164" i="24"/>
  <c r="AS161" i="24"/>
  <c r="AS159" i="24"/>
  <c r="AS146" i="24"/>
  <c r="AS137" i="24"/>
  <c r="AS132" i="24"/>
  <c r="AS130" i="24"/>
  <c r="AS123" i="24"/>
  <c r="AS121" i="24"/>
  <c r="AS113" i="24"/>
  <c r="AS110" i="24"/>
  <c r="AS104" i="24"/>
  <c r="AS101" i="24"/>
  <c r="AS97" i="24"/>
  <c r="AS84" i="24"/>
  <c r="AS66" i="24"/>
  <c r="AS61" i="24"/>
  <c r="AS60" i="24"/>
  <c r="AS59" i="24"/>
  <c r="AS58" i="24"/>
  <c r="AS57" i="24"/>
  <c r="AS49" i="24"/>
  <c r="AS48" i="24"/>
  <c r="AS47" i="24"/>
  <c r="AS46" i="24"/>
  <c r="AS45" i="24"/>
  <c r="AS44" i="24"/>
  <c r="AS38" i="24"/>
  <c r="AS35" i="24"/>
  <c r="AS14" i="24"/>
  <c r="AQ534" i="24"/>
  <c r="AQ524" i="24"/>
  <c r="AQ516" i="24"/>
  <c r="AQ514" i="24"/>
  <c r="AQ510" i="24"/>
  <c r="AQ509" i="24"/>
  <c r="AQ508" i="24"/>
  <c r="AQ506" i="24"/>
  <c r="AQ504" i="24"/>
  <c r="AQ500" i="24"/>
  <c r="AQ495" i="24"/>
  <c r="AQ491" i="24"/>
  <c r="AQ490" i="24"/>
  <c r="AQ489" i="24"/>
  <c r="AQ488" i="24"/>
  <c r="AQ487" i="24"/>
  <c r="AQ486" i="24"/>
  <c r="AQ485" i="24"/>
  <c r="AQ474" i="24"/>
  <c r="AQ468" i="24"/>
  <c r="AQ462" i="24"/>
  <c r="AQ456" i="24"/>
  <c r="AQ450" i="24"/>
  <c r="AQ444" i="24"/>
  <c r="AQ437" i="24"/>
  <c r="AQ429" i="24"/>
  <c r="AQ422" i="24"/>
  <c r="AQ413" i="24"/>
  <c r="AQ401" i="24"/>
  <c r="AQ398" i="24"/>
  <c r="AQ388" i="24"/>
  <c r="AQ385" i="24"/>
  <c r="AQ384" i="24"/>
  <c r="AQ382" i="24"/>
  <c r="AQ373" i="24"/>
  <c r="AQ371" i="24"/>
  <c r="AQ370" i="24"/>
  <c r="AQ368" i="24"/>
  <c r="AQ367" i="24"/>
  <c r="AQ347" i="24"/>
  <c r="AQ346" i="24"/>
  <c r="AQ345" i="24"/>
  <c r="AQ344" i="24"/>
  <c r="AQ343" i="24"/>
  <c r="AQ342" i="24"/>
  <c r="AQ341" i="24"/>
  <c r="AQ340" i="24"/>
  <c r="AQ335" i="24"/>
  <c r="AQ334" i="24"/>
  <c r="AQ333" i="24"/>
  <c r="AQ332" i="24"/>
  <c r="AQ331" i="24"/>
  <c r="AQ330" i="24"/>
  <c r="AQ329" i="24"/>
  <c r="AQ328" i="24"/>
  <c r="AQ327" i="24"/>
  <c r="AQ314" i="24"/>
  <c r="AQ312" i="24"/>
  <c r="AQ299" i="24"/>
  <c r="AQ292" i="24"/>
  <c r="AQ290" i="24"/>
  <c r="AQ288" i="24"/>
  <c r="AQ286" i="24"/>
  <c r="AQ281" i="24"/>
  <c r="AQ274" i="24"/>
  <c r="AQ268" i="24"/>
  <c r="AQ264" i="24"/>
  <c r="AQ262" i="24"/>
  <c r="AQ257" i="24"/>
  <c r="AQ253" i="24"/>
  <c r="AQ250" i="24"/>
  <c r="AQ249" i="24"/>
  <c r="AQ247" i="24"/>
  <c r="AQ242" i="24"/>
  <c r="AQ241" i="24"/>
  <c r="AQ239" i="24"/>
  <c r="AQ233" i="24"/>
  <c r="AQ230" i="24"/>
  <c r="AQ226" i="24"/>
  <c r="AQ214" i="24"/>
  <c r="AQ212" i="24"/>
  <c r="AQ210" i="24"/>
  <c r="AQ204" i="24"/>
  <c r="AQ200" i="24"/>
  <c r="AQ199" i="24"/>
  <c r="AQ196" i="24"/>
  <c r="AQ184" i="24"/>
  <c r="AQ172" i="24"/>
  <c r="AQ168" i="24"/>
  <c r="AQ166" i="24"/>
  <c r="AQ164" i="24"/>
  <c r="AQ161" i="24"/>
  <c r="AQ159" i="24"/>
  <c r="AQ154" i="24"/>
  <c r="AQ150" i="24"/>
  <c r="AQ146" i="24"/>
  <c r="AQ140" i="24"/>
  <c r="AQ138" i="24"/>
  <c r="AQ137" i="24"/>
  <c r="AQ132" i="24"/>
  <c r="AQ130" i="24"/>
  <c r="AQ123" i="24"/>
  <c r="AQ121" i="24"/>
  <c r="AQ113" i="24"/>
  <c r="AQ110" i="24"/>
  <c r="AQ108" i="24"/>
  <c r="AQ107" i="24"/>
  <c r="AQ101" i="24"/>
  <c r="AQ97" i="24"/>
  <c r="AQ84" i="24"/>
  <c r="AQ77" i="24"/>
  <c r="AQ75" i="24"/>
  <c r="AQ71" i="24"/>
  <c r="AQ70" i="24"/>
  <c r="AQ69" i="24"/>
  <c r="AQ62" i="24"/>
  <c r="AQ60" i="24"/>
  <c r="AQ59" i="24"/>
  <c r="AQ58" i="24"/>
  <c r="AQ57" i="24"/>
  <c r="AQ49" i="24"/>
  <c r="AQ48" i="24"/>
  <c r="AQ47" i="24"/>
  <c r="AQ46" i="24"/>
  <c r="AQ45" i="24"/>
  <c r="AQ44" i="24"/>
  <c r="AQ38" i="24"/>
  <c r="AQ35" i="24"/>
  <c r="O314" i="24"/>
  <c r="I552" i="66" s="1"/>
  <c r="AM48" i="24"/>
  <c r="AM518" i="24"/>
  <c r="AM516" i="24"/>
  <c r="AM514" i="24"/>
  <c r="AM510" i="24"/>
  <c r="AM509" i="24"/>
  <c r="AM508" i="24"/>
  <c r="AM506" i="24"/>
  <c r="AM504" i="24"/>
  <c r="AM500" i="24"/>
  <c r="AM495" i="24"/>
  <c r="AM493" i="24"/>
  <c r="AM491" i="24"/>
  <c r="AM490" i="24"/>
  <c r="AM489" i="24"/>
  <c r="AM488" i="24"/>
  <c r="AM487" i="24"/>
  <c r="AM486" i="24"/>
  <c r="AM485" i="24"/>
  <c r="AM482" i="24"/>
  <c r="AM474" i="24"/>
  <c r="AM449" i="24"/>
  <c r="AM435" i="24"/>
  <c r="AM431" i="24"/>
  <c r="AM429" i="24"/>
  <c r="AM422" i="24"/>
  <c r="AM413" i="24"/>
  <c r="AM397" i="24"/>
  <c r="AM388" i="24"/>
  <c r="AM385" i="24"/>
  <c r="AM384" i="24"/>
  <c r="AM382" i="24"/>
  <c r="AM373" i="24"/>
  <c r="AM370" i="24"/>
  <c r="AM367" i="24"/>
  <c r="AM354" i="24"/>
  <c r="AM352" i="24"/>
  <c r="AM350" i="24"/>
  <c r="AM326" i="24"/>
  <c r="AM325" i="24"/>
  <c r="AM323" i="24"/>
  <c r="AM314" i="24"/>
  <c r="AM299" i="24"/>
  <c r="AM285" i="24"/>
  <c r="AM281" i="24"/>
  <c r="AM274" i="24"/>
  <c r="AM268" i="24"/>
  <c r="AM264" i="24"/>
  <c r="AM262" i="24"/>
  <c r="AM253" i="24"/>
  <c r="AM243" i="24"/>
  <c r="AM242" i="24"/>
  <c r="AM241" i="24"/>
  <c r="AM230" i="24"/>
  <c r="AM213" i="24"/>
  <c r="AM212" i="24"/>
  <c r="AM210" i="24"/>
  <c r="AM208" i="24"/>
  <c r="AM205" i="24"/>
  <c r="AM200" i="24"/>
  <c r="AM199" i="24"/>
  <c r="AM196" i="24"/>
  <c r="AM168" i="24"/>
  <c r="AM166" i="24"/>
  <c r="AM164" i="24"/>
  <c r="AM159" i="24"/>
  <c r="AM154" i="24"/>
  <c r="AM150" i="24"/>
  <c r="AM146" i="24"/>
  <c r="AM140" i="24"/>
  <c r="AM138" i="24"/>
  <c r="AM130" i="24"/>
  <c r="AM121" i="24"/>
  <c r="AM113" i="24"/>
  <c r="AM104" i="24"/>
  <c r="AM101" i="24"/>
  <c r="AM84" i="24"/>
  <c r="AM82" i="24"/>
  <c r="AM80" i="24"/>
  <c r="AM79" i="24"/>
  <c r="AM66" i="24"/>
  <c r="AM65" i="24"/>
  <c r="AM64" i="24"/>
  <c r="AM61" i="24"/>
  <c r="AM60" i="24"/>
  <c r="AM59" i="24"/>
  <c r="AM58" i="24"/>
  <c r="AM57" i="24"/>
  <c r="AM52" i="24"/>
  <c r="AM49" i="24"/>
  <c r="AM47" i="24"/>
  <c r="AM46" i="24"/>
  <c r="AM45" i="24"/>
  <c r="AM44" i="24"/>
  <c r="AM38" i="24"/>
  <c r="AM35" i="24"/>
  <c r="AM22" i="24"/>
  <c r="AM21" i="24"/>
  <c r="AM20" i="24"/>
  <c r="AM19" i="24"/>
  <c r="AM18" i="24"/>
  <c r="AS32" i="24"/>
  <c r="AQ32" i="24"/>
  <c r="AM32" i="24"/>
  <c r="O167" i="29"/>
  <c r="AE534" i="24"/>
  <c r="AC534" i="24" s="1"/>
  <c r="O518" i="24"/>
  <c r="S504" i="24"/>
  <c r="T504" i="24" s="1"/>
  <c r="AD504" i="24" s="1"/>
  <c r="AC504" i="24" s="1"/>
  <c r="S500" i="24"/>
  <c r="AE474" i="24"/>
  <c r="AC474" i="24" s="1"/>
  <c r="U474" i="24"/>
  <c r="CA4" i="2" s="1"/>
  <c r="S429" i="24"/>
  <c r="T429" i="24" s="1"/>
  <c r="AD429" i="24" s="1"/>
  <c r="AC429" i="24" s="1"/>
  <c r="S422" i="24"/>
  <c r="T422" i="24" s="1"/>
  <c r="AD422" i="24" s="1"/>
  <c r="AC422" i="24" s="1"/>
  <c r="S413" i="24"/>
  <c r="T413" i="24" s="1"/>
  <c r="AD413" i="24" s="1"/>
  <c r="AC413" i="24" s="1"/>
  <c r="S468" i="24"/>
  <c r="T468" i="24" s="1"/>
  <c r="AD468" i="24" s="1"/>
  <c r="S462" i="24"/>
  <c r="T462" i="24" s="1"/>
  <c r="AD462" i="24" s="1"/>
  <c r="S456" i="24"/>
  <c r="T456" i="24" s="1"/>
  <c r="AD456" i="24" s="1"/>
  <c r="S450" i="24"/>
  <c r="T450" i="24" s="1"/>
  <c r="AD450" i="24" s="1"/>
  <c r="S444" i="24"/>
  <c r="T444" i="24" s="1"/>
  <c r="AD444" i="24" s="1"/>
  <c r="S437" i="24"/>
  <c r="T437" i="24" s="1"/>
  <c r="AD437" i="24" s="1"/>
  <c r="AE468" i="24"/>
  <c r="AE462" i="24"/>
  <c r="AE456" i="24"/>
  <c r="AE450" i="24"/>
  <c r="U468" i="24"/>
  <c r="BZ4" i="2" s="1"/>
  <c r="U462" i="24"/>
  <c r="BY4" i="2" s="1"/>
  <c r="U456" i="24"/>
  <c r="BX4" i="2" s="1"/>
  <c r="U450" i="24"/>
  <c r="BW4" i="2" s="1"/>
  <c r="AE444" i="24"/>
  <c r="AE437" i="24"/>
  <c r="U444" i="24"/>
  <c r="BV4" i="2" s="1"/>
  <c r="U437" i="24"/>
  <c r="BU4" i="2" s="1"/>
  <c r="AE401" i="24"/>
  <c r="AC401" i="24" s="1"/>
  <c r="AE398" i="24"/>
  <c r="AC398" i="24" s="1"/>
  <c r="U401" i="24"/>
  <c r="BT4" i="2" s="1"/>
  <c r="U398" i="24"/>
  <c r="BS4" i="2" s="1"/>
  <c r="AE388" i="24"/>
  <c r="AC388" i="24" s="1"/>
  <c r="U388" i="24"/>
  <c r="BR4" i="2" s="1"/>
  <c r="AE373" i="24"/>
  <c r="AC373" i="24" s="1"/>
  <c r="U373" i="24"/>
  <c r="BQ4" i="2" s="1"/>
  <c r="AE371" i="24"/>
  <c r="AC371" i="24" s="1"/>
  <c r="AE370" i="24"/>
  <c r="AC370" i="24" s="1"/>
  <c r="AE368" i="24"/>
  <c r="AC368" i="24" s="1"/>
  <c r="AE367" i="24"/>
  <c r="AC367" i="24" s="1"/>
  <c r="S340" i="24"/>
  <c r="T340" i="24" s="1"/>
  <c r="AD340" i="24" s="1"/>
  <c r="AC340" i="24" s="1"/>
  <c r="O370" i="24"/>
  <c r="AO370" i="24" s="1"/>
  <c r="O367" i="24"/>
  <c r="AO367" i="24" s="1"/>
  <c r="U371" i="24"/>
  <c r="BP4" i="2" s="1"/>
  <c r="U370" i="24"/>
  <c r="BO4" i="2" s="1"/>
  <c r="U368" i="24"/>
  <c r="BN4" i="2" s="1"/>
  <c r="U367" i="24"/>
  <c r="BM4" i="2" s="1"/>
  <c r="AE335" i="24"/>
  <c r="AC335" i="24" s="1"/>
  <c r="AE334" i="24"/>
  <c r="AC334" i="24" s="1"/>
  <c r="O323" i="24"/>
  <c r="O299" i="24"/>
  <c r="AO299" i="24" s="1"/>
  <c r="O285" i="24"/>
  <c r="AE292" i="24"/>
  <c r="AC292" i="24" s="1"/>
  <c r="AE290" i="24"/>
  <c r="AC290" i="24" s="1"/>
  <c r="AE288" i="24"/>
  <c r="AC288" i="24" s="1"/>
  <c r="AE286" i="24"/>
  <c r="AC286" i="24" s="1"/>
  <c r="AE274" i="24"/>
  <c r="AC274" i="24" s="1"/>
  <c r="O274" i="24"/>
  <c r="N513" i="16" s="1"/>
  <c r="O268" i="24"/>
  <c r="N507" i="16" s="1"/>
  <c r="AE268" i="24"/>
  <c r="AC268" i="24" s="1"/>
  <c r="AE281" i="24"/>
  <c r="AC281" i="24" s="1"/>
  <c r="O242" i="24"/>
  <c r="N481" i="16" s="1"/>
  <c r="G481" i="16" s="1"/>
  <c r="O241" i="24"/>
  <c r="N480" i="16" s="1"/>
  <c r="G480" i="16" s="1"/>
  <c r="AD239" i="24"/>
  <c r="O239" i="24"/>
  <c r="I477" i="66" s="1"/>
  <c r="AD233" i="24"/>
  <c r="R233" i="24"/>
  <c r="M233" i="24" s="1"/>
  <c r="AM233" i="24" s="1"/>
  <c r="U233" i="24"/>
  <c r="BC4" i="2" s="1"/>
  <c r="AD226" i="24"/>
  <c r="U214" i="24"/>
  <c r="BA4" i="2" s="1"/>
  <c r="R172" i="24"/>
  <c r="O168" i="24"/>
  <c r="AO168" i="24" s="1"/>
  <c r="O166" i="24"/>
  <c r="AO166" i="24" s="1"/>
  <c r="O164" i="24"/>
  <c r="N403" i="16" s="1"/>
  <c r="O159" i="24"/>
  <c r="AO159" i="24" s="1"/>
  <c r="O161" i="24"/>
  <c r="I399" i="66" s="1"/>
  <c r="O113" i="24"/>
  <c r="N352" i="16" s="1"/>
  <c r="U132" i="24"/>
  <c r="AU4" i="2" s="1"/>
  <c r="U123" i="24"/>
  <c r="AT4" i="2" s="1"/>
  <c r="O101" i="24"/>
  <c r="N340" i="16" s="1"/>
  <c r="R257" i="24"/>
  <c r="M257" i="24" s="1"/>
  <c r="AM257" i="24" s="1"/>
  <c r="R239" i="24"/>
  <c r="M239" i="24" s="1"/>
  <c r="AM239" i="24" s="1"/>
  <c r="R226" i="24"/>
  <c r="M226" i="24" s="1"/>
  <c r="AM226" i="24" s="1"/>
  <c r="R184" i="24"/>
  <c r="R161" i="24"/>
  <c r="AE161" i="24" s="1"/>
  <c r="AE84" i="24"/>
  <c r="AC84" i="24" s="1"/>
  <c r="AQ199" i="8"/>
  <c r="AQ198" i="8"/>
  <c r="AQ197" i="8"/>
  <c r="AQ196" i="8"/>
  <c r="AQ195" i="8"/>
  <c r="AQ194" i="8"/>
  <c r="AM193" i="8"/>
  <c r="AE199" i="8"/>
  <c r="AC199" i="8" s="1"/>
  <c r="O193" i="8"/>
  <c r="AD491" i="24"/>
  <c r="AC491" i="24" s="1"/>
  <c r="AD490" i="24"/>
  <c r="AC490" i="24" s="1"/>
  <c r="AD489" i="24"/>
  <c r="AC489" i="24" s="1"/>
  <c r="AD488" i="24"/>
  <c r="AC488" i="24" s="1"/>
  <c r="AD487" i="24"/>
  <c r="AC487" i="24" s="1"/>
  <c r="AD486" i="24"/>
  <c r="AC486" i="24" s="1"/>
  <c r="AD485" i="24"/>
  <c r="AC485" i="24" s="1"/>
  <c r="O385" i="24"/>
  <c r="AO385" i="24" s="1"/>
  <c r="O384" i="24"/>
  <c r="I622" i="66" s="1"/>
  <c r="O382" i="24"/>
  <c r="AO382" i="24" s="1"/>
  <c r="AE347" i="24"/>
  <c r="AC347" i="24" s="1"/>
  <c r="O482" i="24"/>
  <c r="U347" i="24"/>
  <c r="BL4" i="2" s="1"/>
  <c r="U346" i="24"/>
  <c r="BK4" i="2" s="1"/>
  <c r="U345" i="24"/>
  <c r="BJ4" i="2" s="1"/>
  <c r="U344" i="24"/>
  <c r="BI4" i="2" s="1"/>
  <c r="U343" i="24"/>
  <c r="BH4" i="2" s="1"/>
  <c r="U342" i="24"/>
  <c r="BG4" i="2" s="1"/>
  <c r="U341" i="24"/>
  <c r="BF4" i="2" s="1"/>
  <c r="U340" i="24"/>
  <c r="BE4" i="2" s="1"/>
  <c r="O281" i="24"/>
  <c r="I519" i="66" s="1"/>
  <c r="O264" i="24"/>
  <c r="I502" i="66" s="1"/>
  <c r="O262" i="24"/>
  <c r="I500" i="66" s="1"/>
  <c r="O253" i="24"/>
  <c r="AO253" i="24" s="1"/>
  <c r="AE257" i="24"/>
  <c r="AD257" i="24"/>
  <c r="O243" i="24"/>
  <c r="U239" i="24"/>
  <c r="BD4" i="2" s="1"/>
  <c r="U226" i="24"/>
  <c r="BB4" i="2" s="1"/>
  <c r="AD184" i="24"/>
  <c r="O212" i="24"/>
  <c r="I450" i="66" s="1"/>
  <c r="O210" i="24"/>
  <c r="I448" i="66" s="1"/>
  <c r="O200" i="24"/>
  <c r="N439" i="16" s="1"/>
  <c r="O199" i="24"/>
  <c r="AO199" i="24" s="1"/>
  <c r="O196" i="24"/>
  <c r="I434" i="66" s="1"/>
  <c r="U204" i="24"/>
  <c r="AZ4" i="2" s="1"/>
  <c r="AD172" i="24"/>
  <c r="U172" i="24"/>
  <c r="AX4" i="2" s="1"/>
  <c r="U137" i="24"/>
  <c r="AV4" i="2" s="1"/>
  <c r="AD161" i="24"/>
  <c r="U161" i="24"/>
  <c r="AW4" i="2" s="1"/>
  <c r="U77" i="24"/>
  <c r="AQ4" i="2" s="1"/>
  <c r="U75" i="24"/>
  <c r="AP4" i="2" s="1"/>
  <c r="U71" i="24"/>
  <c r="AO4" i="2" s="1"/>
  <c r="U70" i="24"/>
  <c r="AN4" i="2" s="1"/>
  <c r="U69" i="24"/>
  <c r="AM4" i="2" s="1"/>
  <c r="U62" i="24"/>
  <c r="AL4" i="2" s="1"/>
  <c r="O49" i="24"/>
  <c r="AO49" i="24" s="1"/>
  <c r="O48" i="24"/>
  <c r="AO48" i="24" s="1"/>
  <c r="O47" i="24"/>
  <c r="I285" i="66" s="1"/>
  <c r="O46" i="24"/>
  <c r="I284" i="66" s="1"/>
  <c r="O45" i="24"/>
  <c r="I283" i="66" s="1"/>
  <c r="O44" i="24"/>
  <c r="I282" i="66" s="1"/>
  <c r="O38" i="24"/>
  <c r="AO38" i="24" s="1"/>
  <c r="O35" i="24"/>
  <c r="I273" i="66" s="1"/>
  <c r="O32" i="24"/>
  <c r="I270" i="66" s="1"/>
  <c r="AQ243" i="8"/>
  <c r="AQ240" i="8"/>
  <c r="AQ239" i="8"/>
  <c r="AQ233" i="8"/>
  <c r="AQ230" i="8"/>
  <c r="AQ229" i="8"/>
  <c r="AQ225" i="8"/>
  <c r="AQ222" i="8"/>
  <c r="AQ214" i="8"/>
  <c r="AQ210" i="8"/>
  <c r="AQ209" i="8"/>
  <c r="AQ207" i="8"/>
  <c r="AQ192" i="8"/>
  <c r="AQ189" i="8"/>
  <c r="AQ185" i="8"/>
  <c r="AQ183" i="8"/>
  <c r="AQ181" i="8"/>
  <c r="AQ180" i="8"/>
  <c r="AQ178" i="8"/>
  <c r="AQ173" i="8"/>
  <c r="AQ171" i="8"/>
  <c r="AQ170" i="8"/>
  <c r="AQ163" i="8"/>
  <c r="AQ158" i="8"/>
  <c r="AQ156" i="8"/>
  <c r="AQ153" i="8"/>
  <c r="AQ151" i="8"/>
  <c r="AQ150" i="8"/>
  <c r="AQ149" i="8"/>
  <c r="AQ145" i="8"/>
  <c r="AQ143" i="8"/>
  <c r="AQ141" i="8"/>
  <c r="AQ138" i="8"/>
  <c r="AQ136" i="8"/>
  <c r="AQ131" i="8"/>
  <c r="AQ130" i="8"/>
  <c r="AQ125" i="8"/>
  <c r="AQ123" i="8"/>
  <c r="AQ121" i="8"/>
  <c r="AQ119" i="8"/>
  <c r="AQ113" i="8"/>
  <c r="AQ111" i="8"/>
  <c r="AQ104" i="8"/>
  <c r="AQ97" i="8"/>
  <c r="AQ94" i="8"/>
  <c r="AO153" i="8"/>
  <c r="AO151" i="8"/>
  <c r="AO150" i="8"/>
  <c r="AO149" i="8"/>
  <c r="AM243" i="8"/>
  <c r="AM240" i="8"/>
  <c r="AM239" i="8"/>
  <c r="AM238" i="8"/>
  <c r="AM237" i="8"/>
  <c r="AM236" i="8"/>
  <c r="AM235" i="8"/>
  <c r="AM234" i="8"/>
  <c r="AM230" i="8"/>
  <c r="AM220" i="8"/>
  <c r="AM218" i="8"/>
  <c r="AM217" i="8"/>
  <c r="AM216" i="8"/>
  <c r="AM213" i="8"/>
  <c r="AM212" i="8"/>
  <c r="AM211" i="8"/>
  <c r="AM209" i="8"/>
  <c r="AM207" i="8"/>
  <c r="AM192" i="8"/>
  <c r="AM189" i="8"/>
  <c r="AM185" i="8"/>
  <c r="AM183" i="8"/>
  <c r="AM181" i="8"/>
  <c r="AM180" i="8"/>
  <c r="AM178" i="8"/>
  <c r="AM173" i="8"/>
  <c r="AM171" i="8"/>
  <c r="AM170" i="8"/>
  <c r="AM163" i="8"/>
  <c r="AM158" i="8"/>
  <c r="AM156" i="8"/>
  <c r="AM153" i="8"/>
  <c r="AM151" i="8"/>
  <c r="AM150" i="8"/>
  <c r="AM149" i="8"/>
  <c r="AM145" i="8"/>
  <c r="AM143" i="8"/>
  <c r="AM141" i="8"/>
  <c r="AM138" i="8"/>
  <c r="AM108" i="8"/>
  <c r="AM107" i="8"/>
  <c r="AM106" i="8"/>
  <c r="AM103" i="8"/>
  <c r="AM102" i="8"/>
  <c r="AM101" i="8"/>
  <c r="AM94" i="8"/>
  <c r="AS243" i="8"/>
  <c r="AS240" i="8"/>
  <c r="AS239" i="8"/>
  <c r="AS233" i="8"/>
  <c r="AS193" i="8"/>
  <c r="AS192" i="8"/>
  <c r="AS189" i="8"/>
  <c r="AS185" i="8"/>
  <c r="AS183" i="8"/>
  <c r="AS181" i="8"/>
  <c r="AS180" i="8"/>
  <c r="AS178" i="8"/>
  <c r="AS175" i="8"/>
  <c r="AS168" i="8"/>
  <c r="AS163" i="8"/>
  <c r="AS154" i="8"/>
  <c r="AS147" i="8"/>
  <c r="AS145" i="8"/>
  <c r="AS143" i="8"/>
  <c r="AS141" i="8"/>
  <c r="AS138" i="8"/>
  <c r="AS136" i="8"/>
  <c r="AS131" i="8"/>
  <c r="AS130" i="8"/>
  <c r="AS125" i="8"/>
  <c r="AS123" i="8"/>
  <c r="AS121" i="8"/>
  <c r="AS119" i="8"/>
  <c r="AS113" i="8"/>
  <c r="AS109" i="8"/>
  <c r="AS104" i="8"/>
  <c r="AS97" i="8"/>
  <c r="AS94" i="8"/>
  <c r="AS87" i="8"/>
  <c r="O240" i="8"/>
  <c r="N239" i="16" s="1"/>
  <c r="O207" i="8"/>
  <c r="AE193" i="8"/>
  <c r="AC193" i="8" s="1"/>
  <c r="S145" i="8"/>
  <c r="T145" i="8" s="1"/>
  <c r="AD145" i="8" s="1"/>
  <c r="AC145" i="8" s="1"/>
  <c r="S143" i="8"/>
  <c r="S141" i="8"/>
  <c r="T141" i="8" s="1"/>
  <c r="AD141" i="8" s="1"/>
  <c r="AC141" i="8" s="1"/>
  <c r="S138" i="8"/>
  <c r="O138" i="8" s="1"/>
  <c r="S136" i="8"/>
  <c r="T136" i="8" s="1"/>
  <c r="AD136" i="8" s="1"/>
  <c r="AC136" i="8" s="1"/>
  <c r="S131" i="8"/>
  <c r="T131" i="8" s="1"/>
  <c r="AD131" i="8" s="1"/>
  <c r="AC131" i="8" s="1"/>
  <c r="S130" i="8"/>
  <c r="T130" i="8" s="1"/>
  <c r="AD130" i="8" s="1"/>
  <c r="AC130" i="8" s="1"/>
  <c r="S125" i="8"/>
  <c r="T125" i="8" s="1"/>
  <c r="AD125" i="8" s="1"/>
  <c r="AC125" i="8" s="1"/>
  <c r="S123" i="8"/>
  <c r="T123" i="8" s="1"/>
  <c r="AD123" i="8" s="1"/>
  <c r="AC123" i="8" s="1"/>
  <c r="S121" i="8"/>
  <c r="T121" i="8" s="1"/>
  <c r="AD121" i="8" s="1"/>
  <c r="AC121" i="8" s="1"/>
  <c r="S119" i="8"/>
  <c r="T119" i="8" s="1"/>
  <c r="AD119" i="8" s="1"/>
  <c r="AC119" i="8" s="1"/>
  <c r="S113" i="8"/>
  <c r="T113" i="8" s="1"/>
  <c r="AD113" i="8" s="1"/>
  <c r="AC113" i="8" s="1"/>
  <c r="O173" i="8"/>
  <c r="I171" i="66" s="1"/>
  <c r="O171" i="8"/>
  <c r="N170" i="16" s="1"/>
  <c r="O170" i="8"/>
  <c r="I168" i="66" s="1"/>
  <c r="O158" i="8"/>
  <c r="I156" i="66" s="1"/>
  <c r="O156" i="8"/>
  <c r="N155" i="16" s="1"/>
  <c r="O147" i="8"/>
  <c r="O94" i="8"/>
  <c r="I92" i="66" s="1"/>
  <c r="O230" i="8"/>
  <c r="N229" i="16" s="1"/>
  <c r="O220" i="8"/>
  <c r="O180" i="8"/>
  <c r="AO180" i="8" s="1"/>
  <c r="O185" i="8"/>
  <c r="I183" i="66" s="1"/>
  <c r="O189" i="8"/>
  <c r="I187" i="66" s="1"/>
  <c r="O192" i="8"/>
  <c r="N191" i="16" s="1"/>
  <c r="G191" i="16" s="1"/>
  <c r="O183" i="8"/>
  <c r="AO183" i="8" s="1"/>
  <c r="O181" i="8"/>
  <c r="AO181" i="8" s="1"/>
  <c r="O178" i="8"/>
  <c r="AO178" i="8" s="1"/>
  <c r="U111" i="8"/>
  <c r="AF4" i="2" s="1"/>
  <c r="AY62" i="28"/>
  <c r="AX62" i="28"/>
  <c r="AY61" i="28"/>
  <c r="AX61" i="28"/>
  <c r="AY59" i="28"/>
  <c r="AX59" i="28"/>
  <c r="AY58" i="28"/>
  <c r="AX58" i="28"/>
  <c r="AY57" i="28"/>
  <c r="AX57" i="28"/>
  <c r="AY56" i="28"/>
  <c r="AX56" i="28"/>
  <c r="AY55" i="28"/>
  <c r="AX55" i="28"/>
  <c r="AY54" i="28"/>
  <c r="AX54" i="28"/>
  <c r="AY53" i="28"/>
  <c r="AX53" i="28"/>
  <c r="AY51" i="28"/>
  <c r="AX51" i="28"/>
  <c r="AY50" i="28"/>
  <c r="AX50" i="28"/>
  <c r="AY49" i="28"/>
  <c r="AX49" i="28"/>
  <c r="AY48" i="28"/>
  <c r="AX48" i="28"/>
  <c r="AY47" i="28"/>
  <c r="AX47" i="28"/>
  <c r="AY36" i="28"/>
  <c r="AX36" i="28"/>
  <c r="AY35" i="28"/>
  <c r="AX35" i="28"/>
  <c r="AY34" i="28"/>
  <c r="AX34" i="28"/>
  <c r="AY33" i="28"/>
  <c r="AX33" i="28"/>
  <c r="AY31" i="28"/>
  <c r="AX31" i="28"/>
  <c r="AY30" i="28"/>
  <c r="AX30" i="28"/>
  <c r="AY28" i="28"/>
  <c r="AX28" i="28"/>
  <c r="AY25" i="28"/>
  <c r="AX25" i="28"/>
  <c r="AY24" i="28"/>
  <c r="AX24" i="28"/>
  <c r="AY21" i="28"/>
  <c r="AX21" i="28"/>
  <c r="AY20" i="28"/>
  <c r="AX20" i="28"/>
  <c r="AY19" i="28"/>
  <c r="AX19" i="28"/>
  <c r="AY17" i="28"/>
  <c r="AX17" i="28"/>
  <c r="AY16" i="28"/>
  <c r="AX16" i="28"/>
  <c r="BD15" i="28"/>
  <c r="BC15" i="28"/>
  <c r="AY15" i="28"/>
  <c r="AX15" i="28"/>
  <c r="AY14" i="28"/>
  <c r="AX14" i="28"/>
  <c r="AY13" i="28"/>
  <c r="AX13" i="28"/>
  <c r="AY12" i="28"/>
  <c r="AX12" i="28"/>
  <c r="AY11" i="28"/>
  <c r="AX11" i="28"/>
  <c r="AP128" i="27"/>
  <c r="AO128" i="27"/>
  <c r="AP127" i="27"/>
  <c r="AO127" i="27"/>
  <c r="AP125" i="27"/>
  <c r="AO125" i="27"/>
  <c r="AP124" i="27"/>
  <c r="AO124" i="27"/>
  <c r="AP123" i="27"/>
  <c r="AO123" i="27"/>
  <c r="AP122" i="27"/>
  <c r="AO122" i="27"/>
  <c r="AP121" i="27"/>
  <c r="AO121" i="27"/>
  <c r="AP120" i="27"/>
  <c r="AO120" i="27"/>
  <c r="AP119" i="27"/>
  <c r="AO119" i="27"/>
  <c r="AP117" i="27"/>
  <c r="AO117" i="27"/>
  <c r="AP116" i="27"/>
  <c r="AO116" i="27"/>
  <c r="AP115" i="27"/>
  <c r="AO115" i="27"/>
  <c r="AP114" i="27"/>
  <c r="AO114" i="27"/>
  <c r="AP113" i="27"/>
  <c r="AO113" i="27"/>
  <c r="AP102" i="27"/>
  <c r="AO102" i="27"/>
  <c r="AP101" i="27"/>
  <c r="AO101" i="27"/>
  <c r="AP100" i="27"/>
  <c r="AO100" i="27"/>
  <c r="AP99" i="27"/>
  <c r="AO99" i="27"/>
  <c r="AP97" i="27"/>
  <c r="AO97" i="27"/>
  <c r="AP96" i="27"/>
  <c r="AO96" i="27"/>
  <c r="AP94" i="27"/>
  <c r="AO94" i="27"/>
  <c r="AP91" i="27"/>
  <c r="AO91" i="27"/>
  <c r="AP90" i="27"/>
  <c r="AO90" i="27"/>
  <c r="AP88" i="27"/>
  <c r="AO88" i="27"/>
  <c r="AP87" i="27"/>
  <c r="AO87" i="27"/>
  <c r="AP86" i="27"/>
  <c r="AO86" i="27"/>
  <c r="AP84" i="27"/>
  <c r="AO84" i="27"/>
  <c r="AP83" i="27"/>
  <c r="AO83" i="27"/>
  <c r="AU82" i="27"/>
  <c r="AT82" i="27"/>
  <c r="AP82" i="27"/>
  <c r="AO82" i="27"/>
  <c r="AP81" i="27"/>
  <c r="AO81" i="27"/>
  <c r="AP80" i="27"/>
  <c r="AO80" i="27"/>
  <c r="AP79" i="27"/>
  <c r="AO79" i="27"/>
  <c r="AP78" i="27"/>
  <c r="AO78" i="27"/>
  <c r="AY73" i="25"/>
  <c r="AX73" i="25"/>
  <c r="AY72" i="25"/>
  <c r="AX72" i="25"/>
  <c r="AY70" i="25"/>
  <c r="AX70" i="25"/>
  <c r="AY69" i="25"/>
  <c r="AX69" i="25"/>
  <c r="AY68" i="25"/>
  <c r="AX68" i="25"/>
  <c r="AY67" i="25"/>
  <c r="AX67" i="25"/>
  <c r="AY66" i="25"/>
  <c r="AX66" i="25"/>
  <c r="AY65" i="25"/>
  <c r="AX65" i="25"/>
  <c r="AY64" i="25"/>
  <c r="AX64" i="25"/>
  <c r="AY62" i="25"/>
  <c r="AX62" i="25"/>
  <c r="AY61" i="25"/>
  <c r="AX61" i="25"/>
  <c r="AY60" i="25"/>
  <c r="AX60" i="25"/>
  <c r="AY59" i="25"/>
  <c r="AX59" i="25"/>
  <c r="AY58" i="25"/>
  <c r="AX58" i="25"/>
  <c r="AY47" i="25"/>
  <c r="AX47" i="25"/>
  <c r="AY46" i="25"/>
  <c r="AX46" i="25"/>
  <c r="AY45" i="25"/>
  <c r="AX45" i="25"/>
  <c r="AY44" i="25"/>
  <c r="AX44" i="25"/>
  <c r="AY41" i="25"/>
  <c r="AX41" i="25"/>
  <c r="AY40" i="25"/>
  <c r="AX40" i="25"/>
  <c r="AY38" i="25"/>
  <c r="AX38" i="25"/>
  <c r="AX33" i="25"/>
  <c r="AY32" i="25"/>
  <c r="AX32" i="25"/>
  <c r="AY30" i="25"/>
  <c r="AX30" i="25"/>
  <c r="AY29" i="25"/>
  <c r="AX29" i="25"/>
  <c r="AY28" i="25"/>
  <c r="AX28" i="25"/>
  <c r="AY26" i="25"/>
  <c r="AX26" i="25"/>
  <c r="AY25" i="25"/>
  <c r="AX25" i="25"/>
  <c r="BD24" i="25"/>
  <c r="BC24" i="25"/>
  <c r="AY24" i="25"/>
  <c r="AX24" i="25"/>
  <c r="AY23" i="25"/>
  <c r="AX23" i="25"/>
  <c r="AY22" i="25"/>
  <c r="AX22" i="25"/>
  <c r="AY21" i="25"/>
  <c r="AX21" i="25"/>
  <c r="AY20" i="25"/>
  <c r="AX20" i="25"/>
  <c r="AC17" i="24"/>
  <c r="AS74" i="8"/>
  <c r="AS61" i="8"/>
  <c r="AS48" i="8"/>
  <c r="AS43" i="8"/>
  <c r="AQ86" i="8"/>
  <c r="AQ85" i="8"/>
  <c r="AQ84" i="8"/>
  <c r="AQ82" i="8"/>
  <c r="AQ81" i="8"/>
  <c r="AQ77" i="8"/>
  <c r="AQ73" i="8"/>
  <c r="AQ71" i="8"/>
  <c r="AQ66" i="8"/>
  <c r="AQ62" i="8"/>
  <c r="AQ64" i="8"/>
  <c r="AQ63" i="8"/>
  <c r="AQ59" i="8"/>
  <c r="AQ57" i="8"/>
  <c r="AQ56" i="8"/>
  <c r="AQ55" i="8"/>
  <c r="AQ53" i="8"/>
  <c r="AQ51" i="8"/>
  <c r="AQ50" i="8"/>
  <c r="O38" i="8"/>
  <c r="N37" i="16" s="1"/>
  <c r="AS38" i="8"/>
  <c r="AQ38" i="8"/>
  <c r="AM86" i="8"/>
  <c r="AM79" i="8"/>
  <c r="AM77" i="8"/>
  <c r="AM73" i="8"/>
  <c r="AM71" i="8"/>
  <c r="AM70" i="8"/>
  <c r="AM69" i="8"/>
  <c r="AM68" i="8"/>
  <c r="AM64" i="8"/>
  <c r="AM63" i="8"/>
  <c r="AM59" i="8"/>
  <c r="AM57" i="8"/>
  <c r="AM56" i="8"/>
  <c r="AM55" i="8"/>
  <c r="AM53" i="8"/>
  <c r="AM51" i="8"/>
  <c r="AM50" i="8"/>
  <c r="AM38" i="8"/>
  <c r="S53" i="8"/>
  <c r="T53" i="8" s="1"/>
  <c r="AD53" i="8" s="1"/>
  <c r="AC53" i="8" s="1"/>
  <c r="S51" i="8"/>
  <c r="T51" i="8" s="1"/>
  <c r="AD51" i="8" s="1"/>
  <c r="AC51" i="8" s="1"/>
  <c r="O86" i="8"/>
  <c r="N85" i="16" s="1"/>
  <c r="G85" i="16" s="1"/>
  <c r="O79" i="8"/>
  <c r="O77" i="8"/>
  <c r="AO77" i="8" s="1"/>
  <c r="O59" i="8"/>
  <c r="AO59" i="8" s="1"/>
  <c r="O57" i="8"/>
  <c r="I55" i="66" s="1"/>
  <c r="O56" i="8"/>
  <c r="N55" i="16" s="1"/>
  <c r="G55" i="16" s="1"/>
  <c r="O55" i="8"/>
  <c r="I53" i="66" s="1"/>
  <c r="O50" i="8"/>
  <c r="AO50" i="8" s="1"/>
  <c r="AY68" i="24"/>
  <c r="AX68" i="24"/>
  <c r="AY67" i="24"/>
  <c r="AX67" i="24"/>
  <c r="AY65" i="24"/>
  <c r="AX65" i="24"/>
  <c r="AY64" i="24"/>
  <c r="AX64" i="24"/>
  <c r="AY63" i="24"/>
  <c r="AX63" i="24"/>
  <c r="AY62" i="24"/>
  <c r="AX62" i="24"/>
  <c r="AY61" i="24"/>
  <c r="AX61" i="24"/>
  <c r="AY60" i="24"/>
  <c r="AX60" i="24"/>
  <c r="AY59" i="24"/>
  <c r="AX59" i="24"/>
  <c r="AY57" i="24"/>
  <c r="AX57" i="24"/>
  <c r="AY54" i="24"/>
  <c r="AX54" i="24"/>
  <c r="AY53" i="24"/>
  <c r="AX53" i="24"/>
  <c r="AY52" i="24"/>
  <c r="AX52" i="24"/>
  <c r="AY51" i="24"/>
  <c r="AX51" i="24"/>
  <c r="AY38" i="24"/>
  <c r="AX38" i="24"/>
  <c r="AY37" i="24"/>
  <c r="AX37" i="24"/>
  <c r="AY36" i="24"/>
  <c r="AX36" i="24"/>
  <c r="AY35" i="24"/>
  <c r="AX35" i="24"/>
  <c r="AX33" i="24"/>
  <c r="AY32" i="24"/>
  <c r="AX32" i="24"/>
  <c r="AY28" i="24"/>
  <c r="AX28" i="24"/>
  <c r="AY25" i="24"/>
  <c r="AX25" i="24"/>
  <c r="AX24" i="24"/>
  <c r="AY22" i="24"/>
  <c r="AX22" i="24"/>
  <c r="AY21" i="24"/>
  <c r="AX21" i="24"/>
  <c r="AY20" i="24"/>
  <c r="AX20" i="24"/>
  <c r="AY18" i="24"/>
  <c r="AX18" i="24"/>
  <c r="AY17" i="24"/>
  <c r="AX17" i="24"/>
  <c r="BD16" i="24"/>
  <c r="BC16" i="24"/>
  <c r="AY16" i="24"/>
  <c r="AX16" i="24"/>
  <c r="AY15" i="24"/>
  <c r="AX15" i="24"/>
  <c r="AY14" i="24"/>
  <c r="AX14" i="24"/>
  <c r="AY13" i="24"/>
  <c r="AX13" i="24"/>
  <c r="AY11" i="24"/>
  <c r="AX11" i="24"/>
  <c r="U233" i="8"/>
  <c r="U214" i="8"/>
  <c r="AJ4" i="2" s="1"/>
  <c r="U210" i="8"/>
  <c r="AI4" i="2" s="1"/>
  <c r="U125" i="8"/>
  <c r="AH4" i="2" s="1"/>
  <c r="U113" i="8"/>
  <c r="AG4" i="2" s="1"/>
  <c r="U104" i="8"/>
  <c r="AE4" i="2" s="1"/>
  <c r="U97" i="8"/>
  <c r="AD4" i="2" s="1"/>
  <c r="U66" i="8"/>
  <c r="AC4" i="2" s="1"/>
  <c r="N10" i="3"/>
  <c r="E12" i="23"/>
  <c r="P12" i="23" s="1"/>
  <c r="AY14" i="16" s="1"/>
  <c r="Q59" i="23"/>
  <c r="Q58" i="23"/>
  <c r="Q46" i="23"/>
  <c r="R45" i="23"/>
  <c r="Q45" i="23"/>
  <c r="Q44" i="23"/>
  <c r="Q33" i="23"/>
  <c r="R32" i="23"/>
  <c r="Q32" i="23"/>
  <c r="R31" i="23"/>
  <c r="Q31" i="23"/>
  <c r="R30" i="23"/>
  <c r="Q30" i="23"/>
  <c r="S28" i="23"/>
  <c r="R28" i="23"/>
  <c r="Q28" i="23"/>
  <c r="S26" i="23"/>
  <c r="R26" i="23"/>
  <c r="Q26" i="23"/>
  <c r="P26" i="23"/>
  <c r="S25" i="23"/>
  <c r="R25" i="23"/>
  <c r="Q25" i="23"/>
  <c r="S18" i="23"/>
  <c r="R18" i="23"/>
  <c r="Q18" i="23"/>
  <c r="Q16" i="23"/>
  <c r="S13" i="23"/>
  <c r="R13" i="23"/>
  <c r="Q13" i="23"/>
  <c r="E13" i="23"/>
  <c r="P13" i="23"/>
  <c r="AY15" i="16" s="1"/>
  <c r="S12" i="23"/>
  <c r="R12" i="23"/>
  <c r="Q12" i="23"/>
  <c r="S11" i="23"/>
  <c r="R11" i="23"/>
  <c r="Q11" i="23"/>
  <c r="S10" i="23"/>
  <c r="R10" i="23"/>
  <c r="Q10" i="23"/>
  <c r="S9" i="23"/>
  <c r="R9" i="23"/>
  <c r="Q9" i="23"/>
  <c r="E59" i="23"/>
  <c r="P59" i="23"/>
  <c r="AY1247" i="16" s="1"/>
  <c r="E58" i="23"/>
  <c r="P58" i="23"/>
  <c r="AY292" i="16" s="1"/>
  <c r="E56" i="23"/>
  <c r="P56" i="23"/>
  <c r="AY986" i="16" s="1"/>
  <c r="E55" i="23"/>
  <c r="P55" i="23"/>
  <c r="AY985" i="16" s="1"/>
  <c r="E54" i="23"/>
  <c r="P54" i="23"/>
  <c r="AY837" i="16" s="1"/>
  <c r="E53" i="23"/>
  <c r="P53" i="23"/>
  <c r="AY1239" i="16" s="1"/>
  <c r="E52" i="23"/>
  <c r="P52" i="23"/>
  <c r="AY1238" i="16" s="1"/>
  <c r="E51" i="23"/>
  <c r="P51" i="23"/>
  <c r="AY1237" i="16" s="1"/>
  <c r="E48" i="23"/>
  <c r="P48" i="23"/>
  <c r="AY1234" i="16" s="1"/>
  <c r="E47" i="23"/>
  <c r="P47" i="23"/>
  <c r="AY977" i="16" s="1"/>
  <c r="E46" i="23"/>
  <c r="E45" i="23"/>
  <c r="P45" i="23"/>
  <c r="AY828" i="16" s="1"/>
  <c r="E44" i="23"/>
  <c r="P44" i="23"/>
  <c r="AY827" i="16" s="1"/>
  <c r="E33" i="23"/>
  <c r="P33" i="23"/>
  <c r="AY1219" i="16" s="1"/>
  <c r="E32" i="23"/>
  <c r="P32" i="23"/>
  <c r="AY961" i="16" s="1"/>
  <c r="E31" i="23"/>
  <c r="P31" i="23"/>
  <c r="AY960" i="16" s="1"/>
  <c r="E30" i="23"/>
  <c r="E28" i="23"/>
  <c r="E27" i="23"/>
  <c r="P27" i="23"/>
  <c r="AY809" i="16" s="1"/>
  <c r="E25" i="23"/>
  <c r="P25" i="23"/>
  <c r="G16" i="18" s="1"/>
  <c r="E22" i="23"/>
  <c r="E21" i="23"/>
  <c r="P21" i="23" s="1"/>
  <c r="E18" i="23"/>
  <c r="E17" i="23"/>
  <c r="E16" i="23"/>
  <c r="P16" i="23"/>
  <c r="G10" i="18" s="1"/>
  <c r="E14" i="23"/>
  <c r="P14" i="23" s="1"/>
  <c r="E11" i="23"/>
  <c r="P11" i="23" s="1"/>
  <c r="AY940" i="16" s="1"/>
  <c r="E10" i="23"/>
  <c r="P10" i="23"/>
  <c r="E9" i="23"/>
  <c r="P9" i="23" s="1"/>
  <c r="E8" i="23"/>
  <c r="P8" i="23"/>
  <c r="AY1194" i="16" s="1"/>
  <c r="AY16" i="8"/>
  <c r="BC15" i="8"/>
  <c r="BD15" i="8"/>
  <c r="AX18" i="16"/>
  <c r="AX19" i="16"/>
  <c r="AX20" i="16"/>
  <c r="AX22" i="16"/>
  <c r="AX23" i="16"/>
  <c r="AX26" i="16"/>
  <c r="AX28" i="16"/>
  <c r="AX29" i="16"/>
  <c r="AX11" i="16"/>
  <c r="AX12" i="16"/>
  <c r="AX12" i="8"/>
  <c r="AY12" i="8"/>
  <c r="AX13" i="8"/>
  <c r="AY13" i="8"/>
  <c r="AX14" i="8"/>
  <c r="AY14" i="8"/>
  <c r="AX15" i="8"/>
  <c r="AY15" i="8"/>
  <c r="AX16" i="8"/>
  <c r="AX17" i="8"/>
  <c r="AY17" i="8"/>
  <c r="AX19" i="8"/>
  <c r="AY19" i="8"/>
  <c r="AX20" i="8"/>
  <c r="AY20" i="8"/>
  <c r="AX21" i="8"/>
  <c r="AY21" i="8"/>
  <c r="AX23" i="8"/>
  <c r="AY23" i="8"/>
  <c r="AX24" i="8"/>
  <c r="AY24" i="8"/>
  <c r="AX27" i="8"/>
  <c r="AY27" i="8"/>
  <c r="AX29" i="8"/>
  <c r="AY29" i="8"/>
  <c r="AX30" i="8"/>
  <c r="AY30" i="8"/>
  <c r="AX32" i="8"/>
  <c r="AY32" i="8"/>
  <c r="AX33" i="8"/>
  <c r="AY33" i="8"/>
  <c r="AX34" i="8"/>
  <c r="AY34" i="8"/>
  <c r="AX35" i="8"/>
  <c r="AY35" i="8"/>
  <c r="AX46" i="8"/>
  <c r="AY46" i="8"/>
  <c r="AX47" i="8"/>
  <c r="AY47" i="8"/>
  <c r="AX48" i="8"/>
  <c r="AY48" i="8"/>
  <c r="AX50" i="8"/>
  <c r="AY50" i="8"/>
  <c r="AX51" i="8"/>
  <c r="AY51" i="8"/>
  <c r="AX53" i="8"/>
  <c r="AY53" i="8"/>
  <c r="AX54" i="8"/>
  <c r="AY54" i="8"/>
  <c r="AX55" i="8"/>
  <c r="AY55" i="8"/>
  <c r="AX56" i="8"/>
  <c r="AY56" i="8"/>
  <c r="AX57" i="8"/>
  <c r="AY57" i="8"/>
  <c r="AX58" i="8"/>
  <c r="AY58" i="8"/>
  <c r="AX59" i="8"/>
  <c r="AY59" i="8"/>
  <c r="AX61" i="8"/>
  <c r="AY61" i="8"/>
  <c r="AX62" i="8"/>
  <c r="AY62" i="8"/>
  <c r="AY11" i="8"/>
  <c r="AX11" i="8"/>
  <c r="Y12" i="23"/>
  <c r="BH14" i="16" s="1"/>
  <c r="X12" i="23"/>
  <c r="BG14" i="16" s="1"/>
  <c r="W12" i="23"/>
  <c r="BF14" i="16" s="1"/>
  <c r="V12" i="23"/>
  <c r="BE14" i="16" s="1"/>
  <c r="AS14" i="8"/>
  <c r="Y35" i="16"/>
  <c r="Y34" i="16"/>
  <c r="Y33" i="16"/>
  <c r="Y32" i="16"/>
  <c r="Y30" i="16"/>
  <c r="Y29" i="16"/>
  <c r="Y27" i="16"/>
  <c r="Y26" i="16"/>
  <c r="Y25" i="16"/>
  <c r="Y24" i="16"/>
  <c r="Y23" i="16"/>
  <c r="Y22" i="16"/>
  <c r="Y21" i="16"/>
  <c r="Y20" i="16"/>
  <c r="M16" i="3"/>
  <c r="M17" i="3"/>
  <c r="M18" i="3"/>
  <c r="M19" i="3"/>
  <c r="M20" i="3"/>
  <c r="M15" i="3"/>
  <c r="AE20" i="8"/>
  <c r="AC20" i="8" s="1"/>
  <c r="G16" i="3"/>
  <c r="G17" i="3"/>
  <c r="G18" i="3"/>
  <c r="G19" i="3"/>
  <c r="G20" i="3"/>
  <c r="G15" i="3"/>
  <c r="O29" i="8"/>
  <c r="AO29" i="8" s="1"/>
  <c r="O18" i="8"/>
  <c r="AO18" i="8" s="1"/>
  <c r="O16" i="8"/>
  <c r="I14" i="66" s="1"/>
  <c r="AB4" i="2"/>
  <c r="AM34" i="8"/>
  <c r="AM35" i="8"/>
  <c r="AM36" i="8"/>
  <c r="AS32" i="8"/>
  <c r="AQ32" i="8"/>
  <c r="AS29" i="8"/>
  <c r="AQ29" i="8"/>
  <c r="AM29" i="8"/>
  <c r="AS20" i="8"/>
  <c r="AQ20" i="8"/>
  <c r="AM20" i="8"/>
  <c r="AS18" i="8"/>
  <c r="AQ18" i="8"/>
  <c r="AM18" i="8"/>
  <c r="AS16" i="8"/>
  <c r="AQ16" i="8"/>
  <c r="AM16" i="8"/>
  <c r="N12" i="7"/>
  <c r="O12" i="7"/>
  <c r="BG15" i="8" s="1"/>
  <c r="P12" i="7"/>
  <c r="P13" i="7" s="1"/>
  <c r="M12" i="7"/>
  <c r="AV82" i="27" s="1"/>
  <c r="W4" i="2"/>
  <c r="X4" i="2"/>
  <c r="BC25" i="25"/>
  <c r="Q4" i="2"/>
  <c r="E4" i="2"/>
  <c r="F4" i="2"/>
  <c r="G4" i="2"/>
  <c r="H4" i="2"/>
  <c r="I4" i="2"/>
  <c r="O4" i="2"/>
  <c r="P4" i="2"/>
  <c r="R4" i="2"/>
  <c r="S4" i="2"/>
  <c r="T4" i="2"/>
  <c r="U4" i="2"/>
  <c r="V4" i="2"/>
  <c r="Y4" i="2"/>
  <c r="Z4" i="2"/>
  <c r="AA4" i="2"/>
  <c r="D4" i="2"/>
  <c r="R220" i="28"/>
  <c r="M220" i="28" s="1"/>
  <c r="AM220" i="28" s="1"/>
  <c r="I36" i="66"/>
  <c r="I75" i="66"/>
  <c r="AO185" i="8"/>
  <c r="AC80" i="28"/>
  <c r="I1040" i="66"/>
  <c r="I48" i="66"/>
  <c r="N206" i="16"/>
  <c r="I205" i="66"/>
  <c r="I179" i="66"/>
  <c r="I238" i="66"/>
  <c r="I181" i="66"/>
  <c r="AO274" i="24"/>
  <c r="I512" i="66"/>
  <c r="N609" i="16"/>
  <c r="G609" i="16" s="1"/>
  <c r="I608" i="66"/>
  <c r="N146" i="16"/>
  <c r="I1094" i="66"/>
  <c r="N76" i="16"/>
  <c r="G76" i="16" s="1"/>
  <c r="AO156" i="8"/>
  <c r="A988" i="66"/>
  <c r="A989" i="66" s="1"/>
  <c r="I987" i="66"/>
  <c r="A1136" i="66"/>
  <c r="I1135" i="66"/>
  <c r="AC253" i="28"/>
  <c r="R47" i="28"/>
  <c r="AE47" i="28" s="1"/>
  <c r="T47" i="28"/>
  <c r="AD47" i="28" s="1"/>
  <c r="G12" i="17"/>
  <c r="G12" i="18"/>
  <c r="C14" i="17"/>
  <c r="AO164" i="24"/>
  <c r="AC91" i="28"/>
  <c r="AC161" i="28"/>
  <c r="AC263" i="28"/>
  <c r="AC259" i="28"/>
  <c r="N182" i="16"/>
  <c r="AW82" i="27"/>
  <c r="AY277" i="16"/>
  <c r="AY61" i="16"/>
  <c r="N1066" i="16"/>
  <c r="AO165" i="28"/>
  <c r="N1106" i="16"/>
  <c r="AO205" i="28"/>
  <c r="O51" i="8"/>
  <c r="I49" i="66" s="1"/>
  <c r="N913" i="16"/>
  <c r="AO12" i="28"/>
  <c r="N999" i="16"/>
  <c r="AO98" i="28"/>
  <c r="N1147" i="16"/>
  <c r="AO246" i="28"/>
  <c r="AY35" i="16"/>
  <c r="AY272" i="16"/>
  <c r="BF16" i="24"/>
  <c r="N184" i="16"/>
  <c r="N919" i="16"/>
  <c r="N992" i="16"/>
  <c r="AO91" i="28"/>
  <c r="M170" i="28"/>
  <c r="AM170" i="28" s="1"/>
  <c r="AE170" i="28"/>
  <c r="AY260" i="16"/>
  <c r="AY46" i="16"/>
  <c r="AY280" i="16"/>
  <c r="N994" i="16"/>
  <c r="AO93" i="28"/>
  <c r="AY38" i="16"/>
  <c r="O141" i="8"/>
  <c r="N140" i="16" s="1"/>
  <c r="AY261" i="16"/>
  <c r="AE255" i="28"/>
  <c r="N1095" i="16"/>
  <c r="AO194" i="28"/>
  <c r="AC77" i="28"/>
  <c r="N1098" i="16"/>
  <c r="AO197" i="28"/>
  <c r="N1102" i="16"/>
  <c r="AO201" i="28"/>
  <c r="AY41" i="16"/>
  <c r="BD16" i="8"/>
  <c r="S147" i="29"/>
  <c r="T147" i="29" s="1"/>
  <c r="AD147" i="29" s="1"/>
  <c r="AC147" i="29" s="1"/>
  <c r="S148" i="29"/>
  <c r="T148" i="29" s="1"/>
  <c r="AD148" i="29" s="1"/>
  <c r="AC148" i="29" s="1"/>
  <c r="S42" i="29"/>
  <c r="T42" i="29" s="1"/>
  <c r="AD42" i="29" s="1"/>
  <c r="AC42" i="29" s="1"/>
  <c r="S112" i="29"/>
  <c r="T112" i="29" s="1"/>
  <c r="AD112" i="29" s="1"/>
  <c r="AC112" i="29" s="1"/>
  <c r="S23" i="29"/>
  <c r="T23" i="29" s="1"/>
  <c r="AD23" i="29" s="1"/>
  <c r="AC23" i="29" s="1"/>
  <c r="S95" i="29"/>
  <c r="T95" i="29" s="1"/>
  <c r="AD95" i="29" s="1"/>
  <c r="AC95" i="29" s="1"/>
  <c r="S16" i="29"/>
  <c r="T16" i="29" s="1"/>
  <c r="AD16" i="29" s="1"/>
  <c r="S142" i="29"/>
  <c r="T142" i="29" s="1"/>
  <c r="AD142" i="29" s="1"/>
  <c r="AC142" i="29" s="1"/>
  <c r="S44" i="29"/>
  <c r="T44" i="29" s="1"/>
  <c r="AD44" i="29" s="1"/>
  <c r="AC44" i="29" s="1"/>
  <c r="S49" i="29"/>
  <c r="T49" i="29" s="1"/>
  <c r="AD49" i="29" s="1"/>
  <c r="AC49" i="29" s="1"/>
  <c r="S54" i="29"/>
  <c r="T54" i="29" s="1"/>
  <c r="AD54" i="29" s="1"/>
  <c r="AC54" i="29" s="1"/>
  <c r="S135" i="29"/>
  <c r="T135" i="29" s="1"/>
  <c r="AD135" i="29" s="1"/>
  <c r="AC135" i="29" s="1"/>
  <c r="S120" i="29"/>
  <c r="T120" i="29" s="1"/>
  <c r="AD120" i="29" s="1"/>
  <c r="AC120" i="29" s="1"/>
  <c r="S149" i="29"/>
  <c r="T149" i="29" s="1"/>
  <c r="AD149" i="29" s="1"/>
  <c r="AC149" i="29" s="1"/>
  <c r="AU83" i="27"/>
  <c r="Q13" i="7"/>
  <c r="AT83" i="27"/>
  <c r="BC17" i="24"/>
  <c r="BC16" i="8"/>
  <c r="S119" i="29"/>
  <c r="T119" i="29" s="1"/>
  <c r="AD119" i="29" s="1"/>
  <c r="AC119" i="29" s="1"/>
  <c r="S109" i="29"/>
  <c r="T109" i="29" s="1"/>
  <c r="AD109" i="29" s="1"/>
  <c r="AC109" i="29" s="1"/>
  <c r="S131" i="29"/>
  <c r="T131" i="29" s="1"/>
  <c r="AD131" i="29" s="1"/>
  <c r="AC131" i="29" s="1"/>
  <c r="S151" i="29"/>
  <c r="R151" i="29" s="1"/>
  <c r="S32" i="29"/>
  <c r="T32" i="29" s="1"/>
  <c r="AD32" i="29" s="1"/>
  <c r="AC32" i="29" s="1"/>
  <c r="S17" i="29"/>
  <c r="T17" i="29" s="1"/>
  <c r="AD17" i="29" s="1"/>
  <c r="S52" i="29"/>
  <c r="T52" i="29" s="1"/>
  <c r="AD52" i="29" s="1"/>
  <c r="AC52" i="29" s="1"/>
  <c r="S27" i="29"/>
  <c r="T27" i="29" s="1"/>
  <c r="AD27" i="29" s="1"/>
  <c r="AC27" i="29" s="1"/>
  <c r="S150" i="29"/>
  <c r="T150" i="29" s="1"/>
  <c r="AD150" i="29" s="1"/>
  <c r="AC150" i="29" s="1"/>
  <c r="S31" i="29"/>
  <c r="T31" i="29" s="1"/>
  <c r="AD31" i="29" s="1"/>
  <c r="AC31" i="29" s="1"/>
  <c r="S89" i="29"/>
  <c r="R89" i="29" s="1"/>
  <c r="AE89" i="29" s="1"/>
  <c r="S91" i="29"/>
  <c r="T91" i="29" s="1"/>
  <c r="AD91" i="29" s="1"/>
  <c r="AC91" i="29" s="1"/>
  <c r="S25" i="29"/>
  <c r="T25" i="29" s="1"/>
  <c r="AD25" i="29" s="1"/>
  <c r="AC25" i="29" s="1"/>
  <c r="N49" i="16"/>
  <c r="G49" i="16" s="1"/>
  <c r="S145" i="29"/>
  <c r="T145" i="29" s="1"/>
  <c r="AD145" i="29" s="1"/>
  <c r="AC145" i="29" s="1"/>
  <c r="S51" i="29"/>
  <c r="T51" i="29" s="1"/>
  <c r="AD51" i="29" s="1"/>
  <c r="AC51" i="29" s="1"/>
  <c r="S62" i="29"/>
  <c r="S117" i="29"/>
  <c r="T117" i="29" s="1"/>
  <c r="AD117" i="29" s="1"/>
  <c r="AC117" i="29" s="1"/>
  <c r="S46" i="29"/>
  <c r="T46" i="29" s="1"/>
  <c r="AD46" i="29" s="1"/>
  <c r="AC46" i="29" s="1"/>
  <c r="S28" i="29"/>
  <c r="T28" i="29" s="1"/>
  <c r="AD28" i="29" s="1"/>
  <c r="S96" i="29"/>
  <c r="T96" i="29" s="1"/>
  <c r="AD96" i="29" s="1"/>
  <c r="AC96" i="29" s="1"/>
  <c r="S86" i="29"/>
  <c r="R86" i="29" s="1"/>
  <c r="S47" i="29"/>
  <c r="T47" i="29" s="1"/>
  <c r="AD47" i="29" s="1"/>
  <c r="AC47" i="29" s="1"/>
  <c r="S56" i="29"/>
  <c r="T56" i="29" s="1"/>
  <c r="AD56" i="29" s="1"/>
  <c r="AC56" i="29" s="1"/>
  <c r="S30" i="29"/>
  <c r="T30" i="29" s="1"/>
  <c r="AD30" i="29" s="1"/>
  <c r="AC30" i="29" s="1"/>
  <c r="S104" i="29"/>
  <c r="T104" i="29" s="1"/>
  <c r="AD104" i="29" s="1"/>
  <c r="S21" i="29"/>
  <c r="T21" i="29" s="1"/>
  <c r="AD21" i="29" s="1"/>
  <c r="AC21" i="29" s="1"/>
  <c r="S107" i="29"/>
  <c r="T107" i="29" s="1"/>
  <c r="AD107" i="29" s="1"/>
  <c r="AC107" i="29" s="1"/>
  <c r="S22" i="29"/>
  <c r="T22" i="29" s="1"/>
  <c r="AD22" i="29" s="1"/>
  <c r="AC22" i="29" s="1"/>
  <c r="S115" i="29"/>
  <c r="T115" i="29" s="1"/>
  <c r="AD115" i="29" s="1"/>
  <c r="AC115" i="29" s="1"/>
  <c r="S94" i="29"/>
  <c r="T94" i="29" s="1"/>
  <c r="AD94" i="29" s="1"/>
  <c r="AC94" i="29" s="1"/>
  <c r="S144" i="29"/>
  <c r="T144" i="29" s="1"/>
  <c r="AD144" i="29" s="1"/>
  <c r="AC144" i="29" s="1"/>
  <c r="S123" i="29"/>
  <c r="T123" i="29" s="1"/>
  <c r="AD123" i="29" s="1"/>
  <c r="S38" i="29"/>
  <c r="T38" i="29" s="1"/>
  <c r="AD38" i="29" s="1"/>
  <c r="AC38" i="29" s="1"/>
  <c r="S92" i="29"/>
  <c r="T92" i="29" s="1"/>
  <c r="AD92" i="29" s="1"/>
  <c r="AC92" i="29" s="1"/>
  <c r="BE15" i="29"/>
  <c r="T59" i="24"/>
  <c r="AD59" i="24" s="1"/>
  <c r="AC59" i="24" s="1"/>
  <c r="O59" i="24"/>
  <c r="I297" i="66" s="1"/>
  <c r="AO207" i="8"/>
  <c r="AY19" i="16"/>
  <c r="AY20" i="16"/>
  <c r="AO196" i="24"/>
  <c r="AK4" i="2"/>
  <c r="AY253" i="16"/>
  <c r="X5" i="16"/>
  <c r="O143" i="8"/>
  <c r="I141" i="66" s="1"/>
  <c r="T143" i="8"/>
  <c r="AD143" i="8" s="1"/>
  <c r="AC143" i="8" s="1"/>
  <c r="BE24" i="25"/>
  <c r="T58" i="24"/>
  <c r="AD58" i="24" s="1"/>
  <c r="AC58" i="24" s="1"/>
  <c r="O58" i="24"/>
  <c r="AO58" i="24" s="1"/>
  <c r="R52" i="28"/>
  <c r="AE52" i="28" s="1"/>
  <c r="AE239" i="24"/>
  <c r="N169" i="16"/>
  <c r="G169" i="16" s="1"/>
  <c r="S71" i="8"/>
  <c r="T71" i="8" s="1"/>
  <c r="AD71" i="8" s="1"/>
  <c r="AC71" i="8" s="1"/>
  <c r="T63" i="8"/>
  <c r="AD63" i="8" s="1"/>
  <c r="AC63" i="8" s="1"/>
  <c r="S64" i="8"/>
  <c r="T64" i="8" s="1"/>
  <c r="AD64" i="8" s="1"/>
  <c r="AC64" i="8" s="1"/>
  <c r="S66" i="8"/>
  <c r="T66" i="8" s="1"/>
  <c r="AD66" i="8" s="1"/>
  <c r="AC66" i="8" s="1"/>
  <c r="S73" i="8"/>
  <c r="O73" i="8" s="1"/>
  <c r="N72" i="16" s="1"/>
  <c r="G72" i="16" s="1"/>
  <c r="AE188" i="28"/>
  <c r="AC188" i="28" s="1"/>
  <c r="AY12" i="16"/>
  <c r="O57" i="24"/>
  <c r="AO57" i="24" s="1"/>
  <c r="T57" i="24"/>
  <c r="AD57" i="24" s="1"/>
  <c r="AC57" i="24" s="1"/>
  <c r="AY31" i="16"/>
  <c r="N180" i="16"/>
  <c r="O145" i="8"/>
  <c r="AO145" i="8" s="1"/>
  <c r="AO94" i="8"/>
  <c r="N93" i="16"/>
  <c r="T60" i="24"/>
  <c r="AD60" i="24" s="1"/>
  <c r="AC60" i="24" s="1"/>
  <c r="O60" i="24"/>
  <c r="I298" i="66" s="1"/>
  <c r="BE15" i="28"/>
  <c r="BE15" i="8"/>
  <c r="AO38" i="8"/>
  <c r="BE16" i="24"/>
  <c r="AY276" i="16"/>
  <c r="BC16" i="29"/>
  <c r="BC16" i="28"/>
  <c r="O13" i="7"/>
  <c r="R45" i="28"/>
  <c r="AE45" i="28" s="1"/>
  <c r="M72" i="28"/>
  <c r="AM72" i="28" s="1"/>
  <c r="AC72" i="28"/>
  <c r="R50" i="28"/>
  <c r="M50" i="28" s="1"/>
  <c r="O50" i="28"/>
  <c r="I939" i="66" s="1"/>
  <c r="O45" i="28"/>
  <c r="I934" i="66" s="1"/>
  <c r="T54" i="28"/>
  <c r="AD54" i="28" s="1"/>
  <c r="AC54" i="28" s="1"/>
  <c r="O47" i="28"/>
  <c r="N948" i="16" s="1"/>
  <c r="AO141" i="8"/>
  <c r="I139" i="66"/>
  <c r="T220" i="28"/>
  <c r="AD220" i="28" s="1"/>
  <c r="AO143" i="8"/>
  <c r="S175" i="28"/>
  <c r="O220" i="28"/>
  <c r="O636" i="16"/>
  <c r="S122" i="25"/>
  <c r="O233" i="8"/>
  <c r="O259" i="28"/>
  <c r="M117" i="8"/>
  <c r="S154" i="24"/>
  <c r="O388" i="24"/>
  <c r="O300" i="16"/>
  <c r="O124" i="16"/>
  <c r="O627" i="16"/>
  <c r="O26" i="28"/>
  <c r="S146" i="24"/>
  <c r="O612" i="16"/>
  <c r="S140" i="24"/>
  <c r="O209" i="16"/>
  <c r="O213" i="16"/>
  <c r="M130" i="16"/>
  <c r="S239" i="8"/>
  <c r="S30" i="25"/>
  <c r="S377" i="16"/>
  <c r="O232" i="16"/>
  <c r="S138" i="24"/>
  <c r="M128" i="8"/>
  <c r="S389" i="16"/>
  <c r="M128" i="16"/>
  <c r="M125" i="16"/>
  <c r="O61" i="24"/>
  <c r="S150" i="24"/>
  <c r="O1121" i="16"/>
  <c r="O713" i="16"/>
  <c r="O213" i="24"/>
  <c r="S180" i="28"/>
  <c r="O214" i="8"/>
  <c r="O474" i="24"/>
  <c r="O452" i="16"/>
  <c r="O927" i="16"/>
  <c r="R591" i="16"/>
  <c r="S61" i="28"/>
  <c r="O96" i="16"/>
  <c r="M116" i="16"/>
  <c r="S230" i="24"/>
  <c r="O65" i="16"/>
  <c r="O104" i="8"/>
  <c r="S469" i="16"/>
  <c r="R684" i="16"/>
  <c r="O1164" i="16"/>
  <c r="O1160" i="16"/>
  <c r="M117" i="16"/>
  <c r="M126" i="16"/>
  <c r="O103" i="16"/>
  <c r="S40" i="25"/>
  <c r="O263" i="28"/>
  <c r="O969" i="16"/>
  <c r="M115" i="16"/>
  <c r="S33" i="25"/>
  <c r="O305" i="16"/>
  <c r="R589" i="16"/>
  <c r="O443" i="16"/>
  <c r="S393" i="16"/>
  <c r="O373" i="24"/>
  <c r="AY16" i="16" l="1"/>
  <c r="AY257" i="16"/>
  <c r="AY790" i="16"/>
  <c r="AY252" i="16"/>
  <c r="AY11" i="16"/>
  <c r="G184" i="16"/>
  <c r="G185" i="16" s="1"/>
  <c r="G186" i="16" s="1"/>
  <c r="G187" i="16" s="1"/>
  <c r="G206" i="16"/>
  <c r="G207" i="16" s="1"/>
  <c r="G170" i="16"/>
  <c r="G171" i="16" s="1"/>
  <c r="G239" i="16"/>
  <c r="G241" i="16" s="1"/>
  <c r="N1350" i="16"/>
  <c r="A1338" i="66"/>
  <c r="N1031" i="16"/>
  <c r="A1019" i="66"/>
  <c r="A1087" i="66"/>
  <c r="A1086" i="66"/>
  <c r="G1096" i="16"/>
  <c r="G1097" i="16" s="1"/>
  <c r="G1095" i="16"/>
  <c r="G913" i="16"/>
  <c r="G914" i="16" s="1"/>
  <c r="G915" i="16" s="1"/>
  <c r="G916" i="16" s="1"/>
  <c r="G917" i="16" s="1"/>
  <c r="G918" i="16" s="1"/>
  <c r="A218" i="66"/>
  <c r="A219" i="66" s="1"/>
  <c r="G440" i="16"/>
  <c r="G441" i="16" s="1"/>
  <c r="G442" i="16" s="1"/>
  <c r="G439" i="16"/>
  <c r="G341" i="16"/>
  <c r="G342" i="16" s="1"/>
  <c r="G340" i="16"/>
  <c r="AC198" i="28"/>
  <c r="G93" i="16"/>
  <c r="G94" i="16" s="1"/>
  <c r="G95" i="16" s="1"/>
  <c r="G229" i="16"/>
  <c r="G230" i="16" s="1"/>
  <c r="G231" i="16" s="1"/>
  <c r="I191" i="66"/>
  <c r="A191" i="66"/>
  <c r="G182" i="16"/>
  <c r="G183" i="16" s="1"/>
  <c r="A1099" i="66"/>
  <c r="A1100" i="66" s="1"/>
  <c r="C1100" i="66" s="1"/>
  <c r="AC165" i="28"/>
  <c r="AC200" i="28"/>
  <c r="AC78" i="28"/>
  <c r="A673" i="66"/>
  <c r="G1102" i="16"/>
  <c r="G1103" i="16" s="1"/>
  <c r="G1104" i="16" s="1"/>
  <c r="G1105" i="16" s="1"/>
  <c r="G140" i="16"/>
  <c r="G141" i="16" s="1"/>
  <c r="I145" i="66"/>
  <c r="A145" i="66"/>
  <c r="A146" i="66" s="1"/>
  <c r="G352" i="16"/>
  <c r="G353" i="16" s="1"/>
  <c r="G354" i="16" s="1"/>
  <c r="N1052" i="16"/>
  <c r="G1052" i="16" s="1"/>
  <c r="A1040" i="66"/>
  <c r="A77" i="66"/>
  <c r="A78" i="66" s="1"/>
  <c r="G37" i="16"/>
  <c r="G38" i="16" s="1"/>
  <c r="G39" i="16" s="1"/>
  <c r="G40" i="16" s="1"/>
  <c r="G155" i="16"/>
  <c r="G156" i="16" s="1"/>
  <c r="N524" i="16"/>
  <c r="A523" i="66"/>
  <c r="AC194" i="28"/>
  <c r="AC250" i="28"/>
  <c r="A687" i="66"/>
  <c r="G1098" i="16"/>
  <c r="G1099" i="16" s="1"/>
  <c r="G1100" i="16" s="1"/>
  <c r="G1101" i="16" s="1"/>
  <c r="G992" i="16"/>
  <c r="G993" i="16" s="1"/>
  <c r="G989" i="16" s="1"/>
  <c r="G990" i="16" s="1"/>
  <c r="G991" i="16" s="1"/>
  <c r="AO482" i="24"/>
  <c r="A720" i="66"/>
  <c r="G507" i="16"/>
  <c r="G508" i="16" s="1"/>
  <c r="G509" i="16" s="1"/>
  <c r="G510" i="16" s="1"/>
  <c r="G511" i="16" s="1"/>
  <c r="G512" i="16" s="1"/>
  <c r="AO518" i="24"/>
  <c r="A756" i="66"/>
  <c r="G180" i="16"/>
  <c r="G181" i="16" s="1"/>
  <c r="G1147" i="16"/>
  <c r="G1148" i="16" s="1"/>
  <c r="G1149" i="16" s="1"/>
  <c r="G1150" i="16" s="1"/>
  <c r="G1151" i="16" s="1"/>
  <c r="G1152" i="16" s="1"/>
  <c r="G1153" i="16" s="1"/>
  <c r="G1106" i="16"/>
  <c r="G1107" i="16" s="1"/>
  <c r="G1108" i="16" s="1"/>
  <c r="G1109" i="16" s="1"/>
  <c r="G1110" i="16" s="1"/>
  <c r="G994" i="16"/>
  <c r="G995" i="16" s="1"/>
  <c r="G996" i="16" s="1"/>
  <c r="G919" i="16"/>
  <c r="G920" i="16" s="1"/>
  <c r="G921" i="16" s="1"/>
  <c r="G999" i="16"/>
  <c r="G1000" i="16" s="1"/>
  <c r="G1001" i="16" s="1"/>
  <c r="G1002" i="16" s="1"/>
  <c r="G1003" i="16" s="1"/>
  <c r="G1004" i="16" s="1"/>
  <c r="G1005" i="16" s="1"/>
  <c r="G1006" i="16" s="1"/>
  <c r="G1007" i="16" s="1"/>
  <c r="G1008" i="16" s="1"/>
  <c r="G1009" i="16" s="1"/>
  <c r="G1010" i="16" s="1"/>
  <c r="G1011" i="16" s="1"/>
  <c r="G1012" i="16" s="1"/>
  <c r="G1013" i="16" s="1"/>
  <c r="G1066" i="16"/>
  <c r="G1067" i="16" s="1"/>
  <c r="G1068" i="16" s="1"/>
  <c r="G1069" i="16" s="1"/>
  <c r="G1070" i="16" s="1"/>
  <c r="N482" i="16"/>
  <c r="A481" i="66"/>
  <c r="G403" i="16"/>
  <c r="G404" i="16" s="1"/>
  <c r="G513" i="16"/>
  <c r="G514" i="16" s="1"/>
  <c r="G515" i="16" s="1"/>
  <c r="G516" i="16" s="1"/>
  <c r="G517" i="16" s="1"/>
  <c r="G518" i="16" s="1"/>
  <c r="G519" i="16" s="1"/>
  <c r="A561" i="66"/>
  <c r="A562" i="66" s="1"/>
  <c r="C562" i="66" s="1"/>
  <c r="AY254" i="16"/>
  <c r="X4" i="16"/>
  <c r="AY938" i="16"/>
  <c r="A451" i="66"/>
  <c r="C451" i="66" s="1"/>
  <c r="A299" i="66"/>
  <c r="C299" i="66" s="1"/>
  <c r="A1111" i="66"/>
  <c r="C1111" i="66" s="1"/>
  <c r="A12" i="66"/>
  <c r="A903" i="66"/>
  <c r="A59" i="66"/>
  <c r="A396" i="66"/>
  <c r="A395" i="66"/>
  <c r="A1132" i="66"/>
  <c r="S63" i="16"/>
  <c r="O63" i="16" s="1"/>
  <c r="E63" i="76" s="1"/>
  <c r="O62" i="16"/>
  <c r="S70" i="16"/>
  <c r="T70" i="16" s="1"/>
  <c r="AD70" i="16" s="1"/>
  <c r="AC70" i="16" s="1"/>
  <c r="AC683" i="16"/>
  <c r="S110" i="24"/>
  <c r="T110" i="24" s="1"/>
  <c r="AD110" i="24" s="1"/>
  <c r="S97" i="24"/>
  <c r="T97" i="24" s="1"/>
  <c r="AD97" i="24" s="1"/>
  <c r="S130" i="24"/>
  <c r="S84" i="24"/>
  <c r="T84" i="24" s="1"/>
  <c r="C37" i="66"/>
  <c r="J106" i="17"/>
  <c r="L111" i="18"/>
  <c r="K111" i="18"/>
  <c r="J111" i="18" s="1"/>
  <c r="L107" i="18"/>
  <c r="K113" i="18"/>
  <c r="J113" i="18" s="1"/>
  <c r="K105" i="18"/>
  <c r="J105" i="18" s="1"/>
  <c r="J104" i="17"/>
  <c r="K109" i="18"/>
  <c r="J109" i="18" s="1"/>
  <c r="K110" i="18"/>
  <c r="J110" i="18" s="1"/>
  <c r="AY33" i="16"/>
  <c r="AY32" i="16"/>
  <c r="AY273" i="16"/>
  <c r="AY274" i="16"/>
  <c r="AY275" i="16"/>
  <c r="AC207" i="28"/>
  <c r="AC79" i="28"/>
  <c r="M47" i="28"/>
  <c r="N172" i="16"/>
  <c r="N284" i="16"/>
  <c r="G284" i="16" s="1"/>
  <c r="M192" i="28"/>
  <c r="AM192" i="28" s="1"/>
  <c r="AY289" i="16"/>
  <c r="AY285" i="16"/>
  <c r="AC33" i="28"/>
  <c r="J108" i="17"/>
  <c r="N157" i="16"/>
  <c r="AC255" i="28"/>
  <c r="R42" i="28"/>
  <c r="N1154" i="16"/>
  <c r="AO158" i="8"/>
  <c r="AC170" i="28"/>
  <c r="O42" i="28"/>
  <c r="I931" i="66" s="1"/>
  <c r="N188" i="16"/>
  <c r="N219" i="16"/>
  <c r="AO189" i="8"/>
  <c r="K106" i="18"/>
  <c r="J106" i="18" s="1"/>
  <c r="AY1195" i="16"/>
  <c r="AY54" i="16"/>
  <c r="N54" i="16"/>
  <c r="G54" i="16" s="1"/>
  <c r="N144" i="16"/>
  <c r="AO173" i="8"/>
  <c r="AY58" i="16"/>
  <c r="AO79" i="8"/>
  <c r="I54" i="66"/>
  <c r="I77" i="66"/>
  <c r="N142" i="16"/>
  <c r="S163" i="8"/>
  <c r="O163" i="8" s="1"/>
  <c r="AO163" i="8" s="1"/>
  <c r="AO220" i="8"/>
  <c r="N78" i="16"/>
  <c r="AO55" i="8"/>
  <c r="AY26" i="16"/>
  <c r="AO18" i="28"/>
  <c r="AX82" i="27"/>
  <c r="AO86" i="8"/>
  <c r="AO56" i="8"/>
  <c r="DC4" i="2"/>
  <c r="AC116" i="28"/>
  <c r="AC12" i="28"/>
  <c r="AC248" i="28"/>
  <c r="L112" i="18"/>
  <c r="AY45" i="16"/>
  <c r="I190" i="66"/>
  <c r="AC18" i="28"/>
  <c r="AC93" i="28"/>
  <c r="O64" i="8"/>
  <c r="BG16" i="24"/>
  <c r="BG15" i="28"/>
  <c r="AO240" i="8"/>
  <c r="BG24" i="25"/>
  <c r="C1338" i="66"/>
  <c r="AO192" i="8"/>
  <c r="I169" i="66"/>
  <c r="I218" i="66"/>
  <c r="AC67" i="28"/>
  <c r="AC284" i="28"/>
  <c r="J105" i="17"/>
  <c r="AY1203" i="16"/>
  <c r="AY37" i="16"/>
  <c r="AY290" i="16"/>
  <c r="AO167" i="29"/>
  <c r="I1086" i="66"/>
  <c r="AO171" i="8"/>
  <c r="AY1197" i="16"/>
  <c r="I1338" i="66"/>
  <c r="BE255" i="16"/>
  <c r="M29" i="28"/>
  <c r="AM29" i="28" s="1"/>
  <c r="AY57" i="16"/>
  <c r="I154" i="66"/>
  <c r="I84" i="66"/>
  <c r="O493" i="24"/>
  <c r="AC120" i="28"/>
  <c r="AC201" i="28"/>
  <c r="K108" i="18"/>
  <c r="J108" i="18" s="1"/>
  <c r="O57" i="28"/>
  <c r="K107" i="18"/>
  <c r="J107" i="18" s="1"/>
  <c r="AE57" i="28"/>
  <c r="M57" i="28"/>
  <c r="AY287" i="16"/>
  <c r="M52" i="28"/>
  <c r="AY42" i="16"/>
  <c r="AO253" i="28"/>
  <c r="N56" i="16"/>
  <c r="A192" i="66"/>
  <c r="C192" i="66" s="1"/>
  <c r="DB4" i="2"/>
  <c r="CT4" i="2"/>
  <c r="T57" i="28"/>
  <c r="AD57" i="28" s="1"/>
  <c r="T52" i="28"/>
  <c r="AD52" i="28" s="1"/>
  <c r="O67" i="28"/>
  <c r="I956" i="66" s="1"/>
  <c r="AE96" i="28"/>
  <c r="AC96" i="28" s="1"/>
  <c r="M172" i="24"/>
  <c r="AM172" i="24" s="1"/>
  <c r="AE172" i="24"/>
  <c r="AC172" i="24" s="1"/>
  <c r="N192" i="16"/>
  <c r="AY55" i="16"/>
  <c r="AO120" i="28"/>
  <c r="AY49" i="16"/>
  <c r="AO57" i="8"/>
  <c r="I228" i="66"/>
  <c r="AC214" i="28"/>
  <c r="J109" i="17"/>
  <c r="N1021" i="16"/>
  <c r="I18" i="66"/>
  <c r="M45" i="28"/>
  <c r="T73" i="8"/>
  <c r="AD73" i="8" s="1"/>
  <c r="AC73" i="8" s="1"/>
  <c r="N19" i="16"/>
  <c r="M184" i="24"/>
  <c r="AM184" i="24" s="1"/>
  <c r="AE184" i="24"/>
  <c r="AC155" i="28"/>
  <c r="AC216" i="28"/>
  <c r="AY60" i="16"/>
  <c r="I176" i="66"/>
  <c r="AO193" i="8"/>
  <c r="N177" i="16"/>
  <c r="AO230" i="8"/>
  <c r="AE50" i="28"/>
  <c r="BF255" i="16"/>
  <c r="AY50" i="16"/>
  <c r="T138" i="8"/>
  <c r="AD138" i="8" s="1"/>
  <c r="AC138" i="8" s="1"/>
  <c r="AY279" i="16"/>
  <c r="AY939" i="16"/>
  <c r="X5" i="79"/>
  <c r="R59" i="28"/>
  <c r="AC160" i="28"/>
  <c r="AY946" i="16"/>
  <c r="AY13" i="16"/>
  <c r="X4" i="79"/>
  <c r="J110" i="17"/>
  <c r="K112" i="18"/>
  <c r="J112" i="18" s="1"/>
  <c r="AC606" i="16"/>
  <c r="AC1113" i="16"/>
  <c r="AC1117" i="16"/>
  <c r="AC1185" i="16"/>
  <c r="AC134" i="28"/>
  <c r="BH255" i="16"/>
  <c r="BH793" i="16"/>
  <c r="BE793" i="16"/>
  <c r="BF793" i="16"/>
  <c r="AY1200" i="16"/>
  <c r="AY293" i="16"/>
  <c r="AY34" i="16"/>
  <c r="C10" i="17"/>
  <c r="BG793" i="16"/>
  <c r="C10" i="18"/>
  <c r="AY250" i="16"/>
  <c r="BG255" i="16"/>
  <c r="AY28" i="16"/>
  <c r="AY10" i="16"/>
  <c r="AY268" i="16"/>
  <c r="C8" i="17"/>
  <c r="BF941" i="16"/>
  <c r="BH1198" i="16"/>
  <c r="BE941" i="16"/>
  <c r="AY817" i="16"/>
  <c r="BG1198" i="16"/>
  <c r="AY56" i="16"/>
  <c r="AY288" i="16"/>
  <c r="BF1198" i="16"/>
  <c r="BE1198" i="16"/>
  <c r="AY825" i="16"/>
  <c r="BH941" i="16"/>
  <c r="BG941" i="16"/>
  <c r="AY984" i="16"/>
  <c r="AY973" i="16"/>
  <c r="AY954" i="16"/>
  <c r="AY1246" i="16"/>
  <c r="AY1233" i="16"/>
  <c r="AY1218" i="16"/>
  <c r="AY836" i="16"/>
  <c r="AY826" i="16"/>
  <c r="AY807" i="16"/>
  <c r="BI15" i="8"/>
  <c r="BH16" i="24"/>
  <c r="BF15" i="29"/>
  <c r="BF15" i="28"/>
  <c r="C14" i="18"/>
  <c r="AY53" i="16"/>
  <c r="AY983" i="16"/>
  <c r="AY970" i="16"/>
  <c r="AY947" i="16"/>
  <c r="AY1244" i="16"/>
  <c r="AY1232" i="16"/>
  <c r="AY1217" i="16"/>
  <c r="AY835" i="16"/>
  <c r="AY792" i="16"/>
  <c r="AZ82" i="27"/>
  <c r="AY82" i="27"/>
  <c r="BI24" i="25"/>
  <c r="AY44" i="16"/>
  <c r="AY1196" i="16"/>
  <c r="AY982" i="16"/>
  <c r="AY966" i="16"/>
  <c r="AY1241" i="16"/>
  <c r="AY1231" i="16"/>
  <c r="AY1213" i="16"/>
  <c r="AY834" i="16"/>
  <c r="AY816" i="16"/>
  <c r="BI15" i="28"/>
  <c r="BF24" i="25"/>
  <c r="BH24" i="25"/>
  <c r="BH15" i="29"/>
  <c r="AY789" i="16"/>
  <c r="AY981" i="16"/>
  <c r="AY962" i="16"/>
  <c r="AY943" i="16"/>
  <c r="AY1240" i="16"/>
  <c r="AY1230" i="16"/>
  <c r="AY842" i="16"/>
  <c r="AY831" i="16"/>
  <c r="AY824" i="16"/>
  <c r="AY815" i="16"/>
  <c r="AY799" i="16"/>
  <c r="AY791" i="16"/>
  <c r="BI15" i="29"/>
  <c r="AY937" i="16"/>
  <c r="AY989" i="16"/>
  <c r="AY978" i="16"/>
  <c r="AY841" i="16"/>
  <c r="AY830" i="16"/>
  <c r="AY814" i="16"/>
  <c r="N13" i="7"/>
  <c r="C12" i="17"/>
  <c r="BH15" i="28"/>
  <c r="AY286" i="16"/>
  <c r="BG15" i="29"/>
  <c r="AY988" i="16"/>
  <c r="AY839" i="16"/>
  <c r="C12" i="18"/>
  <c r="BH15" i="8"/>
  <c r="G16" i="17"/>
  <c r="AY1211" i="16"/>
  <c r="AY975" i="16"/>
  <c r="AY1223" i="16"/>
  <c r="AY838" i="16"/>
  <c r="AY266" i="16"/>
  <c r="BF15" i="8"/>
  <c r="AY974" i="16"/>
  <c r="AY956" i="16"/>
  <c r="AY795" i="16"/>
  <c r="BI16" i="24"/>
  <c r="R62" i="29"/>
  <c r="M62" i="29" s="1"/>
  <c r="AM62" i="29" s="1"/>
  <c r="O62" i="29"/>
  <c r="N1245" i="16" s="1"/>
  <c r="AY829" i="16"/>
  <c r="AY818" i="16"/>
  <c r="AY1216" i="16"/>
  <c r="BD16" i="29"/>
  <c r="C786" i="66"/>
  <c r="AO289" i="28"/>
  <c r="N1190" i="16"/>
  <c r="AO284" i="28"/>
  <c r="N1185" i="16"/>
  <c r="AC142" i="28"/>
  <c r="AO59" i="28"/>
  <c r="I948" i="66"/>
  <c r="T59" i="28"/>
  <c r="AD59" i="28" s="1"/>
  <c r="AC50" i="28"/>
  <c r="AY1226" i="16"/>
  <c r="AY1222" i="16"/>
  <c r="AY965" i="16"/>
  <c r="AC573" i="16"/>
  <c r="S72" i="16"/>
  <c r="O72" i="16" s="1"/>
  <c r="E72" i="76" s="1"/>
  <c r="M9" i="7"/>
  <c r="I5" i="29"/>
  <c r="I5" i="79"/>
  <c r="BH16" i="28"/>
  <c r="AZ83" i="27"/>
  <c r="T137" i="28"/>
  <c r="AD137" i="28" s="1"/>
  <c r="AC137" i="28" s="1"/>
  <c r="T132" i="28"/>
  <c r="AD132" i="28" s="1"/>
  <c r="AC132" i="28" s="1"/>
  <c r="AO151" i="28"/>
  <c r="N1111" i="16"/>
  <c r="AO210" i="28"/>
  <c r="I1099" i="66"/>
  <c r="AY969" i="16"/>
  <c r="AY976" i="16"/>
  <c r="AY39" i="16"/>
  <c r="AY964" i="16"/>
  <c r="AY1220" i="16"/>
  <c r="AY18" i="16"/>
  <c r="N1091" i="16"/>
  <c r="AO190" i="28"/>
  <c r="I1079" i="66"/>
  <c r="T190" i="28"/>
  <c r="AD190" i="28" s="1"/>
  <c r="AC190" i="28" s="1"/>
  <c r="N968" i="16"/>
  <c r="G968" i="16" s="1"/>
  <c r="AC57" i="28"/>
  <c r="N960" i="16"/>
  <c r="AO67" i="28"/>
  <c r="O33" i="28"/>
  <c r="I922" i="66" s="1"/>
  <c r="AY47" i="16"/>
  <c r="AY971" i="16"/>
  <c r="AY1228" i="16"/>
  <c r="AY821" i="16"/>
  <c r="S235" i="28"/>
  <c r="T235" i="28" s="1"/>
  <c r="AD235" i="28" s="1"/>
  <c r="AC235" i="28" s="1"/>
  <c r="AY967" i="16"/>
  <c r="S1136" i="16" s="1"/>
  <c r="AY1221" i="16"/>
  <c r="S232" i="28"/>
  <c r="O232" i="28" s="1"/>
  <c r="N1133" i="16" s="1"/>
  <c r="AY957" i="16"/>
  <c r="AY271" i="16"/>
  <c r="AZ271" i="16" s="1"/>
  <c r="S371" i="16" s="1"/>
  <c r="R371" i="16" s="1"/>
  <c r="AE371" i="16" s="1"/>
  <c r="AF371" i="16" s="1"/>
  <c r="AY29" i="16"/>
  <c r="AZ29" i="16" s="1"/>
  <c r="AY1214" i="16"/>
  <c r="AY952" i="16"/>
  <c r="AY805" i="16"/>
  <c r="AY23" i="16"/>
  <c r="G14" i="17"/>
  <c r="AY264" i="16"/>
  <c r="G14" i="18"/>
  <c r="N17" i="16"/>
  <c r="BD25" i="25"/>
  <c r="BD16" i="28"/>
  <c r="M13" i="7"/>
  <c r="BD17" i="24"/>
  <c r="AY24" i="16"/>
  <c r="C323" i="66"/>
  <c r="A412" i="66"/>
  <c r="C412" i="66" s="1"/>
  <c r="C411" i="66"/>
  <c r="C869" i="66"/>
  <c r="C877" i="66"/>
  <c r="C821" i="66"/>
  <c r="C561" i="66"/>
  <c r="C553" i="66"/>
  <c r="C537" i="66"/>
  <c r="C398" i="66"/>
  <c r="A353" i="66"/>
  <c r="C353" i="66" s="1"/>
  <c r="C352" i="66"/>
  <c r="C502" i="66"/>
  <c r="C289" i="66"/>
  <c r="C406" i="66"/>
  <c r="C1341" i="66"/>
  <c r="C122" i="66"/>
  <c r="C804" i="66"/>
  <c r="C713" i="66"/>
  <c r="C351" i="66"/>
  <c r="C761" i="66"/>
  <c r="A341" i="66"/>
  <c r="C341" i="66" s="1"/>
  <c r="C340" i="66"/>
  <c r="C97" i="66"/>
  <c r="M478" i="16"/>
  <c r="AM478" i="16" s="1"/>
  <c r="O1176" i="16"/>
  <c r="E1165" i="76" s="1"/>
  <c r="AE472" i="16"/>
  <c r="AF472" i="16" s="1"/>
  <c r="O661" i="16"/>
  <c r="E661" i="76" s="1"/>
  <c r="A1078" i="66"/>
  <c r="AC135" i="28"/>
  <c r="O142" i="28"/>
  <c r="I1031" i="66" s="1"/>
  <c r="AO130" i="28"/>
  <c r="I1026" i="66"/>
  <c r="N1038" i="16"/>
  <c r="AO137" i="28"/>
  <c r="I1019" i="66"/>
  <c r="A1020" i="66"/>
  <c r="C1020" i="66" s="1"/>
  <c r="S23" i="28"/>
  <c r="C1143" i="66"/>
  <c r="C1126" i="66"/>
  <c r="C1109" i="66"/>
  <c r="C1077" i="66"/>
  <c r="C1059" i="66"/>
  <c r="C981" i="66"/>
  <c r="C956" i="66"/>
  <c r="C948" i="66"/>
  <c r="C940" i="66"/>
  <c r="C924" i="66"/>
  <c r="C908" i="66"/>
  <c r="AO45" i="28"/>
  <c r="I936" i="66"/>
  <c r="R17" i="29"/>
  <c r="AE17" i="29" s="1"/>
  <c r="AC17" i="29" s="1"/>
  <c r="S129" i="29"/>
  <c r="T129" i="29" s="1"/>
  <c r="AD129" i="29" s="1"/>
  <c r="S61" i="29"/>
  <c r="T61" i="29" s="1"/>
  <c r="AD61" i="29" s="1"/>
  <c r="AC61" i="29" s="1"/>
  <c r="S60" i="29"/>
  <c r="T60" i="29" s="1"/>
  <c r="AD60" i="29" s="1"/>
  <c r="AC60" i="29" s="1"/>
  <c r="G1053" i="16"/>
  <c r="G1055" i="16" s="1"/>
  <c r="G1056" i="16" s="1"/>
  <c r="G1057" i="16" s="1"/>
  <c r="G1058" i="16" s="1"/>
  <c r="G1059" i="16" s="1"/>
  <c r="G1060" i="16" s="1"/>
  <c r="G1061" i="16" s="1"/>
  <c r="G1062" i="16" s="1"/>
  <c r="G1063" i="16" s="1"/>
  <c r="G1064" i="16" s="1"/>
  <c r="G1065" i="16" s="1"/>
  <c r="G1054" i="16"/>
  <c r="A1041" i="66"/>
  <c r="A1043" i="66" s="1"/>
  <c r="C1043" i="66" s="1"/>
  <c r="A1042" i="66"/>
  <c r="C1042" i="66" s="1"/>
  <c r="C1135" i="66"/>
  <c r="C989" i="66"/>
  <c r="C961" i="66"/>
  <c r="AY255" i="16"/>
  <c r="AY793" i="16"/>
  <c r="U13" i="23"/>
  <c r="AY256" i="16"/>
  <c r="AY942" i="16"/>
  <c r="AY794" i="16"/>
  <c r="AY1199" i="16"/>
  <c r="AY1198" i="16"/>
  <c r="AY941" i="16"/>
  <c r="T13" i="23"/>
  <c r="E104" i="17"/>
  <c r="F104" i="18" s="1"/>
  <c r="M423" i="16"/>
  <c r="AM423" i="16" s="1"/>
  <c r="AE423" i="16"/>
  <c r="AF423" i="16" s="1"/>
  <c r="AC773" i="16"/>
  <c r="C712" i="66"/>
  <c r="C624" i="66"/>
  <c r="C552" i="66"/>
  <c r="C501" i="66"/>
  <c r="C405" i="66"/>
  <c r="C339" i="66"/>
  <c r="C322" i="66"/>
  <c r="C288" i="66"/>
  <c r="C270" i="66"/>
  <c r="C876" i="66"/>
  <c r="C868" i="66"/>
  <c r="C803" i="66"/>
  <c r="C1166" i="66"/>
  <c r="C1142" i="66"/>
  <c r="C1125" i="66"/>
  <c r="C988" i="66"/>
  <c r="C980" i="66"/>
  <c r="C964" i="66"/>
  <c r="C939" i="66"/>
  <c r="C907" i="66"/>
  <c r="C1340" i="66"/>
  <c r="C623" i="66"/>
  <c r="C500" i="66"/>
  <c r="C404" i="66"/>
  <c r="C348" i="66"/>
  <c r="C287" i="66"/>
  <c r="C802" i="66"/>
  <c r="C1165" i="66"/>
  <c r="C1124" i="66"/>
  <c r="C1040" i="66"/>
  <c r="C987" i="66"/>
  <c r="C963" i="66"/>
  <c r="C1339" i="66"/>
  <c r="C1323" i="66"/>
  <c r="C1235" i="66"/>
  <c r="C465" i="66"/>
  <c r="C296" i="66"/>
  <c r="C276" i="66"/>
  <c r="C801" i="66"/>
  <c r="C1164" i="66"/>
  <c r="C1148" i="66"/>
  <c r="C1132" i="66"/>
  <c r="C1123" i="66"/>
  <c r="C962" i="66"/>
  <c r="C937" i="66"/>
  <c r="C1346" i="66"/>
  <c r="C1322" i="66"/>
  <c r="C1031" i="66"/>
  <c r="C932" i="66"/>
  <c r="C931" i="66"/>
  <c r="C506" i="66"/>
  <c r="C464" i="66"/>
  <c r="C410" i="66"/>
  <c r="C368" i="66"/>
  <c r="C295" i="66"/>
  <c r="C1131" i="66"/>
  <c r="C1122" i="66"/>
  <c r="C936" i="66"/>
  <c r="C1345" i="66"/>
  <c r="A800" i="66"/>
  <c r="C800" i="66" s="1"/>
  <c r="C799" i="66"/>
  <c r="C1099" i="66"/>
  <c r="C825" i="66"/>
  <c r="C1175" i="66"/>
  <c r="C397" i="66"/>
  <c r="C298" i="66"/>
  <c r="C1174" i="66"/>
  <c r="C1134" i="66"/>
  <c r="C1084" i="66"/>
  <c r="C403" i="66"/>
  <c r="C1140" i="66"/>
  <c r="C1082" i="66"/>
  <c r="C773" i="66"/>
  <c r="C335" i="66"/>
  <c r="C790" i="66"/>
  <c r="C1139" i="66"/>
  <c r="C1055" i="66"/>
  <c r="C985" i="66"/>
  <c r="C1233" i="66"/>
  <c r="C772" i="66"/>
  <c r="C612" i="66"/>
  <c r="C513" i="66"/>
  <c r="C274" i="66"/>
  <c r="C840" i="66"/>
  <c r="C824" i="66"/>
  <c r="C789" i="66"/>
  <c r="C1178" i="66"/>
  <c r="C1170" i="66"/>
  <c r="C1138" i="66"/>
  <c r="C1130" i="66"/>
  <c r="C1121" i="66"/>
  <c r="C1080" i="66"/>
  <c r="C1054" i="66"/>
  <c r="C1026" i="66"/>
  <c r="C1009" i="66"/>
  <c r="C951" i="66"/>
  <c r="C943" i="66"/>
  <c r="C935" i="66"/>
  <c r="C919" i="66"/>
  <c r="C903" i="66"/>
  <c r="C1344" i="66"/>
  <c r="C371" i="66"/>
  <c r="C947" i="66"/>
  <c r="C468" i="66"/>
  <c r="C370" i="66"/>
  <c r="C1091" i="66"/>
  <c r="C1083" i="66"/>
  <c r="C946" i="66"/>
  <c r="C922" i="66"/>
  <c r="C613" i="66"/>
  <c r="C611" i="66"/>
  <c r="C539" i="66"/>
  <c r="C520" i="66"/>
  <c r="C512" i="66"/>
  <c r="C472" i="66"/>
  <c r="C408" i="66"/>
  <c r="C400" i="66"/>
  <c r="C273" i="66"/>
  <c r="C887" i="66"/>
  <c r="C871" i="66"/>
  <c r="C806" i="66"/>
  <c r="C796" i="66"/>
  <c r="C788" i="66"/>
  <c r="C1169" i="66"/>
  <c r="C1145" i="66"/>
  <c r="C1137" i="66"/>
  <c r="C1120" i="66"/>
  <c r="C1087" i="66"/>
  <c r="C1079" i="66"/>
  <c r="C983" i="66"/>
  <c r="C950" i="66"/>
  <c r="C942" i="66"/>
  <c r="C934" i="66"/>
  <c r="C918" i="66"/>
  <c r="C902" i="66"/>
  <c r="C469" i="66"/>
  <c r="C923" i="66"/>
  <c r="C297" i="66"/>
  <c r="C867" i="66"/>
  <c r="C843" i="66"/>
  <c r="C1173" i="66"/>
  <c r="C336" i="66"/>
  <c r="C1090" i="66"/>
  <c r="C986" i="66"/>
  <c r="C1234" i="66"/>
  <c r="C402" i="66"/>
  <c r="C275" i="66"/>
  <c r="C841" i="66"/>
  <c r="C798" i="66"/>
  <c r="C1179" i="66"/>
  <c r="C1081" i="66"/>
  <c r="C1027" i="66"/>
  <c r="C1010" i="66"/>
  <c r="C762" i="66"/>
  <c r="C626" i="66"/>
  <c r="C538" i="66"/>
  <c r="C519" i="66"/>
  <c r="C471" i="66"/>
  <c r="C407" i="66"/>
  <c r="C399" i="66"/>
  <c r="C870" i="66"/>
  <c r="C805" i="66"/>
  <c r="C795" i="66"/>
  <c r="C787" i="66"/>
  <c r="C1152" i="66"/>
  <c r="C1144" i="66"/>
  <c r="C1136" i="66"/>
  <c r="C1119" i="66"/>
  <c r="C1110" i="66"/>
  <c r="C1094" i="66"/>
  <c r="C1086" i="66"/>
  <c r="C1060" i="66"/>
  <c r="C1032" i="66"/>
  <c r="C982" i="66"/>
  <c r="C949" i="66"/>
  <c r="C941" i="66"/>
  <c r="C925" i="66"/>
  <c r="C901" i="66"/>
  <c r="C1342" i="66"/>
  <c r="A496" i="66"/>
  <c r="C495" i="66"/>
  <c r="A492" i="66"/>
  <c r="C491" i="66"/>
  <c r="AC529" i="16"/>
  <c r="C242" i="66"/>
  <c r="C177" i="66"/>
  <c r="A271" i="66"/>
  <c r="C290" i="66"/>
  <c r="I523" i="66"/>
  <c r="A524" i="66"/>
  <c r="C524" i="66" s="1"/>
  <c r="N400" i="16"/>
  <c r="I402" i="66"/>
  <c r="I537" i="66"/>
  <c r="AO161" i="24"/>
  <c r="AO285" i="24"/>
  <c r="N520" i="16"/>
  <c r="AE400" i="16"/>
  <c r="AF400" i="16" s="1"/>
  <c r="T62" i="16"/>
  <c r="AD62" i="16" s="1"/>
  <c r="AC62" i="16" s="1"/>
  <c r="O1038" i="16"/>
  <c r="E1027" i="76" s="1"/>
  <c r="O1091" i="16"/>
  <c r="E1080" i="76" s="1"/>
  <c r="O144" i="16"/>
  <c r="E144" i="76" s="1"/>
  <c r="M1071" i="16"/>
  <c r="AM1071" i="16" s="1"/>
  <c r="S924" i="16"/>
  <c r="C155" i="66"/>
  <c r="N287" i="16"/>
  <c r="G287" i="16" s="1"/>
  <c r="T500" i="24"/>
  <c r="AD500" i="24" s="1"/>
  <c r="AC500" i="24" s="1"/>
  <c r="AO212" i="24"/>
  <c r="AC257" i="24"/>
  <c r="I620" i="66"/>
  <c r="I286" i="66"/>
  <c r="A277" i="66" s="1"/>
  <c r="N621" i="16"/>
  <c r="I480" i="66"/>
  <c r="AO101" i="24"/>
  <c r="AO242" i="24"/>
  <c r="AO210" i="24"/>
  <c r="A763" i="66"/>
  <c r="A764" i="66" s="1"/>
  <c r="C764" i="66" s="1"/>
  <c r="N538" i="16"/>
  <c r="N398" i="16"/>
  <c r="I506" i="66"/>
  <c r="AO268" i="24"/>
  <c r="I397" i="66"/>
  <c r="AE233" i="24"/>
  <c r="AC233" i="24" s="1"/>
  <c r="I756" i="66"/>
  <c r="AE226" i="24"/>
  <c r="AC226" i="24" s="1"/>
  <c r="N757" i="16"/>
  <c r="A757" i="66"/>
  <c r="C757" i="66" s="1"/>
  <c r="N285" i="16"/>
  <c r="G285" i="16" s="1"/>
  <c r="N435" i="16"/>
  <c r="AC239" i="24"/>
  <c r="I491" i="66"/>
  <c r="N501" i="16"/>
  <c r="N624" i="16"/>
  <c r="N407" i="16"/>
  <c r="AO35" i="24"/>
  <c r="I406" i="66"/>
  <c r="N492" i="16"/>
  <c r="N451" i="16"/>
  <c r="G451" i="16" s="1"/>
  <c r="AO44" i="24"/>
  <c r="I339" i="66"/>
  <c r="I623" i="66"/>
  <c r="I296" i="66"/>
  <c r="AO264" i="24"/>
  <c r="N503" i="16"/>
  <c r="G503" i="16" s="1"/>
  <c r="A507" i="66"/>
  <c r="C507" i="66" s="1"/>
  <c r="N274" i="16"/>
  <c r="I276" i="66"/>
  <c r="N297" i="16"/>
  <c r="G297" i="16" s="1"/>
  <c r="N283" i="16"/>
  <c r="G283" i="16" s="1"/>
  <c r="I404" i="66"/>
  <c r="AC184" i="24"/>
  <c r="N405" i="16"/>
  <c r="N478" i="16"/>
  <c r="N623" i="16"/>
  <c r="G623" i="16" s="1"/>
  <c r="AO239" i="24"/>
  <c r="AO384" i="24"/>
  <c r="AO46" i="24"/>
  <c r="AO262" i="24"/>
  <c r="N277" i="16"/>
  <c r="G277" i="16" s="1"/>
  <c r="N732" i="16"/>
  <c r="O422" i="24"/>
  <c r="AO422" i="24" s="1"/>
  <c r="N299" i="16"/>
  <c r="G299" i="16" s="1"/>
  <c r="AO241" i="24"/>
  <c r="AO60" i="24"/>
  <c r="I437" i="66"/>
  <c r="I479" i="66"/>
  <c r="A475" i="66" s="1"/>
  <c r="S275" i="28"/>
  <c r="T275" i="28" s="1"/>
  <c r="AD275" i="28" s="1"/>
  <c r="AC275" i="28" s="1"/>
  <c r="N438" i="16"/>
  <c r="G438" i="16" s="1"/>
  <c r="I720" i="66"/>
  <c r="AO281" i="24"/>
  <c r="O413" i="24"/>
  <c r="N652" i="16" s="1"/>
  <c r="A721" i="66"/>
  <c r="A722" i="66" s="1"/>
  <c r="C722" i="66" s="1"/>
  <c r="N286" i="16"/>
  <c r="G286" i="16" s="1"/>
  <c r="N721" i="16"/>
  <c r="AO45" i="24"/>
  <c r="AO47" i="24"/>
  <c r="AO314" i="24"/>
  <c r="O429" i="24"/>
  <c r="AO429" i="24" s="1"/>
  <c r="I351" i="66"/>
  <c r="AC450" i="24"/>
  <c r="AO113" i="24"/>
  <c r="AC456" i="24"/>
  <c r="AC161" i="24"/>
  <c r="N449" i="16"/>
  <c r="AC437" i="24"/>
  <c r="R104" i="29"/>
  <c r="M104" i="29" s="1"/>
  <c r="AM104" i="29" s="1"/>
  <c r="N553" i="16"/>
  <c r="AO323" i="24"/>
  <c r="I481" i="66"/>
  <c r="N562" i="16"/>
  <c r="A482" i="66"/>
  <c r="C482" i="66" s="1"/>
  <c r="I561" i="66"/>
  <c r="AO243" i="24"/>
  <c r="M161" i="24"/>
  <c r="AM161" i="24" s="1"/>
  <c r="I605" i="66"/>
  <c r="N606" i="16"/>
  <c r="A674" i="66"/>
  <c r="A675" i="66" s="1"/>
  <c r="C675" i="66" s="1"/>
  <c r="C229" i="66"/>
  <c r="C52" i="66"/>
  <c r="A1011" i="66"/>
  <c r="C1011" i="66" s="1"/>
  <c r="C93" i="66"/>
  <c r="C213" i="66"/>
  <c r="C140" i="66"/>
  <c r="C172" i="66"/>
  <c r="M23" i="24"/>
  <c r="M25" i="24"/>
  <c r="AC52" i="28"/>
  <c r="AC47" i="28"/>
  <c r="AC45" i="28"/>
  <c r="AO52" i="28"/>
  <c r="N953" i="16"/>
  <c r="AO50" i="28"/>
  <c r="N951" i="16"/>
  <c r="AO47" i="28"/>
  <c r="N946" i="16"/>
  <c r="AO54" i="28"/>
  <c r="N955" i="16"/>
  <c r="G955" i="16" s="1"/>
  <c r="T89" i="29"/>
  <c r="AD89" i="29" s="1"/>
  <c r="AC89" i="29" s="1"/>
  <c r="BI16" i="28"/>
  <c r="BG16" i="29"/>
  <c r="AY83" i="27"/>
  <c r="BG25" i="25"/>
  <c r="BG17" i="24"/>
  <c r="BH16" i="29"/>
  <c r="BG16" i="8"/>
  <c r="BH25" i="25"/>
  <c r="BG16" i="28"/>
  <c r="BH17" i="24"/>
  <c r="N9" i="7"/>
  <c r="BI17" i="24"/>
  <c r="BI16" i="29"/>
  <c r="P9" i="7"/>
  <c r="AX83" i="27"/>
  <c r="BI25" i="25"/>
  <c r="BH16" i="8"/>
  <c r="BI16" i="8"/>
  <c r="AY950" i="16"/>
  <c r="B4" i="3"/>
  <c r="AY263" i="16"/>
  <c r="M262" i="16" s="1"/>
  <c r="AY22" i="16"/>
  <c r="A22" i="3"/>
  <c r="C22" i="3" s="1"/>
  <c r="F32" i="17" s="1"/>
  <c r="AO32" i="24"/>
  <c r="N271" i="16"/>
  <c r="I287" i="66"/>
  <c r="AG3" i="8"/>
  <c r="AY1208" i="16"/>
  <c r="N50" i="16"/>
  <c r="AO51" i="8"/>
  <c r="N288" i="16"/>
  <c r="I438" i="66"/>
  <c r="AO200" i="24"/>
  <c r="AY802" i="16"/>
  <c r="AY1207" i="16"/>
  <c r="AY801" i="16"/>
  <c r="I16" i="66"/>
  <c r="E21" i="3"/>
  <c r="D21" i="3"/>
  <c r="F21" i="3"/>
  <c r="C21" i="3"/>
  <c r="AY797" i="16"/>
  <c r="AY1202" i="16"/>
  <c r="G10" i="17"/>
  <c r="AY945" i="16"/>
  <c r="AY259" i="16"/>
  <c r="S937" i="16"/>
  <c r="AC979" i="16"/>
  <c r="C21" i="66"/>
  <c r="A1324" i="66"/>
  <c r="A1325" i="66" s="1"/>
  <c r="A1326" i="66" s="1"/>
  <c r="C1326" i="66" s="1"/>
  <c r="C70" i="66"/>
  <c r="C206" i="66"/>
  <c r="C56" i="66"/>
  <c r="A791" i="66"/>
  <c r="C791" i="66" s="1"/>
  <c r="C15" i="66"/>
  <c r="C112" i="66"/>
  <c r="C31" i="66"/>
  <c r="A952" i="66"/>
  <c r="C952" i="66" s="1"/>
  <c r="C63" i="66"/>
  <c r="C103" i="66"/>
  <c r="C135" i="66"/>
  <c r="A1171" i="66"/>
  <c r="C1171" i="66" s="1"/>
  <c r="C146" i="66"/>
  <c r="A1033" i="66"/>
  <c r="C1033" i="66" s="1"/>
  <c r="C17" i="66"/>
  <c r="C130" i="66"/>
  <c r="C162" i="66"/>
  <c r="C945" i="66"/>
  <c r="A1112" i="66"/>
  <c r="C1112" i="66" s="1"/>
  <c r="A822" i="66"/>
  <c r="A823" i="66" s="1"/>
  <c r="C823" i="66" s="1"/>
  <c r="A1167" i="66"/>
  <c r="C1167" i="66" s="1"/>
  <c r="C137" i="66"/>
  <c r="C180" i="66"/>
  <c r="C81" i="66"/>
  <c r="A1141" i="66"/>
  <c r="C1141" i="66" s="1"/>
  <c r="C977" i="66"/>
  <c r="A1085" i="66"/>
  <c r="C1085" i="66" s="1"/>
  <c r="A984" i="66"/>
  <c r="C984" i="66" s="1"/>
  <c r="A1176" i="66"/>
  <c r="A1177" i="66" s="1"/>
  <c r="C1177" i="66" s="1"/>
  <c r="A94" i="66"/>
  <c r="C94" i="66" s="1"/>
  <c r="N298" i="16"/>
  <c r="G298" i="16" s="1"/>
  <c r="I295" i="66"/>
  <c r="AO59" i="24"/>
  <c r="S83" i="29"/>
  <c r="O80" i="29" s="1"/>
  <c r="T151" i="29"/>
  <c r="AD151" i="29" s="1"/>
  <c r="S15" i="29"/>
  <c r="O12" i="29" s="1"/>
  <c r="A1183" i="66" s="1"/>
  <c r="R16" i="29"/>
  <c r="A253" i="66"/>
  <c r="N253" i="16"/>
  <c r="I252" i="66"/>
  <c r="AO14" i="24"/>
  <c r="AC462" i="24"/>
  <c r="AC468" i="24"/>
  <c r="AC444" i="24"/>
  <c r="A473" i="66"/>
  <c r="C473" i="66" s="1"/>
  <c r="N296" i="16"/>
  <c r="G296" i="16" s="1"/>
  <c r="G291" i="16" s="1"/>
  <c r="I731" i="66"/>
  <c r="N28" i="16"/>
  <c r="A170" i="66"/>
  <c r="AO170" i="8"/>
  <c r="N179" i="16"/>
  <c r="G179" i="16" s="1"/>
  <c r="I27" i="66"/>
  <c r="I178" i="66"/>
  <c r="A138" i="66"/>
  <c r="C138" i="66" s="1"/>
  <c r="N58" i="16"/>
  <c r="C184" i="66"/>
  <c r="C240" i="66"/>
  <c r="C65" i="66"/>
  <c r="C157" i="66"/>
  <c r="O71" i="8"/>
  <c r="I69" i="66" s="1"/>
  <c r="N15" i="16"/>
  <c r="N63" i="16"/>
  <c r="I143" i="66"/>
  <c r="AO16" i="8"/>
  <c r="A163" i="66"/>
  <c r="A164" i="66" s="1"/>
  <c r="C164" i="66" s="1"/>
  <c r="C28" i="66"/>
  <c r="A29" i="66"/>
  <c r="C29" i="66" s="1"/>
  <c r="C188" i="66"/>
  <c r="A189" i="66"/>
  <c r="C189" i="66" s="1"/>
  <c r="AO138" i="8"/>
  <c r="N137" i="16"/>
  <c r="I136" i="66"/>
  <c r="AO63" i="8"/>
  <c r="N62" i="16"/>
  <c r="G62" i="16" s="1"/>
  <c r="I61" i="66"/>
  <c r="I71" i="66"/>
  <c r="I57" i="66"/>
  <c r="C183" i="66"/>
  <c r="C154" i="66"/>
  <c r="C62" i="66"/>
  <c r="AO73" i="8"/>
  <c r="O53" i="8"/>
  <c r="A243" i="66"/>
  <c r="A244" i="66" s="1"/>
  <c r="A245" i="66" s="1"/>
  <c r="A185" i="66"/>
  <c r="A186" i="66" s="1"/>
  <c r="C186" i="66" s="1"/>
  <c r="C36" i="66"/>
  <c r="C75" i="66"/>
  <c r="C241" i="66"/>
  <c r="C208" i="66"/>
  <c r="C169" i="66"/>
  <c r="C161" i="66"/>
  <c r="C142" i="66"/>
  <c r="C134" i="66"/>
  <c r="C118" i="66"/>
  <c r="C102" i="66"/>
  <c r="C82" i="66"/>
  <c r="C58" i="66"/>
  <c r="C141" i="66"/>
  <c r="C49" i="66"/>
  <c r="A826" i="66"/>
  <c r="C826" i="66" s="1"/>
  <c r="AC525" i="16"/>
  <c r="O297" i="16"/>
  <c r="E297" i="76" s="1"/>
  <c r="AC610" i="16"/>
  <c r="AC1108" i="16"/>
  <c r="T943" i="16"/>
  <c r="AD943" i="16" s="1"/>
  <c r="T137" i="16"/>
  <c r="AD137" i="16" s="1"/>
  <c r="AC137" i="16" s="1"/>
  <c r="AC574" i="16"/>
  <c r="AC713" i="16"/>
  <c r="AO1095" i="16"/>
  <c r="AC1110" i="16"/>
  <c r="O732" i="16"/>
  <c r="E732" i="76" s="1"/>
  <c r="T52" i="16"/>
  <c r="AD52" i="16" s="1"/>
  <c r="AC52" i="16" s="1"/>
  <c r="AC612" i="16"/>
  <c r="S162" i="16"/>
  <c r="T162" i="16" s="1"/>
  <c r="AD162" i="16" s="1"/>
  <c r="AC162" i="16" s="1"/>
  <c r="T652" i="16"/>
  <c r="AD652" i="16" s="1"/>
  <c r="AC652" i="16" s="1"/>
  <c r="AC513" i="16"/>
  <c r="AC1115" i="16"/>
  <c r="AC1160" i="16"/>
  <c r="AC1056" i="16"/>
  <c r="T1033" i="16"/>
  <c r="AD1033" i="16" s="1"/>
  <c r="AC1033" i="16" s="1"/>
  <c r="AC676" i="16"/>
  <c r="M958" i="16"/>
  <c r="AE948" i="16"/>
  <c r="AF948" i="16" s="1"/>
  <c r="M948" i="16"/>
  <c r="O296" i="16"/>
  <c r="E296" i="76" s="1"/>
  <c r="O1043" i="16"/>
  <c r="E1032" i="76" s="1"/>
  <c r="O948" i="16"/>
  <c r="E937" i="76" s="1"/>
  <c r="AC913" i="16"/>
  <c r="AC968" i="16"/>
  <c r="AC994" i="16"/>
  <c r="AC707" i="16"/>
  <c r="T63" i="16"/>
  <c r="AD63" i="16" s="1"/>
  <c r="AC63" i="16" s="1"/>
  <c r="M411" i="16"/>
  <c r="AM411" i="16" s="1"/>
  <c r="AC520" i="16"/>
  <c r="AE1093" i="16"/>
  <c r="AF1093" i="16" s="1"/>
  <c r="AC1099" i="16"/>
  <c r="AC507" i="16"/>
  <c r="T948" i="16"/>
  <c r="AD948" i="16" s="1"/>
  <c r="AC763" i="16"/>
  <c r="AC1151" i="16"/>
  <c r="AE960" i="16"/>
  <c r="AF960" i="16" s="1"/>
  <c r="AC1095" i="16"/>
  <c r="AC640" i="16"/>
  <c r="AC607" i="16"/>
  <c r="AC695" i="16"/>
  <c r="AC1066" i="16"/>
  <c r="AO219" i="16"/>
  <c r="O142" i="16"/>
  <c r="E142" i="76" s="1"/>
  <c r="AC992" i="16"/>
  <c r="M465" i="16"/>
  <c r="AM465" i="16" s="1"/>
  <c r="AC1035" i="16"/>
  <c r="AC1038" i="16"/>
  <c r="AC1149" i="16"/>
  <c r="S1181" i="16"/>
  <c r="O946" i="16"/>
  <c r="E935" i="76" s="1"/>
  <c r="T946" i="16"/>
  <c r="AD946" i="16" s="1"/>
  <c r="AE1156" i="16"/>
  <c r="AF1156" i="16" s="1"/>
  <c r="AC1102" i="16"/>
  <c r="AC609" i="16"/>
  <c r="AC1164" i="16"/>
  <c r="AC1021" i="16"/>
  <c r="AC919" i="16"/>
  <c r="O140" i="16"/>
  <c r="E140" i="76" s="1"/>
  <c r="AC586" i="16"/>
  <c r="AC1154" i="16"/>
  <c r="AC527" i="16"/>
  <c r="T951" i="16"/>
  <c r="AD951" i="16" s="1"/>
  <c r="AC955" i="16"/>
  <c r="AC1036" i="16"/>
  <c r="T1176" i="16"/>
  <c r="AD1176" i="16" s="1"/>
  <c r="AC1176" i="16" s="1"/>
  <c r="AC1017" i="16"/>
  <c r="O298" i="16"/>
  <c r="E298" i="76" s="1"/>
  <c r="R951" i="16"/>
  <c r="AO449" i="16"/>
  <c r="AC627" i="16"/>
  <c r="AC701" i="16"/>
  <c r="O968" i="16"/>
  <c r="E957" i="76" s="1"/>
  <c r="AC1006" i="16"/>
  <c r="AC1018" i="16"/>
  <c r="M1121" i="16"/>
  <c r="AM1121" i="16" s="1"/>
  <c r="AE1121" i="16"/>
  <c r="AF1121" i="16" s="1"/>
  <c r="AF1071" i="16"/>
  <c r="AC1071" i="16"/>
  <c r="AF465" i="16"/>
  <c r="AC465" i="16"/>
  <c r="AO438" i="16"/>
  <c r="AE946" i="16"/>
  <c r="AF946" i="16" s="1"/>
  <c r="AE997" i="16"/>
  <c r="G147" i="16"/>
  <c r="O299" i="16"/>
  <c r="E299" i="76" s="1"/>
  <c r="AO609" i="16"/>
  <c r="AE973" i="16"/>
  <c r="AO955" i="16"/>
  <c r="O50" i="16"/>
  <c r="E50" i="76" s="1"/>
  <c r="O668" i="16"/>
  <c r="AO239" i="16"/>
  <c r="AC689" i="16"/>
  <c r="AC1190" i="16"/>
  <c r="AC1101" i="16"/>
  <c r="AC1061" i="16"/>
  <c r="AC980" i="16"/>
  <c r="AO1185" i="16"/>
  <c r="AO271" i="16"/>
  <c r="AO287" i="16"/>
  <c r="AO400" i="16"/>
  <c r="AO54" i="16"/>
  <c r="AO157" i="16"/>
  <c r="AO501" i="16"/>
  <c r="AO137" i="16"/>
  <c r="AC1043" i="16"/>
  <c r="AO58" i="16"/>
  <c r="AO405" i="16"/>
  <c r="AC19" i="16"/>
  <c r="AO172" i="16"/>
  <c r="E1020" i="76"/>
  <c r="AO1031" i="16"/>
  <c r="AF478" i="16"/>
  <c r="AC478" i="16"/>
  <c r="E932" i="76"/>
  <c r="AO943" i="16"/>
  <c r="AO652" i="16"/>
  <c r="AO192" i="16"/>
  <c r="M930" i="16"/>
  <c r="AM930" i="16" s="1"/>
  <c r="AC198" i="16"/>
  <c r="AF198" i="16"/>
  <c r="AO721" i="16"/>
  <c r="AO951" i="16"/>
  <c r="AO960" i="16"/>
  <c r="AO182" i="16"/>
  <c r="AO439" i="16"/>
  <c r="AO480" i="16"/>
  <c r="AO503" i="16"/>
  <c r="R943" i="16"/>
  <c r="AO1098" i="16"/>
  <c r="AC958" i="16"/>
  <c r="AC411" i="16"/>
  <c r="AF411" i="16"/>
  <c r="AO78" i="16"/>
  <c r="AO283" i="16"/>
  <c r="AO288" i="16"/>
  <c r="AO562" i="16"/>
  <c r="AC531" i="16"/>
  <c r="AF531" i="16"/>
  <c r="AO1190" i="16"/>
  <c r="AO999" i="16"/>
  <c r="AO56" i="16"/>
  <c r="AO284" i="16"/>
  <c r="AO520" i="16"/>
  <c r="AO1052" i="16"/>
  <c r="O70" i="16"/>
  <c r="T280" i="28"/>
  <c r="AD280" i="28" s="1"/>
  <c r="AC280" i="28" s="1"/>
  <c r="O280" i="28"/>
  <c r="N1181" i="16" s="1"/>
  <c r="C396" i="66"/>
  <c r="A933" i="66"/>
  <c r="C933" i="66" s="1"/>
  <c r="A324" i="66"/>
  <c r="C324" i="66" s="1"/>
  <c r="A38" i="66"/>
  <c r="S36" i="28"/>
  <c r="A878" i="66"/>
  <c r="A879" i="66" s="1"/>
  <c r="C879" i="66" s="1"/>
  <c r="A131" i="66"/>
  <c r="A337" i="66"/>
  <c r="C337" i="66" s="1"/>
  <c r="A938" i="66"/>
  <c r="C938" i="66" s="1"/>
  <c r="T86" i="29"/>
  <c r="AD86" i="29" s="1"/>
  <c r="C50" i="66"/>
  <c r="A714" i="66"/>
  <c r="A715" i="66" s="1"/>
  <c r="C715" i="66" s="1"/>
  <c r="C59" i="66"/>
  <c r="C882" i="66"/>
  <c r="C178" i="66"/>
  <c r="C143" i="66"/>
  <c r="C119" i="66"/>
  <c r="C111" i="66"/>
  <c r="C95" i="66"/>
  <c r="C83" i="66"/>
  <c r="C51" i="66"/>
  <c r="C18" i="66"/>
  <c r="C231" i="66"/>
  <c r="C207" i="66"/>
  <c r="C176" i="66"/>
  <c r="C168" i="66"/>
  <c r="C117" i="66"/>
  <c r="C57" i="66"/>
  <c r="A688" i="66"/>
  <c r="A689" i="66" s="1"/>
  <c r="A690" i="66" s="1"/>
  <c r="C690" i="66" s="1"/>
  <c r="C238" i="66"/>
  <c r="C156" i="66"/>
  <c r="C80" i="66"/>
  <c r="C64" i="66"/>
  <c r="C48" i="66"/>
  <c r="C237" i="66"/>
  <c r="C205" i="66"/>
  <c r="C190" i="66"/>
  <c r="C139" i="66"/>
  <c r="C123" i="66"/>
  <c r="C79" i="66"/>
  <c r="C71" i="66"/>
  <c r="C55" i="66"/>
  <c r="C30" i="66"/>
  <c r="C16" i="66"/>
  <c r="C228" i="66"/>
  <c r="C181" i="66"/>
  <c r="C54" i="66"/>
  <c r="C145" i="66"/>
  <c r="C129" i="66"/>
  <c r="C121" i="66"/>
  <c r="C77" i="66"/>
  <c r="C69" i="66"/>
  <c r="C61" i="66"/>
  <c r="C53" i="66"/>
  <c r="C14" i="66"/>
  <c r="C218" i="66"/>
  <c r="C187" i="66"/>
  <c r="C179" i="66"/>
  <c r="C171" i="66"/>
  <c r="C144" i="66"/>
  <c r="C136" i="66"/>
  <c r="C128" i="66"/>
  <c r="C120" i="66"/>
  <c r="C96" i="66"/>
  <c r="C92" i="66"/>
  <c r="C84" i="66"/>
  <c r="C76" i="66"/>
  <c r="C27" i="66"/>
  <c r="C19" i="66"/>
  <c r="AO63" i="16"/>
  <c r="E206" i="76"/>
  <c r="AO206" i="16"/>
  <c r="E623" i="76"/>
  <c r="AO623" i="16"/>
  <c r="M953" i="16"/>
  <c r="AE953" i="16"/>
  <c r="AF953" i="16" s="1"/>
  <c r="E49" i="76"/>
  <c r="AO49" i="16"/>
  <c r="E169" i="76"/>
  <c r="AO169" i="16"/>
  <c r="E93" i="76"/>
  <c r="AO93" i="16"/>
  <c r="E188" i="76"/>
  <c r="AO188" i="16"/>
  <c r="AC192" i="16"/>
  <c r="E15" i="76"/>
  <c r="AO15" i="16"/>
  <c r="E482" i="76"/>
  <c r="AO482" i="16"/>
  <c r="E62" i="76"/>
  <c r="AO62" i="16"/>
  <c r="AC496" i="16"/>
  <c r="AC637" i="16"/>
  <c r="AC1089" i="16"/>
  <c r="E179" i="76"/>
  <c r="AO179" i="16"/>
  <c r="AO17" i="16"/>
  <c r="AO76" i="16"/>
  <c r="AO170" i="16"/>
  <c r="AO180" i="16"/>
  <c r="AO191" i="16"/>
  <c r="AO398" i="16"/>
  <c r="AO403" i="16"/>
  <c r="AO492" i="16"/>
  <c r="AO624" i="16"/>
  <c r="AC981" i="16"/>
  <c r="O953" i="16"/>
  <c r="AO1021" i="16"/>
  <c r="AO1102" i="16"/>
  <c r="AO1106" i="16"/>
  <c r="AO55" i="16"/>
  <c r="AO155" i="16"/>
  <c r="AO274" i="16"/>
  <c r="AO285" i="16"/>
  <c r="AO340" i="16"/>
  <c r="AO507" i="16"/>
  <c r="AO538" i="16"/>
  <c r="AO757" i="16"/>
  <c r="AC1091" i="16"/>
  <c r="AO913" i="16"/>
  <c r="AO919" i="16"/>
  <c r="AC934" i="16"/>
  <c r="AO1147" i="16"/>
  <c r="AO277" i="16"/>
  <c r="AO286" i="16"/>
  <c r="AO352" i="16"/>
  <c r="AO435" i="16"/>
  <c r="AO513" i="16"/>
  <c r="AO553" i="16"/>
  <c r="AO606" i="16"/>
  <c r="AO28" i="16"/>
  <c r="AO19" i="16"/>
  <c r="AC1062" i="16"/>
  <c r="AO1066" i="16"/>
  <c r="AO37" i="16"/>
  <c r="AO52" i="16"/>
  <c r="AO85" i="16"/>
  <c r="AO177" i="16"/>
  <c r="AO184" i="16"/>
  <c r="AO229" i="16"/>
  <c r="AO407" i="16"/>
  <c r="AO451" i="16"/>
  <c r="AO478" i="16"/>
  <c r="AO481" i="16"/>
  <c r="AO621" i="16"/>
  <c r="T953" i="16"/>
  <c r="AD953" i="16" s="1"/>
  <c r="M1089" i="16"/>
  <c r="AO958" i="16"/>
  <c r="AC978" i="16"/>
  <c r="AO992" i="16"/>
  <c r="AO994" i="16"/>
  <c r="AO1111" i="16"/>
  <c r="AO1154" i="16"/>
  <c r="E1153" i="76"/>
  <c r="E1149" i="76"/>
  <c r="E1110" i="76"/>
  <c r="E958" i="76"/>
  <c r="E916" i="76"/>
  <c r="E713" i="76"/>
  <c r="E636" i="76"/>
  <c r="E627" i="76"/>
  <c r="E612" i="76"/>
  <c r="E452" i="76"/>
  <c r="E443" i="76"/>
  <c r="E305" i="76"/>
  <c r="E300" i="76"/>
  <c r="E232" i="76"/>
  <c r="E213" i="76"/>
  <c r="E209" i="76"/>
  <c r="E124" i="76"/>
  <c r="E103" i="76"/>
  <c r="E96" i="76"/>
  <c r="E65" i="76"/>
  <c r="AE86" i="29"/>
  <c r="M86" i="29"/>
  <c r="AM86" i="29" s="1"/>
  <c r="A1236" i="66"/>
  <c r="C1236" i="66" s="1"/>
  <c r="M151" i="29"/>
  <c r="AM151" i="29" s="1"/>
  <c r="AE151" i="29"/>
  <c r="M89" i="29"/>
  <c r="AM89" i="29" s="1"/>
  <c r="A1343" i="66"/>
  <c r="C1343" i="66" s="1"/>
  <c r="S102" i="29"/>
  <c r="T62" i="29"/>
  <c r="AD62" i="29" s="1"/>
  <c r="A966" i="66"/>
  <c r="C966" i="66" s="1"/>
  <c r="A1056" i="66"/>
  <c r="C1056" i="66" s="1"/>
  <c r="A990" i="66"/>
  <c r="C990" i="66" s="1"/>
  <c r="A904" i="66"/>
  <c r="C904" i="66" s="1"/>
  <c r="AE220" i="28"/>
  <c r="A872" i="66"/>
  <c r="C872" i="66" s="1"/>
  <c r="A807" i="66"/>
  <c r="A797" i="66"/>
  <c r="C797" i="66" s="1"/>
  <c r="A409" i="66"/>
  <c r="C409" i="66" s="1"/>
  <c r="A540" i="66"/>
  <c r="C540" i="66" s="1"/>
  <c r="A774" i="66"/>
  <c r="A775" i="66" s="1"/>
  <c r="C775" i="66" s="1"/>
  <c r="A614" i="66"/>
  <c r="C614" i="66" s="1"/>
  <c r="T130" i="24"/>
  <c r="AD130" i="24" s="1"/>
  <c r="AC130" i="24" s="1"/>
  <c r="O130" i="24"/>
  <c r="G610" i="16"/>
  <c r="G611" i="16" s="1"/>
  <c r="A349" i="66"/>
  <c r="A627" i="66"/>
  <c r="C627" i="66" s="1"/>
  <c r="S107" i="24"/>
  <c r="S108" i="24"/>
  <c r="T108" i="24" s="1"/>
  <c r="AD108" i="24" s="1"/>
  <c r="AC108" i="24" s="1"/>
  <c r="S132" i="24"/>
  <c r="S123" i="24"/>
  <c r="O121" i="24"/>
  <c r="A369" i="66"/>
  <c r="A514" i="66"/>
  <c r="C514" i="66" s="1"/>
  <c r="C395" i="66"/>
  <c r="C770" i="66"/>
  <c r="C182" i="66"/>
  <c r="C212" i="66"/>
  <c r="A98" i="66"/>
  <c r="C98" i="66" s="1"/>
  <c r="C20" i="66"/>
  <c r="A230" i="66"/>
  <c r="C230" i="66" s="1"/>
  <c r="A153" i="66"/>
  <c r="C153" i="66" s="1"/>
  <c r="G77" i="16"/>
  <c r="O469" i="16"/>
  <c r="AC930" i="16"/>
  <c r="O934" i="16"/>
  <c r="I5" i="24"/>
  <c r="I5" i="28"/>
  <c r="I5" i="25"/>
  <c r="I5" i="8"/>
  <c r="B5" i="27"/>
  <c r="A920" i="66"/>
  <c r="C920" i="66" s="1"/>
  <c r="T62" i="25"/>
  <c r="AD62" i="25" s="1"/>
  <c r="AO713" i="16"/>
  <c r="O377" i="16"/>
  <c r="T377" i="16"/>
  <c r="AD377" i="16" s="1"/>
  <c r="AC377" i="16" s="1"/>
  <c r="O140" i="24"/>
  <c r="T140" i="24"/>
  <c r="AD140" i="24" s="1"/>
  <c r="AC140" i="24" s="1"/>
  <c r="R28" i="29"/>
  <c r="R123" i="29"/>
  <c r="S230" i="28"/>
  <c r="AO220" i="28"/>
  <c r="N1121" i="16"/>
  <c r="I1109" i="66"/>
  <c r="AM125" i="16"/>
  <c r="T154" i="24"/>
  <c r="AD154" i="24" s="1"/>
  <c r="AC154" i="24" s="1"/>
  <c r="O154" i="24"/>
  <c r="I299" i="66"/>
  <c r="AO61" i="24"/>
  <c r="N300" i="16"/>
  <c r="T831" i="16"/>
  <c r="AD831" i="16" s="1"/>
  <c r="O130" i="16"/>
  <c r="AM130" i="16"/>
  <c r="I451" i="66"/>
  <c r="N452" i="16"/>
  <c r="AO213" i="24"/>
  <c r="AM117" i="8"/>
  <c r="AO103" i="16"/>
  <c r="T469" i="16"/>
  <c r="AD469" i="16" s="1"/>
  <c r="AC469" i="16" s="1"/>
  <c r="N612" i="16"/>
  <c r="I611" i="66"/>
  <c r="AO373" i="24"/>
  <c r="AM115" i="16"/>
  <c r="AO209" i="16"/>
  <c r="AO65" i="16"/>
  <c r="N213" i="16"/>
  <c r="I212" i="66"/>
  <c r="AO214" i="8"/>
  <c r="T146" i="24"/>
  <c r="AD146" i="24" s="1"/>
  <c r="AC146" i="24" s="1"/>
  <c r="O146" i="24"/>
  <c r="AM117" i="16"/>
  <c r="O230" i="24"/>
  <c r="T230" i="24"/>
  <c r="AD230" i="24" s="1"/>
  <c r="AC230" i="24" s="1"/>
  <c r="I712" i="66"/>
  <c r="N713" i="16"/>
  <c r="AO474" i="24"/>
  <c r="AM116" i="16"/>
  <c r="O578" i="16"/>
  <c r="AO213" i="16"/>
  <c r="AM128" i="8"/>
  <c r="AO305" i="16"/>
  <c r="O239" i="8"/>
  <c r="T239" i="8"/>
  <c r="AD239" i="8" s="1"/>
  <c r="AC239" i="8" s="1"/>
  <c r="AO969" i="16"/>
  <c r="AO627" i="16"/>
  <c r="AO443" i="16"/>
  <c r="I626" i="66"/>
  <c r="AO388" i="24"/>
  <c r="N627" i="16"/>
  <c r="AO124" i="16"/>
  <c r="O389" i="16"/>
  <c r="T389" i="16"/>
  <c r="AD389" i="16" s="1"/>
  <c r="AC389" i="16" s="1"/>
  <c r="I102" i="66"/>
  <c r="N103" i="16"/>
  <c r="AO104" i="8"/>
  <c r="AM126" i="16"/>
  <c r="T61" i="28"/>
  <c r="AD61" i="28" s="1"/>
  <c r="O61" i="28"/>
  <c r="AO1164" i="16"/>
  <c r="AO927" i="16"/>
  <c r="I231" i="66"/>
  <c r="N232" i="16"/>
  <c r="AO233" i="8"/>
  <c r="O180" i="28"/>
  <c r="T180" i="28"/>
  <c r="AD180" i="28" s="1"/>
  <c r="AC180" i="28" s="1"/>
  <c r="AO612" i="16"/>
  <c r="AO232" i="16"/>
  <c r="AM128" i="16"/>
  <c r="T175" i="28"/>
  <c r="AD175" i="28" s="1"/>
  <c r="AC175" i="28" s="1"/>
  <c r="T138" i="24"/>
  <c r="AD138" i="24" s="1"/>
  <c r="O138" i="24"/>
  <c r="O150" i="24"/>
  <c r="T150" i="24"/>
  <c r="AD150" i="24" s="1"/>
  <c r="AC150" i="24" s="1"/>
  <c r="I1152" i="66"/>
  <c r="N1164" i="16"/>
  <c r="AO263" i="28"/>
  <c r="AO452" i="16"/>
  <c r="AO636" i="16"/>
  <c r="S1131" i="16"/>
  <c r="AO1121" i="16"/>
  <c r="AO26" i="28"/>
  <c r="I915" i="66"/>
  <c r="N927" i="16"/>
  <c r="AO300" i="16"/>
  <c r="O393" i="16"/>
  <c r="T393" i="16"/>
  <c r="AD393" i="16" s="1"/>
  <c r="AC393" i="16" s="1"/>
  <c r="I1148" i="66"/>
  <c r="N1160" i="16"/>
  <c r="AO259" i="28"/>
  <c r="AO96" i="16"/>
  <c r="AO1160" i="16"/>
  <c r="M121" i="8"/>
  <c r="M129" i="8"/>
  <c r="S385" i="16"/>
  <c r="R352" i="24"/>
  <c r="O924" i="16"/>
  <c r="O97" i="8"/>
  <c r="M114" i="16"/>
  <c r="S809" i="16"/>
  <c r="O66" i="24"/>
  <c r="O210" i="8"/>
  <c r="O36" i="28"/>
  <c r="S962" i="16"/>
  <c r="S891" i="16"/>
  <c r="O937" i="16"/>
  <c r="M119" i="8"/>
  <c r="O23" i="28"/>
  <c r="S688" i="16"/>
  <c r="M126" i="8"/>
  <c r="O112" i="16"/>
  <c r="M127" i="16"/>
  <c r="M131" i="8"/>
  <c r="S178" i="28"/>
  <c r="S209" i="8"/>
  <c r="S1081" i="16"/>
  <c r="M120" i="16"/>
  <c r="M129" i="16"/>
  <c r="S238" i="16"/>
  <c r="R449" i="24"/>
  <c r="M122" i="16"/>
  <c r="R445" i="24"/>
  <c r="S208" i="16"/>
  <c r="O113" i="8"/>
  <c r="R438" i="24"/>
  <c r="S243" i="8"/>
  <c r="S805" i="16"/>
  <c r="S1075" i="16"/>
  <c r="R688" i="16"/>
  <c r="S242" i="16"/>
  <c r="S449" i="24"/>
  <c r="M115" i="8"/>
  <c r="M118" i="8"/>
  <c r="M116" i="8"/>
  <c r="S174" i="28"/>
  <c r="M127" i="8"/>
  <c r="R677" i="16"/>
  <c r="M123" i="8"/>
  <c r="S32" i="8"/>
  <c r="O397" i="24"/>
  <c r="S799" i="16"/>
  <c r="O68" i="28"/>
  <c r="O204" i="24"/>
  <c r="S31" i="16"/>
  <c r="M118" i="16"/>
  <c r="S802" i="16"/>
  <c r="S1079" i="16"/>
  <c r="S379" i="16"/>
  <c r="O66" i="8"/>
  <c r="S1076" i="16"/>
  <c r="M135" i="16"/>
  <c r="M130" i="8"/>
  <c r="S36" i="25"/>
  <c r="M136" i="8"/>
  <c r="O125" i="8"/>
  <c r="R350" i="24"/>
  <c r="G1015" i="16" l="1"/>
  <c r="G1014" i="16"/>
  <c r="G1016" i="16" s="1"/>
  <c r="G1017" i="16" s="1"/>
  <c r="G1018" i="16" s="1"/>
  <c r="G1019" i="16" s="1"/>
  <c r="G1020" i="16" s="1"/>
  <c r="A217" i="66"/>
  <c r="C217" i="66" s="1"/>
  <c r="C219" i="66"/>
  <c r="A72" i="66"/>
  <c r="C72" i="66" s="1"/>
  <c r="C78" i="66"/>
  <c r="G450" i="16"/>
  <c r="G449" i="16"/>
  <c r="G732" i="16"/>
  <c r="G733" i="16" s="1"/>
  <c r="G734" i="16" s="1"/>
  <c r="G735" i="16" s="1"/>
  <c r="G736" i="16" s="1"/>
  <c r="G737" i="16" s="1"/>
  <c r="G738" i="16" s="1"/>
  <c r="G739" i="16" s="1"/>
  <c r="G740" i="16" s="1"/>
  <c r="G741" i="16" s="1"/>
  <c r="G742" i="16" s="1"/>
  <c r="G743" i="16" s="1"/>
  <c r="G744" i="16" s="1"/>
  <c r="G745" i="16" s="1"/>
  <c r="G746" i="16" s="1"/>
  <c r="G747" i="16" s="1"/>
  <c r="G748" i="16" s="1"/>
  <c r="G749" i="16" s="1"/>
  <c r="G750" i="16" s="1"/>
  <c r="G751" i="16" s="1"/>
  <c r="G752" i="16" s="1"/>
  <c r="G753" i="16" s="1"/>
  <c r="G754" i="16" s="1"/>
  <c r="G755" i="16" s="1"/>
  <c r="G756" i="16" s="1"/>
  <c r="G406" i="16"/>
  <c r="G405" i="16"/>
  <c r="G621" i="16"/>
  <c r="G622" i="16" s="1"/>
  <c r="G619" i="16" s="1"/>
  <c r="G620" i="16" s="1"/>
  <c r="G521" i="16"/>
  <c r="G522" i="16" s="1"/>
  <c r="G520" i="16"/>
  <c r="G1185" i="16"/>
  <c r="G1186" i="16" s="1"/>
  <c r="G1187" i="16" s="1"/>
  <c r="G1188" i="16" s="1"/>
  <c r="G1189" i="16" s="1"/>
  <c r="G1155" i="16"/>
  <c r="G1154" i="16"/>
  <c r="G50" i="16"/>
  <c r="G51" i="16" s="1"/>
  <c r="G399" i="16"/>
  <c r="G398" i="16"/>
  <c r="G17" i="16"/>
  <c r="G18" i="16" s="1"/>
  <c r="G178" i="16"/>
  <c r="G177" i="16"/>
  <c r="G19" i="16"/>
  <c r="G20" i="16" s="1"/>
  <c r="G21" i="16" s="1"/>
  <c r="G22" i="16" s="1"/>
  <c r="G23" i="16" s="1"/>
  <c r="G24" i="16" s="1"/>
  <c r="G25" i="16" s="1"/>
  <c r="G26" i="16" s="1"/>
  <c r="G27" i="16" s="1"/>
  <c r="G525" i="16"/>
  <c r="G526" i="16" s="1"/>
  <c r="G527" i="16" s="1"/>
  <c r="G528" i="16" s="1"/>
  <c r="G529" i="16" s="1"/>
  <c r="G530" i="16" s="1"/>
  <c r="G531" i="16" s="1"/>
  <c r="G524" i="16"/>
  <c r="G1350" i="16"/>
  <c r="G1351" i="16" s="1"/>
  <c r="G1352" i="16" s="1"/>
  <c r="G1353" i="16" s="1"/>
  <c r="G1354" i="16" s="1"/>
  <c r="G1355" i="16" s="1"/>
  <c r="G1356" i="16" s="1"/>
  <c r="G1357" i="16" s="1"/>
  <c r="G1358" i="16" s="1"/>
  <c r="G138" i="16"/>
  <c r="G139" i="16" s="1"/>
  <c r="G137" i="16"/>
  <c r="G28" i="16"/>
  <c r="G29" i="16" s="1"/>
  <c r="G30" i="16" s="1"/>
  <c r="G563" i="16"/>
  <c r="G564" i="16" s="1"/>
  <c r="G565" i="16" s="1"/>
  <c r="G566" i="16" s="1"/>
  <c r="G567" i="16" s="1"/>
  <c r="G568" i="16" s="1"/>
  <c r="G569" i="16" s="1"/>
  <c r="G570" i="16" s="1"/>
  <c r="G571" i="16" s="1"/>
  <c r="G572" i="16" s="1"/>
  <c r="G573" i="16" s="1"/>
  <c r="G574" i="16" s="1"/>
  <c r="G575" i="16" s="1"/>
  <c r="G562" i="16"/>
  <c r="G721" i="16"/>
  <c r="G722" i="16" s="1"/>
  <c r="G723" i="16" s="1"/>
  <c r="G724" i="16" s="1"/>
  <c r="G725" i="16" s="1"/>
  <c r="G726" i="16" s="1"/>
  <c r="G727" i="16" s="1"/>
  <c r="G728" i="16" s="1"/>
  <c r="G729" i="16" s="1"/>
  <c r="G730" i="16" s="1"/>
  <c r="G731" i="16" s="1"/>
  <c r="G408" i="16"/>
  <c r="G409" i="16" s="1"/>
  <c r="G410" i="16" s="1"/>
  <c r="G407" i="16"/>
  <c r="G757" i="16"/>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539" i="16"/>
  <c r="G540" i="16" s="1"/>
  <c r="G541" i="16" s="1"/>
  <c r="G542" i="16" s="1"/>
  <c r="G543" i="16" s="1"/>
  <c r="G544" i="16" s="1"/>
  <c r="G545" i="16" s="1"/>
  <c r="G546" i="16" s="1"/>
  <c r="G547" i="16" s="1"/>
  <c r="G548" i="16" s="1"/>
  <c r="G549" i="16" s="1"/>
  <c r="G550" i="16" s="1"/>
  <c r="G551" i="16" s="1"/>
  <c r="G552" i="16" s="1"/>
  <c r="G538" i="16"/>
  <c r="A618" i="66"/>
  <c r="C618" i="66" s="1"/>
  <c r="G1039" i="16"/>
  <c r="G1040" i="16" s="1"/>
  <c r="G1041" i="16" s="1"/>
  <c r="G1042" i="16" s="1"/>
  <c r="G1038" i="16"/>
  <c r="G1190" i="16"/>
  <c r="G1191" i="16" s="1"/>
  <c r="G173" i="16"/>
  <c r="G172" i="16"/>
  <c r="G167" i="16" s="1"/>
  <c r="G168" i="16" s="1"/>
  <c r="G63" i="16"/>
  <c r="G64" i="16" s="1"/>
  <c r="G59" i="16"/>
  <c r="G58" i="16"/>
  <c r="G278" i="16"/>
  <c r="G625" i="16"/>
  <c r="G624" i="16"/>
  <c r="AO493" i="24"/>
  <c r="A731" i="66"/>
  <c r="A732" i="66" s="1"/>
  <c r="C732" i="66" s="1"/>
  <c r="G219" i="16"/>
  <c r="G220" i="16" s="1"/>
  <c r="G157" i="16"/>
  <c r="G153" i="16" s="1"/>
  <c r="G154" i="16" s="1"/>
  <c r="G275" i="16"/>
  <c r="G276" i="16" s="1"/>
  <c r="G274" i="16"/>
  <c r="G15" i="16"/>
  <c r="G16" i="16" s="1"/>
  <c r="G606" i="16"/>
  <c r="G607" i="16" s="1"/>
  <c r="G501" i="16"/>
  <c r="G502" i="16" s="1"/>
  <c r="G1134" i="16"/>
  <c r="G1135" i="16" s="1"/>
  <c r="G1133" i="16"/>
  <c r="G1091" i="16"/>
  <c r="G1092" i="16" s="1"/>
  <c r="G78" i="16"/>
  <c r="G188" i="16"/>
  <c r="G189" i="16" s="1"/>
  <c r="G190" i="16" s="1"/>
  <c r="G483" i="16"/>
  <c r="G484" i="16" s="1"/>
  <c r="G485" i="16" s="1"/>
  <c r="G486" i="16" s="1"/>
  <c r="G487" i="16" s="1"/>
  <c r="G488" i="16" s="1"/>
  <c r="G489" i="16" s="1"/>
  <c r="G490" i="16" s="1"/>
  <c r="G491" i="16" s="1"/>
  <c r="G482" i="16"/>
  <c r="G1181" i="16"/>
  <c r="G1182" i="16" s="1"/>
  <c r="G1183" i="16" s="1"/>
  <c r="G254" i="16"/>
  <c r="G255" i="16" s="1"/>
  <c r="G256" i="16" s="1"/>
  <c r="G257" i="16" s="1"/>
  <c r="G258" i="16" s="1"/>
  <c r="G259" i="16" s="1"/>
  <c r="G260" i="16" s="1"/>
  <c r="G261" i="16" s="1"/>
  <c r="G262" i="16" s="1"/>
  <c r="G263" i="16" s="1"/>
  <c r="G264" i="16" s="1"/>
  <c r="G253" i="16"/>
  <c r="G271" i="16"/>
  <c r="C594" i="66"/>
  <c r="A594" i="66"/>
  <c r="G553" i="16"/>
  <c r="G554" i="16" s="1"/>
  <c r="G555" i="16" s="1"/>
  <c r="G556" i="16" s="1"/>
  <c r="G557" i="16" s="1"/>
  <c r="G558" i="16" s="1"/>
  <c r="G559" i="16" s="1"/>
  <c r="G560" i="16" s="1"/>
  <c r="G561" i="16" s="1"/>
  <c r="G653" i="16"/>
  <c r="G654" i="16" s="1"/>
  <c r="G655" i="16" s="1"/>
  <c r="G656" i="16" s="1"/>
  <c r="G657" i="16" s="1"/>
  <c r="G658" i="16" s="1"/>
  <c r="G659" i="16" s="1"/>
  <c r="G660" i="16" s="1"/>
  <c r="G652" i="16"/>
  <c r="G1111" i="16"/>
  <c r="G1112" i="16" s="1"/>
  <c r="G1113" i="16" s="1"/>
  <c r="G1114" i="16" s="1"/>
  <c r="G1115" i="16" s="1"/>
  <c r="G1116" i="16" s="1"/>
  <c r="G1117" i="16" s="1"/>
  <c r="G1118" i="16" s="1"/>
  <c r="G1119" i="16" s="1"/>
  <c r="G1022" i="16"/>
  <c r="G1023" i="16" s="1"/>
  <c r="G1024" i="16" s="1"/>
  <c r="G1025" i="16" s="1"/>
  <c r="G1026" i="16" s="1"/>
  <c r="G1021" i="16"/>
  <c r="G192" i="16"/>
  <c r="G193" i="16" s="1"/>
  <c r="G194" i="16" s="1"/>
  <c r="G195" i="16" s="1"/>
  <c r="G196" i="16" s="1"/>
  <c r="G197" i="16" s="1"/>
  <c r="G198" i="16" s="1"/>
  <c r="G199" i="16" s="1"/>
  <c r="G145" i="16"/>
  <c r="G144" i="16"/>
  <c r="G288" i="16"/>
  <c r="G289" i="16" s="1"/>
  <c r="G290" i="16" s="1"/>
  <c r="G493" i="16"/>
  <c r="G494" i="16" s="1"/>
  <c r="G492" i="16"/>
  <c r="G435" i="16"/>
  <c r="G436" i="16" s="1"/>
  <c r="G437" i="16" s="1"/>
  <c r="G57" i="16"/>
  <c r="G56" i="16"/>
  <c r="G142" i="16"/>
  <c r="G143" i="16" s="1"/>
  <c r="G1032" i="16"/>
  <c r="G1033" i="16" s="1"/>
  <c r="G1034" i="16" s="1"/>
  <c r="G1035" i="16" s="1"/>
  <c r="G1036" i="16" s="1"/>
  <c r="G1037" i="16" s="1"/>
  <c r="G1031" i="16"/>
  <c r="AO80" i="29"/>
  <c r="A1251" i="66"/>
  <c r="G927" i="16"/>
  <c r="G928" i="16" s="1"/>
  <c r="G929" i="16" s="1"/>
  <c r="G1164" i="16"/>
  <c r="G1165" i="16" s="1"/>
  <c r="G1166" i="16" s="1"/>
  <c r="G1167" i="16" s="1"/>
  <c r="G713" i="16"/>
  <c r="G714" i="16" s="1"/>
  <c r="G715" i="16" s="1"/>
  <c r="G716" i="16" s="1"/>
  <c r="G717" i="16" s="1"/>
  <c r="G718" i="16" s="1"/>
  <c r="G719" i="16" s="1"/>
  <c r="G720" i="16" s="1"/>
  <c r="G213" i="16"/>
  <c r="G214" i="16" s="1"/>
  <c r="G215" i="16" s="1"/>
  <c r="G216" i="16" s="1"/>
  <c r="G217" i="16" s="1"/>
  <c r="G627" i="16"/>
  <c r="G628" i="16" s="1"/>
  <c r="G629" i="16" s="1"/>
  <c r="G630" i="16" s="1"/>
  <c r="G631" i="16" s="1"/>
  <c r="G632" i="16" s="1"/>
  <c r="G633" i="16" s="1"/>
  <c r="G634" i="16" s="1"/>
  <c r="G300" i="16"/>
  <c r="G301" i="16" s="1"/>
  <c r="G302" i="16" s="1"/>
  <c r="G303" i="16" s="1"/>
  <c r="G304" i="16" s="1"/>
  <c r="G1160" i="16"/>
  <c r="G1161" i="16" s="1"/>
  <c r="G1162" i="16" s="1"/>
  <c r="G1163" i="16" s="1"/>
  <c r="G452" i="16"/>
  <c r="G453" i="16" s="1"/>
  <c r="G454" i="16" s="1"/>
  <c r="G455" i="16" s="1"/>
  <c r="G456" i="16" s="1"/>
  <c r="G457" i="16" s="1"/>
  <c r="G458" i="16" s="1"/>
  <c r="G459" i="16" s="1"/>
  <c r="G460" i="16" s="1"/>
  <c r="G461" i="16" s="1"/>
  <c r="G462" i="16" s="1"/>
  <c r="G463" i="16" s="1"/>
  <c r="G464" i="16" s="1"/>
  <c r="G232" i="16"/>
  <c r="G233" i="16" s="1"/>
  <c r="G234" i="16" s="1"/>
  <c r="G235" i="16" s="1"/>
  <c r="G236" i="16" s="1"/>
  <c r="G237" i="16" s="1"/>
  <c r="G103" i="16"/>
  <c r="G104" i="16" s="1"/>
  <c r="G105" i="16" s="1"/>
  <c r="G106" i="16" s="1"/>
  <c r="G107" i="16" s="1"/>
  <c r="G612" i="16"/>
  <c r="G613" i="16" s="1"/>
  <c r="G614" i="16" s="1"/>
  <c r="G615" i="16" s="1"/>
  <c r="G616" i="16" s="1"/>
  <c r="G617" i="16" s="1"/>
  <c r="A304" i="66"/>
  <c r="C304" i="66" s="1"/>
  <c r="A635" i="66"/>
  <c r="C635" i="66" s="1"/>
  <c r="A957" i="66"/>
  <c r="C957" i="66" s="1"/>
  <c r="A1108" i="66"/>
  <c r="A794" i="66"/>
  <c r="A334" i="66"/>
  <c r="C349" i="66"/>
  <c r="A347" i="66"/>
  <c r="C1078" i="66"/>
  <c r="A1076" i="66"/>
  <c r="A1075" i="66" s="1"/>
  <c r="C369" i="66"/>
  <c r="A363" i="66"/>
  <c r="C496" i="66"/>
  <c r="A929" i="66"/>
  <c r="C170" i="66"/>
  <c r="A166" i="66"/>
  <c r="A272" i="66"/>
  <c r="C272" i="66" s="1"/>
  <c r="A85" i="66"/>
  <c r="R110" i="24"/>
  <c r="AE110" i="24" s="1"/>
  <c r="R97" i="24"/>
  <c r="AE97" i="24" s="1"/>
  <c r="O84" i="24"/>
  <c r="I322" i="66" s="1"/>
  <c r="AO661" i="16"/>
  <c r="AE62" i="29"/>
  <c r="AC62" i="29" s="1"/>
  <c r="C191" i="66"/>
  <c r="O385" i="16"/>
  <c r="E385" i="76" s="1"/>
  <c r="T385" i="16"/>
  <c r="AD385" i="16" s="1"/>
  <c r="AC385" i="16" s="1"/>
  <c r="T174" i="28"/>
  <c r="AD174" i="28" s="1"/>
  <c r="AC174" i="28" s="1"/>
  <c r="O172" i="28"/>
  <c r="I95" i="66"/>
  <c r="AO97" i="8"/>
  <c r="N96" i="16"/>
  <c r="I442" i="66"/>
  <c r="N443" i="16"/>
  <c r="AO204" i="24"/>
  <c r="E112" i="76"/>
  <c r="AO112" i="16"/>
  <c r="I957" i="66"/>
  <c r="N969" i="16"/>
  <c r="AO68" i="28"/>
  <c r="O339" i="24"/>
  <c r="AM116" i="8"/>
  <c r="T178" i="28"/>
  <c r="AD178" i="28" s="1"/>
  <c r="AC178" i="28" s="1"/>
  <c r="O178" i="28"/>
  <c r="I1067" i="66" s="1"/>
  <c r="O130" i="8"/>
  <c r="N129" i="16" s="1"/>
  <c r="G129" i="16" s="1"/>
  <c r="AM130" i="8"/>
  <c r="I161" i="66"/>
  <c r="A193" i="66"/>
  <c r="A194" i="66" s="1"/>
  <c r="T163" i="8"/>
  <c r="AD163" i="8" s="1"/>
  <c r="AC163" i="8" s="1"/>
  <c r="AO42" i="28"/>
  <c r="N162" i="16"/>
  <c r="N943" i="16"/>
  <c r="M42" i="28"/>
  <c r="AE42" i="28"/>
  <c r="AC42" i="28" s="1"/>
  <c r="N65" i="16"/>
  <c r="I64" i="66"/>
  <c r="AO66" i="8"/>
  <c r="O135" i="16"/>
  <c r="AO135" i="16" s="1"/>
  <c r="AM135" i="16"/>
  <c r="O670" i="16"/>
  <c r="AO670" i="16" s="1"/>
  <c r="AM129" i="16"/>
  <c r="O129" i="16"/>
  <c r="AO129" i="16" s="1"/>
  <c r="AM114" i="16"/>
  <c r="AM136" i="8"/>
  <c r="O136" i="8"/>
  <c r="I134" i="66" s="1"/>
  <c r="AM127" i="16"/>
  <c r="AO125" i="8"/>
  <c r="I123" i="66"/>
  <c r="N124" i="16"/>
  <c r="O121" i="8"/>
  <c r="I119" i="66" s="1"/>
  <c r="AM121" i="8"/>
  <c r="AM123" i="8"/>
  <c r="O123" i="8"/>
  <c r="AO123" i="8" s="1"/>
  <c r="AM129" i="8"/>
  <c r="AM115" i="8"/>
  <c r="T209" i="8"/>
  <c r="AD209" i="8" s="1"/>
  <c r="AC209" i="8" s="1"/>
  <c r="O209" i="8"/>
  <c r="AO209" i="8" s="1"/>
  <c r="AM118" i="8"/>
  <c r="AM119" i="8"/>
  <c r="O119" i="8"/>
  <c r="I117" i="66" s="1"/>
  <c r="O379" i="16"/>
  <c r="AO379" i="16" s="1"/>
  <c r="T379" i="16"/>
  <c r="AD379" i="16" s="1"/>
  <c r="AC379" i="16" s="1"/>
  <c r="AM122" i="16"/>
  <c r="O122" i="16"/>
  <c r="AO122" i="16" s="1"/>
  <c r="N305" i="16"/>
  <c r="I304" i="66"/>
  <c r="AO66" i="24"/>
  <c r="AM118" i="16"/>
  <c r="O118" i="16"/>
  <c r="AO118" i="16" s="1"/>
  <c r="T32" i="8"/>
  <c r="AD32" i="8" s="1"/>
  <c r="AC32" i="8" s="1"/>
  <c r="O243" i="8"/>
  <c r="I241" i="66" s="1"/>
  <c r="T243" i="8"/>
  <c r="AD243" i="8" s="1"/>
  <c r="AC243" i="8" s="1"/>
  <c r="AM120" i="16"/>
  <c r="O120" i="16"/>
  <c r="E120" i="76" s="1"/>
  <c r="AM126" i="8"/>
  <c r="AM127" i="8"/>
  <c r="AM131" i="8"/>
  <c r="O131" i="8"/>
  <c r="AO131" i="8" s="1"/>
  <c r="N958" i="16"/>
  <c r="I946" i="66"/>
  <c r="AO57" i="28"/>
  <c r="AO64" i="8"/>
  <c r="I62" i="66"/>
  <c r="J18" i="18"/>
  <c r="J18" i="17"/>
  <c r="O431" i="24"/>
  <c r="AO431" i="24" s="1"/>
  <c r="N209" i="16"/>
  <c r="AO210" i="8"/>
  <c r="I208" i="66"/>
  <c r="I111" i="66"/>
  <c r="AO113" i="8"/>
  <c r="N112" i="16"/>
  <c r="AO397" i="24"/>
  <c r="I635" i="66"/>
  <c r="N636" i="16"/>
  <c r="AO72" i="16"/>
  <c r="T72" i="16"/>
  <c r="AD72" i="16" s="1"/>
  <c r="AC72" i="16" s="1"/>
  <c r="AE59" i="28"/>
  <c r="AC59" i="28" s="1"/>
  <c r="M59" i="28"/>
  <c r="C46" i="66"/>
  <c r="A47" i="66"/>
  <c r="C47" i="66" s="1"/>
  <c r="O125" i="29"/>
  <c r="S1245" i="16"/>
  <c r="O1245" i="16" s="1"/>
  <c r="S1241" i="16"/>
  <c r="T1241" i="16" s="1"/>
  <c r="AD1241" i="16" s="1"/>
  <c r="AC1241" i="16" s="1"/>
  <c r="AW83" i="27"/>
  <c r="BF16" i="8"/>
  <c r="BF25" i="25"/>
  <c r="BF16" i="29"/>
  <c r="L9" i="7"/>
  <c r="B3" i="3" s="1"/>
  <c r="BF16" i="28"/>
  <c r="S269" i="28" s="1"/>
  <c r="O267" i="28" s="1"/>
  <c r="A1156" i="66" s="1"/>
  <c r="BF17" i="24"/>
  <c r="L219" i="24" s="1"/>
  <c r="R129" i="29"/>
  <c r="M129" i="29" s="1"/>
  <c r="AM129" i="29" s="1"/>
  <c r="AO232" i="28"/>
  <c r="I1121" i="66"/>
  <c r="AO33" i="28"/>
  <c r="S1133" i="16"/>
  <c r="O1133" i="16" s="1"/>
  <c r="AO1133" i="16" s="1"/>
  <c r="S346" i="16"/>
  <c r="T346" i="16" s="1"/>
  <c r="AD346" i="16" s="1"/>
  <c r="AC346" i="16" s="1"/>
  <c r="T371" i="16"/>
  <c r="AD371" i="16" s="1"/>
  <c r="AC371" i="16" s="1"/>
  <c r="S369" i="16"/>
  <c r="T369" i="16" s="1"/>
  <c r="AD369" i="16" s="1"/>
  <c r="AC369" i="16" s="1"/>
  <c r="S336" i="16"/>
  <c r="T336" i="16" s="1"/>
  <c r="AD336" i="16" s="1"/>
  <c r="AO1091" i="16"/>
  <c r="AO1176" i="16"/>
  <c r="S360" i="16"/>
  <c r="O360" i="16" s="1"/>
  <c r="AC472" i="16"/>
  <c r="AC423" i="16"/>
  <c r="O235" i="28"/>
  <c r="N1136" i="16" s="1"/>
  <c r="M17" i="29"/>
  <c r="AM17" i="29" s="1"/>
  <c r="BE16" i="8"/>
  <c r="S362" i="16"/>
  <c r="T362" i="16" s="1"/>
  <c r="AD362" i="16" s="1"/>
  <c r="S347" i="16"/>
  <c r="T347" i="16" s="1"/>
  <c r="AD347" i="16" s="1"/>
  <c r="AC347" i="16" s="1"/>
  <c r="S349" i="16"/>
  <c r="T349" i="16" s="1"/>
  <c r="AD349" i="16" s="1"/>
  <c r="M371" i="16"/>
  <c r="AM371" i="16" s="1"/>
  <c r="S323" i="16"/>
  <c r="T323" i="16" s="1"/>
  <c r="AD323" i="16" s="1"/>
  <c r="AC323" i="16" s="1"/>
  <c r="AO1038" i="16"/>
  <c r="T1081" i="16"/>
  <c r="AD1081" i="16" s="1"/>
  <c r="AC1081" i="16" s="1"/>
  <c r="O1081" i="16"/>
  <c r="E1070" i="76" s="1"/>
  <c r="O208" i="16"/>
  <c r="E208" i="76" s="1"/>
  <c r="T208" i="16"/>
  <c r="AD208" i="16" s="1"/>
  <c r="AC208" i="16" s="1"/>
  <c r="O1079" i="16"/>
  <c r="AO1079" i="16" s="1"/>
  <c r="T1079" i="16"/>
  <c r="AD1079" i="16" s="1"/>
  <c r="AC1079" i="16" s="1"/>
  <c r="T31" i="16"/>
  <c r="AD31" i="16" s="1"/>
  <c r="O242" i="16"/>
  <c r="AO242" i="16" s="1"/>
  <c r="T242" i="16"/>
  <c r="AD242" i="16" s="1"/>
  <c r="AC242" i="16" s="1"/>
  <c r="O962" i="16"/>
  <c r="AO962" i="16" s="1"/>
  <c r="T962" i="16"/>
  <c r="AD962" i="16" s="1"/>
  <c r="AC962" i="16" s="1"/>
  <c r="T1076" i="16"/>
  <c r="AD1076" i="16" s="1"/>
  <c r="AC1076" i="16" s="1"/>
  <c r="T1075" i="16"/>
  <c r="AD1075" i="16" s="1"/>
  <c r="AC1075" i="16" s="1"/>
  <c r="O1073" i="16"/>
  <c r="E1062" i="76" s="1"/>
  <c r="T238" i="16"/>
  <c r="AD238" i="16" s="1"/>
  <c r="AC238" i="16" s="1"/>
  <c r="O238" i="16"/>
  <c r="AO238" i="16" s="1"/>
  <c r="AC400" i="16"/>
  <c r="N934" i="16"/>
  <c r="C807" i="66"/>
  <c r="A808" i="66"/>
  <c r="C808" i="66" s="1"/>
  <c r="T232" i="28"/>
  <c r="AD232" i="28" s="1"/>
  <c r="AC232" i="28" s="1"/>
  <c r="BE25" i="25"/>
  <c r="BE16" i="29"/>
  <c r="AV83" i="27"/>
  <c r="BE16" i="28"/>
  <c r="S241" i="28" s="1"/>
  <c r="T241" i="28" s="1"/>
  <c r="AD241" i="28" s="1"/>
  <c r="BE17" i="24"/>
  <c r="C1076" i="66"/>
  <c r="C1041" i="66"/>
  <c r="N1043" i="16"/>
  <c r="G1043" i="16" s="1"/>
  <c r="G1027" i="16" s="1"/>
  <c r="AO142" i="28"/>
  <c r="C1019" i="66"/>
  <c r="AO23" i="28"/>
  <c r="I912" i="66"/>
  <c r="N924" i="16"/>
  <c r="T23" i="28"/>
  <c r="BD15" i="16"/>
  <c r="BD942" i="16"/>
  <c r="BD256" i="16"/>
  <c r="BD794" i="16"/>
  <c r="BD1199" i="16"/>
  <c r="BC15" i="16"/>
  <c r="BC256" i="16"/>
  <c r="Z13" i="23"/>
  <c r="V13" i="23"/>
  <c r="X13" i="23"/>
  <c r="BC942" i="16"/>
  <c r="Y13" i="23"/>
  <c r="BC1199" i="16"/>
  <c r="W13" i="23"/>
  <c r="BC794" i="16"/>
  <c r="C687" i="66"/>
  <c r="C774" i="66"/>
  <c r="C731" i="66"/>
  <c r="C878" i="66"/>
  <c r="C822" i="66"/>
  <c r="C1324" i="66"/>
  <c r="C1176" i="66"/>
  <c r="C720" i="66"/>
  <c r="A497" i="66"/>
  <c r="A498" i="66" s="1"/>
  <c r="C714" i="66"/>
  <c r="C1325" i="66"/>
  <c r="C763" i="66"/>
  <c r="C481" i="66"/>
  <c r="C756" i="66"/>
  <c r="C271" i="66"/>
  <c r="C674" i="66"/>
  <c r="C673" i="66"/>
  <c r="C689" i="66"/>
  <c r="C523" i="66"/>
  <c r="C688" i="66"/>
  <c r="C721" i="66"/>
  <c r="A493" i="66"/>
  <c r="C493" i="66" s="1"/>
  <c r="C492" i="66"/>
  <c r="A1034" i="66"/>
  <c r="C1034" i="66" s="1"/>
  <c r="A978" i="66"/>
  <c r="C978" i="66" s="1"/>
  <c r="M264" i="16"/>
  <c r="A953" i="66"/>
  <c r="C953" i="66" s="1"/>
  <c r="A1012" i="66"/>
  <c r="C1012" i="66" s="1"/>
  <c r="T83" i="29"/>
  <c r="AD83" i="29" s="1"/>
  <c r="AE104" i="29"/>
  <c r="AC104" i="29" s="1"/>
  <c r="A291" i="66"/>
  <c r="C163" i="66"/>
  <c r="AO297" i="16"/>
  <c r="AO144" i="16"/>
  <c r="E913" i="76"/>
  <c r="AO924" i="16"/>
  <c r="T924" i="16"/>
  <c r="A758" i="66"/>
  <c r="C758" i="66" s="1"/>
  <c r="AC97" i="24"/>
  <c r="M97" i="24"/>
  <c r="AM97" i="24" s="1"/>
  <c r="G279" i="16"/>
  <c r="G280" i="16" s="1"/>
  <c r="G281" i="16" s="1"/>
  <c r="G282" i="16" s="1"/>
  <c r="O275" i="28"/>
  <c r="AO275" i="28" s="1"/>
  <c r="C347" i="66"/>
  <c r="N323" i="16"/>
  <c r="I651" i="66"/>
  <c r="I660" i="66"/>
  <c r="N661" i="16"/>
  <c r="A483" i="66"/>
  <c r="AO413" i="24"/>
  <c r="N668" i="16"/>
  <c r="G668" i="16" s="1"/>
  <c r="I667" i="66"/>
  <c r="R83" i="29"/>
  <c r="M83" i="29" s="1"/>
  <c r="AM83" i="29" s="1"/>
  <c r="AO84" i="24"/>
  <c r="AO280" i="28"/>
  <c r="S1287" i="16"/>
  <c r="T1287" i="16" s="1"/>
  <c r="AD1287" i="16" s="1"/>
  <c r="C929" i="66"/>
  <c r="AC151" i="29"/>
  <c r="I1251" i="66"/>
  <c r="N1263" i="16"/>
  <c r="AC86" i="29"/>
  <c r="A792" i="66"/>
  <c r="A883" i="66"/>
  <c r="C883" i="66" s="1"/>
  <c r="F22" i="3"/>
  <c r="I32" i="17" s="1"/>
  <c r="D22" i="3"/>
  <c r="G32" i="17" s="1"/>
  <c r="E22" i="3"/>
  <c r="O253" i="16"/>
  <c r="E253" i="76" s="1"/>
  <c r="G292" i="16"/>
  <c r="G293" i="16" s="1"/>
  <c r="G294" i="16" s="1"/>
  <c r="G295" i="16" s="1"/>
  <c r="I1169" i="66"/>
  <c r="F32" i="18"/>
  <c r="S1208" i="16"/>
  <c r="T1208" i="16" s="1"/>
  <c r="AD1208" i="16" s="1"/>
  <c r="AC1208" i="16" s="1"/>
  <c r="S1225" i="16"/>
  <c r="T1225" i="16" s="1"/>
  <c r="AD1225" i="16" s="1"/>
  <c r="AC1225" i="16" s="1"/>
  <c r="S1292" i="16"/>
  <c r="T1292" i="16" s="1"/>
  <c r="AD1292" i="16" s="1"/>
  <c r="AC1292" i="16" s="1"/>
  <c r="S1234" i="16"/>
  <c r="T1234" i="16" s="1"/>
  <c r="AD1234" i="16" s="1"/>
  <c r="AC1234" i="16" s="1"/>
  <c r="S1298" i="16"/>
  <c r="T1298" i="16" s="1"/>
  <c r="AD1298" i="16" s="1"/>
  <c r="AC1298" i="16" s="1"/>
  <c r="S1290" i="16"/>
  <c r="T1290" i="16" s="1"/>
  <c r="AD1290" i="16" s="1"/>
  <c r="AC1290" i="16" s="1"/>
  <c r="S1277" i="16"/>
  <c r="T1277" i="16" s="1"/>
  <c r="AD1277" i="16" s="1"/>
  <c r="AC1277" i="16" s="1"/>
  <c r="S1237" i="16"/>
  <c r="T1237" i="16" s="1"/>
  <c r="AD1237" i="16" s="1"/>
  <c r="AC1237" i="16" s="1"/>
  <c r="S1232" i="16"/>
  <c r="T1232" i="16" s="1"/>
  <c r="AD1232" i="16" s="1"/>
  <c r="AC1232" i="16" s="1"/>
  <c r="S1206" i="16"/>
  <c r="T1206" i="16" s="1"/>
  <c r="AD1206" i="16" s="1"/>
  <c r="AC1206" i="16" s="1"/>
  <c r="S1211" i="16"/>
  <c r="S1278" i="16"/>
  <c r="T1278" i="16" s="1"/>
  <c r="AD1278" i="16" s="1"/>
  <c r="AC1278" i="16" s="1"/>
  <c r="S1210" i="16"/>
  <c r="T1210" i="16" s="1"/>
  <c r="AD1210" i="16" s="1"/>
  <c r="AC1210" i="16" s="1"/>
  <c r="S1297" i="16"/>
  <c r="T1297" i="16" s="1"/>
  <c r="AD1297" i="16" s="1"/>
  <c r="AC1297" i="16" s="1"/>
  <c r="S1303" i="16"/>
  <c r="T1303" i="16" s="1"/>
  <c r="AD1303" i="16" s="1"/>
  <c r="AC1303" i="16" s="1"/>
  <c r="S1244" i="16"/>
  <c r="T1244" i="16" s="1"/>
  <c r="AD1244" i="16" s="1"/>
  <c r="AC1244" i="16" s="1"/>
  <c r="S1325" i="16"/>
  <c r="T1325" i="16" s="1"/>
  <c r="AD1325" i="16" s="1"/>
  <c r="AC1325" i="16" s="1"/>
  <c r="S1279" i="16"/>
  <c r="T1279" i="16" s="1"/>
  <c r="AD1279" i="16" s="1"/>
  <c r="AC1279" i="16" s="1"/>
  <c r="S1239" i="16"/>
  <c r="T1239" i="16" s="1"/>
  <c r="AD1239" i="16" s="1"/>
  <c r="AC1239" i="16" s="1"/>
  <c r="S1334" i="16"/>
  <c r="S1230" i="16"/>
  <c r="T1230" i="16" s="1"/>
  <c r="AD1230" i="16" s="1"/>
  <c r="AC1230" i="16" s="1"/>
  <c r="S1243" i="16"/>
  <c r="T1243" i="16" s="1"/>
  <c r="AD1243" i="16" s="1"/>
  <c r="AC1243" i="16" s="1"/>
  <c r="S1272" i="16"/>
  <c r="S1332" i="16"/>
  <c r="T1332" i="16" s="1"/>
  <c r="AD1332" i="16" s="1"/>
  <c r="AC1332" i="16" s="1"/>
  <c r="S1331" i="16"/>
  <c r="T1331" i="16" s="1"/>
  <c r="AD1331" i="16" s="1"/>
  <c r="AC1331" i="16" s="1"/>
  <c r="S1330" i="16"/>
  <c r="T1330" i="16" s="1"/>
  <c r="AD1330" i="16" s="1"/>
  <c r="AC1330" i="16" s="1"/>
  <c r="S1300" i="16"/>
  <c r="T1300" i="16" s="1"/>
  <c r="AD1300" i="16" s="1"/>
  <c r="AC1300" i="16" s="1"/>
  <c r="S1198" i="16"/>
  <c r="O1195" i="16" s="1"/>
  <c r="S1214" i="16"/>
  <c r="T1214" i="16" s="1"/>
  <c r="AD1214" i="16" s="1"/>
  <c r="AC1214" i="16" s="1"/>
  <c r="S1306" i="16"/>
  <c r="S1215" i="16"/>
  <c r="T1215" i="16" s="1"/>
  <c r="AD1215" i="16" s="1"/>
  <c r="AC1215" i="16" s="1"/>
  <c r="S1333" i="16"/>
  <c r="T1333" i="16" s="1"/>
  <c r="AD1333" i="16" s="1"/>
  <c r="AC1333" i="16" s="1"/>
  <c r="S1199" i="16"/>
  <c r="S1221" i="16"/>
  <c r="T1221" i="16" s="1"/>
  <c r="AD1221" i="16" s="1"/>
  <c r="AC1221" i="16" s="1"/>
  <c r="S1295" i="16"/>
  <c r="T1295" i="16" s="1"/>
  <c r="AD1295" i="16" s="1"/>
  <c r="AC1295" i="16" s="1"/>
  <c r="S1229" i="16"/>
  <c r="T1229" i="16" s="1"/>
  <c r="AD1229" i="16" s="1"/>
  <c r="AC1229" i="16" s="1"/>
  <c r="S1285" i="16"/>
  <c r="S1314" i="16"/>
  <c r="T1314" i="16" s="1"/>
  <c r="AD1314" i="16" s="1"/>
  <c r="AC1314" i="16" s="1"/>
  <c r="S1205" i="16"/>
  <c r="T1205" i="16" s="1"/>
  <c r="AD1205" i="16" s="1"/>
  <c r="AC1205" i="16" s="1"/>
  <c r="S1200" i="16"/>
  <c r="S1204" i="16"/>
  <c r="T1204" i="16" s="1"/>
  <c r="AD1204" i="16" s="1"/>
  <c r="AC1204" i="16" s="1"/>
  <c r="S1274" i="16"/>
  <c r="T1274" i="16" s="1"/>
  <c r="AD1274" i="16" s="1"/>
  <c r="AC1274" i="16" s="1"/>
  <c r="S1227" i="16"/>
  <c r="T1227" i="16" s="1"/>
  <c r="AD1227" i="16" s="1"/>
  <c r="AC1227" i="16" s="1"/>
  <c r="S1275" i="16"/>
  <c r="T1275" i="16" s="1"/>
  <c r="AD1275" i="16" s="1"/>
  <c r="AC1275" i="16" s="1"/>
  <c r="S1266" i="16"/>
  <c r="S1302" i="16"/>
  <c r="T1302" i="16" s="1"/>
  <c r="AD1302" i="16" s="1"/>
  <c r="AC1302" i="16" s="1"/>
  <c r="S1327" i="16"/>
  <c r="T1327" i="16" s="1"/>
  <c r="AD1327" i="16" s="1"/>
  <c r="AC1327" i="16" s="1"/>
  <c r="S1269" i="16"/>
  <c r="S1318" i="16"/>
  <c r="T1318" i="16" s="1"/>
  <c r="AD1318" i="16" s="1"/>
  <c r="AC1318" i="16" s="1"/>
  <c r="S1312" i="16"/>
  <c r="S1328" i="16"/>
  <c r="T1328" i="16" s="1"/>
  <c r="AD1328" i="16" s="1"/>
  <c r="AC1328" i="16" s="1"/>
  <c r="S1235" i="16"/>
  <c r="T1235" i="16" s="1"/>
  <c r="AD1235" i="16" s="1"/>
  <c r="AC1235" i="16" s="1"/>
  <c r="S1213" i="16"/>
  <c r="T1213" i="16" s="1"/>
  <c r="AD1213" i="16" s="1"/>
  <c r="AC1213" i="16" s="1"/>
  <c r="AO937" i="16"/>
  <c r="E926" i="76"/>
  <c r="T937" i="16"/>
  <c r="AD937" i="16" s="1"/>
  <c r="AC937" i="16" s="1"/>
  <c r="A73" i="66"/>
  <c r="C73" i="66" s="1"/>
  <c r="A474" i="66"/>
  <c r="C474" i="66" s="1"/>
  <c r="C1108" i="66"/>
  <c r="C252" i="66"/>
  <c r="A619" i="66"/>
  <c r="C619" i="66" s="1"/>
  <c r="A1168" i="66"/>
  <c r="C1168" i="66" s="1"/>
  <c r="A595" i="66"/>
  <c r="C595" i="66" s="1"/>
  <c r="M16" i="29"/>
  <c r="AM16" i="29" s="1"/>
  <c r="AE16" i="29"/>
  <c r="AC16" i="29" s="1"/>
  <c r="T15" i="29"/>
  <c r="AD15" i="29" s="1"/>
  <c r="R15" i="29"/>
  <c r="C243" i="66"/>
  <c r="C185" i="66"/>
  <c r="N70" i="16"/>
  <c r="AO71" i="8"/>
  <c r="C244" i="66"/>
  <c r="N52" i="16"/>
  <c r="G52" i="16" s="1"/>
  <c r="I51" i="66"/>
  <c r="AO53" i="8"/>
  <c r="A827" i="66"/>
  <c r="C827" i="66" s="1"/>
  <c r="AC948" i="16"/>
  <c r="O162" i="16"/>
  <c r="E162" i="76" s="1"/>
  <c r="AO298" i="16"/>
  <c r="AO140" i="16"/>
  <c r="AO732" i="16"/>
  <c r="AO142" i="16"/>
  <c r="AO1043" i="16"/>
  <c r="AC960" i="16"/>
  <c r="AO299" i="16"/>
  <c r="AO948" i="16"/>
  <c r="AO50" i="16"/>
  <c r="AO946" i="16"/>
  <c r="AC1121" i="16"/>
  <c r="AO968" i="16"/>
  <c r="AO296" i="16"/>
  <c r="AC1156" i="16"/>
  <c r="AC1093" i="16"/>
  <c r="AC946" i="16"/>
  <c r="O1181" i="16"/>
  <c r="T1181" i="16"/>
  <c r="AD1181" i="16" s="1"/>
  <c r="AC1181" i="16" s="1"/>
  <c r="M951" i="16"/>
  <c r="AE951" i="16"/>
  <c r="E668" i="76"/>
  <c r="AO668" i="16"/>
  <c r="AF997" i="16"/>
  <c r="AC997" i="16"/>
  <c r="AF973" i="16"/>
  <c r="AC973" i="16"/>
  <c r="M943" i="16"/>
  <c r="AE943" i="16"/>
  <c r="AC953" i="16"/>
  <c r="E70" i="76"/>
  <c r="AO70" i="16"/>
  <c r="I925" i="66"/>
  <c r="N937" i="16"/>
  <c r="AO36" i="28"/>
  <c r="A39" i="66"/>
  <c r="C39" i="66" s="1"/>
  <c r="C38" i="66"/>
  <c r="T36" i="28"/>
  <c r="AD36" i="28" s="1"/>
  <c r="AC36" i="28" s="1"/>
  <c r="A880" i="66"/>
  <c r="C880" i="66" s="1"/>
  <c r="A325" i="66"/>
  <c r="C325" i="66" s="1"/>
  <c r="A691" i="66"/>
  <c r="C691" i="66" s="1"/>
  <c r="C131" i="66"/>
  <c r="A132" i="66"/>
  <c r="C193" i="66"/>
  <c r="C245" i="66"/>
  <c r="A246" i="66"/>
  <c r="C246" i="66" s="1"/>
  <c r="O1136" i="16"/>
  <c r="T1136" i="16"/>
  <c r="AD1136" i="16" s="1"/>
  <c r="AC1136" i="16" s="1"/>
  <c r="AO934" i="16"/>
  <c r="E923" i="76"/>
  <c r="E942" i="76"/>
  <c r="AO953" i="16"/>
  <c r="E469" i="76"/>
  <c r="AO469" i="16"/>
  <c r="AO578" i="16"/>
  <c r="E578" i="76"/>
  <c r="AO389" i="16"/>
  <c r="E389" i="76"/>
  <c r="AO393" i="16"/>
  <c r="E393" i="76"/>
  <c r="AO377" i="16"/>
  <c r="E377" i="76"/>
  <c r="AO130" i="16"/>
  <c r="E130" i="76"/>
  <c r="T102" i="29"/>
  <c r="AD102" i="29" s="1"/>
  <c r="O98" i="29"/>
  <c r="A1269" i="66" s="1"/>
  <c r="R102" i="29"/>
  <c r="AC220" i="28"/>
  <c r="A991" i="66"/>
  <c r="C991" i="66" s="1"/>
  <c r="A1057" i="66"/>
  <c r="C1057" i="66" s="1"/>
  <c r="A967" i="66"/>
  <c r="C967" i="66" s="1"/>
  <c r="A873" i="66"/>
  <c r="C873" i="66" s="1"/>
  <c r="C794" i="66"/>
  <c r="T132" i="24"/>
  <c r="AD132" i="24" s="1"/>
  <c r="R132" i="24"/>
  <c r="A765" i="66"/>
  <c r="C765" i="66" s="1"/>
  <c r="A541" i="66"/>
  <c r="C541" i="66" s="1"/>
  <c r="T107" i="24"/>
  <c r="AD107" i="24" s="1"/>
  <c r="AC107" i="24" s="1"/>
  <c r="O104" i="24"/>
  <c r="A342" i="66" s="1"/>
  <c r="A628" i="66"/>
  <c r="C628" i="66" s="1"/>
  <c r="N369" i="16"/>
  <c r="I368" i="66"/>
  <c r="AO130" i="24"/>
  <c r="M110" i="24"/>
  <c r="AM110" i="24" s="1"/>
  <c r="AC110" i="24"/>
  <c r="A716" i="66"/>
  <c r="C716" i="66" s="1"/>
  <c r="A771" i="66"/>
  <c r="C771" i="66" s="1"/>
  <c r="C253" i="66"/>
  <c r="A254" i="66"/>
  <c r="I359" i="66"/>
  <c r="AO121" i="24"/>
  <c r="N360" i="16"/>
  <c r="R123" i="24"/>
  <c r="T123" i="24"/>
  <c r="AD123" i="24" s="1"/>
  <c r="C12" i="66"/>
  <c r="A13" i="66"/>
  <c r="C13" i="66" s="1"/>
  <c r="C203" i="66"/>
  <c r="A204" i="66"/>
  <c r="C204" i="66" s="1"/>
  <c r="C152" i="66"/>
  <c r="A921" i="66"/>
  <c r="C921" i="66" s="1"/>
  <c r="T40" i="25"/>
  <c r="R891" i="16"/>
  <c r="M891" i="16" s="1"/>
  <c r="AM891" i="16" s="1"/>
  <c r="T891" i="16"/>
  <c r="T36" i="25"/>
  <c r="AD36" i="25" s="1"/>
  <c r="R36" i="25"/>
  <c r="T30" i="25"/>
  <c r="AD30" i="25" s="1"/>
  <c r="R30" i="25"/>
  <c r="T802" i="16"/>
  <c r="AD802" i="16" s="1"/>
  <c r="R802" i="16"/>
  <c r="T33" i="25"/>
  <c r="AD33" i="25" s="1"/>
  <c r="R33" i="25"/>
  <c r="T799" i="16"/>
  <c r="AD799" i="16" s="1"/>
  <c r="R799" i="16"/>
  <c r="R805" i="16"/>
  <c r="T805" i="16"/>
  <c r="AD805" i="16" s="1"/>
  <c r="T809" i="16"/>
  <c r="T122" i="25"/>
  <c r="R122" i="25"/>
  <c r="M122" i="25" s="1"/>
  <c r="AM122" i="25" s="1"/>
  <c r="I392" i="66"/>
  <c r="N393" i="16"/>
  <c r="AO154" i="24"/>
  <c r="T828" i="16"/>
  <c r="AD828" i="16" s="1"/>
  <c r="R790" i="16"/>
  <c r="T790" i="16"/>
  <c r="AD790" i="16" s="1"/>
  <c r="T890" i="16"/>
  <c r="AD890" i="16" s="1"/>
  <c r="R890" i="16"/>
  <c r="AE890" i="16" s="1"/>
  <c r="AF890" i="16" s="1"/>
  <c r="M28" i="29"/>
  <c r="AE28" i="29"/>
  <c r="R111" i="25"/>
  <c r="T111" i="25"/>
  <c r="AD111" i="25" s="1"/>
  <c r="AE119" i="25"/>
  <c r="M117" i="25"/>
  <c r="AM117" i="25" s="1"/>
  <c r="T119" i="25"/>
  <c r="AD119" i="25" s="1"/>
  <c r="T230" i="28"/>
  <c r="AD230" i="28" s="1"/>
  <c r="AC230" i="28" s="1"/>
  <c r="O230" i="28"/>
  <c r="T59" i="25"/>
  <c r="AD59" i="25" s="1"/>
  <c r="T121" i="25"/>
  <c r="AD121" i="25" s="1"/>
  <c r="R121" i="25"/>
  <c r="AE121" i="25" s="1"/>
  <c r="R793" i="16"/>
  <c r="T793" i="16"/>
  <c r="AD793" i="16" s="1"/>
  <c r="AE844" i="16"/>
  <c r="AF844" i="16" s="1"/>
  <c r="T844" i="16"/>
  <c r="AD844" i="16" s="1"/>
  <c r="R21" i="25"/>
  <c r="T21" i="25"/>
  <c r="AD21" i="25" s="1"/>
  <c r="T811" i="16"/>
  <c r="AD811" i="16" s="1"/>
  <c r="R811" i="16"/>
  <c r="M123" i="29"/>
  <c r="AE123" i="29"/>
  <c r="AC123" i="29" s="1"/>
  <c r="I388" i="66"/>
  <c r="AO150" i="24"/>
  <c r="N389" i="16"/>
  <c r="I950" i="66"/>
  <c r="N962" i="16"/>
  <c r="AO61" i="28"/>
  <c r="A452" i="66"/>
  <c r="C452" i="66" s="1"/>
  <c r="AD874" i="16"/>
  <c r="R24" i="25"/>
  <c r="T24" i="25"/>
  <c r="AD24" i="25" s="1"/>
  <c r="T105" i="25"/>
  <c r="AD105" i="25" s="1"/>
  <c r="R42" i="25"/>
  <c r="T42" i="25"/>
  <c r="AD42" i="25" s="1"/>
  <c r="AC61" i="28"/>
  <c r="I468" i="66"/>
  <c r="N469" i="16"/>
  <c r="AO230" i="24"/>
  <c r="R888" i="16"/>
  <c r="AE888" i="16" s="1"/>
  <c r="AF888" i="16" s="1"/>
  <c r="M886" i="16"/>
  <c r="AM886" i="16" s="1"/>
  <c r="T888" i="16"/>
  <c r="AD888" i="16" s="1"/>
  <c r="AE75" i="25"/>
  <c r="T75" i="25"/>
  <c r="AD75" i="25" s="1"/>
  <c r="AC138" i="24"/>
  <c r="AO146" i="24"/>
  <c r="I384" i="66"/>
  <c r="N385" i="16"/>
  <c r="G385" i="16" s="1"/>
  <c r="O1131" i="16"/>
  <c r="T1131" i="16"/>
  <c r="AD1131" i="16" s="1"/>
  <c r="AC1131" i="16" s="1"/>
  <c r="I376" i="66"/>
  <c r="AO138" i="24"/>
  <c r="N377" i="16"/>
  <c r="G377" i="16" s="1"/>
  <c r="I1069" i="66"/>
  <c r="N1081" i="16"/>
  <c r="AO180" i="28"/>
  <c r="I237" i="66"/>
  <c r="AO239" i="8"/>
  <c r="N238" i="16"/>
  <c r="T847" i="16"/>
  <c r="AD847" i="16" s="1"/>
  <c r="T880" i="16"/>
  <c r="AD880" i="16" s="1"/>
  <c r="R880" i="16"/>
  <c r="A300" i="66"/>
  <c r="C300" i="66" s="1"/>
  <c r="N379" i="16"/>
  <c r="AO140" i="24"/>
  <c r="I378" i="66"/>
  <c r="T78" i="25"/>
  <c r="AD78" i="25" s="1"/>
  <c r="O32" i="8"/>
  <c r="O241" i="28"/>
  <c r="O31" i="16"/>
  <c r="G267" i="16" l="1"/>
  <c r="G268" i="16" s="1"/>
  <c r="G269" i="16" s="1"/>
  <c r="G270" i="16" s="1"/>
  <c r="G221" i="16"/>
  <c r="G222" i="16" s="1"/>
  <c r="G223" i="16" s="1"/>
  <c r="G224" i="16" s="1"/>
  <c r="G225" i="16" s="1"/>
  <c r="G226" i="16" s="1"/>
  <c r="G227" i="16" s="1"/>
  <c r="G228" i="16" s="1"/>
  <c r="G218" i="16"/>
  <c r="G608" i="16"/>
  <c r="G595" i="16"/>
  <c r="G596" i="16" s="1"/>
  <c r="G597" i="16" s="1"/>
  <c r="G598" i="16" s="1"/>
  <c r="G599" i="16" s="1"/>
  <c r="G600" i="16" s="1"/>
  <c r="G601" i="16" s="1"/>
  <c r="G602" i="16" s="1"/>
  <c r="G603" i="16" s="1"/>
  <c r="G604" i="16" s="1"/>
  <c r="G605" i="16" s="1"/>
  <c r="A355" i="66"/>
  <c r="C355" i="66" s="1"/>
  <c r="A649" i="66"/>
  <c r="G935" i="16"/>
  <c r="G936" i="16" s="1"/>
  <c r="G934" i="16"/>
  <c r="G272" i="16"/>
  <c r="G273" i="16" s="1"/>
  <c r="G162" i="16"/>
  <c r="G163" i="16" s="1"/>
  <c r="G164" i="16" s="1"/>
  <c r="G165" i="16" s="1"/>
  <c r="G166" i="16" s="1"/>
  <c r="G158" i="16"/>
  <c r="G369" i="16"/>
  <c r="G370" i="16" s="1"/>
  <c r="G71" i="16"/>
  <c r="G70" i="16"/>
  <c r="G324" i="16"/>
  <c r="G325" i="16" s="1"/>
  <c r="G326" i="16" s="1"/>
  <c r="G327" i="16" s="1"/>
  <c r="G328" i="16" s="1"/>
  <c r="G329" i="16" s="1"/>
  <c r="G330" i="16" s="1"/>
  <c r="G323" i="16"/>
  <c r="G1137" i="16"/>
  <c r="G1138" i="16" s="1"/>
  <c r="G1136" i="16"/>
  <c r="G174" i="16"/>
  <c r="G175" i="16" s="1"/>
  <c r="G176" i="16" s="1"/>
  <c r="G79" i="16"/>
  <c r="G80" i="16" s="1"/>
  <c r="G81" i="16" s="1"/>
  <c r="G82" i="16" s="1"/>
  <c r="G83" i="16" s="1"/>
  <c r="G84" i="16" s="1"/>
  <c r="G361" i="16"/>
  <c r="G360" i="16"/>
  <c r="G662" i="16"/>
  <c r="G663" i="16" s="1"/>
  <c r="G664" i="16" s="1"/>
  <c r="G665" i="16" s="1"/>
  <c r="G666" i="16" s="1"/>
  <c r="G667" i="16" s="1"/>
  <c r="G661" i="16"/>
  <c r="A266" i="66"/>
  <c r="A267" i="66" s="1"/>
  <c r="C267" i="66" s="1"/>
  <c r="G1263" i="16"/>
  <c r="G1264" i="16" s="1"/>
  <c r="G1265" i="16" s="1"/>
  <c r="G1266" i="16" s="1"/>
  <c r="G1267" i="16" s="1"/>
  <c r="G1268" i="16" s="1"/>
  <c r="G1269" i="16" s="1"/>
  <c r="G1270" i="16" s="1"/>
  <c r="G1271" i="16" s="1"/>
  <c r="G1272" i="16" s="1"/>
  <c r="G1273" i="16" s="1"/>
  <c r="G1274" i="16" s="1"/>
  <c r="G1275" i="16" s="1"/>
  <c r="G1276" i="16" s="1"/>
  <c r="G1277" i="16" s="1"/>
  <c r="G1278" i="16" s="1"/>
  <c r="G1279" i="16" s="1"/>
  <c r="G1280" i="16" s="1"/>
  <c r="AO125" i="29"/>
  <c r="A1296" i="66"/>
  <c r="S245" i="28"/>
  <c r="G389" i="16"/>
  <c r="G390" i="16" s="1"/>
  <c r="G391" i="16" s="1"/>
  <c r="G392" i="16" s="1"/>
  <c r="G469" i="16"/>
  <c r="G470" i="16" s="1"/>
  <c r="G471" i="16" s="1"/>
  <c r="G112" i="16"/>
  <c r="G113" i="16" s="1"/>
  <c r="G114" i="16" s="1"/>
  <c r="G115" i="16" s="1"/>
  <c r="G116" i="16" s="1"/>
  <c r="G117" i="16" s="1"/>
  <c r="G443" i="16"/>
  <c r="G444" i="16" s="1"/>
  <c r="G445" i="16" s="1"/>
  <c r="G446" i="16" s="1"/>
  <c r="G447" i="16" s="1"/>
  <c r="G448" i="16" s="1"/>
  <c r="G650" i="16"/>
  <c r="G651" i="16" s="1"/>
  <c r="G937" i="16"/>
  <c r="G938" i="16" s="1"/>
  <c r="G939" i="16" s="1"/>
  <c r="G65" i="16"/>
  <c r="G66" i="16" s="1"/>
  <c r="G67" i="16" s="1"/>
  <c r="G68" i="16" s="1"/>
  <c r="G69" i="16" s="1"/>
  <c r="G978" i="16"/>
  <c r="G979" i="16" s="1"/>
  <c r="G980" i="16" s="1"/>
  <c r="G981" i="16" s="1"/>
  <c r="G982" i="16" s="1"/>
  <c r="G983" i="16" s="1"/>
  <c r="G984" i="16" s="1"/>
  <c r="G985" i="16" s="1"/>
  <c r="G986" i="16" s="1"/>
  <c r="G987" i="16" s="1"/>
  <c r="G988" i="16" s="1"/>
  <c r="G96" i="16"/>
  <c r="G238" i="16"/>
  <c r="G240" i="16" s="1"/>
  <c r="G962" i="16"/>
  <c r="G963" i="16" s="1"/>
  <c r="G964" i="16" s="1"/>
  <c r="G965" i="16" s="1"/>
  <c r="G966" i="16" s="1"/>
  <c r="G967" i="16" s="1"/>
  <c r="G924" i="16"/>
  <c r="G925" i="16" s="1"/>
  <c r="G926" i="16" s="1"/>
  <c r="G393" i="16"/>
  <c r="G394" i="16" s="1"/>
  <c r="G395" i="16" s="1"/>
  <c r="G305" i="16"/>
  <c r="G306" i="16" s="1"/>
  <c r="G307" i="16" s="1"/>
  <c r="G308" i="16" s="1"/>
  <c r="G309" i="16" s="1"/>
  <c r="G310" i="16" s="1"/>
  <c r="G311" i="16" s="1"/>
  <c r="G312" i="16" s="1"/>
  <c r="G313" i="16" s="1"/>
  <c r="G314" i="16" s="1"/>
  <c r="G315" i="16" s="1"/>
  <c r="G316" i="16" s="1"/>
  <c r="G317" i="16" s="1"/>
  <c r="G318" i="16" s="1"/>
  <c r="G319" i="16" s="1"/>
  <c r="G320" i="16" s="1"/>
  <c r="G321" i="16" s="1"/>
  <c r="G322" i="16" s="1"/>
  <c r="G124" i="16"/>
  <c r="G125" i="16" s="1"/>
  <c r="G126" i="16" s="1"/>
  <c r="G127" i="16" s="1"/>
  <c r="G128" i="16" s="1"/>
  <c r="G636" i="16"/>
  <c r="G637" i="16" s="1"/>
  <c r="G638" i="16" s="1"/>
  <c r="G639" i="16" s="1"/>
  <c r="G640" i="16" s="1"/>
  <c r="G641" i="16" s="1"/>
  <c r="G642" i="16" s="1"/>
  <c r="G209" i="16"/>
  <c r="G210" i="16" s="1"/>
  <c r="G211" i="16" s="1"/>
  <c r="G212" i="16" s="1"/>
  <c r="G379" i="16"/>
  <c r="G380" i="16" s="1"/>
  <c r="G381" i="16" s="1"/>
  <c r="G1081" i="16"/>
  <c r="G1082" i="16" s="1"/>
  <c r="A910" i="66"/>
  <c r="A911" i="66" s="1"/>
  <c r="C911" i="66" s="1"/>
  <c r="A1065" i="66"/>
  <c r="A1061" i="66"/>
  <c r="C1061" i="66" s="1"/>
  <c r="A381" i="66"/>
  <c r="A577" i="66"/>
  <c r="C577" i="66" s="1"/>
  <c r="A374" i="66"/>
  <c r="C374" i="66" s="1"/>
  <c r="R59" i="25"/>
  <c r="AE59" i="25" s="1"/>
  <c r="AC59" i="25" s="1"/>
  <c r="R62" i="25"/>
  <c r="AE62" i="25" s="1"/>
  <c r="AC62" i="25" s="1"/>
  <c r="I1061" i="66"/>
  <c r="N1079" i="16"/>
  <c r="AO172" i="28"/>
  <c r="AO178" i="28"/>
  <c r="AO385" i="16"/>
  <c r="N578" i="16"/>
  <c r="N1073" i="16"/>
  <c r="E118" i="76"/>
  <c r="AO339" i="24"/>
  <c r="I577" i="66"/>
  <c r="AO130" i="8"/>
  <c r="I128" i="66"/>
  <c r="A958" i="66"/>
  <c r="C958" i="66" s="1"/>
  <c r="I129" i="66"/>
  <c r="I669" i="66"/>
  <c r="N130" i="16"/>
  <c r="N670" i="16"/>
  <c r="AO120" i="16"/>
  <c r="E670" i="76"/>
  <c r="E122" i="76"/>
  <c r="AI3" i="8"/>
  <c r="AO136" i="8"/>
  <c r="E135" i="76"/>
  <c r="N135" i="16"/>
  <c r="N122" i="16"/>
  <c r="I121" i="66"/>
  <c r="E379" i="76"/>
  <c r="AO121" i="8"/>
  <c r="E129" i="76"/>
  <c r="N120" i="16"/>
  <c r="AO119" i="8"/>
  <c r="A305" i="66"/>
  <c r="C305" i="66" s="1"/>
  <c r="N118" i="16"/>
  <c r="A636" i="66"/>
  <c r="C636" i="66" s="1"/>
  <c r="I30" i="66"/>
  <c r="N31" i="16"/>
  <c r="H15" i="3"/>
  <c r="D24" i="17" s="1"/>
  <c r="AO32" i="8"/>
  <c r="AO243" i="8"/>
  <c r="N208" i="16"/>
  <c r="C1296" i="66"/>
  <c r="N242" i="16"/>
  <c r="I207" i="66"/>
  <c r="N1308" i="16"/>
  <c r="S270" i="28"/>
  <c r="T270" i="28" s="1"/>
  <c r="AD270" i="28" s="1"/>
  <c r="AC270" i="28" s="1"/>
  <c r="I1296" i="66"/>
  <c r="AE129" i="29"/>
  <c r="AC129" i="29" s="1"/>
  <c r="AC31" i="16"/>
  <c r="T1245" i="16"/>
  <c r="AD1245" i="16" s="1"/>
  <c r="O369" i="16"/>
  <c r="AO369" i="16" s="1"/>
  <c r="R1245" i="16"/>
  <c r="M1245" i="16" s="1"/>
  <c r="G1245" i="16" s="1"/>
  <c r="H32" i="18"/>
  <c r="H32" i="17"/>
  <c r="I32" i="18"/>
  <c r="AO31" i="16"/>
  <c r="E31" i="76"/>
  <c r="E1122" i="76"/>
  <c r="T1133" i="16"/>
  <c r="AD1133" i="16" s="1"/>
  <c r="AC1133" i="16" s="1"/>
  <c r="I1124" i="66"/>
  <c r="AO235" i="28"/>
  <c r="R336" i="16"/>
  <c r="M336" i="16" s="1"/>
  <c r="AM336" i="16" s="1"/>
  <c r="C1075" i="66"/>
  <c r="R349" i="16"/>
  <c r="AE349" i="16" s="1"/>
  <c r="T360" i="16"/>
  <c r="AD360" i="16" s="1"/>
  <c r="AC360" i="16" s="1"/>
  <c r="R362" i="16"/>
  <c r="AE362" i="16" s="1"/>
  <c r="AF362" i="16" s="1"/>
  <c r="AO1081" i="16"/>
  <c r="O323" i="16"/>
  <c r="E323" i="76" s="1"/>
  <c r="O343" i="16"/>
  <c r="E343" i="76" s="1"/>
  <c r="AO208" i="16"/>
  <c r="E951" i="76"/>
  <c r="AO1073" i="16"/>
  <c r="E1068" i="76"/>
  <c r="E238" i="76"/>
  <c r="E242" i="76"/>
  <c r="AO241" i="28"/>
  <c r="I1130" i="66"/>
  <c r="N1142" i="16"/>
  <c r="R241" i="28"/>
  <c r="N15" i="3"/>
  <c r="Z1" i="80" s="1"/>
  <c r="G1044" i="16"/>
  <c r="G1045" i="16" s="1"/>
  <c r="G1046" i="16" s="1"/>
  <c r="G1047" i="16" s="1"/>
  <c r="G1048" i="16" s="1"/>
  <c r="G1028" i="16"/>
  <c r="T269" i="28"/>
  <c r="AD269" i="28" s="1"/>
  <c r="AC269" i="28" s="1"/>
  <c r="BH15" i="16"/>
  <c r="BH942" i="16"/>
  <c r="BH1199" i="16"/>
  <c r="BH256" i="16"/>
  <c r="BH794" i="16"/>
  <c r="W9" i="23"/>
  <c r="BG15" i="16"/>
  <c r="BG794" i="16"/>
  <c r="BG942" i="16"/>
  <c r="V9" i="23"/>
  <c r="BG256" i="16"/>
  <c r="BG1199" i="16"/>
  <c r="BE15" i="16"/>
  <c r="BE1199" i="16"/>
  <c r="BE942" i="16"/>
  <c r="BE794" i="16"/>
  <c r="BE256" i="16"/>
  <c r="BI794" i="16"/>
  <c r="Y9" i="23"/>
  <c r="BF15" i="16"/>
  <c r="BF794" i="16"/>
  <c r="BF942" i="16"/>
  <c r="BF1199" i="16"/>
  <c r="BF256" i="16"/>
  <c r="L458" i="16" s="1"/>
  <c r="U9" i="23"/>
  <c r="A1013" i="66"/>
  <c r="C1013" i="66" s="1"/>
  <c r="C498" i="66"/>
  <c r="A499" i="66"/>
  <c r="C499" i="66" s="1"/>
  <c r="A484" i="66"/>
  <c r="C484" i="66" s="1"/>
  <c r="C483" i="66"/>
  <c r="A292" i="66"/>
  <c r="C292" i="66" s="1"/>
  <c r="C291" i="66"/>
  <c r="A278" i="66"/>
  <c r="C278" i="66" s="1"/>
  <c r="C277" i="66"/>
  <c r="A1035" i="66"/>
  <c r="C1035" i="66" s="1"/>
  <c r="A1252" i="66"/>
  <c r="C1251" i="66"/>
  <c r="A954" i="66"/>
  <c r="C954" i="66" s="1"/>
  <c r="A364" i="66"/>
  <c r="C363" i="66"/>
  <c r="A793" i="66"/>
  <c r="C793" i="66" s="1"/>
  <c r="C792" i="66"/>
  <c r="C497" i="66"/>
  <c r="A476" i="66"/>
  <c r="C476" i="66" s="1"/>
  <c r="C475" i="66"/>
  <c r="C266" i="66"/>
  <c r="AE83" i="29"/>
  <c r="AC83" i="29" s="1"/>
  <c r="A759" i="66"/>
  <c r="C759" i="66" s="1"/>
  <c r="H16" i="3"/>
  <c r="N1176" i="16"/>
  <c r="I1164" i="66"/>
  <c r="C649" i="66"/>
  <c r="C334" i="66"/>
  <c r="G669" i="16"/>
  <c r="R1287" i="16"/>
  <c r="M1287" i="16" s="1"/>
  <c r="AM1287" i="16" s="1"/>
  <c r="A930" i="66"/>
  <c r="C930" i="66" s="1"/>
  <c r="AI3" i="24"/>
  <c r="O245" i="28"/>
  <c r="H19" i="3" s="1"/>
  <c r="D28" i="17" s="1"/>
  <c r="T245" i="28"/>
  <c r="AD245" i="28" s="1"/>
  <c r="AC245" i="28" s="1"/>
  <c r="AO253" i="16"/>
  <c r="T1306" i="16"/>
  <c r="AD1306" i="16" s="1"/>
  <c r="R1306" i="16"/>
  <c r="R1272" i="16"/>
  <c r="T1272" i="16"/>
  <c r="AD1272" i="16" s="1"/>
  <c r="R1266" i="16"/>
  <c r="M1266" i="16" s="1"/>
  <c r="AM1266" i="16" s="1"/>
  <c r="T1266" i="16"/>
  <c r="AD1266" i="16" s="1"/>
  <c r="O1263" i="16"/>
  <c r="R1285" i="16"/>
  <c r="O1281" i="16"/>
  <c r="AO1281" i="16" s="1"/>
  <c r="T1285" i="16"/>
  <c r="AD1285" i="16" s="1"/>
  <c r="R1198" i="16"/>
  <c r="T1198" i="16"/>
  <c r="AD1198" i="16" s="1"/>
  <c r="R1334" i="16"/>
  <c r="T1334" i="16"/>
  <c r="AD1334" i="16" s="1"/>
  <c r="R1312" i="16"/>
  <c r="M1312" i="16" s="1"/>
  <c r="AM1312" i="16" s="1"/>
  <c r="O1308" i="16"/>
  <c r="T1312" i="16"/>
  <c r="AD1312" i="16" s="1"/>
  <c r="T1211" i="16"/>
  <c r="AD1211" i="16" s="1"/>
  <c r="R1211" i="16"/>
  <c r="T1199" i="16"/>
  <c r="AD1199" i="16" s="1"/>
  <c r="R1199" i="16"/>
  <c r="T1269" i="16"/>
  <c r="AD1269" i="16" s="1"/>
  <c r="R1269" i="16"/>
  <c r="T1200" i="16"/>
  <c r="AD1200" i="16" s="1"/>
  <c r="R1200" i="16"/>
  <c r="M15" i="29"/>
  <c r="AM15" i="29" s="1"/>
  <c r="AE15" i="29"/>
  <c r="AC15" i="29" s="1"/>
  <c r="N1195" i="16"/>
  <c r="I1183" i="66"/>
  <c r="C1183" i="66"/>
  <c r="AO12" i="29"/>
  <c r="A86" i="66"/>
  <c r="C166" i="66"/>
  <c r="A167" i="66"/>
  <c r="C167" i="66" s="1"/>
  <c r="G53" i="16"/>
  <c r="A828" i="66"/>
  <c r="C828" i="66" s="1"/>
  <c r="AO162" i="16"/>
  <c r="M349" i="16"/>
  <c r="AM349" i="16" s="1"/>
  <c r="E1170" i="76"/>
  <c r="AO1181" i="16"/>
  <c r="AF951" i="16"/>
  <c r="AC951" i="16"/>
  <c r="AF943" i="16"/>
  <c r="AC943" i="16"/>
  <c r="C194" i="66"/>
  <c r="A195" i="66"/>
  <c r="C132" i="66"/>
  <c r="A133" i="66"/>
  <c r="A326" i="66"/>
  <c r="C326" i="66" s="1"/>
  <c r="A881" i="66"/>
  <c r="C881" i="66" s="1"/>
  <c r="A692" i="66"/>
  <c r="C692" i="66" s="1"/>
  <c r="AO360" i="16"/>
  <c r="E360" i="76"/>
  <c r="AO1136" i="16"/>
  <c r="E1125" i="76"/>
  <c r="E1120" i="76"/>
  <c r="AO98" i="29"/>
  <c r="N1281" i="16"/>
  <c r="I1269" i="66"/>
  <c r="C1269" i="66"/>
  <c r="H20" i="3"/>
  <c r="D29" i="17" s="1"/>
  <c r="AI3" i="29"/>
  <c r="M102" i="29"/>
  <c r="AM102" i="29" s="1"/>
  <c r="AE102" i="29"/>
  <c r="AC102" i="29" s="1"/>
  <c r="A968" i="66"/>
  <c r="C968" i="66" s="1"/>
  <c r="AO267" i="28"/>
  <c r="I1156" i="66"/>
  <c r="N1168" i="16"/>
  <c r="C1156" i="66"/>
  <c r="A1058" i="66"/>
  <c r="C1058" i="66" s="1"/>
  <c r="A994" i="66"/>
  <c r="C994" i="66" s="1"/>
  <c r="A874" i="66"/>
  <c r="C874" i="66" s="1"/>
  <c r="A356" i="66"/>
  <c r="A542" i="66"/>
  <c r="C542" i="66" s="1"/>
  <c r="AE123" i="24"/>
  <c r="AC123" i="24" s="1"/>
  <c r="M123" i="24"/>
  <c r="AM123" i="24" s="1"/>
  <c r="A766" i="66"/>
  <c r="C766" i="66" s="1"/>
  <c r="C254" i="66"/>
  <c r="A255" i="66"/>
  <c r="C255" i="66" s="1"/>
  <c r="AE132" i="24"/>
  <c r="M132" i="24"/>
  <c r="AM132" i="24" s="1"/>
  <c r="N343" i="16"/>
  <c r="G343" i="16" s="1"/>
  <c r="I342" i="66"/>
  <c r="AO104" i="24"/>
  <c r="AC121" i="25"/>
  <c r="C381" i="66"/>
  <c r="AC119" i="25"/>
  <c r="AC888" i="16"/>
  <c r="AC844" i="16"/>
  <c r="AC75" i="25"/>
  <c r="M78" i="25"/>
  <c r="AM78" i="25" s="1"/>
  <c r="AE78" i="25"/>
  <c r="AC78" i="25" s="1"/>
  <c r="AE847" i="16"/>
  <c r="AF847" i="16" s="1"/>
  <c r="M847" i="16"/>
  <c r="AM847" i="16" s="1"/>
  <c r="M808" i="16"/>
  <c r="AM808" i="16" s="1"/>
  <c r="AE811" i="16"/>
  <c r="AF811" i="16" s="1"/>
  <c r="AE33" i="25"/>
  <c r="AC33" i="25" s="1"/>
  <c r="M33" i="25"/>
  <c r="AM33" i="25" s="1"/>
  <c r="AE36" i="25"/>
  <c r="AC36" i="25" s="1"/>
  <c r="M36" i="25"/>
  <c r="AM36" i="25" s="1"/>
  <c r="AE790" i="16"/>
  <c r="AF790" i="16" s="1"/>
  <c r="M790" i="16"/>
  <c r="AM790" i="16" s="1"/>
  <c r="M805" i="16"/>
  <c r="AM805" i="16" s="1"/>
  <c r="AE805" i="16"/>
  <c r="AF805" i="16" s="1"/>
  <c r="A301" i="66"/>
  <c r="C301" i="66" s="1"/>
  <c r="M793" i="16"/>
  <c r="AM793" i="16" s="1"/>
  <c r="AE793" i="16"/>
  <c r="AF793" i="16" s="1"/>
  <c r="C1065" i="66"/>
  <c r="M30" i="25"/>
  <c r="AM30" i="25" s="1"/>
  <c r="AE30" i="25"/>
  <c r="AC30" i="25" s="1"/>
  <c r="AO1131" i="16"/>
  <c r="AE874" i="16"/>
  <c r="AF874" i="16" s="1"/>
  <c r="M874" i="16"/>
  <c r="AM874" i="16" s="1"/>
  <c r="M21" i="25"/>
  <c r="AM21" i="25" s="1"/>
  <c r="AE21" i="25"/>
  <c r="AC21" i="25" s="1"/>
  <c r="I1119" i="66"/>
  <c r="AO230" i="28"/>
  <c r="N1131" i="16"/>
  <c r="M111" i="25"/>
  <c r="AM111" i="25" s="1"/>
  <c r="AE111" i="25"/>
  <c r="AC111" i="25" s="1"/>
  <c r="G378" i="16"/>
  <c r="AE42" i="25"/>
  <c r="AC42" i="25" s="1"/>
  <c r="M39" i="25"/>
  <c r="AM39" i="25" s="1"/>
  <c r="M56" i="25"/>
  <c r="AM56" i="25" s="1"/>
  <c r="AC28" i="29"/>
  <c r="M802" i="16"/>
  <c r="AM802" i="16" s="1"/>
  <c r="AE802" i="16"/>
  <c r="AF802" i="16" s="1"/>
  <c r="AE880" i="16"/>
  <c r="AF880" i="16" s="1"/>
  <c r="M880" i="16"/>
  <c r="AM880" i="16" s="1"/>
  <c r="G386" i="16"/>
  <c r="G387" i="16" s="1"/>
  <c r="G388" i="16" s="1"/>
  <c r="M24" i="25"/>
  <c r="AM24" i="25" s="1"/>
  <c r="AE24" i="25"/>
  <c r="AC24" i="25" s="1"/>
  <c r="A453" i="66"/>
  <c r="C453" i="66" s="1"/>
  <c r="AI3" i="25"/>
  <c r="M105" i="25"/>
  <c r="AM105" i="25" s="1"/>
  <c r="AE105" i="25"/>
  <c r="AC105" i="25" s="1"/>
  <c r="AC890" i="16"/>
  <c r="AE799" i="16"/>
  <c r="M799" i="16"/>
  <c r="AM799" i="16" s="1"/>
  <c r="AG2" i="29"/>
  <c r="AG2" i="28"/>
  <c r="X2" i="27"/>
  <c r="G1176" i="16" l="1"/>
  <c r="G1177" i="16" s="1"/>
  <c r="G1178" i="16" s="1"/>
  <c r="G1179" i="16" s="1"/>
  <c r="G1180" i="16" s="1"/>
  <c r="G73" i="16"/>
  <c r="G74" i="16" s="1"/>
  <c r="G75" i="16" s="1"/>
  <c r="G1281" i="16"/>
  <c r="G1282" i="16" s="1"/>
  <c r="G1283" i="16" s="1"/>
  <c r="G1284" i="16" s="1"/>
  <c r="G1285" i="16" s="1"/>
  <c r="G1286" i="16" s="1"/>
  <c r="G1287" i="16" s="1"/>
  <c r="G1288" i="16" s="1"/>
  <c r="G1289" i="16" s="1"/>
  <c r="G1290" i="16" s="1"/>
  <c r="G1291" i="16" s="1"/>
  <c r="G1292" i="16" s="1"/>
  <c r="G1293" i="16" s="1"/>
  <c r="G1294" i="16" s="1"/>
  <c r="G1295" i="16" s="1"/>
  <c r="G1296" i="16" s="1"/>
  <c r="G1297" i="16" s="1"/>
  <c r="G1298" i="16" s="1"/>
  <c r="G1299" i="16" s="1"/>
  <c r="G1300" i="16" s="1"/>
  <c r="G1301" i="16" s="1"/>
  <c r="G1302" i="16" s="1"/>
  <c r="G1303" i="16" s="1"/>
  <c r="G1304" i="16" s="1"/>
  <c r="G1305" i="16" s="1"/>
  <c r="G1306" i="16" s="1"/>
  <c r="G1307" i="16" s="1"/>
  <c r="G1308" i="16"/>
  <c r="G1309" i="16" s="1"/>
  <c r="G1310" i="16" s="1"/>
  <c r="G1311" i="16" s="1"/>
  <c r="G1312" i="16" s="1"/>
  <c r="G1313" i="16" s="1"/>
  <c r="G1314" i="16" s="1"/>
  <c r="G1315" i="16" s="1"/>
  <c r="G1316" i="16" s="1"/>
  <c r="G1317" i="16" s="1"/>
  <c r="G1318" i="16" s="1"/>
  <c r="G1319" i="16" s="1"/>
  <c r="G1320" i="16" s="1"/>
  <c r="G1321" i="16" s="1"/>
  <c r="G1322" i="16" s="1"/>
  <c r="G1323" i="16" s="1"/>
  <c r="G1324" i="16" s="1"/>
  <c r="G1325" i="16" s="1"/>
  <c r="G1326" i="16" s="1"/>
  <c r="G1327" i="16" s="1"/>
  <c r="G1328" i="16" s="1"/>
  <c r="G1329" i="16" s="1"/>
  <c r="G1330" i="16" s="1"/>
  <c r="G1331" i="16" s="1"/>
  <c r="G1332" i="16" s="1"/>
  <c r="G1333" i="16" s="1"/>
  <c r="G1196" i="16"/>
  <c r="G1197" i="16" s="1"/>
  <c r="G1198" i="16" s="1"/>
  <c r="G1199" i="16" s="1"/>
  <c r="G1200" i="16" s="1"/>
  <c r="G1201" i="16" s="1"/>
  <c r="G1202" i="16" s="1"/>
  <c r="G1203" i="16" s="1"/>
  <c r="G1204" i="16" s="1"/>
  <c r="G1205" i="16" s="1"/>
  <c r="G1206" i="16" s="1"/>
  <c r="G1207" i="16" s="1"/>
  <c r="G1208" i="16" s="1"/>
  <c r="G1209" i="16" s="1"/>
  <c r="G1210" i="16" s="1"/>
  <c r="G1211" i="16" s="1"/>
  <c r="G1195" i="16"/>
  <c r="G1168" i="16"/>
  <c r="G1169" i="16" s="1"/>
  <c r="G1170" i="16" s="1"/>
  <c r="G1171" i="16" s="1"/>
  <c r="G1172" i="16" s="1"/>
  <c r="A1062" i="66"/>
  <c r="C1062" i="66" s="1"/>
  <c r="G242" i="16"/>
  <c r="G243" i="16" s="1"/>
  <c r="G244" i="16" s="1"/>
  <c r="G245" i="16" s="1"/>
  <c r="G246" i="16" s="1"/>
  <c r="G247" i="16" s="1"/>
  <c r="G1131" i="16"/>
  <c r="G1132" i="16" s="1"/>
  <c r="G118" i="16"/>
  <c r="G119" i="16" s="1"/>
  <c r="G122" i="16"/>
  <c r="G123" i="16" s="1"/>
  <c r="G670" i="16"/>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706" i="16" s="1"/>
  <c r="G707" i="16" s="1"/>
  <c r="G708" i="16" s="1"/>
  <c r="G709" i="16" s="1"/>
  <c r="G710" i="16" s="1"/>
  <c r="G711" i="16" s="1"/>
  <c r="G208" i="16"/>
  <c r="G204" i="16" s="1"/>
  <c r="G205" i="16" s="1"/>
  <c r="G135" i="16"/>
  <c r="G136" i="16" s="1"/>
  <c r="G130" i="16"/>
  <c r="G131" i="16" s="1"/>
  <c r="G132" i="16" s="1"/>
  <c r="G133" i="16" s="1"/>
  <c r="G134" i="16" s="1"/>
  <c r="G1073" i="16"/>
  <c r="G1074" i="16" s="1"/>
  <c r="G1075" i="16" s="1"/>
  <c r="G1076" i="16" s="1"/>
  <c r="G60" i="16"/>
  <c r="G61" i="16" s="1"/>
  <c r="G120" i="16"/>
  <c r="G121" i="16" s="1"/>
  <c r="G31" i="16"/>
  <c r="G13" i="16" s="1"/>
  <c r="G14" i="16" s="1"/>
  <c r="G382" i="16"/>
  <c r="G383" i="16" s="1"/>
  <c r="G384" i="16" s="1"/>
  <c r="G375" i="16"/>
  <c r="G376" i="16" s="1"/>
  <c r="G578" i="16"/>
  <c r="G579" i="16" s="1"/>
  <c r="G580" i="16" s="1"/>
  <c r="G581" i="16" s="1"/>
  <c r="G582" i="16" s="1"/>
  <c r="G583" i="16" s="1"/>
  <c r="G584" i="16" s="1"/>
  <c r="G585" i="16" s="1"/>
  <c r="G586" i="16" s="1"/>
  <c r="G587" i="16" s="1"/>
  <c r="G588" i="16" s="1"/>
  <c r="G589" i="16" s="1"/>
  <c r="G590" i="16" s="1"/>
  <c r="G591" i="16" s="1"/>
  <c r="G592" i="16" s="1"/>
  <c r="G593" i="16" s="1"/>
  <c r="G594" i="16" s="1"/>
  <c r="G47" i="16"/>
  <c r="G48" i="16" s="1"/>
  <c r="G1079" i="16"/>
  <c r="G1080" i="16" s="1"/>
  <c r="G922" i="16"/>
  <c r="G923" i="16" s="1"/>
  <c r="G97" i="16"/>
  <c r="G98" i="16" s="1"/>
  <c r="G99" i="16" s="1"/>
  <c r="G100" i="16" s="1"/>
  <c r="G101" i="16" s="1"/>
  <c r="G102" i="16" s="1"/>
  <c r="C133" i="66"/>
  <c r="A107" i="66"/>
  <c r="A494" i="66"/>
  <c r="C494" i="66" s="1"/>
  <c r="A928" i="66"/>
  <c r="C928" i="66" s="1"/>
  <c r="A900" i="66"/>
  <c r="C900" i="66" s="1"/>
  <c r="C910" i="66"/>
  <c r="R828" i="16"/>
  <c r="R831" i="16"/>
  <c r="AE831" i="16" s="1"/>
  <c r="A1297" i="66"/>
  <c r="C1297" i="66" s="1"/>
  <c r="N16" i="3"/>
  <c r="AA1" i="80" s="1"/>
  <c r="A960" i="66"/>
  <c r="C960" i="66" s="1"/>
  <c r="A959" i="66"/>
  <c r="C959" i="66" s="1"/>
  <c r="AG2" i="8"/>
  <c r="I1" i="8" s="1"/>
  <c r="D24" i="18"/>
  <c r="AG1" i="79"/>
  <c r="AF799" i="16"/>
  <c r="AO343" i="16"/>
  <c r="AE1245" i="16"/>
  <c r="AF1245" i="16" s="1"/>
  <c r="AC362" i="16"/>
  <c r="E369" i="76"/>
  <c r="AE336" i="16"/>
  <c r="AF336" i="16" s="1"/>
  <c r="M362" i="16"/>
  <c r="AM362" i="16" s="1"/>
  <c r="AO323" i="16"/>
  <c r="AG1" i="16"/>
  <c r="E24" i="17"/>
  <c r="D25" i="18"/>
  <c r="D25" i="17"/>
  <c r="D29" i="18"/>
  <c r="D28" i="18"/>
  <c r="AG2" i="24"/>
  <c r="AE241" i="28"/>
  <c r="M241" i="28"/>
  <c r="AM241" i="28" s="1"/>
  <c r="C364" i="66"/>
  <c r="A365" i="66"/>
  <c r="C356" i="66"/>
  <c r="A357" i="66"/>
  <c r="G344" i="16"/>
  <c r="G345" i="16" s="1"/>
  <c r="G346" i="16" s="1"/>
  <c r="G347" i="16" s="1"/>
  <c r="C342" i="66"/>
  <c r="A343" i="66"/>
  <c r="E24" i="18"/>
  <c r="G1030" i="16"/>
  <c r="G1029" i="16"/>
  <c r="AG3" i="24"/>
  <c r="A1036" i="66"/>
  <c r="C1036" i="66" s="1"/>
  <c r="A1014" i="66"/>
  <c r="C1014" i="66" s="1"/>
  <c r="S1142" i="16"/>
  <c r="S1146" i="16"/>
  <c r="S1170" i="16"/>
  <c r="S1171" i="16"/>
  <c r="T1171" i="16" s="1"/>
  <c r="AD1171" i="16" s="1"/>
  <c r="AC1171" i="16" s="1"/>
  <c r="C16" i="17"/>
  <c r="C16" i="18"/>
  <c r="AI3" i="28"/>
  <c r="A955" i="66"/>
  <c r="C955" i="66" s="1"/>
  <c r="A279" i="66"/>
  <c r="C279" i="66" s="1"/>
  <c r="A1253" i="66"/>
  <c r="C1252" i="66"/>
  <c r="A760" i="66"/>
  <c r="C760" i="66" s="1"/>
  <c r="AE1287" i="16"/>
  <c r="AF1287" i="16" s="1"/>
  <c r="A650" i="66"/>
  <c r="C650" i="66" s="1"/>
  <c r="AC132" i="24"/>
  <c r="AG3" i="29"/>
  <c r="I1" i="29" s="1"/>
  <c r="I1134" i="66"/>
  <c r="N1146" i="16"/>
  <c r="G1146" i="16" s="1"/>
  <c r="G1145" i="16" s="1"/>
  <c r="AO245" i="28"/>
  <c r="AE1269" i="16"/>
  <c r="AF1269" i="16" s="1"/>
  <c r="M1269" i="16"/>
  <c r="AM1269" i="16" s="1"/>
  <c r="M1285" i="16"/>
  <c r="AM1285" i="16" s="1"/>
  <c r="AE1285" i="16"/>
  <c r="AF1285" i="16" s="1"/>
  <c r="AO1263" i="16"/>
  <c r="AE1266" i="16"/>
  <c r="AF1266" i="16" s="1"/>
  <c r="AE1199" i="16"/>
  <c r="AF1199" i="16" s="1"/>
  <c r="M1199" i="16"/>
  <c r="AM1199" i="16" s="1"/>
  <c r="M1334" i="16"/>
  <c r="G1334" i="16" s="1"/>
  <c r="AE1334" i="16"/>
  <c r="AF1334" i="16" s="1"/>
  <c r="AE1211" i="16"/>
  <c r="AF1211" i="16" s="1"/>
  <c r="M1211" i="16"/>
  <c r="M1198" i="16"/>
  <c r="AM1198" i="16" s="1"/>
  <c r="AE1198" i="16"/>
  <c r="AF1198" i="16" s="1"/>
  <c r="AM1245" i="16"/>
  <c r="G1246" i="16"/>
  <c r="G1247" i="16" s="1"/>
  <c r="G1248" i="16" s="1"/>
  <c r="G1249" i="16" s="1"/>
  <c r="G1250" i="16" s="1"/>
  <c r="G1251" i="16" s="1"/>
  <c r="G1252" i="16" s="1"/>
  <c r="G1253" i="16" s="1"/>
  <c r="G1254" i="16" s="1"/>
  <c r="G1255" i="16" s="1"/>
  <c r="AO1195" i="16"/>
  <c r="N20" i="3"/>
  <c r="M1272" i="16"/>
  <c r="AM1272" i="16" s="1"/>
  <c r="AE1272" i="16"/>
  <c r="AF1272" i="16" s="1"/>
  <c r="AE1200" i="16"/>
  <c r="AF1200" i="16" s="1"/>
  <c r="M1200" i="16"/>
  <c r="AM1200" i="16" s="1"/>
  <c r="M1306" i="16"/>
  <c r="AE1306" i="16"/>
  <c r="AE1312" i="16"/>
  <c r="AO1308" i="16"/>
  <c r="C85" i="66"/>
  <c r="A1184" i="66"/>
  <c r="C1184" i="66" s="1"/>
  <c r="G1212" i="16"/>
  <c r="G1213" i="16"/>
  <c r="G1214" i="16" s="1"/>
  <c r="G1215" i="16" s="1"/>
  <c r="G1216" i="16" s="1"/>
  <c r="G1217" i="16" s="1"/>
  <c r="G1218" i="16" s="1"/>
  <c r="G1219" i="16" s="1"/>
  <c r="G1220" i="16" s="1"/>
  <c r="G1221" i="16" s="1"/>
  <c r="G1222" i="16" s="1"/>
  <c r="G1223" i="16" s="1"/>
  <c r="G1224" i="16" s="1"/>
  <c r="G1225" i="16" s="1"/>
  <c r="G1226" i="16" s="1"/>
  <c r="G1227" i="16" s="1"/>
  <c r="G1228" i="16" s="1"/>
  <c r="G1229" i="16" s="1"/>
  <c r="G1230" i="16" s="1"/>
  <c r="G1231" i="16" s="1"/>
  <c r="G1232" i="16" s="1"/>
  <c r="G1233" i="16" s="1"/>
  <c r="G1234" i="16" s="1"/>
  <c r="G1235" i="16" s="1"/>
  <c r="G1236" i="16" s="1"/>
  <c r="G1237" i="16" s="1"/>
  <c r="G1238" i="16" s="1"/>
  <c r="G1239" i="16" s="1"/>
  <c r="G1240" i="16" s="1"/>
  <c r="AF349" i="16"/>
  <c r="AC349" i="16"/>
  <c r="A693" i="66"/>
  <c r="C693" i="66" s="1"/>
  <c r="A196" i="66"/>
  <c r="C195" i="66"/>
  <c r="A1298" i="66"/>
  <c r="C1298" i="66" s="1"/>
  <c r="A1270" i="66"/>
  <c r="C1270" i="66" s="1"/>
  <c r="A1157" i="66"/>
  <c r="C1157" i="66" s="1"/>
  <c r="A995" i="66"/>
  <c r="C995" i="66" s="1"/>
  <c r="A969" i="66"/>
  <c r="C969" i="66" s="1"/>
  <c r="A875" i="66"/>
  <c r="C875" i="66" s="1"/>
  <c r="A767" i="66"/>
  <c r="C767" i="66" s="1"/>
  <c r="A87" i="66"/>
  <c r="C86" i="66"/>
  <c r="A382" i="66"/>
  <c r="C382" i="66" s="1"/>
  <c r="AC880" i="16"/>
  <c r="AC802" i="16"/>
  <c r="AC811" i="16"/>
  <c r="AC790" i="16"/>
  <c r="AC793" i="16"/>
  <c r="AC799" i="16"/>
  <c r="A454" i="66"/>
  <c r="C454" i="66" s="1"/>
  <c r="AG3" i="25"/>
  <c r="AG1" i="8"/>
  <c r="AC805" i="16"/>
  <c r="AC847" i="16"/>
  <c r="AC874" i="16"/>
  <c r="A1066" i="66"/>
  <c r="C1066" i="66" s="1"/>
  <c r="H21" i="3"/>
  <c r="AI2" i="28"/>
  <c r="AG2" i="25"/>
  <c r="O1142" i="16"/>
  <c r="A1133" i="66" l="1"/>
  <c r="A1127" i="66" s="1"/>
  <c r="C1127" i="66" s="1"/>
  <c r="G108" i="16"/>
  <c r="G109" i="16" s="1"/>
  <c r="G32" i="16"/>
  <c r="G33" i="16" s="1"/>
  <c r="G34" i="16" s="1"/>
  <c r="G35" i="16" s="1"/>
  <c r="G912" i="16"/>
  <c r="G86" i="16"/>
  <c r="G87" i="16" s="1"/>
  <c r="G88" i="16" s="1"/>
  <c r="G89" i="16" s="1"/>
  <c r="G1077" i="16"/>
  <c r="G1078" i="16" s="1"/>
  <c r="A944" i="66"/>
  <c r="C944" i="66" s="1"/>
  <c r="AF831" i="16"/>
  <c r="AC831" i="16"/>
  <c r="AH1" i="79"/>
  <c r="AH1" i="16"/>
  <c r="E25" i="18"/>
  <c r="E25" i="17"/>
  <c r="AE1" i="80"/>
  <c r="AL1" i="79"/>
  <c r="AC1245" i="16"/>
  <c r="AC336" i="16"/>
  <c r="AL1" i="16"/>
  <c r="E29" i="17"/>
  <c r="I22" i="3"/>
  <c r="H22" i="3" s="1"/>
  <c r="D32" i="17"/>
  <c r="D32" i="18"/>
  <c r="I1" i="24"/>
  <c r="B2" i="27"/>
  <c r="AG3" i="28"/>
  <c r="I2" i="28" s="1"/>
  <c r="AC241" i="28"/>
  <c r="A366" i="66"/>
  <c r="C365" i="66"/>
  <c r="A358" i="66"/>
  <c r="C358" i="66" s="1"/>
  <c r="C357" i="66"/>
  <c r="A344" i="66"/>
  <c r="C344" i="66" s="1"/>
  <c r="C343" i="66"/>
  <c r="AG1" i="24"/>
  <c r="G1243" i="16"/>
  <c r="G1244" i="16" s="1"/>
  <c r="G1241" i="16"/>
  <c r="G1242" i="16" s="1"/>
  <c r="AE828" i="16"/>
  <c r="M825" i="16"/>
  <c r="AM825" i="16" s="1"/>
  <c r="AO1142" i="16"/>
  <c r="E1131" i="76"/>
  <c r="T1170" i="16"/>
  <c r="AD1170" i="16" s="1"/>
  <c r="AC1170" i="16" s="1"/>
  <c r="O1168" i="16"/>
  <c r="O1146" i="16"/>
  <c r="T1146" i="16"/>
  <c r="AD1146" i="16" s="1"/>
  <c r="AC1146" i="16" s="1"/>
  <c r="T1142" i="16"/>
  <c r="AD1142" i="16" s="1"/>
  <c r="AI3" i="16" s="1"/>
  <c r="R1142" i="16"/>
  <c r="C1253" i="66"/>
  <c r="A1254" i="66"/>
  <c r="AC1287" i="16"/>
  <c r="AC1200" i="16"/>
  <c r="I2" i="8"/>
  <c r="I2" i="29"/>
  <c r="I2" i="25"/>
  <c r="I2" i="24"/>
  <c r="AC1272" i="16"/>
  <c r="AC1285" i="16"/>
  <c r="AC1199" i="16"/>
  <c r="AC1334" i="16"/>
  <c r="AC1266" i="16"/>
  <c r="AC1269" i="16"/>
  <c r="AM1334" i="16"/>
  <c r="G1335" i="16"/>
  <c r="G1336" i="16" s="1"/>
  <c r="G1337" i="16" s="1"/>
  <c r="G1338" i="16" s="1"/>
  <c r="G1339" i="16" s="1"/>
  <c r="G1340" i="16" s="1"/>
  <c r="G1341" i="16" s="1"/>
  <c r="G1342" i="16" s="1"/>
  <c r="G1343" i="16" s="1"/>
  <c r="G1344" i="16" s="1"/>
  <c r="G1345" i="16" s="1"/>
  <c r="AF1312" i="16"/>
  <c r="AC1312" i="16"/>
  <c r="E29" i="18"/>
  <c r="AF1306" i="16"/>
  <c r="AC1306" i="16"/>
  <c r="AC1198" i="16"/>
  <c r="AC1211" i="16"/>
  <c r="A1185" i="66"/>
  <c r="C1185" i="66" s="1"/>
  <c r="A197" i="66"/>
  <c r="C196" i="66"/>
  <c r="C107" i="66"/>
  <c r="A108" i="66"/>
  <c r="C108" i="66" s="1"/>
  <c r="A694" i="66"/>
  <c r="C694" i="66" s="1"/>
  <c r="A1271" i="66"/>
  <c r="C1271" i="66" s="1"/>
  <c r="AG1" i="29"/>
  <c r="A1300" i="66"/>
  <c r="C1300" i="66" s="1"/>
  <c r="A996" i="66"/>
  <c r="C996" i="66" s="1"/>
  <c r="A970" i="66"/>
  <c r="C970" i="66" s="1"/>
  <c r="A768" i="66"/>
  <c r="C768" i="66" s="1"/>
  <c r="C87" i="66"/>
  <c r="A88" i="66"/>
  <c r="C88" i="66" s="1"/>
  <c r="A455" i="66"/>
  <c r="C455" i="66" s="1"/>
  <c r="AG1" i="25"/>
  <c r="I1" i="25" s="1"/>
  <c r="Z2" i="27"/>
  <c r="AI2" i="29"/>
  <c r="C1133" i="66" l="1"/>
  <c r="C197" i="66"/>
  <c r="A173" i="66"/>
  <c r="C173" i="66" s="1"/>
  <c r="A354" i="66"/>
  <c r="C354" i="66" s="1"/>
  <c r="I3" i="28"/>
  <c r="I1" i="28"/>
  <c r="B3" i="27"/>
  <c r="G8" i="17"/>
  <c r="AG1" i="28"/>
  <c r="A367" i="66"/>
  <c r="C367" i="66" s="1"/>
  <c r="C366" i="66"/>
  <c r="AF828" i="16"/>
  <c r="AC828" i="16"/>
  <c r="E1135" i="76"/>
  <c r="AO1146" i="16"/>
  <c r="N19" i="3"/>
  <c r="AD1" i="80" s="1"/>
  <c r="AO1168" i="16"/>
  <c r="E1157" i="76"/>
  <c r="AE1142" i="16"/>
  <c r="AC1142" i="16" s="1"/>
  <c r="M1142" i="16"/>
  <c r="AM1142" i="16" s="1"/>
  <c r="C1254" i="66"/>
  <c r="A1255" i="66"/>
  <c r="A1129" i="66"/>
  <c r="C1129" i="66" s="1"/>
  <c r="I3" i="25"/>
  <c r="I3" i="29"/>
  <c r="I3" i="8"/>
  <c r="I3" i="24"/>
  <c r="A1186" i="66"/>
  <c r="C1186" i="66" s="1"/>
  <c r="A1273" i="66"/>
  <c r="C1273" i="66" s="1"/>
  <c r="A1301" i="66"/>
  <c r="C1301" i="66" s="1"/>
  <c r="A971" i="66"/>
  <c r="C971" i="66" s="1"/>
  <c r="A997" i="66"/>
  <c r="C997" i="66" s="1"/>
  <c r="A456" i="66"/>
  <c r="C456" i="66" s="1"/>
  <c r="AI2" i="25"/>
  <c r="A333" i="66" l="1"/>
  <c r="C333" i="66" s="1"/>
  <c r="AG3" i="16"/>
  <c r="E28" i="17"/>
  <c r="AK1" i="79"/>
  <c r="AF1142" i="16"/>
  <c r="AK1" i="16"/>
  <c r="I3" i="16" s="1"/>
  <c r="E28" i="18"/>
  <c r="N21" i="3"/>
  <c r="I2" i="79" s="1"/>
  <c r="C1255" i="66"/>
  <c r="A1256" i="66"/>
  <c r="A174" i="66"/>
  <c r="A175" i="66" s="1"/>
  <c r="C175" i="66" s="1"/>
  <c r="A1187" i="66"/>
  <c r="C1187" i="66" s="1"/>
  <c r="A1274" i="66"/>
  <c r="C1274" i="66" s="1"/>
  <c r="A998" i="66"/>
  <c r="C998" i="66" s="1"/>
  <c r="A972" i="66"/>
  <c r="C972" i="66" s="1"/>
  <c r="O22" i="3" l="1"/>
  <c r="N22" i="3" s="1"/>
  <c r="I3" i="79" s="1"/>
  <c r="D2" i="80"/>
  <c r="E32" i="17"/>
  <c r="E32" i="18"/>
  <c r="C1256" i="66"/>
  <c r="A1257" i="66"/>
  <c r="C174" i="66"/>
  <c r="A1188" i="66"/>
  <c r="C1188" i="66" s="1"/>
  <c r="A1275" i="66"/>
  <c r="C1275" i="66" s="1"/>
  <c r="A973" i="66"/>
  <c r="C973" i="66" s="1"/>
  <c r="A999" i="66"/>
  <c r="C999" i="66" s="1"/>
  <c r="G25" i="18" l="1"/>
  <c r="G32" i="18" s="1"/>
  <c r="AM2" i="79"/>
  <c r="D3" i="80"/>
  <c r="C1257" i="66"/>
  <c r="A1258" i="66"/>
  <c r="A1189" i="66"/>
  <c r="C1189" i="66" s="1"/>
  <c r="A1276" i="66"/>
  <c r="C1276" i="66" s="1"/>
  <c r="A974" i="66"/>
  <c r="C974" i="66" s="1"/>
  <c r="A1000" i="66"/>
  <c r="C1000" i="66" s="1"/>
  <c r="AM2" i="16"/>
  <c r="I2" i="16" s="1"/>
  <c r="G8" i="18"/>
  <c r="C1258" i="66" l="1"/>
  <c r="A1259" i="66"/>
  <c r="A1190" i="66"/>
  <c r="C1190" i="66" s="1"/>
  <c r="A1277" i="66"/>
  <c r="C1277" i="66" s="1"/>
  <c r="A1001" i="66"/>
  <c r="A975" i="66"/>
  <c r="C975" i="66" s="1"/>
  <c r="C1001" i="66" l="1"/>
  <c r="A1003" i="66"/>
  <c r="C1003" i="66" s="1"/>
  <c r="C1259" i="66"/>
  <c r="A1260" i="66"/>
  <c r="A1191" i="66"/>
  <c r="C1191" i="66" s="1"/>
  <c r="A976" i="66"/>
  <c r="C976" i="66" s="1"/>
  <c r="A1002" i="66"/>
  <c r="C1002" i="66" s="1"/>
  <c r="C1260" i="66" l="1"/>
  <c r="A1261" i="66"/>
  <c r="C1261" i="66" s="1"/>
  <c r="A1004" i="66"/>
  <c r="C1004" i="66" s="1"/>
</calcChain>
</file>

<file path=xl/sharedStrings.xml><?xml version="1.0" encoding="utf-8"?>
<sst xmlns="http://schemas.openxmlformats.org/spreadsheetml/2006/main" count="32238" uniqueCount="4302">
  <si>
    <t>NGBS Scoring for Remodeling
ICC/ASHRAE 700-2015 National Green Building Standard™</t>
  </si>
  <si>
    <t>All rights reserved.  This document is protected by U.S. copyright law. Requirements from ICC/ASHRAE 700-2015 National Green Building Standard™ © 2017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</si>
  <si>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</si>
  <si>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3.1.1</t>
  </si>
  <si>
    <t>Revision Date:</t>
  </si>
  <si>
    <t>This workbook will be updated periodically.  Before scoring a project, check if you have the latest version.</t>
  </si>
  <si>
    <t>Go to http://www.homeinnovation.com/greenscoring to download the latest version of the NGBS Scoring for Remodeling spreadsheet.</t>
  </si>
  <si>
    <t>Introduction</t>
  </si>
  <si>
    <r>
      <t xml:space="preserve">This workbook allows you to score a Remodeling project to the ICC/ASHRAE 700-2015 National Green Building Standard™. Use of the NGBS Scoring workbook is the required entry point for Home Innovation’s NGBS Green Certification. This workbook is intended to be used in conjunction with the publications ICC/ASHRAE 700-2015 National Green Building Standard™.  Please read the Instructions below.  </t>
    </r>
    <r>
      <rPr>
        <b/>
        <sz val="11"/>
        <color rgb="FFFF0000"/>
        <rFont val="Calibri"/>
        <family val="2"/>
        <scheme val="minor"/>
      </rPr>
      <t>Excel 2010,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</si>
  <si>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</si>
  <si>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</si>
  <si>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</si>
  <si>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</si>
  <si>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</si>
  <si>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</si>
  <si>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</si>
  <si>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</si>
  <si>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</si>
  <si>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</si>
  <si>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</si>
  <si>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</si>
  <si>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</si>
  <si>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</si>
  <si>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</si>
  <si>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</si>
  <si>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</si>
  <si>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</si>
  <si>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</si>
  <si>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</si>
  <si>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</si>
  <si>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</si>
  <si>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</si>
  <si>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</si>
  <si>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</si>
  <si>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</si>
  <si>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</si>
  <si>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</si>
  <si>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</si>
  <si>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</si>
  <si>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</si>
  <si>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</si>
  <si>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</si>
  <si>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</si>
  <si>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</si>
  <si>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</si>
  <si>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</si>
  <si>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2017. All rights reserved.</t>
  </si>
  <si>
    <t>Overview (Design Phase)</t>
  </si>
  <si>
    <t>X</t>
  </si>
  <si>
    <t>dropdown names</t>
  </si>
  <si>
    <t>range names</t>
  </si>
  <si>
    <t>Builder Name:</t>
  </si>
  <si>
    <t>dstBuilderName</t>
  </si>
  <si>
    <t>AAA Green Builders</t>
  </si>
  <si>
    <t>Climate Zone:</t>
  </si>
  <si>
    <t>Physical Address of Home:</t>
  </si>
  <si>
    <t>dstHomeAddress</t>
  </si>
  <si>
    <t>6666 Oak St.</t>
  </si>
  <si>
    <t>Community/Lot #:</t>
  </si>
  <si>
    <t>dstLot</t>
  </si>
  <si>
    <t>City:</t>
  </si>
  <si>
    <t>dstCity</t>
  </si>
  <si>
    <t>Raleigh</t>
  </si>
  <si>
    <t>State:</t>
  </si>
  <si>
    <t>ddState</t>
  </si>
  <si>
    <t>dstState</t>
  </si>
  <si>
    <t>North Carolina</t>
  </si>
  <si>
    <t>State</t>
  </si>
  <si>
    <t>County</t>
  </si>
  <si>
    <t>County:</t>
  </si>
  <si>
    <t>ddCounty</t>
  </si>
  <si>
    <t>dstCounty</t>
  </si>
  <si>
    <t>Zip:</t>
  </si>
  <si>
    <t>dstZIP</t>
  </si>
  <si>
    <t>99999</t>
  </si>
  <si>
    <t>Single-Family or Multifamily:</t>
  </si>
  <si>
    <t>ddSingleOrMulti</t>
  </si>
  <si>
    <t>dstSingleOrMulti</t>
  </si>
  <si>
    <t>Single-Family</t>
  </si>
  <si>
    <t>Number of Units:</t>
  </si>
  <si>
    <t>dstUnits</t>
  </si>
  <si>
    <t>Project Name:</t>
  </si>
  <si>
    <t>dstProjectName</t>
  </si>
  <si>
    <t>Year Built:</t>
  </si>
  <si>
    <t>dstYearBuilt</t>
  </si>
  <si>
    <t>(YYYY)</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</si>
  <si>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</si>
  <si>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</si>
  <si>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</si>
  <si>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</si>
  <si>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</si>
  <si>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</si>
  <si>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</si>
  <si>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</si>
  <si>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</si>
  <si>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</si>
  <si>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</si>
  <si>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HERS Index (if available):</t>
  </si>
  <si>
    <t>dstHERS</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</si>
  <si>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</si>
  <si>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</si>
  <si>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</si>
  <si>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</si>
  <si>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</si>
  <si>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</si>
  <si>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</si>
  <si>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</si>
  <si>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</si>
  <si>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</si>
  <si>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</si>
  <si>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</si>
  <si>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</si>
  <si>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</si>
  <si>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</si>
  <si>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</si>
  <si>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</si>
  <si>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</si>
  <si>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</si>
  <si>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</si>
  <si>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</si>
  <si>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</si>
  <si>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</si>
  <si>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</si>
  <si>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</si>
  <si>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</si>
  <si>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</si>
  <si>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</si>
  <si>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</si>
  <si>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</si>
  <si>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</si>
  <si>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</si>
  <si>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</si>
  <si>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</si>
  <si>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</si>
  <si>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</si>
  <si>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</si>
  <si>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</si>
  <si>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</si>
  <si>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</si>
  <si>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</si>
  <si>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</si>
  <si>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</si>
  <si>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</si>
  <si>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</si>
  <si>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</si>
  <si>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</si>
  <si>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</si>
  <si>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</si>
  <si>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</si>
  <si>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</si>
  <si>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</si>
  <si>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</si>
  <si>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</si>
  <si>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</si>
  <si>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</si>
  <si>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</si>
  <si>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</si>
  <si>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</si>
  <si>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</si>
  <si>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</si>
  <si>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Ductless:</t>
  </si>
  <si>
    <t>ddDuctless</t>
  </si>
  <si>
    <t>dstDuctless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</si>
  <si>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</si>
  <si>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</si>
  <si>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</si>
  <si>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</si>
  <si>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</si>
  <si>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</si>
  <si>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</si>
  <si>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</si>
  <si>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</si>
  <si>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</si>
  <si>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</si>
  <si>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</si>
  <si>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</si>
  <si>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ddBuildingCode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</si>
  <si>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</si>
  <si>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</si>
  <si>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</si>
  <si>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</si>
  <si>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</si>
  <si>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</si>
  <si>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</si>
  <si>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</si>
  <si>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</si>
  <si>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</si>
  <si>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</si>
  <si>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</si>
  <si>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</si>
  <si>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</si>
  <si>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</si>
  <si>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</si>
  <si>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</si>
  <si>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</si>
  <si>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Arizona</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</si>
  <si>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</si>
  <si>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</si>
  <si>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</si>
  <si>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</si>
  <si>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</si>
  <si>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</si>
  <si>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</si>
  <si>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</si>
  <si>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</si>
  <si>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</si>
  <si>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</si>
  <si>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</si>
  <si>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</si>
  <si>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</si>
  <si>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</si>
  <si>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</si>
  <si>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</si>
  <si>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</si>
  <si>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</si>
  <si>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</si>
  <si>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</si>
  <si>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</si>
  <si>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</si>
  <si>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</si>
  <si>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</si>
  <si>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</si>
  <si>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</si>
  <si>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</si>
  <si>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</si>
  <si>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</si>
  <si>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</si>
  <si>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</si>
  <si>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</si>
  <si>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</si>
  <si>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</si>
  <si>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</si>
  <si>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</si>
  <si>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</si>
  <si>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</si>
  <si>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</si>
  <si>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</si>
  <si>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</si>
  <si>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</si>
  <si>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</si>
  <si>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</si>
  <si>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</si>
  <si>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</si>
  <si>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</si>
  <si>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</si>
  <si>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</si>
  <si>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</si>
  <si>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</si>
  <si>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</si>
  <si>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</si>
  <si>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</si>
  <si>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</si>
  <si>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</si>
  <si>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</si>
  <si>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</si>
  <si>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</si>
  <si>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</si>
  <si>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</si>
  <si>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</si>
  <si>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</si>
  <si>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</si>
  <si>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</si>
  <si>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</si>
  <si>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</si>
  <si>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</si>
  <si>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</si>
  <si>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</si>
  <si>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</si>
  <si>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</si>
  <si>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</si>
  <si>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</si>
  <si>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</si>
  <si>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</si>
  <si>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</si>
  <si>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</si>
  <si>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</si>
  <si>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</si>
  <si>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</si>
  <si>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</si>
  <si>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</si>
  <si>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</si>
  <si>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</si>
  <si>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</si>
  <si>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</si>
  <si>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</si>
  <si>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</si>
  <si>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</si>
  <si>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</si>
  <si>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</si>
  <si>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</si>
  <si>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</si>
  <si>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</si>
  <si>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</si>
  <si>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</si>
  <si>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</si>
  <si>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</si>
  <si>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</si>
  <si>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</si>
  <si>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</si>
  <si>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</si>
  <si>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</si>
  <si>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</si>
  <si>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</si>
  <si>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</si>
  <si>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</si>
  <si>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</si>
  <si>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</si>
  <si>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</si>
  <si>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</si>
  <si>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</si>
  <si>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</si>
  <si>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</si>
  <si>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</si>
  <si>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</si>
  <si>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</si>
  <si>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</si>
  <si>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</si>
  <si>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</si>
  <si>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</si>
  <si>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</si>
  <si>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</si>
  <si>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</si>
  <si>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</si>
  <si>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</si>
  <si>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</si>
  <si>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</si>
  <si>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</si>
  <si>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</si>
  <si>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</si>
  <si>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</si>
  <si>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</si>
  <si>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</si>
  <si>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</si>
  <si>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</si>
  <si>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</si>
  <si>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</si>
  <si>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</si>
  <si>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</si>
  <si>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</si>
  <si>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</si>
  <si>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</si>
  <si>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</si>
  <si>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</si>
  <si>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</si>
  <si>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</si>
  <si>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</si>
  <si>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</si>
  <si>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</si>
  <si>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</si>
  <si>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</si>
  <si>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</si>
  <si>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</si>
  <si>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</si>
  <si>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</si>
  <si>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</si>
  <si>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</si>
  <si>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</si>
  <si>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</si>
  <si>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</si>
  <si>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</si>
  <si>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</si>
  <si>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</si>
  <si>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</si>
  <si>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</si>
  <si>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</si>
  <si>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</si>
  <si>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</si>
  <si>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</si>
  <si>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</si>
  <si>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</si>
  <si>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</si>
  <si>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</si>
  <si>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</si>
  <si>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</si>
  <si>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</si>
  <si>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</si>
  <si>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</si>
  <si>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</si>
  <si>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</si>
  <si>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</si>
  <si>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</si>
  <si>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</si>
  <si>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</si>
  <si>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</si>
  <si>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</si>
  <si>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</si>
  <si>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</si>
  <si>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</si>
  <si>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</si>
  <si>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</si>
  <si>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</si>
  <si>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</si>
  <si>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</si>
  <si>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</si>
  <si>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</si>
  <si>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</si>
  <si>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</si>
  <si>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</si>
  <si>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</si>
  <si>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</si>
  <si>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</si>
  <si>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</si>
  <si>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</si>
  <si>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</si>
  <si>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</si>
  <si>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</si>
  <si>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</si>
  <si>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</si>
  <si>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</si>
  <si>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</si>
  <si>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</si>
  <si>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</si>
  <si>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</si>
  <si>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</si>
  <si>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</si>
  <si>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</si>
  <si>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</si>
  <si>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</si>
  <si>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</si>
  <si>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</si>
  <si>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</si>
  <si>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</si>
  <si>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</si>
  <si>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</si>
  <si>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</si>
  <si>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</si>
  <si>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</si>
  <si>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</si>
  <si>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</si>
  <si>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</si>
  <si>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</si>
  <si>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</si>
  <si>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</si>
  <si>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</si>
  <si>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</si>
  <si>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</si>
  <si>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</si>
  <si>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</si>
  <si>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</si>
  <si>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</si>
  <si>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</si>
  <si>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</si>
  <si>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</si>
  <si>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</si>
  <si>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</si>
  <si>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</si>
  <si>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</si>
  <si>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</si>
  <si>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</si>
  <si>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</si>
  <si>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</si>
  <si>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</si>
  <si>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</si>
  <si>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</si>
  <si>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</si>
  <si>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</si>
  <si>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</si>
  <si>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</si>
  <si>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</si>
  <si>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</si>
  <si>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</si>
  <si>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</si>
  <si>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</si>
  <si>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</si>
  <si>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</si>
  <si>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</si>
  <si>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</si>
  <si>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</si>
  <si>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</si>
  <si>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</si>
  <si>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</si>
  <si>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</si>
  <si>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</si>
  <si>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</si>
  <si>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</si>
  <si>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</si>
  <si>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</si>
  <si>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</si>
  <si>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</si>
  <si>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</si>
  <si>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</si>
  <si>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</si>
  <si>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</si>
  <si>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</si>
  <si>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</si>
  <si>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</si>
  <si>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</si>
  <si>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</si>
  <si>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</si>
  <si>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</si>
  <si>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</si>
  <si>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</si>
  <si>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</si>
  <si>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</si>
  <si>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</si>
  <si>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</si>
  <si>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</si>
  <si>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</si>
  <si>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</si>
  <si>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</si>
  <si>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</si>
  <si>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</si>
  <si>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</si>
  <si>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</si>
  <si>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</si>
  <si>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</si>
  <si>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</si>
  <si>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</si>
  <si>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</si>
  <si>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</si>
  <si>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</si>
  <si>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</si>
  <si>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</si>
  <si>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</si>
  <si>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</si>
  <si>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</si>
  <si>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</si>
  <si>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</si>
  <si>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</si>
  <si>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</si>
  <si>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</si>
  <si>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</si>
  <si>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</si>
  <si>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</si>
  <si>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</si>
  <si>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</si>
  <si>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</si>
  <si>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</si>
  <si>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</si>
  <si>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</si>
  <si>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</si>
  <si>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</si>
  <si>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</si>
  <si>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</si>
  <si>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</si>
  <si>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</si>
  <si>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</si>
  <si>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</si>
  <si>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</si>
  <si>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</si>
  <si>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</si>
  <si>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</si>
  <si>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</si>
  <si>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</si>
  <si>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</si>
  <si>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</si>
  <si>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</si>
  <si>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</si>
  <si>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</si>
  <si>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</si>
  <si>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</si>
  <si>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</si>
  <si>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</si>
  <si>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</si>
  <si>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</si>
  <si>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</si>
  <si>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</si>
  <si>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</si>
  <si>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</si>
  <si>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</si>
  <si>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</si>
  <si>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</si>
  <si>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</si>
  <si>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</si>
  <si>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</si>
  <si>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</si>
  <si>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</si>
  <si>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</si>
  <si>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</si>
  <si>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</si>
  <si>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</si>
  <si>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</si>
  <si>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</si>
  <si>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</si>
  <si>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</si>
  <si>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</si>
  <si>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</si>
  <si>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</si>
  <si>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</si>
  <si>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</si>
  <si>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</si>
  <si>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</si>
  <si>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</si>
  <si>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</si>
  <si>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</si>
  <si>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</si>
  <si>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</si>
  <si>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</si>
  <si>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</si>
  <si>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</si>
  <si>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</si>
  <si>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</si>
  <si>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</si>
  <si>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</si>
  <si>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</si>
  <si>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</si>
  <si>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</si>
  <si>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</si>
  <si>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</si>
  <si>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</si>
  <si>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</si>
  <si>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</si>
  <si>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</si>
  <si>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</si>
  <si>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</si>
  <si>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</si>
  <si>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</si>
  <si>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</si>
  <si>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</si>
  <si>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</si>
  <si>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</si>
  <si>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</si>
  <si>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</si>
  <si>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</si>
  <si>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</si>
  <si>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</si>
  <si>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</si>
  <si>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</si>
  <si>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</si>
  <si>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</si>
  <si>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</si>
  <si>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</si>
  <si>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</si>
  <si>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</si>
  <si>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</si>
  <si>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</si>
  <si>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</si>
  <si>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</si>
  <si>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</si>
  <si>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</si>
  <si>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</si>
  <si>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</si>
  <si>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</si>
  <si>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</si>
  <si>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</si>
  <si>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</si>
  <si>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</si>
  <si>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</si>
  <si>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</si>
  <si>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</si>
  <si>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</si>
  <si>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</si>
  <si>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</si>
  <si>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</si>
  <si>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</si>
  <si>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</si>
  <si>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</si>
  <si>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</si>
  <si>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</si>
  <si>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</si>
  <si>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</si>
  <si>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</si>
  <si>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</si>
  <si>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</si>
  <si>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</si>
  <si>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</si>
  <si>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</si>
  <si>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</si>
  <si>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</si>
  <si>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</si>
  <si>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</si>
  <si>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</si>
  <si>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</si>
  <si>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</si>
  <si>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</si>
  <si>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</si>
  <si>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</si>
  <si>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</si>
  <si>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</si>
  <si>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</si>
  <si>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</si>
  <si>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</si>
  <si>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</si>
  <si>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</si>
  <si>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</si>
  <si>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</si>
  <si>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</si>
  <si>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</si>
  <si>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</si>
  <si>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</si>
  <si>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</si>
  <si>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</si>
  <si>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</si>
  <si>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</si>
  <si>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</si>
  <si>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</si>
  <si>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</si>
  <si>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</si>
  <si>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</si>
  <si>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</si>
  <si>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</si>
  <si>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</si>
  <si>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</si>
  <si>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</si>
  <si>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</si>
  <si>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</si>
  <si>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</si>
  <si>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</si>
  <si>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</si>
  <si>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</si>
  <si>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</si>
  <si>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</si>
  <si>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</si>
  <si>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</si>
  <si>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</si>
  <si>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</si>
  <si>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</si>
  <si>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</si>
  <si>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</si>
  <si>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</si>
  <si>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</si>
  <si>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</si>
  <si>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</si>
  <si>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</si>
  <si>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</si>
  <si>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</si>
  <si>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</si>
  <si>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</si>
  <si>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</si>
  <si>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</si>
  <si>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</si>
  <si>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</si>
  <si>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</si>
  <si>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</si>
  <si>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</si>
  <si>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</si>
  <si>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</si>
  <si>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</si>
  <si>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</si>
  <si>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</si>
  <si>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</si>
  <si>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</si>
  <si>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</si>
  <si>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</si>
  <si>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</si>
  <si>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</si>
  <si>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</si>
  <si>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</si>
  <si>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</si>
  <si>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</si>
  <si>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</si>
  <si>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</si>
  <si>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</si>
  <si>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</si>
  <si>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</si>
  <si>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</si>
  <si>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</si>
  <si>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</si>
  <si>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</si>
  <si>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</si>
  <si>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</si>
  <si>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</si>
  <si>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</si>
  <si>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</si>
  <si>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</si>
  <si>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</si>
  <si>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</si>
  <si>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</si>
  <si>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</si>
  <si>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</si>
  <si>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</si>
  <si>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</si>
  <si>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</si>
  <si>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</si>
  <si>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</si>
  <si>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</si>
  <si>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</si>
  <si>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</si>
  <si>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</si>
  <si>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</si>
  <si>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</si>
  <si>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</si>
  <si>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</si>
  <si>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</si>
  <si>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</si>
  <si>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</si>
  <si>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</si>
  <si>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</si>
  <si>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</si>
  <si>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</si>
  <si>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</si>
  <si>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</si>
  <si>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</si>
  <si>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</si>
  <si>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</si>
  <si>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</si>
  <si>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</si>
  <si>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</si>
  <si>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</si>
  <si>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</si>
  <si>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</si>
  <si>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</si>
  <si>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</si>
  <si>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</si>
  <si>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</si>
  <si>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</si>
  <si>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</si>
  <si>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</si>
  <si>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</si>
  <si>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</si>
  <si>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</si>
  <si>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</si>
  <si>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</si>
  <si>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</si>
  <si>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</si>
  <si>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</si>
  <si>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</si>
  <si>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</si>
  <si>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</si>
  <si>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</si>
  <si>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</si>
  <si>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</si>
  <si>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</si>
  <si>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</si>
  <si>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</si>
  <si>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</si>
  <si>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</si>
  <si>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</si>
  <si>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</si>
  <si>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</si>
  <si>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</si>
  <si>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</si>
  <si>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</si>
  <si>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</si>
  <si>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</si>
  <si>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</si>
  <si>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</si>
  <si>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</si>
  <si>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</si>
  <si>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</si>
  <si>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</si>
  <si>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</si>
  <si>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</si>
  <si>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</si>
  <si>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</si>
  <si>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</si>
  <si>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</si>
  <si>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</si>
  <si>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</si>
  <si>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</si>
  <si>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</si>
  <si>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</si>
  <si>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</si>
  <si>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</si>
  <si>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</si>
  <si>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</si>
  <si>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</si>
  <si>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</si>
  <si>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</si>
  <si>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</si>
  <si>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</si>
  <si>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</si>
  <si>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</si>
  <si>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</si>
  <si>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</si>
  <si>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</si>
  <si>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</si>
  <si>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</si>
  <si>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</si>
  <si>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</si>
  <si>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</si>
  <si>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</si>
  <si>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</si>
  <si>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</si>
  <si>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</si>
  <si>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</si>
  <si>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</si>
  <si>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</si>
  <si>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</si>
  <si>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</si>
  <si>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</si>
  <si>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</si>
  <si>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</si>
  <si>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</si>
  <si>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</si>
  <si>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</si>
  <si>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</si>
  <si>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</si>
  <si>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</si>
  <si>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</si>
  <si>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</si>
  <si>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</si>
  <si>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</si>
  <si>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</si>
  <si>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</si>
  <si>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</si>
  <si>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</si>
  <si>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</si>
  <si>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</si>
  <si>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</si>
  <si>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</si>
  <si>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</si>
  <si>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</si>
  <si>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</si>
  <si>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</si>
  <si>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</si>
  <si>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</si>
  <si>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</si>
  <si>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</si>
  <si>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</si>
  <si>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</si>
  <si>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</si>
  <si>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</si>
  <si>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</si>
  <si>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</si>
  <si>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</si>
  <si>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</si>
  <si>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</si>
  <si>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</si>
  <si>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</si>
  <si>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</si>
  <si>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</si>
  <si>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</si>
  <si>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</si>
  <si>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</si>
  <si>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</si>
  <si>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</si>
  <si>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</si>
  <si>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</si>
  <si>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</si>
  <si>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</si>
  <si>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</si>
  <si>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</si>
  <si>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</si>
  <si>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</si>
  <si>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</si>
  <si>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</si>
  <si>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</si>
  <si>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</si>
  <si>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</si>
  <si>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</si>
  <si>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</si>
  <si>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</si>
  <si>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</si>
  <si>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</si>
  <si>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</si>
  <si>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</si>
  <si>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</si>
  <si>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</si>
  <si>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</si>
  <si>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</si>
  <si>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</si>
  <si>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</si>
  <si>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</si>
  <si>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</si>
  <si>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</si>
  <si>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</si>
  <si>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</si>
  <si>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</si>
  <si>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</si>
  <si>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</si>
  <si>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</si>
  <si>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</si>
  <si>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</si>
  <si>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</si>
  <si>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</si>
  <si>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</si>
  <si>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</si>
  <si>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</si>
  <si>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</si>
  <si>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</si>
  <si>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</si>
  <si>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</si>
  <si>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</si>
  <si>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</si>
  <si>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</si>
  <si>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</si>
  <si>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</si>
  <si>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</si>
  <si>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</si>
  <si>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</si>
  <si>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</si>
  <si>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</si>
  <si>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</si>
  <si>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</si>
  <si>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</si>
  <si>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</si>
  <si>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</si>
  <si>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</si>
  <si>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</si>
  <si>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</si>
  <si>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</si>
  <si>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</si>
  <si>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</si>
  <si>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</si>
  <si>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</si>
  <si>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</si>
  <si>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</si>
  <si>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</si>
  <si>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</si>
  <si>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</si>
  <si>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</si>
  <si>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</si>
  <si>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</si>
  <si>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</si>
  <si>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</si>
  <si>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</si>
  <si>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</si>
  <si>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</si>
  <si>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</si>
  <si>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</si>
  <si>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</si>
  <si>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</si>
  <si>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</si>
  <si>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</si>
  <si>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</si>
  <si>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</si>
  <si>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</si>
  <si>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</si>
  <si>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</si>
  <si>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</si>
  <si>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</si>
  <si>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</si>
  <si>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</si>
  <si>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</si>
  <si>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</si>
  <si>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</si>
  <si>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</si>
  <si>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</si>
  <si>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</si>
  <si>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</si>
  <si>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</si>
  <si>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</si>
  <si>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</si>
  <si>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</si>
  <si>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</si>
  <si>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</si>
  <si>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</si>
  <si>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</si>
  <si>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</si>
  <si>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</si>
  <si>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</si>
  <si>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</si>
  <si>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</si>
  <si>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</si>
  <si>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</si>
  <si>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</si>
  <si>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</si>
  <si>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</si>
  <si>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</si>
  <si>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</si>
  <si>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</si>
  <si>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</si>
  <si>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</si>
  <si>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</si>
  <si>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</si>
  <si>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</si>
  <si>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</si>
  <si>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</si>
  <si>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</si>
  <si>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</si>
  <si>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</si>
  <si>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</si>
  <si>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</si>
  <si>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</si>
  <si>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</si>
  <si>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</si>
  <si>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</si>
  <si>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</si>
  <si>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</si>
  <si>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</si>
  <si>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</si>
  <si>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</si>
  <si>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</si>
  <si>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</si>
  <si>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</si>
  <si>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</si>
  <si>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</si>
  <si>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</si>
  <si>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</si>
  <si>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</si>
  <si>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</si>
  <si>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</si>
  <si>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</si>
  <si>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</si>
  <si>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</si>
  <si>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</si>
  <si>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</si>
  <si>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</si>
  <si>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</si>
  <si>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</si>
  <si>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</si>
  <si>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</si>
  <si>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</si>
  <si>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</si>
  <si>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</si>
  <si>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</si>
  <si>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</si>
  <si>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</si>
  <si>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</si>
  <si>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</si>
  <si>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</si>
  <si>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</si>
  <si>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</si>
  <si>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</si>
  <si>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</si>
  <si>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</si>
  <si>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</si>
  <si>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</si>
  <si>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</si>
  <si>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</si>
  <si>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</si>
  <si>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</si>
  <si>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</si>
  <si>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</si>
  <si>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</si>
  <si>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</si>
  <si>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</si>
  <si>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</si>
  <si>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</si>
  <si>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</si>
  <si>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</si>
  <si>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</si>
  <si>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</si>
  <si>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</si>
  <si>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</si>
  <si>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</si>
  <si>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</si>
  <si>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</si>
  <si>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</si>
  <si>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</si>
  <si>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</si>
  <si>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</si>
  <si>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</si>
  <si>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</si>
  <si>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</si>
  <si>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</si>
  <si>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</si>
  <si>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</si>
  <si>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</si>
  <si>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</si>
  <si>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</si>
  <si>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</si>
  <si>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</si>
  <si>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</si>
  <si>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</si>
  <si>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</si>
  <si>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</si>
  <si>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</si>
  <si>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</si>
  <si>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</si>
  <si>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</si>
  <si>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</si>
  <si>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</si>
  <si>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</si>
  <si>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</si>
  <si>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</si>
  <si>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</si>
  <si>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</si>
  <si>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</si>
  <si>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</si>
  <si>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</si>
  <si>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</si>
  <si>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</si>
  <si>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</si>
  <si>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</si>
  <si>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</si>
  <si>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</si>
  <si>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</si>
  <si>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</si>
  <si>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</si>
  <si>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</si>
  <si>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</si>
  <si>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</si>
  <si>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</si>
  <si>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</si>
  <si>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</si>
  <si>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</si>
  <si>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</si>
  <si>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</si>
  <si>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</si>
  <si>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</si>
  <si>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</si>
  <si>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</si>
  <si>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</si>
  <si>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</si>
  <si>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</si>
  <si>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</si>
  <si>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</si>
  <si>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</si>
  <si>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</si>
  <si>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</si>
  <si>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</si>
  <si>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</si>
  <si>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</si>
  <si>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</si>
  <si>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</si>
  <si>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</si>
  <si>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</si>
  <si>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</si>
  <si>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</si>
  <si>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</si>
  <si>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</si>
  <si>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</si>
  <si>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</si>
  <si>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</si>
  <si>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</si>
  <si>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</si>
  <si>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</si>
  <si>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</si>
  <si>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</si>
  <si>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</si>
  <si>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</si>
  <si>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</si>
  <si>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</si>
  <si>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</si>
  <si>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</si>
  <si>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</si>
  <si>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</si>
  <si>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</si>
  <si>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</si>
  <si>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</si>
  <si>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</si>
  <si>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</si>
  <si>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</si>
  <si>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</si>
  <si>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</si>
  <si>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</si>
  <si>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</si>
  <si>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</si>
  <si>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</si>
  <si>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</si>
  <si>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</si>
  <si>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</si>
  <si>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</si>
  <si>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</si>
  <si>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</si>
  <si>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</si>
  <si>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</si>
  <si>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</si>
  <si>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</si>
  <si>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</si>
  <si>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</si>
  <si>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</si>
  <si>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</si>
  <si>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</si>
  <si>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</si>
  <si>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</si>
  <si>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</si>
  <si>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</si>
  <si>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</si>
  <si>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</si>
  <si>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</si>
  <si>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</si>
  <si>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</si>
  <si>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</si>
  <si>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</si>
  <si>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</si>
  <si>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</si>
  <si>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</si>
  <si>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</si>
  <si>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</si>
  <si>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</si>
  <si>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</si>
  <si>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</si>
  <si>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</si>
  <si>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</si>
  <si>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</si>
  <si>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</si>
  <si>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</si>
  <si>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</si>
  <si>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</si>
  <si>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</si>
  <si>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</si>
  <si>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</si>
  <si>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</si>
  <si>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</si>
  <si>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</si>
  <si>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</si>
  <si>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</si>
  <si>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</si>
  <si>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</si>
  <si>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</si>
  <si>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</si>
  <si>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</si>
  <si>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</si>
  <si>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</si>
  <si>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</si>
  <si>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</si>
  <si>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</si>
  <si>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</si>
  <si>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</si>
  <si>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</si>
  <si>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</si>
  <si>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</si>
  <si>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</si>
  <si>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</si>
  <si>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</si>
  <si>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</si>
  <si>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</si>
  <si>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</si>
  <si>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</si>
  <si>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</si>
  <si>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</si>
  <si>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</si>
  <si>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</si>
  <si>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</si>
  <si>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</si>
  <si>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</si>
  <si>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</si>
  <si>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</si>
  <si>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</si>
  <si>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</si>
  <si>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</si>
  <si>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</si>
  <si>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</si>
  <si>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</si>
  <si>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</si>
  <si>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</si>
  <si>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</si>
  <si>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</si>
  <si>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</si>
  <si>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</si>
  <si>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</si>
  <si>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</si>
  <si>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</si>
  <si>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</si>
  <si>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</si>
  <si>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</si>
  <si>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</si>
  <si>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</si>
  <si>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</si>
  <si>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</si>
  <si>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</si>
  <si>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</si>
  <si>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</si>
  <si>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</si>
  <si>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</si>
  <si>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</si>
  <si>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</si>
  <si>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</si>
  <si>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</si>
  <si>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</si>
  <si>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</si>
  <si>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</si>
  <si>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</si>
  <si>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</si>
  <si>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</si>
  <si>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</si>
  <si>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</si>
  <si>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</si>
  <si>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</si>
  <si>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</si>
  <si>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</si>
  <si>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</si>
  <si>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</si>
  <si>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</si>
  <si>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</si>
  <si>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</si>
  <si>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</si>
  <si>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</si>
  <si>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</si>
  <si>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</si>
  <si>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</si>
  <si>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</si>
  <si>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</si>
  <si>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</si>
  <si>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</si>
  <si>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</si>
  <si>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</si>
  <si>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</si>
  <si>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</si>
  <si>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</si>
  <si>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</si>
  <si>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</si>
  <si>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</si>
  <si>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</si>
  <si>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</si>
  <si>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</si>
  <si>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</si>
  <si>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</si>
  <si>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</si>
  <si>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</si>
  <si>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</si>
  <si>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</si>
  <si>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</si>
  <si>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</si>
  <si>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</si>
  <si>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</si>
  <si>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</si>
  <si>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</si>
  <si>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</si>
  <si>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</si>
  <si>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</si>
  <si>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</si>
  <si>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</si>
  <si>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</si>
  <si>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</si>
  <si>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</si>
  <si>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</si>
  <si>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</si>
  <si>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</si>
  <si>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</si>
  <si>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</si>
  <si>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</si>
  <si>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</si>
  <si>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</si>
  <si>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</si>
  <si>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</si>
  <si>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</si>
  <si>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</si>
  <si>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</si>
  <si>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</si>
  <si>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</si>
  <si>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</si>
  <si>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</si>
  <si>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</si>
  <si>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</si>
  <si>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</si>
  <si>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</si>
  <si>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</si>
  <si>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</si>
  <si>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</si>
  <si>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</si>
  <si>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</si>
  <si>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</si>
  <si>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</si>
  <si>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</si>
  <si>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</si>
  <si>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</si>
  <si>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</si>
  <si>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</si>
  <si>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</si>
  <si>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</si>
  <si>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</si>
  <si>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</si>
  <si>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</si>
  <si>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</si>
  <si>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</si>
  <si>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</si>
  <si>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</si>
  <si>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</si>
  <si>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</si>
  <si>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</si>
  <si>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</si>
  <si>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</si>
  <si>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</si>
  <si>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</si>
  <si>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</si>
  <si>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</si>
  <si>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</si>
  <si>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</si>
  <si>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</si>
  <si>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</si>
  <si>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</si>
  <si>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</si>
  <si>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</si>
  <si>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</si>
  <si>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</si>
  <si>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</si>
  <si>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</si>
  <si>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</si>
  <si>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</si>
  <si>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</si>
  <si>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</si>
  <si>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</si>
  <si>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</si>
  <si>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</si>
  <si>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</si>
  <si>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</si>
  <si>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</si>
  <si>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</si>
  <si>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</si>
  <si>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</si>
  <si>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</si>
  <si>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</si>
  <si>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</si>
  <si>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</si>
  <si>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</si>
  <si>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</si>
  <si>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</si>
  <si>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</si>
  <si>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</si>
  <si>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</si>
  <si>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</si>
  <si>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</si>
  <si>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</si>
  <si>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</si>
  <si>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</si>
  <si>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</si>
  <si>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</si>
  <si>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</si>
  <si>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</si>
  <si>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</si>
  <si>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</si>
  <si>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</si>
  <si>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</si>
  <si>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</si>
  <si>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</si>
  <si>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</si>
  <si>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</si>
  <si>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</si>
  <si>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</si>
  <si>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</si>
  <si>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</si>
  <si>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</si>
  <si>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</si>
  <si>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</si>
  <si>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</si>
  <si>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</si>
  <si>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</si>
  <si>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</si>
  <si>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</si>
  <si>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</si>
  <si>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</si>
  <si>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</si>
  <si>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</si>
  <si>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</si>
  <si>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</si>
  <si>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</si>
  <si>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</si>
  <si>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</si>
  <si>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</si>
  <si>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</si>
  <si>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</si>
  <si>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</si>
  <si>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</si>
  <si>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</si>
  <si>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</si>
  <si>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</si>
  <si>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</si>
  <si>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</si>
  <si>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</si>
  <si>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</si>
  <si>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</si>
  <si>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</si>
  <si>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</si>
  <si>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</si>
  <si>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</si>
  <si>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</si>
  <si>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</si>
  <si>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</si>
  <si>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</si>
  <si>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</si>
  <si>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</si>
  <si>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</si>
  <si>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</si>
  <si>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</si>
  <si>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</si>
  <si>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</si>
  <si>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</si>
  <si>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</si>
  <si>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</si>
  <si>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</si>
  <si>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</si>
  <si>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</si>
  <si>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</si>
  <si>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</si>
  <si>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</si>
  <si>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</si>
  <si>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</si>
  <si>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</si>
  <si>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</si>
  <si>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</si>
  <si>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</si>
  <si>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</si>
  <si>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</si>
  <si>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</si>
  <si>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</si>
  <si>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</si>
  <si>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</si>
  <si>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</si>
  <si>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</si>
  <si>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</si>
  <si>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</si>
  <si>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</si>
  <si>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</si>
  <si>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</si>
  <si>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</si>
  <si>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</si>
  <si>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</si>
  <si>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</si>
  <si>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</si>
  <si>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</si>
  <si>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</si>
  <si>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</si>
  <si>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</si>
  <si>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</si>
  <si>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</si>
  <si>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</si>
  <si>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</si>
  <si>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</si>
  <si>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</si>
  <si>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</si>
  <si>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</si>
  <si>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</si>
  <si>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</si>
  <si>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</si>
  <si>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</si>
  <si>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</si>
  <si>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</si>
  <si>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</si>
  <si>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</si>
  <si>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</si>
  <si>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</si>
  <si>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</si>
  <si>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</si>
  <si>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</si>
  <si>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</si>
  <si>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</si>
  <si>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</si>
  <si>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</si>
  <si>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</si>
  <si>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</si>
  <si>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</si>
  <si>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</si>
  <si>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</si>
  <si>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</si>
  <si>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</si>
  <si>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</si>
  <si>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</si>
  <si>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</si>
  <si>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</si>
  <si>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</si>
  <si>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</si>
  <si>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</si>
  <si>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</si>
  <si>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</si>
  <si>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</si>
  <si>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</si>
  <si>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</si>
  <si>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</si>
  <si>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</si>
  <si>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</si>
  <si>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</si>
  <si>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</si>
  <si>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</si>
  <si>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</si>
  <si>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</si>
  <si>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</si>
  <si>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</si>
  <si>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</si>
  <si>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</si>
  <si>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</si>
  <si>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</si>
  <si>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</si>
  <si>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</si>
  <si>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</si>
  <si>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</si>
  <si>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</si>
  <si>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</si>
  <si>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</si>
  <si>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</si>
  <si>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</si>
  <si>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</si>
  <si>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</si>
  <si>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</si>
  <si>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</si>
  <si>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</si>
  <si>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</si>
  <si>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</si>
  <si>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</si>
  <si>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</si>
  <si>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</si>
  <si>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</si>
  <si>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</si>
  <si>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</si>
  <si>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</si>
  <si>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</si>
  <si>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</si>
  <si>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</si>
  <si>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</si>
  <si>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</si>
  <si>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</si>
  <si>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</si>
  <si>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</si>
  <si>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</si>
  <si>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</si>
  <si>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</si>
  <si>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</si>
  <si>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</si>
  <si>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</si>
  <si>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</si>
  <si>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</si>
  <si>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</si>
  <si>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</si>
  <si>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</si>
  <si>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</si>
  <si>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</si>
  <si>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</si>
  <si>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</si>
  <si>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</si>
  <si>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</si>
  <si>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</si>
  <si>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</si>
  <si>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</si>
  <si>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</si>
  <si>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</si>
  <si>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</si>
  <si>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</si>
  <si>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</si>
  <si>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</si>
  <si>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</si>
  <si>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</si>
  <si>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</si>
  <si>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</si>
  <si>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</si>
  <si>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</si>
  <si>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</si>
  <si>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</si>
  <si>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</si>
  <si>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</si>
  <si>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</si>
  <si>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</si>
  <si>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</si>
  <si>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</si>
  <si>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</si>
  <si>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</si>
  <si>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</si>
  <si>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</si>
  <si>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</si>
  <si>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</si>
  <si>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</si>
  <si>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</si>
  <si>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</si>
  <si>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</si>
  <si>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</si>
  <si>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</si>
  <si>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</si>
  <si>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</si>
  <si>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</si>
  <si>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</si>
  <si>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</si>
  <si>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</si>
  <si>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</si>
  <si>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</si>
  <si>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</si>
  <si>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</si>
  <si>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</si>
  <si>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</si>
  <si>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</si>
  <si>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</si>
  <si>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</si>
  <si>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</si>
  <si>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</si>
  <si>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</si>
  <si>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</si>
  <si>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</si>
  <si>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</si>
  <si>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</si>
  <si>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</si>
  <si>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</si>
  <si>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</si>
  <si>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</si>
  <si>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</si>
  <si>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</si>
  <si>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</si>
  <si>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</si>
  <si>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</si>
  <si>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</si>
  <si>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</si>
  <si>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</si>
  <si>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</si>
  <si>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</si>
  <si>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</si>
  <si>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</si>
  <si>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</si>
  <si>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</si>
  <si>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</si>
  <si>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</si>
  <si>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</si>
  <si>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</si>
  <si>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</si>
  <si>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</si>
  <si>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</si>
  <si>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</si>
  <si>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</si>
  <si>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</si>
  <si>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</si>
  <si>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</si>
  <si>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</si>
  <si>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</si>
  <si>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</si>
  <si>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</si>
  <si>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</si>
  <si>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</si>
  <si>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</si>
  <si>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</si>
  <si>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</si>
  <si>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</si>
  <si>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</si>
  <si>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</si>
  <si>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</si>
  <si>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</si>
  <si>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</si>
  <si>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</si>
  <si>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</si>
  <si>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</si>
  <si>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</si>
  <si>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</si>
  <si>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</si>
  <si>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</si>
  <si>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</si>
  <si>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</si>
  <si>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</si>
  <si>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</si>
  <si>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</si>
  <si>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</si>
  <si>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</si>
  <si>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</si>
  <si>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</si>
  <si>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</si>
  <si>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</si>
  <si>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</si>
  <si>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</si>
  <si>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</si>
  <si>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</si>
  <si>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</si>
  <si>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</si>
  <si>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</si>
  <si>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</si>
  <si>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</si>
  <si>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</si>
  <si>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</si>
  <si>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</si>
  <si>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</si>
  <si>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</si>
  <si>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</si>
  <si>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</si>
  <si>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</si>
  <si>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</si>
  <si>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</si>
  <si>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</si>
  <si>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</si>
  <si>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</si>
  <si>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</si>
  <si>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</si>
  <si>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</si>
  <si>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</si>
  <si>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</si>
  <si>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</si>
  <si>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</si>
  <si>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</si>
  <si>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</si>
  <si>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</si>
  <si>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</si>
  <si>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</si>
  <si>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</si>
  <si>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</si>
  <si>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</si>
  <si>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</si>
  <si>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</si>
  <si>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</si>
  <si>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</si>
  <si>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</si>
  <si>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</si>
  <si>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</si>
  <si>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</si>
  <si>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</si>
  <si>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</si>
  <si>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</si>
  <si>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</si>
  <si>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</si>
  <si>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</si>
  <si>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</si>
  <si>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</si>
  <si>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</si>
  <si>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</si>
  <si>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</si>
  <si>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</si>
  <si>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</si>
  <si>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</si>
  <si>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</si>
  <si>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</si>
  <si>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</si>
  <si>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</si>
  <si>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</si>
  <si>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</si>
  <si>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</si>
  <si>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</si>
  <si>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</si>
  <si>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</si>
  <si>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</si>
  <si>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</si>
  <si>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</si>
  <si>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</si>
  <si>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</si>
  <si>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</si>
  <si>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</si>
  <si>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</si>
  <si>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</si>
  <si>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</si>
  <si>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</si>
  <si>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</si>
  <si>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</si>
  <si>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</si>
  <si>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</si>
  <si>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</si>
  <si>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</si>
  <si>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</si>
  <si>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</si>
  <si>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</si>
  <si>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</si>
  <si>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</si>
  <si>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</si>
  <si>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</si>
  <si>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</si>
  <si>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</si>
  <si>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</si>
  <si>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</si>
  <si>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</si>
  <si>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</si>
  <si>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</si>
  <si>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</si>
  <si>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</si>
  <si>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</si>
  <si>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</si>
  <si>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</si>
  <si>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</si>
  <si>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</si>
  <si>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</si>
  <si>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</si>
  <si>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</si>
  <si>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</si>
  <si>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</si>
  <si>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</si>
  <si>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</si>
  <si>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</si>
  <si>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</si>
  <si>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</si>
  <si>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</si>
  <si>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</si>
  <si>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</si>
  <si>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</si>
  <si>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</si>
  <si>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</si>
  <si>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</si>
  <si>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</si>
  <si>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</si>
  <si>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</si>
  <si>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</si>
  <si>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</si>
  <si>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</si>
  <si>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</si>
  <si>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</si>
  <si>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</si>
  <si>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</si>
  <si>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</si>
  <si>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</si>
  <si>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</si>
  <si>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</si>
  <si>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</si>
  <si>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</si>
  <si>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</si>
  <si>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</si>
  <si>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</si>
  <si>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</si>
  <si>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</si>
  <si>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</si>
  <si>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</si>
  <si>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</si>
  <si>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</si>
  <si>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</si>
  <si>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</si>
  <si>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</si>
  <si>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</si>
  <si>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</si>
  <si>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</si>
  <si>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</si>
  <si>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</si>
  <si>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</si>
  <si>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</si>
  <si>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</si>
  <si>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</si>
  <si>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</si>
  <si>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</si>
  <si>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</si>
  <si>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</si>
  <si>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</si>
  <si>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</si>
  <si>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</si>
  <si>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</si>
  <si>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</si>
  <si>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</si>
  <si>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</si>
  <si>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</si>
  <si>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</si>
  <si>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</si>
  <si>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</si>
  <si>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</si>
  <si>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</si>
  <si>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</si>
  <si>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</si>
  <si>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</si>
  <si>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</si>
  <si>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</si>
  <si>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</si>
  <si>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</si>
  <si>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</si>
  <si>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</si>
  <si>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</si>
  <si>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</si>
  <si>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</si>
  <si>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</si>
  <si>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</si>
  <si>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</si>
  <si>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</si>
  <si>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</si>
  <si>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</si>
  <si>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</si>
  <si>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</si>
  <si>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</si>
  <si>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</si>
  <si>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</si>
  <si>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</si>
  <si>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</si>
  <si>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</si>
  <si>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</si>
  <si>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</si>
  <si>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</si>
  <si>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</si>
  <si>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</si>
  <si>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</si>
  <si>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</si>
  <si>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</si>
  <si>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</si>
  <si>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</si>
  <si>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</si>
  <si>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</si>
  <si>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</si>
  <si>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</si>
  <si>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</si>
  <si>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</si>
  <si>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</si>
  <si>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</si>
  <si>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</si>
  <si>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</si>
  <si>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</si>
  <si>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</si>
  <si>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</si>
  <si>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</si>
  <si>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</si>
  <si>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</si>
  <si>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</si>
  <si>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</si>
  <si>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</si>
  <si>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</si>
  <si>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</si>
  <si>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</si>
  <si>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</si>
  <si>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</si>
  <si>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</si>
  <si>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</si>
  <si>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</si>
  <si>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</si>
  <si>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</si>
  <si>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</si>
  <si>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</si>
  <si>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</si>
  <si>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</si>
  <si>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</si>
  <si>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</si>
  <si>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</si>
  <si>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</si>
  <si>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</si>
  <si>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</si>
  <si>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</si>
  <si>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</si>
  <si>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</si>
  <si>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</si>
  <si>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</si>
  <si>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</si>
  <si>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</si>
  <si>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</si>
  <si>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</si>
  <si>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</si>
  <si>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</si>
  <si>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</si>
  <si>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</si>
  <si>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</si>
  <si>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</si>
  <si>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</si>
  <si>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</si>
  <si>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</si>
  <si>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</si>
  <si>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</si>
  <si>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</si>
  <si>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</si>
  <si>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</si>
  <si>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</si>
  <si>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</si>
  <si>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</si>
  <si>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</si>
  <si>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</si>
  <si>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</si>
  <si>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</si>
  <si>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</si>
  <si>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</si>
  <si>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</si>
  <si>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</si>
  <si>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</si>
  <si>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</si>
  <si>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</si>
  <si>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</si>
  <si>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</si>
  <si>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</si>
  <si>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</si>
  <si>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</si>
  <si>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</si>
  <si>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</si>
  <si>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</si>
  <si>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</si>
  <si>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</si>
  <si>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</si>
  <si>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</si>
  <si>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</si>
  <si>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</si>
  <si>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</si>
  <si>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</si>
  <si>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</si>
  <si>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</si>
  <si>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</si>
  <si>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</si>
  <si>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</si>
  <si>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</si>
  <si>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</si>
  <si>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</si>
  <si>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</si>
  <si>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</si>
  <si>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</si>
  <si>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</si>
  <si>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</si>
  <si>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</si>
  <si>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</si>
  <si>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</si>
  <si>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</si>
  <si>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</si>
  <si>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</si>
  <si>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</si>
  <si>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</si>
  <si>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</si>
  <si>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</si>
  <si>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</si>
  <si>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</si>
  <si>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</si>
  <si>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</si>
  <si>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</si>
  <si>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</si>
  <si>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</si>
  <si>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</si>
  <si>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</si>
  <si>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</si>
  <si>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</si>
  <si>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</si>
  <si>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</si>
  <si>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</si>
  <si>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</si>
  <si>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</si>
  <si>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</si>
  <si>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</si>
  <si>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</si>
  <si>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</si>
  <si>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</si>
  <si>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</si>
  <si>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</si>
  <si>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</si>
  <si>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</si>
  <si>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</si>
  <si>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</si>
  <si>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</si>
  <si>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</si>
  <si>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</si>
  <si>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</si>
  <si>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</si>
  <si>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</si>
  <si>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</si>
  <si>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</si>
  <si>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</si>
  <si>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</si>
  <si>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</si>
  <si>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</si>
  <si>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</si>
  <si>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11.500 LOT DESIGN, PREPERATION AND DEVELOPMENT</t>
  </si>
  <si>
    <t>500.0</t>
  </si>
  <si>
    <t>11.500.0</t>
  </si>
  <si>
    <r>
      <t>11.500.0 Intent</t>
    </r>
    <r>
      <rPr>
        <sz val="10"/>
        <color theme="1"/>
        <rFont val="Calibri"/>
        <family val="2"/>
        <scheme val="minor"/>
      </rPr>
      <t>. This section applies to the lot and changes to the lot due to remodeling of an existing building.</t>
    </r>
  </si>
  <si>
    <t>501</t>
  </si>
  <si>
    <t>11.501 LOT SELECTION</t>
  </si>
  <si>
    <t>501.2</t>
  </si>
  <si>
    <t>11.501.2</t>
  </si>
  <si>
    <r>
      <t>11.501.2 Multi-modal transportation.</t>
    </r>
    <r>
      <rPr>
        <sz val="10"/>
        <color theme="1"/>
        <rFont val="Calibri"/>
        <family val="2"/>
        <scheme val="minor"/>
      </rPr>
      <t xml:space="preserve"> A range of multi-modal transportation choices are promoted by one or more of the following:</t>
    </r>
  </si>
  <si>
    <t>(1)</t>
  </si>
  <si>
    <t>The building is located within one-half mile (805 m) of pedestrian access to a mass transit system.</t>
  </si>
  <si>
    <t>(2)</t>
  </si>
  <si>
    <t>The building is located within five miles (8,046 m) of a mass transit station with provisions for parking.</t>
  </si>
  <si>
    <t>(3)</t>
  </si>
  <si>
    <t>The building is located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</si>
  <si>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</si>
  <si>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</si>
  <si>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</si>
  <si>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</si>
  <si>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</si>
  <si>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(4)</t>
  </si>
  <si>
    <t>The building is on a lot located within a community that has rights-of-way specifically dedicated to bicycle use in the form of paved paths or bicycle lanes, or is on an infill lot located within 1/2 mile of a bicycle lane designated by the jurisdiction.</t>
  </si>
  <si>
    <t>(5)</t>
  </si>
  <si>
    <t>Dedicated bicycle parking and racks are constructed for mixed-use and multifamily buildings:</t>
  </si>
  <si>
    <t>(a)</t>
  </si>
  <si>
    <t>Minimum of 1 bicycle parking space per 3 residential units</t>
  </si>
  <si>
    <t>(b)</t>
  </si>
  <si>
    <t>Minimum of 1 bicycle parking space per 2 residential units</t>
  </si>
  <si>
    <t>(c)</t>
  </si>
  <si>
    <t>Minimum of 1 bicycle parking space per 1 residential unit.</t>
  </si>
  <si>
    <t>502</t>
  </si>
  <si>
    <t>11.502 PROJECT TEAM, MISSION STATEMENT, AND GOALS</t>
  </si>
  <si>
    <t>502.1</t>
  </si>
  <si>
    <t>11.502.1</t>
  </si>
  <si>
    <r>
      <t>11.502.1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</si>
  <si>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</si>
  <si>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11.503 LOT DESIGN</t>
  </si>
  <si>
    <t>503.0</t>
  </si>
  <si>
    <t>11.503.0</t>
  </si>
  <si>
    <r>
      <t>11.503.0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</si>
  <si>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</si>
  <si>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</si>
  <si>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t>11.503.1</t>
  </si>
  <si>
    <r>
      <t>11.503.1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</si>
  <si>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</si>
  <si>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</si>
  <si>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</si>
  <si>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</si>
  <si>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</si>
  <si>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(6)</t>
  </si>
  <si>
    <t>Ongoing maintenance of vegetation on the lot during construction is in accordance with TCIA A300 or locally accepted best practices.</t>
  </si>
  <si>
    <t>(7)</t>
  </si>
  <si>
    <t>Where a lot adjoins a landscaped common area, a protection plan from the remodeling construction activities next to the common area is implemented.</t>
  </si>
  <si>
    <t>503.2</t>
  </si>
  <si>
    <t>11.503.2</t>
  </si>
  <si>
    <r>
      <t>11.503.2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</si>
  <si>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</si>
  <si>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</si>
  <si>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terrain-adaptive architecture. </t>
  </si>
  <si>
    <t>Hydrological/soil stability study is completed and used to guide the design of any additions to buildings on the lot.</t>
  </si>
  <si>
    <t>All or a percentage of new driveways and parking are aligned with natural topography to reduce cut and fill.</t>
  </si>
  <si>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</si>
  <si>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</si>
  <si>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</si>
  <si>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</si>
  <si>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</si>
  <si>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</si>
  <si>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t>11.503.3</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</si>
  <si>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11.504.3)</t>
    </r>
  </si>
  <si>
    <t>Note: Points must be earned in 11.503.3 in order for points in 11.504.1 to be available</t>
  </si>
  <si>
    <t>Remodeling construction activities are scheduled such that disturbed soil that is to be left unworked for more than 21 days is stabilized within 14 days.</t>
  </si>
  <si>
    <t>The new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</si>
  <si>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</si>
  <si>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</si>
  <si>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</si>
  <si>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</si>
  <si>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</si>
  <si>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new clearing and grading are demarcated on the lot plan.</t>
  </si>
  <si>
    <t>503.4</t>
  </si>
  <si>
    <t>11.503.4</t>
  </si>
  <si>
    <r>
      <t xml:space="preserve">11.503.4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</si>
  <si>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</si>
  <si>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</si>
  <si>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</si>
  <si>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</si>
  <si>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</si>
  <si>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</si>
  <si>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</si>
  <si>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less than 25 percent</t>
  </si>
  <si>
    <t xml:space="preserve">25-50 percent                               </t>
  </si>
  <si>
    <t>Greater than 50 percent</t>
  </si>
  <si>
    <t>503.5</t>
  </si>
  <si>
    <t>11.503.5</t>
  </si>
  <si>
    <r>
      <t>11.503.5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</si>
  <si>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</si>
  <si>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</si>
  <si>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</si>
  <si>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</si>
  <si>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</si>
  <si>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</si>
  <si>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</si>
  <si>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</si>
  <si>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</si>
  <si>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For landscaped vegetated areas, the maximum percentage of all turf areas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</si>
  <si>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</si>
  <si>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</si>
  <si>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</si>
  <si>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</si>
  <si>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</si>
  <si>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</si>
  <si>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</si>
  <si>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</si>
  <si>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</si>
  <si>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community-generated tree trimmings or stump grinding of regionally appropriate trees are used on the site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</si>
  <si>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</si>
  <si>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</si>
  <si>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</si>
  <si>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</si>
  <si>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</si>
  <si>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</si>
  <si>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</si>
  <si>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t>11.503.6</t>
  </si>
  <si>
    <r>
      <t xml:space="preserve">11.503.6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</si>
  <si>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</si>
  <si>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</si>
  <si>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</si>
  <si>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</si>
  <si>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</si>
  <si>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t>11.503.7</t>
  </si>
  <si>
    <r>
      <t xml:space="preserve">11.503.7 Environmentally sensitive areas. </t>
    </r>
    <r>
      <rPr>
        <sz val="10"/>
        <color theme="1"/>
        <rFont val="Calibri"/>
        <family val="2"/>
        <scheme val="minor"/>
      </rPr>
      <t>The lot is in accordance with one or both of the following:</t>
    </r>
  </si>
  <si>
    <t>The lot does not contain any environmentally sensitive areas that are disturbed during remodeling.</t>
  </si>
  <si>
    <t>On lots with environmentally sensitive areas, mitigation and/or restoration is conducted to preserve ecosystem functions lost through remodeling activities.</t>
  </si>
  <si>
    <t>504.0</t>
  </si>
  <si>
    <t>11.504 LOT CONSTRUCTION</t>
  </si>
  <si>
    <t>11.504.0</t>
  </si>
  <si>
    <r>
      <t>11.504.0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</si>
  <si>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</si>
  <si>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t>11.504.1</t>
  </si>
  <si>
    <r>
      <t>11.504.1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11.503.3)</t>
    </r>
  </si>
  <si>
    <t>NOTE: Points must be taken in 11.503.3 to claim points in 11.504.1.</t>
  </si>
  <si>
    <t>504.2</t>
  </si>
  <si>
    <t>11.504.2</t>
  </si>
  <si>
    <r>
      <t>11.504.2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</si>
  <si>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</si>
  <si>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</si>
  <si>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</si>
  <si>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</si>
  <si>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t>11.504.3</t>
  </si>
  <si>
    <r>
      <t>11.504.3 Soil disturbance and erosion implementation.</t>
    </r>
    <r>
      <rPr>
        <sz val="10"/>
        <color theme="1"/>
        <rFont val="Calibri"/>
        <family val="2"/>
        <scheme val="minor"/>
      </rPr>
      <t xml:space="preserve"> On-site soil disturbance and erosion during remodeling are minimized by one or more of the following in accordance with the SWPPP or applicable plan: (also see Section 11.503.3)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</si>
  <si>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</si>
  <si>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</si>
  <si>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</si>
  <si>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</si>
  <si>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</si>
  <si>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</si>
  <si>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</si>
  <si>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Newly installed 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</si>
  <si>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</si>
  <si>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</si>
  <si>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</si>
  <si>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</si>
  <si>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</si>
  <si>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</si>
  <si>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</si>
  <si>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</si>
  <si>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</si>
  <si>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</si>
  <si>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</si>
  <si>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</si>
  <si>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</si>
  <si>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505</t>
  </si>
  <si>
    <t>11.505 INNOVATIVE PRACTICES</t>
  </si>
  <si>
    <t>505.0</t>
  </si>
  <si>
    <t>11.505.0</t>
  </si>
  <si>
    <r>
      <t xml:space="preserve">11.505.0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</si>
  <si>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</si>
  <si>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t>11.505.1</t>
  </si>
  <si>
    <r>
      <t>11.505.1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</si>
  <si>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</si>
  <si>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</si>
  <si>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</si>
  <si>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</si>
  <si>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</si>
  <si>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Water permeable surfaces, including vegetative paving systems, are utilized to reduce the footprint of impervious surface driveways, fire lanes, streets or parking areas.</t>
  </si>
  <si>
    <t>10 percent to less than 25 percent</t>
  </si>
  <si>
    <t>505.2</t>
  </si>
  <si>
    <t xml:space="preserve">11.505.2 </t>
  </si>
  <si>
    <r>
      <t>11.505.2 Heat island mitigation.</t>
    </r>
    <r>
      <rPr>
        <sz val="10"/>
        <color theme="1"/>
        <rFont val="Calibri"/>
        <family val="2"/>
        <scheme val="minor"/>
      </rPr>
      <t xml:space="preserve"> Heat island effect is mitigated by one or both of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</si>
  <si>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</si>
  <si>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</si>
  <si>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</si>
  <si>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</si>
  <si>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</si>
  <si>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</si>
  <si>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t>11.505.3</t>
  </si>
  <si>
    <r>
      <t>11.505.3 Density.</t>
    </r>
    <r>
      <rPr>
        <sz val="10"/>
        <color theme="1"/>
        <rFont val="Calibri"/>
        <family val="2"/>
        <scheme val="minor"/>
      </rPr>
      <t xml:space="preserve"> The average density on the lot on a net developable area basis is: </t>
    </r>
  </si>
  <si>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</si>
  <si>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</si>
  <si>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</si>
  <si>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</si>
  <si>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</si>
  <si>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505.4</t>
  </si>
  <si>
    <t>11.505.4</t>
  </si>
  <si>
    <r>
      <t xml:space="preserve">11.505.4 Mixed-use development. </t>
    </r>
    <r>
      <rPr>
        <sz val="10"/>
        <color theme="1"/>
        <rFont val="Calibri"/>
        <family val="2"/>
        <scheme val="minor"/>
      </rPr>
      <t>The lot contains a mixed-use building.</t>
    </r>
  </si>
  <si>
    <t>505.5</t>
  </si>
  <si>
    <t>11.505.5</t>
  </si>
  <si>
    <r>
      <t xml:space="preserve">11.505.5 Community Garden(s). </t>
    </r>
    <r>
      <rPr>
        <sz val="10"/>
        <color theme="1"/>
        <rFont val="Calibri"/>
        <family val="2"/>
        <scheme val="minor"/>
      </rPr>
      <t>A portion of the lot is established as a community garden(s), available to residents of the lot, to provide for local food production to residents or area consumers.</t>
    </r>
  </si>
  <si>
    <t>505.6</t>
  </si>
  <si>
    <t>11.505.6</t>
  </si>
  <si>
    <r>
      <t xml:space="preserve">11.505.6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</si>
  <si>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t>END OF CHAPTER 5</t>
  </si>
  <si>
    <t>CLICK TO PROCEED TO CHAPTER 6 &gt;&gt;</t>
  </si>
  <si>
    <t>Ch6Level</t>
  </si>
  <si>
    <t>Ch6Points</t>
  </si>
  <si>
    <t>Ch6NLev</t>
  </si>
  <si>
    <t>Ch6MandError</t>
  </si>
  <si>
    <t>Ch6Error</t>
  </si>
  <si>
    <t>Chapter 6: Resource Efficiency</t>
  </si>
  <si>
    <t>11.601 QUALITY OF CONSTRUCTION MATERIALS AND WASTE</t>
  </si>
  <si>
    <t>601.0</t>
  </si>
  <si>
    <t>11.601.0</t>
  </si>
  <si>
    <r>
      <t>11.601.0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</si>
  <si>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t>11.601.1</t>
  </si>
  <si>
    <r>
      <t>11.601.1 Conditioned floor area.</t>
    </r>
    <r>
      <rPr>
        <sz val="10"/>
        <color theme="1"/>
        <rFont val="Calibri"/>
        <family val="2"/>
        <scheme val="minor"/>
      </rPr>
      <t xml:space="preserve"> Finished floor area of a dwelling unit after the remodeling is limited. Finished floor area is calculated in accordance with ANSI Z765 for single family and ANSI/BOMA Z65.4 for multifamily buildings. Only the finished floor area for stories above grade plane is included in the calculation.</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</si>
  <si>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</si>
  <si>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</si>
  <si>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</si>
  <si>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</si>
  <si>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</si>
  <si>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</si>
  <si>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t>(For every 100 square feet (9.29 m²) over 4,000 square feet (372 m²), one point is to be added the threshold points shown in Table 305.3.7 for each rating level.)</t>
  </si>
  <si>
    <t>add. pts. needed</t>
  </si>
  <si>
    <t xml:space="preserve">Multifamily Building Note: For a multifamily building, a weighted average of the individual unit sizes is used for this practice. </t>
  </si>
  <si>
    <t>11.601.2</t>
  </si>
  <si>
    <r>
      <t>11.601.2 Material usage.</t>
    </r>
    <r>
      <rPr>
        <sz val="10"/>
        <color theme="1"/>
        <rFont val="Calibri"/>
        <family val="2"/>
        <scheme val="minor"/>
      </rPr>
      <t xml:space="preserve"> Newly installed structural systems are designed or construction techniques are implemented that reduce and optimize material usage. </t>
    </r>
  </si>
  <si>
    <t>(Points awarded only when the newly installed portion of each structural system comprises at least 25 percent of the total area of that structural system after the remodel)</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</si>
  <si>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</si>
  <si>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</si>
  <si>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</si>
  <si>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t>11.601.3</t>
  </si>
  <si>
    <r>
      <t>11.601.3 Building dimensions and layouts.</t>
    </r>
    <r>
      <rPr>
        <sz val="10"/>
        <color theme="1"/>
        <rFont val="Calibri"/>
        <family val="2"/>
        <scheme val="minor"/>
      </rPr>
      <t xml:space="preserve"> Building dimensions and layouts are designed to reduce material cuts and waste. This practice is used for a minimum of 80 percent of the newly installed areas:</t>
    </r>
  </si>
  <si>
    <t>(Points awarded only when the newly installed area of the building comprises at least 25 percent of the total area of that element of the building after the remodel)</t>
  </si>
  <si>
    <t>floor area</t>
  </si>
  <si>
    <t>wall area</t>
  </si>
  <si>
    <t>roof area</t>
  </si>
  <si>
    <t>cladding or siding area</t>
  </si>
  <si>
    <t>penetrations or trim area</t>
  </si>
  <si>
    <t>11.601.4</t>
  </si>
  <si>
    <r>
      <t>11.601.4 Framing and structural plans.</t>
    </r>
    <r>
      <rPr>
        <sz val="10"/>
        <color theme="1"/>
        <rFont val="Calibri"/>
        <family val="2"/>
        <scheme val="minor"/>
      </rPr>
      <t xml:space="preserve"> Detailed framing or structural plans, material quantity lists and on-site cut lists for newly installed framing, structural materials, and sheathing materials are provided.</t>
    </r>
  </si>
  <si>
    <t>11.601.5</t>
  </si>
  <si>
    <r>
      <t xml:space="preserve">11.601.5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</si>
  <si>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</si>
  <si>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(Points awarded only when the newly installed system comprises at least 25 percent of the total area of that system of the building after the remodel)</t>
  </si>
  <si>
    <t>floor system</t>
  </si>
  <si>
    <t>wall system</t>
  </si>
  <si>
    <t>roof system</t>
  </si>
  <si>
    <t>modular construction for any new construction located above grade</t>
  </si>
  <si>
    <t>11.601.6</t>
  </si>
  <si>
    <r>
      <t>11.601.6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</si>
  <si>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</si>
  <si>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</si>
  <si>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</si>
  <si>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t>11.601.7</t>
  </si>
  <si>
    <r>
      <t>11.601.7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</si>
  <si>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</si>
  <si>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</si>
  <si>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</si>
  <si>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</si>
  <si>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</si>
  <si>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</si>
  <si>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</si>
  <si>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</si>
  <si>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</si>
  <si>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systems, and/or ceiling systems not requiring paint or stain or other type of finishing application</t>
  </si>
  <si>
    <t xml:space="preserve">90 percent or more (after the remodel) of the installed building materials or assemblies listed above: </t>
  </si>
  <si>
    <t>50 percent to less than 90 percent (after the remodel) of the installed building material or assembly listed above:</t>
  </si>
  <si>
    <t>35 percent to less than 50 percent (after the remodel) of the installed building material or assembly listed above:</t>
  </si>
  <si>
    <t>11.601.8</t>
  </si>
  <si>
    <r>
      <t>11.601.8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25 percent or more of the building footprint after the remodel.</t>
    </r>
  </si>
  <si>
    <t>NOTE: Indicate in the assigned Notes area the type designed and constructed: frost-protected shallow foundations, pier and pad foundations, post foundations, or other similar foundation type.</t>
  </si>
  <si>
    <t>11.602 ENHANCED DURABILITY AND REDUCED MAINTENANCE</t>
  </si>
  <si>
    <t>602.0</t>
  </si>
  <si>
    <t>11.602.0</t>
  </si>
  <si>
    <r>
      <t>11.602.0 Intent.</t>
    </r>
    <r>
      <rPr>
        <sz val="10"/>
        <color theme="1"/>
        <rFont val="Calibri"/>
        <family val="2"/>
        <scheme val="minor"/>
      </rPr>
      <t xml:space="preserve"> Design and construction practices are implemented that enhance the durability of materials and reduce in-service maintenance.</t>
    </r>
  </si>
  <si>
    <t>11.602.1</t>
  </si>
  <si>
    <t>11.602.1 Moisture Management – Building Envelope</t>
  </si>
  <si>
    <t>602.1.1</t>
  </si>
  <si>
    <t>11.602.1.1</t>
  </si>
  <si>
    <t>11.602.1.1 Capillary breaks</t>
  </si>
  <si>
    <t>602.1.1.1</t>
  </si>
  <si>
    <t>11.602.1.1.1</t>
  </si>
  <si>
    <r>
      <t xml:space="preserve">11.602.1.1.1 </t>
    </r>
    <r>
      <rPr>
        <sz val="10"/>
        <color theme="1"/>
        <rFont val="Calibri"/>
        <family val="2"/>
        <scheme val="minor"/>
      </rPr>
      <t>Capillary breaks A capillary break and vapor retarder are installed at concrete slabs in accordance with ICC IRC Sections R506.2.2 and R506.2.3 or ICC IBC Sections 1907 and 1805.4.1.</t>
    </r>
  </si>
  <si>
    <t>This practice is not mandatory for existing slabs without apparent moisture problem.</t>
  </si>
  <si>
    <t xml:space="preserve">602.1.1.2 </t>
  </si>
  <si>
    <t xml:space="preserve">11.602.1.1.2 </t>
  </si>
  <si>
    <r>
      <t>11.602.1.1.2</t>
    </r>
    <r>
      <rPr>
        <sz val="10"/>
        <color theme="1"/>
        <rFont val="Calibri"/>
        <family val="2"/>
        <scheme val="minor"/>
      </rPr>
      <t xml:space="preserve"> A capillary break to prevent moisture migration into foundation wall is provided between the footing and the foundation wall on all new foundations, and on not less than 25 percent of the total length of the foundation after the remodel.</t>
    </r>
  </si>
  <si>
    <t xml:space="preserve">602.1.2 </t>
  </si>
  <si>
    <t>11.602.1.2</t>
  </si>
  <si>
    <r>
      <t>11.602.1.2 Foundation waterproofing.</t>
    </r>
    <r>
      <rPr>
        <sz val="10"/>
        <color theme="1"/>
        <rFont val="Calibri"/>
        <family val="2"/>
        <scheme val="minor"/>
      </rPr>
      <t xml:space="preserve"> Enhanced foundation waterproofing is installed on all new foundations, and on not less than 25 percent of the total length of the foundation after the remodel using one or both of the following:</t>
    </r>
  </si>
  <si>
    <t>rubberized coating, or</t>
  </si>
  <si>
    <t>drainage mat</t>
  </si>
  <si>
    <t>602.1.3</t>
  </si>
  <si>
    <t>11.602.1.3</t>
  </si>
  <si>
    <t>11.602.1.3 Foundation drainage</t>
  </si>
  <si>
    <t>602.1.3.1</t>
  </si>
  <si>
    <t>11.602.1.3.1</t>
  </si>
  <si>
    <r>
      <t>11.602.1.3.1</t>
    </r>
    <r>
      <rPr>
        <sz val="10"/>
        <color theme="1"/>
        <rFont val="Calibri"/>
        <family val="2"/>
        <scheme val="minor"/>
      </rPr>
      <t xml:space="preserve"> Where required by the ICC IRC or IBC for habitable and usable spaces below grade, exterior drain tile is installed.</t>
    </r>
  </si>
  <si>
    <t>This practice is not mandatory for existing space without apparent moisture problem.</t>
  </si>
  <si>
    <t>602.1.3.2</t>
  </si>
  <si>
    <t>11.602.1.3.2</t>
  </si>
  <si>
    <r>
      <t>11.602.1.3.2</t>
    </r>
    <r>
      <rPr>
        <sz val="10"/>
        <color theme="1"/>
        <rFont val="Calibri"/>
        <family val="2"/>
        <scheme val="minor"/>
      </rPr>
      <t xml:space="preserve"> Interior and exterior foundation perimeter drains are installed and sloped to discharge to daylight, dry well, or sump pit on all new foundations and not less than 25 percent of the total length of the foundation after the remodel.</t>
    </r>
  </si>
  <si>
    <t>602.1.4</t>
  </si>
  <si>
    <t>11.602.1.4</t>
  </si>
  <si>
    <r>
      <t>11.602.1.4</t>
    </r>
    <r>
      <rPr>
        <sz val="10"/>
        <color theme="1"/>
        <rFont val="Calibri"/>
        <family val="2"/>
        <scheme val="minor"/>
      </rPr>
      <t xml:space="preserve"> </t>
    </r>
    <r>
      <rPr>
        <b/>
        <sz val="10"/>
        <color theme="1"/>
        <rFont val="Calibri"/>
        <family val="2"/>
        <scheme val="minor"/>
      </rPr>
      <t>Crawlspaces</t>
    </r>
  </si>
  <si>
    <t>602.1.4.1</t>
  </si>
  <si>
    <t>11.602.1.4.1</t>
  </si>
  <si>
    <r>
      <t>11.602.1.4.1</t>
    </r>
    <r>
      <rPr>
        <sz val="10"/>
        <color theme="1"/>
        <rFont val="Calibri"/>
        <family val="2"/>
        <scheme val="minor"/>
      </rPr>
      <t xml:space="preserve"> Vapor retarder for all new unconditioned vented crawlspace foundations and not less than 25 percent of the total area after the remodel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</si>
  <si>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</si>
  <si>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</si>
  <si>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This practice is not mandatory for existing walls without apparent moisture problem.</t>
  </si>
  <si>
    <t>602.1.4.2</t>
  </si>
  <si>
    <t>11.602.1.4.2</t>
  </si>
  <si>
    <r>
      <t>11.602.1.4.2</t>
    </r>
    <r>
      <rPr>
        <sz val="10"/>
        <color theme="1"/>
        <rFont val="Calibri"/>
        <family val="2"/>
        <scheme val="minor"/>
      </rPr>
      <t xml:space="preserve"> For all new foundations and not less than 25 percent of the total area of the crawlspace after the remodel,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</si>
  <si>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</si>
  <si>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</si>
  <si>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This practice is not mandatory for existing foundations without apparent moisture problem.</t>
  </si>
  <si>
    <t>602.1.5</t>
  </si>
  <si>
    <t>11.602.1.5</t>
  </si>
  <si>
    <r>
      <t>11.602.1.5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</si>
  <si>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</si>
  <si>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</si>
  <si>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</si>
  <si>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</si>
  <si>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</si>
  <si>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t>11.602.1.6</t>
  </si>
  <si>
    <r>
      <t>11.602.1.6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</si>
  <si>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</si>
  <si>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</si>
  <si>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</si>
  <si>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</si>
  <si>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11.602.1.7</t>
  </si>
  <si>
    <t>11.602.1.7 Moisture control measures</t>
  </si>
  <si>
    <t>602.1.7.1</t>
  </si>
  <si>
    <t>11.602.1.7.1</t>
  </si>
  <si>
    <r>
      <t xml:space="preserve">11.602.1.7.1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</si>
  <si>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</si>
  <si>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</si>
  <si>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</si>
  <si>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</si>
  <si>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</si>
  <si>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11.602.1.7.2 </t>
  </si>
  <si>
    <r>
      <t xml:space="preserve">11.602.1.7.2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</si>
  <si>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</si>
  <si>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11.602.1.7.3 </t>
  </si>
  <si>
    <r>
      <t xml:space="preserve">11.602.1.7.3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</si>
  <si>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</si>
  <si>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t>11.602.1.8</t>
  </si>
  <si>
    <r>
      <t>11.602.1.8 Water-resistive barrier.</t>
    </r>
    <r>
      <rPr>
        <sz val="10"/>
        <color theme="1"/>
        <rFont val="Calibri"/>
        <family val="2"/>
        <scheme val="minor"/>
      </rPr>
      <t xml:space="preserve"> Where required by the ICC, IRC, or IBC, a water-resistive barrier and/or drainage plane system is installed behind newly installed exterior veneer and/or siding and where there is evidence of a moisture problem. </t>
    </r>
  </si>
  <si>
    <t>602.1.9</t>
  </si>
  <si>
    <t>11.602.1.9</t>
  </si>
  <si>
    <r>
      <t>11.602.1.9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</si>
  <si>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Points awarded only when practices (2)-(7) are implemented in all newly installed construction and not less than 25 percent of the applicable building elements for the entire building after the remodel.</t>
  </si>
  <si>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</si>
  <si>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</si>
  <si>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</si>
  <si>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</si>
  <si>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</si>
  <si>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</si>
  <si>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</si>
  <si>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</si>
  <si>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</si>
  <si>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</si>
  <si>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</si>
  <si>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</si>
  <si>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These practices are not mandatory for existing building elements without apparent moisture problem.</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</si>
  <si>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</si>
  <si>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</si>
  <si>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</si>
  <si>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</si>
  <si>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</si>
  <si>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</si>
  <si>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</si>
  <si>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</si>
  <si>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</si>
  <si>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11.602.1.10 </t>
  </si>
  <si>
    <r>
      <t xml:space="preserve">11.602.1.10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</si>
  <si>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</si>
  <si>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</si>
  <si>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</si>
  <si>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</si>
  <si>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</si>
  <si>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</si>
  <si>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</si>
  <si>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11.602.1.11 </t>
  </si>
  <si>
    <r>
      <t>11.602.1.11 Tile backing materials.</t>
    </r>
    <r>
      <rPr>
        <sz val="10"/>
        <color theme="1"/>
        <rFont val="Calibri"/>
        <family val="2"/>
        <scheme val="minor"/>
      </rPr>
      <t xml:space="preserve"> Tile backing materials installed under tiled surfaces in wet areas are in accordance with ASTM C1178, C1278, C1288, or C1325.</t>
    </r>
  </si>
  <si>
    <t>This practice is not mandatory for existing tile surfaces without apparent moisture problem.</t>
  </si>
  <si>
    <t>602.1.12</t>
  </si>
  <si>
    <t>11.602.1.12</t>
  </si>
  <si>
    <r>
      <t xml:space="preserve">11.602.1.12 Roof overhangs. </t>
    </r>
    <r>
      <rPr>
        <sz val="10"/>
        <color theme="1"/>
        <rFont val="Calibri"/>
        <family val="2"/>
        <scheme val="minor"/>
      </rPr>
      <t>Roof overhangs, in accordance with Table 602.1.12, are provided over a minimum of 90 percent of exterior walls to protect the building envelope.</t>
    </r>
  </si>
  <si>
    <t>See Table 11.602.1.12</t>
  </si>
  <si>
    <t>602.1.13</t>
  </si>
  <si>
    <t xml:space="preserve">11.602.1.13 </t>
  </si>
  <si>
    <r>
      <t xml:space="preserve">11.602.1.13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</si>
  <si>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</si>
  <si>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t>11.602.1.14</t>
  </si>
  <si>
    <r>
      <t>11.602.1.14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</si>
  <si>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</si>
  <si>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</si>
  <si>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</si>
  <si>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11.602.2</t>
  </si>
  <si>
    <r>
      <t>11.602.2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</si>
  <si>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</si>
  <si>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</si>
  <si>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</si>
  <si>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t>11.602.3</t>
  </si>
  <si>
    <r>
      <t>11.602.3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</si>
  <si>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t>11.602.4</t>
  </si>
  <si>
    <r>
      <t>11.602.4 Finished grade.</t>
    </r>
    <r>
      <rPr>
        <sz val="10"/>
        <color theme="1"/>
        <rFont val="Calibri"/>
        <family val="2"/>
        <scheme val="minor"/>
      </rPr>
      <t xml:space="preserve"> </t>
    </r>
  </si>
  <si>
    <t>602.4.1</t>
  </si>
  <si>
    <t>11.602.4.1</t>
  </si>
  <si>
    <r>
      <t>11.602.4.1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</si>
  <si>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</si>
  <si>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t>11.602.4.2</t>
  </si>
  <si>
    <r>
      <t>11.602.4.2</t>
    </r>
    <r>
      <rPr>
        <sz val="10"/>
        <color theme="1"/>
        <rFont val="Calibri"/>
        <family val="2"/>
        <scheme val="minor"/>
      </rPr>
      <t xml:space="preserve"> The final grade is sloped away from the edge of the building at a minimum slope of 5 percent.</t>
    </r>
  </si>
  <si>
    <t>602.4.3</t>
  </si>
  <si>
    <t>11.602.4.3</t>
  </si>
  <si>
    <r>
      <t>11.602.4.3</t>
    </r>
    <r>
      <rPr>
        <sz val="10"/>
        <color theme="1"/>
        <rFont val="Calibri"/>
        <family val="2"/>
        <scheme val="minor"/>
      </rPr>
      <t xml:space="preserve"> Water is directed to drains or swales to ensure drainage away from the structure.</t>
    </r>
  </si>
  <si>
    <t xml:space="preserve">11.603 REUSED OR SALVAGED MATERIALS </t>
  </si>
  <si>
    <t>603.0</t>
  </si>
  <si>
    <t>11.603.0</t>
  </si>
  <si>
    <r>
      <t>11.603.0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</si>
  <si>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t>11.603.1</t>
  </si>
  <si>
    <r>
      <t xml:space="preserve">11.603.1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</si>
  <si>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</si>
  <si>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</si>
  <si>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11.603.1 shall not be awarded points under Section 11.603.2.</t>
  </si>
  <si>
    <t>11.603.2</t>
  </si>
  <si>
    <r>
      <t>11.603.2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</si>
  <si>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</si>
  <si>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</si>
  <si>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t>11.603.3</t>
  </si>
  <si>
    <r>
      <t>11.603.3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</si>
  <si>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</si>
  <si>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11.604 RECYCLED-CONTENT BUILDING MATERIALS</t>
  </si>
  <si>
    <t>11.604.1</t>
  </si>
  <si>
    <r>
      <t>11.604.1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</si>
  <si>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</si>
  <si>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</si>
  <si>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</si>
  <si>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</si>
  <si>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11.604.1</t>
  </si>
  <si>
    <t>NOTE: In the assigned Notes area, list materials used for minor and/or major building components.</t>
  </si>
  <si>
    <t>First Major Comp.:</t>
  </si>
  <si>
    <t>Second Major Comp.:</t>
  </si>
  <si>
    <t xml:space="preserve">11.605 RECYCLED CONSTRUCTION WASTE </t>
  </si>
  <si>
    <t>605.0</t>
  </si>
  <si>
    <t>11.605.0</t>
  </si>
  <si>
    <r>
      <t>11.605.0 Intent.</t>
    </r>
    <r>
      <rPr>
        <sz val="10"/>
        <color theme="1"/>
        <rFont val="Calibri"/>
        <family val="2"/>
        <scheme val="minor"/>
      </rPr>
      <t xml:space="preserve"> Waste generated during construction is recycled. All waste classified as hazardous is properly handled and disposed of. </t>
    </r>
  </si>
  <si>
    <t>11.605.1</t>
  </si>
  <si>
    <r>
      <t xml:space="preserve">11.605.1 Hazardous waste. </t>
    </r>
    <r>
      <rPr>
        <sz val="10"/>
        <color theme="1"/>
        <rFont val="Calibri"/>
        <family val="2"/>
        <scheme val="minor"/>
      </rPr>
      <t>The construction waste management plan shall include information on the proper handling and disposal of hazardous waste. All hazardous waste is properly handled and disposed of.</t>
    </r>
  </si>
  <si>
    <t>11.605.2</t>
  </si>
  <si>
    <r>
      <t>11.605.2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</si>
  <si>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</si>
  <si>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Exceptions:</t>
  </si>
  <si>
    <t>Waste materials generated from land clearing, soil and sub-grade excavation and all manner of vegetative debris shall not be in the calculations.</t>
  </si>
  <si>
    <t xml:space="preserve">A recycling facility (traditional or E-Waste) offering material receipt documentation is not available within 50 miles of the jobsite.   </t>
  </si>
  <si>
    <t>11.605.3</t>
  </si>
  <si>
    <r>
      <t>11.605.3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</si>
  <si>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</si>
  <si>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</si>
  <si>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11.901.2.1(2) will be available for on-site renewable energy.</t>
  </si>
  <si>
    <t>605.4</t>
  </si>
  <si>
    <t>11.605.4</t>
  </si>
  <si>
    <r>
      <t>11.605.4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</si>
  <si>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</si>
  <si>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</si>
  <si>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</si>
  <si>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</si>
  <si>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</si>
  <si>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</si>
  <si>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</si>
  <si>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</si>
  <si>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</si>
  <si>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</si>
  <si>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</si>
  <si>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</si>
  <si>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</si>
  <si>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11.606 RENEWABLE MATERIALS</t>
  </si>
  <si>
    <t>606.0</t>
  </si>
  <si>
    <t>11.606.0</t>
  </si>
  <si>
    <r>
      <t>11.606.0 Intent.</t>
    </r>
    <r>
      <rPr>
        <sz val="10"/>
        <color theme="1"/>
        <rFont val="Calibri"/>
        <family val="2"/>
        <scheme val="minor"/>
      </rPr>
      <t xml:space="preserve"> Building materials derived from renewable resources are used.</t>
    </r>
  </si>
  <si>
    <t>11.606.1</t>
  </si>
  <si>
    <r>
      <t>11.606.1 Biobased products.</t>
    </r>
    <r>
      <rPr>
        <sz val="10"/>
        <color theme="1"/>
        <rFont val="Calibri"/>
        <family val="2"/>
        <scheme val="minor"/>
      </rPr>
      <t xml:space="preserve"> The following biobased products are used:</t>
    </r>
  </si>
  <si>
    <t>certified solid wood in accordance with Section 11.606.2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</si>
  <si>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</si>
  <si>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</si>
  <si>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</si>
  <si>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</si>
  <si>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</si>
  <si>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</si>
  <si>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</si>
  <si>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</si>
  <si>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</si>
  <si>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</si>
  <si>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</si>
  <si>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</si>
  <si>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t>11.606.2</t>
  </si>
  <si>
    <r>
      <t>11.606.2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</si>
  <si>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</si>
  <si>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</si>
  <si>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</si>
  <si>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</si>
  <si>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</si>
  <si>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</si>
  <si>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</si>
  <si>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Program(s):</t>
  </si>
  <si>
    <t>A minimum of two certified wood-based products are used for minor components of the building.</t>
  </si>
  <si>
    <t>Note: Please list products and components in the Notes fields</t>
  </si>
  <si>
    <t>A minimum of two certified wood-based products are used in major components of the building.</t>
  </si>
  <si>
    <t>11.606.3</t>
  </si>
  <si>
    <r>
      <t>11.606.3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</si>
  <si>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</si>
  <si>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</si>
  <si>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11.607 RECYCLING AND WASTE REDUCTION</t>
  </si>
  <si>
    <t>11.607.1</t>
  </si>
  <si>
    <r>
      <t xml:space="preserve">11.607.1 Recycling and composting. </t>
    </r>
    <r>
      <rPr>
        <sz val="10"/>
        <color theme="1"/>
        <rFont val="Calibri"/>
        <family val="2"/>
        <scheme val="minor"/>
      </rPr>
      <t>Recycling and composting by the occupant are facilitated by one or more of the following methods:</t>
    </r>
  </si>
  <si>
    <t>A built-in collection space in each kitchen and an aggregation/pick-up space in a garage, covered outdoor space, or other area for recycling containers is provided.</t>
  </si>
  <si>
    <t>Compost facility is provided on the site.</t>
  </si>
  <si>
    <t>11.607.2</t>
  </si>
  <si>
    <r>
      <t>11.607.2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</si>
  <si>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11.608 RESOURCE-EFFICIENT MATERIALS</t>
  </si>
  <si>
    <t>11.608.1</t>
  </si>
  <si>
    <r>
      <t>11.608.1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</si>
  <si>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</si>
  <si>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</si>
  <si>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</si>
  <si>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</si>
  <si>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</si>
  <si>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11.609 REGIONAL MATERIALS</t>
  </si>
  <si>
    <t>11.609.1</t>
  </si>
  <si>
    <r>
      <t>11.609.1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</si>
  <si>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
2 per each major comp. 
and 
1 per each minor comp.</t>
  </si>
  <si>
    <t># of major components:</t>
  </si>
  <si>
    <t>For a component to comply with this practice, a minimum of 75% of all products in that component category must be sourced regionally, e.g., stone veneer category – 75 percent or more of the stone veneer on a project must be sourced regionally.</t>
  </si>
  <si>
    <t># of minor components:</t>
  </si>
  <si>
    <t>NOTE: In the assigned Notes areas, list major and minor materials used that comply with 609.1.</t>
  </si>
  <si>
    <t>11.610 LIFE CYCLE ASSESSMENT</t>
  </si>
  <si>
    <t>11.610.1</t>
  </si>
  <si>
    <r>
      <t xml:space="preserve">11.610.1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</si>
  <si>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t>610.1.1</t>
  </si>
  <si>
    <t>11.610.1.1</t>
  </si>
  <si>
    <r>
      <t xml:space="preserve">11.610.1.1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</si>
  <si>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</si>
  <si>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</si>
  <si>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</si>
  <si>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</si>
  <si>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</si>
  <si>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</si>
  <si>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</si>
  <si>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</si>
  <si>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</si>
  <si>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</si>
  <si>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t>11.610.1.2</t>
  </si>
  <si>
    <r>
      <t xml:space="preserve">11.610.1.2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</si>
  <si>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</si>
  <si>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</si>
  <si>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t>11.610.1.2.1</t>
  </si>
  <si>
    <r>
      <t xml:space="preserve">11.610.1.2.1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</si>
  <si>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11.610.1.2.1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</si>
  <si>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</si>
  <si>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</si>
  <si>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</si>
  <si>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</si>
  <si>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</si>
  <si>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t>11.610.1.2.2</t>
  </si>
  <si>
    <r>
      <t xml:space="preserve">11.610.1.2.2 Assembly LCA. </t>
    </r>
    <r>
      <rPr>
        <sz val="10"/>
        <color theme="1"/>
        <rFont val="Calibri"/>
        <family val="2"/>
        <scheme val="minor"/>
      </rPr>
      <t>An assembly with improved environmental impact measures compared to a functionally comparable assembly is selected. The full life cycle, from resource extraction to demolition and disposal (including but not limited to on-site construction, maintenance and replacement, material and product embodied acquisition, and process and transportation energy), is assessed. The assessment does not include electrical and mechanical equipment and controls, plumbing products, fire detection and alarm systems, elevators, and conveying systems. The following functional building elements are eligible for points under this practice:</t>
    </r>
  </si>
  <si>
    <t>per Table 11.610.1.2.2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</si>
  <si>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</si>
  <si>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</si>
  <si>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</si>
  <si>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</si>
  <si>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</si>
  <si>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</si>
  <si>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</si>
  <si>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</si>
  <si>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</si>
  <si>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functional building elements that improve upon environmental impact measures by an average of 15 percent.)</t>
  </si>
  <si>
    <t>NOTE: List assemblies compared &amp; impact measures considered in the assigned Notes area.</t>
  </si>
  <si>
    <t>11.611 INNOVATIVE PRACTICES</t>
  </si>
  <si>
    <t>11.611.1</t>
  </si>
  <si>
    <r>
      <t>11.611.1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</si>
  <si>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10 Max</t>
  </si>
  <si>
    <r>
      <t xml:space="preserve"> </t>
    </r>
    <r>
      <rPr>
        <b/>
        <sz val="10"/>
        <color theme="1"/>
        <rFont val="Calibri"/>
        <family val="2"/>
        <scheme val="minor"/>
      </rPr>
      <t>(1 point awarded per percent.)</t>
    </r>
  </si>
  <si>
    <t xml:space="preserve">NOTE: In the assigned Notes area, list products that comply with 610.1, manufacturers, and ISO registrars. </t>
  </si>
  <si>
    <t>11.611.2</t>
  </si>
  <si>
    <r>
      <t xml:space="preserve">11.611.2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</si>
  <si>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t>9 Max</t>
  </si>
  <si>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</si>
  <si>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</si>
  <si>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</si>
  <si>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</si>
  <si>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</si>
  <si>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</si>
  <si>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</si>
  <si>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t>11.611.3</t>
  </si>
  <si>
    <r>
      <t xml:space="preserve">11.611.3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</si>
  <si>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</si>
  <si>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</si>
  <si>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</si>
  <si>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</si>
  <si>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</si>
  <si>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</si>
  <si>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</si>
  <si>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</si>
  <si>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</si>
  <si>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11.611.4</t>
  </si>
  <si>
    <r>
      <t>11.611.4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</si>
  <si>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611.4.1</t>
  </si>
  <si>
    <t>11.611.4.1</t>
  </si>
  <si>
    <r>
      <t xml:space="preserve">11.611.4.1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11.611.4.1 shall be counted as one product for compliance with Section 11.611.4.)</t>
    </r>
  </si>
  <si>
    <t># of products:</t>
  </si>
  <si>
    <t>NOTE: List products in the assigned Notes area.</t>
  </si>
  <si>
    <t>611.4.2</t>
  </si>
  <si>
    <t>11.611.4.2</t>
  </si>
  <si>
    <r>
      <t xml:space="preserve">11.611.4.2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11.611.4.2 shall be counted as two products for compliance with Section 11.611.4.)</t>
    </r>
  </si>
  <si>
    <t># of products (not effective number):</t>
  </si>
  <si>
    <t>END OF CHAPTER 6</t>
  </si>
  <si>
    <t>CLICK TO PROCEED TO CHAPTER 7 &gt;&gt;</t>
  </si>
  <si>
    <t>Ch7Level</t>
  </si>
  <si>
    <t>Ch7Points</t>
  </si>
  <si>
    <t>Ch7NLev</t>
  </si>
  <si>
    <t>Ch7MandError</t>
  </si>
  <si>
    <t>Ch7Error</t>
  </si>
  <si>
    <t>Chapter 7: Energy Efficiency</t>
  </si>
  <si>
    <t>11.701 MINIMUM ENERGY EFFICIENCY REQUIREMENTS</t>
  </si>
  <si>
    <t>701.4</t>
  </si>
  <si>
    <t>11.701.4</t>
  </si>
  <si>
    <t>11.701.4 Mandatory practices.</t>
  </si>
  <si>
    <t>Please indicate energy modeler’s professional credential and, in the notes field, their name. When selecting “Other,” enter professional credentials (e.g., engineer, architect) within the notes field.</t>
  </si>
  <si>
    <t>Modeler’s Credential:</t>
  </si>
  <si>
    <t>701.4.0</t>
  </si>
  <si>
    <t>11.701.4.0</t>
  </si>
  <si>
    <r>
      <t>11.701.4.0</t>
    </r>
    <r>
      <rPr>
        <sz val="10"/>
        <color theme="1"/>
        <rFont val="Calibri"/>
        <family val="2"/>
        <scheme val="minor"/>
      </rPr>
      <t xml:space="preserve"> </t>
    </r>
    <r>
      <rPr>
        <b/>
        <sz val="10"/>
        <color theme="1"/>
        <rFont val="Calibri"/>
        <family val="2"/>
        <scheme val="minor"/>
      </rPr>
      <t>Minimum energy efficiency requirements.</t>
    </r>
    <r>
      <rPr>
        <sz val="10"/>
        <color theme="1"/>
        <rFont val="Calibri"/>
        <family val="2"/>
        <scheme val="minor"/>
      </rPr>
      <t xml:space="preserve"> Additions, alterations, or renovations to an existing building, building system or portion there of comply with the provisions of the International Energy Conservation Code as they relate to new construction without requiring the unaltered portion(s) of the existing building or building system to comply with this code. An addition complies with the IECC if the addition complies or if the existing building and addition comply with the IECC as a single building.</t>
    </r>
  </si>
  <si>
    <t>701.4.1</t>
  </si>
  <si>
    <t>11.701.4.1</t>
  </si>
  <si>
    <t>11.701.4.1 HVAC systems.</t>
  </si>
  <si>
    <t>701.4.1.1</t>
  </si>
  <si>
    <t>11.701.4.1.1</t>
  </si>
  <si>
    <r>
      <t>11.701.4.1.1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Newly installed or modified space heating and cooling system is sized according to heating and cooling loads calculated using ACCA Manual J, or equivalent. New equipment is selected using ACCA Manual S or equivalent.</t>
    </r>
  </si>
  <si>
    <t>701.4.1.2</t>
  </si>
  <si>
    <t>11.701.4.1.2</t>
  </si>
  <si>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 </t>
    </r>
  </si>
  <si>
    <t>701.4.2</t>
  </si>
  <si>
    <t>11.701.4.2</t>
  </si>
  <si>
    <t>11.701.4.2 Duct systems.</t>
  </si>
  <si>
    <t>11.701.4.2.1</t>
  </si>
  <si>
    <r>
      <t>11.701.4.2.1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Newly installed, modified, or ducts that are exposed during the remodel are air sealed. All duct sealing materials are in conformance with UL 181A or UL 181B specifications and are installed in accordance with manufacturer’s instructions.</t>
    </r>
  </si>
  <si>
    <t>701.4.2.2</t>
  </si>
  <si>
    <t>11.701.4.2.2</t>
  </si>
  <si>
    <r>
      <t xml:space="preserve">11.701.4.2.2 Ducts and Plenums.  </t>
    </r>
    <r>
      <rPr>
        <sz val="10"/>
        <color theme="1"/>
        <rFont val="Calibri"/>
        <family val="2"/>
        <scheme val="minor"/>
      </rPr>
      <t>Building framing cavities are not used as ducts or plenums. Existing building cavities currently used as supply ducts exposed during the remodel are lined.</t>
    </r>
  </si>
  <si>
    <t>701.4.2.3</t>
  </si>
  <si>
    <t>11.701.4.2.3</t>
  </si>
  <si>
    <r>
      <t>11.701.4.2.3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New or modified Duct system is sized and designed in accordance with ACCA Manual D or equivalent.</t>
    </r>
  </si>
  <si>
    <t>701.4.3</t>
  </si>
  <si>
    <t>11.701.4.3</t>
  </si>
  <si>
    <t>11.701.4.3 Insulation and air sealing.</t>
  </si>
  <si>
    <t>701.4.3.1</t>
  </si>
  <si>
    <t>11.701.4.3.1</t>
  </si>
  <si>
    <r>
      <t>11.701.4.3.1 Building Thermal Envelope Air Sealing.</t>
    </r>
    <r>
      <rPr>
        <sz val="10"/>
        <color theme="1"/>
        <rFont val="Calibri"/>
        <family val="2"/>
        <scheme val="minor"/>
      </rPr>
      <t xml:space="preserve"> The building thermal envelope exposed or created during the remodel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</si>
  <si>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</si>
  <si>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</si>
  <si>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</si>
  <si>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</si>
  <si>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</si>
  <si>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</si>
  <si>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</si>
  <si>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a garage from conditioned spaces.</t>
  </si>
  <si>
    <t>Behind tubs and showers on exterior walls.</t>
  </si>
  <si>
    <t>Common walls between dwelling units.</t>
  </si>
  <si>
    <t>(j)</t>
  </si>
  <si>
    <t>Attic access openings.</t>
  </si>
  <si>
    <t>(k)</t>
  </si>
  <si>
    <t>Rim joist junction.</t>
  </si>
  <si>
    <t>(l)</t>
  </si>
  <si>
    <t>Other sources of infiltration.</t>
  </si>
  <si>
    <t>701.4.3.2</t>
  </si>
  <si>
    <t>11.701.4.3.2</t>
  </si>
  <si>
    <r>
      <t>11.701.4.3.2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11.701.4.3.2(1) and 11.701.4.3.2(2).</t>
    </r>
  </si>
  <si>
    <t>No affected areas:</t>
  </si>
  <si>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</si>
  <si>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</si>
  <si>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</si>
  <si>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</si>
  <si>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</si>
  <si>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</si>
  <si>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</si>
  <si>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</si>
  <si>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</si>
  <si>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</si>
  <si>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</si>
  <si>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groups of dwelling units, or the building as a whole is acceptable.</t>
  </si>
  <si>
    <r>
      <t>Visual inspection.</t>
    </r>
    <r>
      <rPr>
        <sz val="10"/>
        <color theme="1"/>
        <rFont val="Calibri"/>
        <family val="2"/>
        <scheme val="minor"/>
      </rPr>
      <t xml:space="preserve"> The air barrier and insulation items listed in Table 11.701.4.3.2(2) are field verified by visual inspection.</t>
    </r>
  </si>
  <si>
    <t>See Table 11.701.4.3.2(2)</t>
  </si>
  <si>
    <t>701.4.3.2.1</t>
  </si>
  <si>
    <t>11.701.4.3.2.1</t>
  </si>
  <si>
    <r>
      <t xml:space="preserve">11.701.4.3.2.1 </t>
    </r>
    <r>
      <rPr>
        <sz val="10"/>
        <color theme="1"/>
        <rFont val="Calibri"/>
        <family val="2"/>
        <scheme val="minor"/>
      </rPr>
      <t>Grade I insulation installations are in accordance with the following:</t>
    </r>
  </si>
  <si>
    <t xml:space="preserve">Grading applies to field-installed insulation products. </t>
  </si>
  <si>
    <t>Grading applies to ceilings, walls, floors, band joists, rim joists, conditioned attics basements and crawlspaces, except as specifically noted.</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</si>
  <si>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</si>
  <si>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</si>
  <si>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</si>
  <si>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</si>
  <si>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</si>
  <si>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</si>
  <si>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</si>
  <si>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</si>
  <si>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the Grade 1 insulation installation requirements.</t>
  </si>
  <si>
    <t>701.4.3.3.3</t>
  </si>
  <si>
    <t>11.701.4.3.3</t>
  </si>
  <si>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11.701.4.3.1 and 11.701.4.3.2.</t>
    </r>
  </si>
  <si>
    <t>See 703.4.3.1</t>
  </si>
  <si>
    <t>701.4.3.3.4</t>
  </si>
  <si>
    <t>11.701.4.3.4</t>
  </si>
  <si>
    <r>
      <t>11.701.4.3.4 Fenestration air leakage.</t>
    </r>
    <r>
      <rPr>
        <sz val="10"/>
        <color theme="1"/>
        <rFont val="Calibri"/>
        <family val="2"/>
        <scheme val="minor"/>
      </rPr>
      <t xml:space="preserve"> Newly installed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</si>
  <si>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t>701.4.3.3.5</t>
  </si>
  <si>
    <t>11.701.4.3.5</t>
  </si>
  <si>
    <r>
      <t>11.701.4.3.5 Recessed lighting.</t>
    </r>
    <r>
      <rPr>
        <sz val="10"/>
        <color theme="1"/>
        <rFont val="Calibri"/>
        <family val="2"/>
        <scheme val="minor"/>
      </rPr>
      <t xml:space="preserve"> Newly installed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</si>
  <si>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t>701.4.4</t>
  </si>
  <si>
    <t>11.701.4.4</t>
  </si>
  <si>
    <r>
      <t xml:space="preserve">11.701.4.4 High-efficacy lighting. </t>
    </r>
    <r>
      <rPr>
        <sz val="10"/>
        <color theme="1"/>
        <rFont val="Calibri"/>
        <family val="2"/>
        <scheme val="minor"/>
      </rPr>
      <t>Lighting efficacy in dwelling units is in accordance with one of the following:</t>
    </r>
  </si>
  <si>
    <t>A minimum of 75 percent of the total hard-wired lighting fixtures or the bulbs in those fixtures qualify as high efficacy or equivalent</t>
  </si>
  <si>
    <t>Lighting power density, measured in watts/square foot, is 1.1 or less.</t>
  </si>
  <si>
    <t>701.4.5</t>
  </si>
  <si>
    <t>11.701.4.5</t>
  </si>
  <si>
    <r>
      <t>11.701.4.5 Boiler supply piping.</t>
    </r>
    <r>
      <rPr>
        <sz val="10"/>
        <color theme="1"/>
        <rFont val="Calibri"/>
        <family val="2"/>
        <scheme val="minor"/>
      </rPr>
      <t xml:space="preserve"> Boiler supply piping in unconditioned space that is accessible during the remodel is insulated.</t>
    </r>
  </si>
  <si>
    <t>701.4.6</t>
  </si>
  <si>
    <t>11.701.4.6</t>
  </si>
  <si>
    <r>
      <t xml:space="preserve">11.701.4.6 Fenestration specifications. </t>
    </r>
    <r>
      <rPr>
        <sz val="10"/>
        <color theme="1"/>
        <rFont val="Calibri"/>
        <family val="2"/>
        <scheme val="minor"/>
      </rPr>
      <t>The NFRC-certified U-factor and SHGC of newly installed windows, exterior doors, skylights, and tubular daylighting devices (TDDs) do not exceed the values in Table 703.2.5.1.</t>
    </r>
  </si>
  <si>
    <t>305.3.5</t>
  </si>
  <si>
    <t>See Table 703.2.5.1</t>
  </si>
  <si>
    <t>701.4.7</t>
  </si>
  <si>
    <t>11.701.4.7</t>
  </si>
  <si>
    <r>
      <t xml:space="preserve">11.701.4.7 Replacement fenestration.  </t>
    </r>
    <r>
      <rPr>
        <sz val="10"/>
        <color theme="1"/>
        <rFont val="Calibri"/>
        <family val="2"/>
        <scheme val="minor"/>
      </rPr>
      <t>Where some or all of an existing fenestration unit is replaced with a new fenestration product, including sash and glazing, the NFRC-certified U-factor and SHGC of the replacement fenestration unit do not exceed the values in Table 703.2.5.1.</t>
    </r>
  </si>
  <si>
    <r>
      <t>3</t>
    </r>
    <r>
      <rPr>
        <b/>
        <sz val="10"/>
        <color theme="1"/>
        <rFont val="Calibri"/>
        <family val="2"/>
        <scheme val="minor"/>
      </rPr>
      <t>05.3.5 Energy efficiency.</t>
    </r>
    <r>
      <rPr>
        <sz val="10"/>
        <color theme="1"/>
        <rFont val="Calibri"/>
        <family val="2"/>
        <scheme val="minor"/>
      </rPr>
      <t xml:space="preserve"> The energy efficiency rating level shall be based on the reduction in energy consumption resulting from the remodel in accordance with Table 305.3.5.</t>
    </r>
  </si>
  <si>
    <t>See Table 305.3.5</t>
  </si>
  <si>
    <t>305.3.5.1</t>
  </si>
  <si>
    <r>
      <rPr>
        <b/>
        <sz val="10"/>
        <color theme="1"/>
        <rFont val="Calibri"/>
        <family val="2"/>
        <scheme val="minor"/>
      </rPr>
      <t>305.3.5.1 Energy consumption reduction.</t>
    </r>
    <r>
      <rPr>
        <sz val="10"/>
        <color theme="1"/>
        <rFont val="Calibri"/>
        <family val="2"/>
        <scheme val="minor"/>
      </rPr>
      <t xml:space="preserve"> The reduction in energy consumption resulting from the remodel shall be based on the estimated annual energy cost savings or source energy savings as determined by a third-party energy audit and analysis or utility consumption data. The reduction shall be the percentage difference between the consumption per square foot before and after the remodel calculated as follows:</t>
    </r>
  </si>
  <si>
    <t>[(consumption per square foot before remodel – consumption per square foot after remodel)/consumption per square foot before remodel]*100</t>
  </si>
  <si>
    <t>The occupancy and lifestyle assumed and the method of making the energy consumption estimates shall be the same for estimates before and after the remodel. The building configuration for the after-remodel estimate shall include any additions to the building or other changes to the configuration of the conditioned space. For multifamily buildings, the energy consumption shall be based on the entire building including all dwelling units and common areas.</t>
  </si>
  <si>
    <t>Conditioned area BEFORE remodel  (ft²)</t>
  </si>
  <si>
    <t>Energy Analysis Before Remodel (Annual Basis)</t>
  </si>
  <si>
    <t>Total</t>
  </si>
  <si>
    <r>
      <t>Per ft</t>
    </r>
    <r>
      <rPr>
        <b/>
        <sz val="11"/>
        <color theme="1"/>
        <rFont val="Calibri"/>
        <family val="2"/>
      </rPr>
      <t>²</t>
    </r>
  </si>
  <si>
    <t xml:space="preserve">                                                    Estimated:</t>
  </si>
  <si>
    <t>Conditioned area AFTER remodel  (ft²)</t>
  </si>
  <si>
    <t>Energy Analysis After Remodel (Annual Basis)</t>
  </si>
  <si>
    <t xml:space="preserve">Percent Reduction in Energy </t>
  </si>
  <si>
    <t>END OF CHAPTER 7</t>
  </si>
  <si>
    <t>CLICK TO PROCEED TO CHAPTER 8 &gt;&gt;</t>
  </si>
  <si>
    <t>Ch8Level</t>
  </si>
  <si>
    <t>Ch8Points</t>
  </si>
  <si>
    <t>Ch8NLev</t>
  </si>
  <si>
    <t>Ch8MandError</t>
  </si>
  <si>
    <t>Ch8Error</t>
  </si>
  <si>
    <t>Chapter 8: Water Efficiency</t>
  </si>
  <si>
    <t>305.3.6</t>
  </si>
  <si>
    <r>
      <rPr>
        <b/>
        <sz val="10"/>
        <color theme="1"/>
        <rFont val="Calibri"/>
        <family val="2"/>
        <scheme val="minor"/>
      </rPr>
      <t>305.3.6 Water efficiency.</t>
    </r>
    <r>
      <rPr>
        <sz val="10"/>
        <color theme="1"/>
        <rFont val="Calibri"/>
        <family val="2"/>
        <scheme val="minor"/>
      </rPr>
      <t xml:space="preserve"> The water efficiency rating level shall be based on the reduction in water consumption resulting from the remodel in accordance with Table 305.3.6.</t>
    </r>
  </si>
  <si>
    <t>See Table Table 305.3.6</t>
  </si>
  <si>
    <t>305.3.6.1</t>
  </si>
  <si>
    <r>
      <rPr>
        <b/>
        <sz val="10"/>
        <color theme="1"/>
        <rFont val="Calibri"/>
        <family val="2"/>
        <scheme val="minor"/>
      </rPr>
      <t>305.3.6.1 Water consumption reduction.</t>
    </r>
    <r>
      <rPr>
        <sz val="10"/>
        <color theme="1"/>
        <rFont val="Calibri"/>
        <family val="2"/>
        <scheme val="minor"/>
      </rPr>
      <t xml:space="preserve"> Water consumption shall be based on the estimated annual use as determined by audit and analysis or use of utility consumption data. The reduction shall be the percentage difference between the consumption before and after the remodel calculated as follows:</t>
    </r>
  </si>
  <si>
    <t>[(consumption before remodel - consumption after remodel)/consumption before remodel]*100%</t>
  </si>
  <si>
    <t>The occupancy and lifestyle assumed and the method of making the water consumption estimates shall be the same for estimates before and after the remodel. The building configuration for the after-remodel estimate shall include any changes to the configuration of the building such as additions or new points of water use. For multifamily buildings, the water consumption shall be based on the entire building including all dwelling units and common areas.</t>
  </si>
  <si>
    <t>Interior Water Usage</t>
  </si>
  <si>
    <t>BEFORE Remodel</t>
  </si>
  <si>
    <t>AFTER Remodel</t>
  </si>
  <si>
    <t># of uses 
per week</t>
  </si>
  <si>
    <t>flow rate 
(gpm/gpf)</t>
  </si>
  <si>
    <t>gallons 
per use</t>
  </si>
  <si>
    <t>Fixture</t>
  </si>
  <si>
    <t>Kitchen</t>
  </si>
  <si>
    <t>Sink faucet</t>
  </si>
  <si>
    <t>Dishwasher</t>
  </si>
  <si>
    <t>Bathroom #1</t>
  </si>
  <si>
    <t>toilet</t>
  </si>
  <si>
    <t>shower</t>
  </si>
  <si>
    <t>sink #1</t>
  </si>
  <si>
    <t>sink #2</t>
  </si>
  <si>
    <t>tub</t>
  </si>
  <si>
    <t>Bathroom #2</t>
  </si>
  <si>
    <t>Bathroom #3</t>
  </si>
  <si>
    <t xml:space="preserve">Other                             </t>
  </si>
  <si>
    <t>Outdoor Water Usage</t>
  </si>
  <si>
    <t># months 
per year</t>
  </si>
  <si>
    <t>Front Yard irrigation</t>
  </si>
  <si>
    <t>Back yard irrigation</t>
  </si>
  <si>
    <t>Hose Bib #1</t>
  </si>
  <si>
    <t>Hose Bib #2</t>
  </si>
  <si>
    <t>TOTAL ESTIMATED USAGE</t>
  </si>
  <si>
    <t>Percent Reduction in water usage</t>
  </si>
  <si>
    <t>END OF CHAPTER 8</t>
  </si>
  <si>
    <t>CLICK TO PROCEED TO CHAPTER 9 &gt;&gt;</t>
  </si>
  <si>
    <t>Ch9Level</t>
  </si>
  <si>
    <t>Ch9Points</t>
  </si>
  <si>
    <t>Ch9NLev</t>
  </si>
  <si>
    <t>Ch9MandError</t>
  </si>
  <si>
    <t>Ch9Error</t>
  </si>
  <si>
    <t>Chapter 9: Indoor Environmental Quality</t>
  </si>
  <si>
    <t>11.901 POLLUTANT SORCE CONTROL</t>
  </si>
  <si>
    <t>901.0</t>
  </si>
  <si>
    <t>11.901.0</t>
  </si>
  <si>
    <r>
      <t>11.901.0 Intent.</t>
    </r>
    <r>
      <rPr>
        <sz val="10"/>
        <color theme="1"/>
        <rFont val="Calibri"/>
        <family val="2"/>
        <scheme val="minor"/>
      </rPr>
      <t xml:space="preserve"> Pollutant sources are controlled.</t>
    </r>
  </si>
  <si>
    <t>11.901.1</t>
  </si>
  <si>
    <t>11.901.1 Space and water heating options</t>
  </si>
  <si>
    <t>901.1.1</t>
  </si>
  <si>
    <t>11.901.1.1</t>
  </si>
  <si>
    <r>
      <t>11.901.1.1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</si>
  <si>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</si>
  <si>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</si>
  <si>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t>11.901.1.2</t>
  </si>
  <si>
    <r>
      <t xml:space="preserve">11.901.1.2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</si>
  <si>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</si>
  <si>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</si>
  <si>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t>11.901.1.3</t>
  </si>
  <si>
    <r>
      <t>11.901.1.3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</si>
  <si>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</si>
  <si>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</si>
  <si>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</si>
  <si>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</si>
  <si>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</si>
  <si>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</si>
  <si>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</si>
  <si>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t>11.901.1.4</t>
  </si>
  <si>
    <r>
      <t xml:space="preserve">11.901.1.4 </t>
    </r>
    <r>
      <rPr>
        <sz val="10"/>
        <color theme="1"/>
        <rFont val="Calibri"/>
        <family val="2"/>
        <scheme val="minor"/>
      </rPr>
      <t>Newly installed 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</si>
  <si>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901.1.5</t>
  </si>
  <si>
    <t>11.901.1.5</t>
  </si>
  <si>
    <r>
      <t xml:space="preserve">11.901.1.5 </t>
    </r>
    <r>
      <rPr>
        <sz val="10"/>
        <color theme="1"/>
        <rFont val="Calibri"/>
        <family val="2"/>
        <scheme val="minor"/>
      </rPr>
      <t>Natural gas and propane fireplaces are direct vented, have permanently fixed glass fronts or gasketed doors, and comply with CSA Z21.88/CSA 2.33 or CSA Z21.50b/CSA 2.22b.</t>
    </r>
  </si>
  <si>
    <t>901.1.6</t>
  </si>
  <si>
    <t>11.901.1.6</t>
  </si>
  <si>
    <r>
      <t xml:space="preserve">11.901.1.6 </t>
    </r>
    <r>
      <rPr>
        <sz val="10"/>
        <color theme="1"/>
        <rFont val="Calibri"/>
        <family val="2"/>
        <scheme val="minor"/>
      </rPr>
      <t>The following electric equipment is installed:</t>
    </r>
  </si>
  <si>
    <t>heat pump air handler in unconditioned space</t>
  </si>
  <si>
    <t>heat pump air handler in conditioned space</t>
  </si>
  <si>
    <t>11.901.2</t>
  </si>
  <si>
    <t>11.901.2 Solid fuel-burning appliances</t>
  </si>
  <si>
    <t>901.2.1</t>
  </si>
  <si>
    <t>11.901.2.1</t>
  </si>
  <si>
    <r>
      <t>11.901.2.1</t>
    </r>
    <r>
      <rPr>
        <sz val="10"/>
        <color theme="1"/>
        <rFont val="Calibri"/>
        <family val="2"/>
        <scheme val="minor"/>
      </rPr>
      <t xml:space="preserve"> Newly installed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</si>
  <si>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</si>
  <si>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EPA certified or Phase 2 Qualified.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</si>
  <si>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</si>
  <si>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</si>
  <si>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</si>
  <si>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</si>
  <si>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t>11.901.2.2</t>
  </si>
  <si>
    <r>
      <t>11.901.2.2</t>
    </r>
    <r>
      <rPr>
        <sz val="10"/>
        <color theme="1"/>
        <rFont val="Calibri"/>
        <family val="2"/>
      </rPr>
      <t xml:space="preserve"> Fireplaces, woodstoves, pellet stoves, or masonry heaters are not installed. </t>
    </r>
  </si>
  <si>
    <t>11.901.3</t>
  </si>
  <si>
    <r>
      <t>11.901.3 Garages.</t>
    </r>
    <r>
      <rPr>
        <sz val="10"/>
        <color theme="1"/>
        <rFont val="Calibri"/>
        <family val="2"/>
        <scheme val="minor"/>
      </rPr>
      <t xml:space="preserve"> Garages are in accordance with the following:</t>
    </r>
  </si>
  <si>
    <t>Attached garage</t>
  </si>
  <si>
    <t>Where installed in the common wall between the attached garage and conditioned space, the door is tightly sealed and gasketed.</t>
  </si>
  <si>
    <t xml:space="preserve">A continuous air barrier is provided between walls and ceilings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</si>
  <si>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</si>
  <si>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</si>
  <si>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t>11.901.4</t>
  </si>
  <si>
    <r>
      <rPr>
        <b/>
        <sz val="10"/>
        <color theme="1"/>
        <rFont val="Calibri"/>
        <family val="2"/>
        <scheme val="minor"/>
      </rPr>
      <t>11.901.4</t>
    </r>
    <r>
      <rPr>
        <sz val="10"/>
        <color theme="1"/>
        <rFont val="Calibri"/>
        <family val="2"/>
        <scheme val="minor"/>
      </rPr>
      <t xml:space="preserve"> Wood materials. A minimum of 85 percent of newly installed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</si>
  <si>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</si>
  <si>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</si>
  <si>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</si>
  <si>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</si>
  <si>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</si>
  <si>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</si>
  <si>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</si>
  <si>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</si>
  <si>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</si>
  <si>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</si>
  <si>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</si>
  <si>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t>11.901.5</t>
  </si>
  <si>
    <r>
      <t>11.901.5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newly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</si>
  <si>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</si>
  <si>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</si>
  <si>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</si>
  <si>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t>11.901.6</t>
  </si>
  <si>
    <r>
      <t>11.901.6 Carpets.</t>
    </r>
    <r>
      <rPr>
        <sz val="10"/>
        <color theme="1"/>
        <rFont val="Calibri"/>
        <family val="2"/>
        <scheme val="minor"/>
      </rPr>
      <t xml:space="preserve"> Wall-to-wall carpeting is not installed adjacent to water closets and bathing fixtures.</t>
    </r>
  </si>
  <si>
    <t>11.901.7</t>
  </si>
  <si>
    <r>
      <t>11.901.7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</si>
  <si>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</si>
  <si>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</si>
  <si>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</si>
  <si>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</si>
  <si>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</si>
  <si>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</si>
  <si>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</si>
  <si>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</si>
  <si>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</si>
  <si>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</si>
  <si>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Glass</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</si>
  <si>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</si>
  <si>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</si>
  <si>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</si>
  <si>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</si>
  <si>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t>11.901.8</t>
  </si>
  <si>
    <r>
      <t>11.901.8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When at least 10 percent of the interior wall surfaces are covered, a minimum of 85 percent of wall coverings are in accordance with the emission concentration limits of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in Appendix D.</t>
    </r>
  </si>
  <si>
    <t>11.901.9</t>
  </si>
  <si>
    <r>
      <t>11.901.9 Interior architectural coatings.</t>
    </r>
    <r>
      <rPr>
        <sz val="10"/>
        <color theme="1"/>
        <rFont val="Calibri"/>
        <family val="2"/>
        <scheme val="minor"/>
      </rPr>
      <t xml:space="preserve"> A minimum of 85 percent of newly applied interior architectural coatings are in accordance with either Section 11.901.9.1 or Section 11.901.9.3, not both. A minimum of 85 percent of architectural colorants are in accordance with Section 11.901.9.2.</t>
    </r>
  </si>
  <si>
    <t>901.9.1</t>
  </si>
  <si>
    <t>11.901.9.1</t>
  </si>
  <si>
    <r>
      <t>11.901.9.1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</si>
  <si>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</si>
  <si>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</si>
  <si>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11.901.9.1).</t>
    </r>
  </si>
  <si>
    <t>See Table 11.901.9.1</t>
  </si>
  <si>
    <t>901.9.2</t>
  </si>
  <si>
    <t>11.901.9.2</t>
  </si>
  <si>
    <r>
      <t>11.901.9.2</t>
    </r>
    <r>
      <rPr>
        <sz val="10"/>
        <color theme="1"/>
        <rFont val="Calibri"/>
        <family val="2"/>
        <scheme val="minor"/>
      </rPr>
      <t xml:space="preserve"> Architectural coating colorant additive VOC content is in accordance with Table 901.9.2.</t>
    </r>
  </si>
  <si>
    <t>(Points for 11.901.9.2 are awarded only if base architectural coating is in accordance with 11.901.9.1.)</t>
  </si>
  <si>
    <t>See Table 11.901.9.2</t>
  </si>
  <si>
    <t>901.9.3</t>
  </si>
  <si>
    <t>11.901.9.3</t>
  </si>
  <si>
    <r>
      <t>11.901.9.3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</si>
  <si>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901.9.4</t>
  </si>
  <si>
    <t>11.901.9.4</t>
  </si>
  <si>
    <r>
      <t>11.901.9.4</t>
    </r>
    <r>
      <rPr>
        <sz val="10"/>
        <color theme="1"/>
        <rFont val="Calibri"/>
        <family val="2"/>
        <scheme val="minor"/>
      </rPr>
      <t xml:space="preserve"> When the building is occupied during the remodel, a minimum of 85 percent of the newly applied interior architectural coatings are in accordance with either 11.901.9.1 or 11.901.9.3.</t>
    </r>
  </si>
  <si>
    <t>901.10</t>
  </si>
  <si>
    <t>11.901.10</t>
  </si>
  <si>
    <r>
      <t>11.901.10 Interior adhesives and sealants.</t>
    </r>
    <r>
      <rPr>
        <sz val="10"/>
        <color theme="1"/>
        <rFont val="Calibri"/>
        <family val="2"/>
        <scheme val="minor"/>
      </rPr>
      <t xml:space="preserve"> Interior low-VOC adhesives and sealants located inside the water proofing envelope: A minimum of 85 percent of newly applied site-applied products used within the interior of the building are in accordance with one of the following, as applicable.</t>
    </r>
  </si>
  <si>
    <t>The emission levels of CDPH/EHLB Standard Method v1.1. Emission levels are determined when tested by a laboratory accredited to ISO/IEC 17025 and the CDPH/EHLB Standard Method v1.1 is in its scope of accreditation. The product is certified by a third-party program accredited to ISO 17065, such as, but not limited to, those found in Appendix D.</t>
  </si>
  <si>
    <t>GreenSeal GS-36.</t>
  </si>
  <si>
    <t>SCAQMD Rule 1168 in accordance with Table 11.901.10(3), excluding products that are sold in 16 ounce containers or less and are regulated by the California Air Resources Board (CARB) Consumer Products Regulations.</t>
  </si>
  <si>
    <t>See Table 11.901.10(3)</t>
  </si>
  <si>
    <t>11.901.11</t>
  </si>
  <si>
    <r>
      <t>11.901.11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newly installed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</si>
  <si>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11.901.12</t>
  </si>
  <si>
    <r>
      <t>11.901.12 Carbon monoxide (CO) alarms.</t>
    </r>
    <r>
      <rPr>
        <sz val="10"/>
        <color theme="1"/>
        <rFont val="Calibri"/>
        <family val="2"/>
        <scheme val="minor"/>
      </rPr>
      <t xml:space="preserve"> A carbon monoxide (CO) alarm is provided in accordance with the IRC Section R315.</t>
    </r>
  </si>
  <si>
    <t>11.901.13</t>
  </si>
  <si>
    <r>
      <t>11.901.13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</si>
  <si>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</si>
  <si>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</si>
  <si>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11.901.14</t>
  </si>
  <si>
    <r>
      <t>11.901.14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</si>
  <si>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</si>
  <si>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</si>
  <si>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901.15</t>
  </si>
  <si>
    <t>11.901.15</t>
  </si>
  <si>
    <r>
      <t>11.901.15 Lead-safe work practices.</t>
    </r>
    <r>
      <rPr>
        <sz val="10"/>
        <color theme="1"/>
        <rFont val="Calibri"/>
        <family val="2"/>
        <scheme val="minor"/>
      </rPr>
      <t xml:space="preserve"> For buildings constructed before 1978, lead-safe work practices are used during the remodeling.</t>
    </r>
  </si>
  <si>
    <t>11.902 POLLUTANT CONTROL</t>
  </si>
  <si>
    <t>902.0</t>
  </si>
  <si>
    <t>11.902.0</t>
  </si>
  <si>
    <r>
      <t>11.902.0 Intent.</t>
    </r>
    <r>
      <rPr>
        <sz val="10"/>
        <color theme="1"/>
        <rFont val="Calibri"/>
        <family val="2"/>
        <scheme val="minor"/>
      </rPr>
      <t xml:space="preserve"> Pollutants generated in the building are controlled.</t>
    </r>
  </si>
  <si>
    <t>11.902.1</t>
  </si>
  <si>
    <t>11.902.1 Spot ventilation.</t>
  </si>
  <si>
    <t>11.902.1.1</t>
  </si>
  <si>
    <r>
      <t xml:space="preserve">11.902.1.1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</si>
  <si>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</si>
  <si>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</si>
  <si>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_2_</t>
  </si>
  <si>
    <t xml:space="preserve">Clothes dryers (except listed and labeled condensing ductless dryers) are vented to the outdoors. </t>
  </si>
  <si>
    <t>_3_</t>
  </si>
  <si>
    <t xml:space="preserve">Kitchen exhaust units and/or range hoods are ducted to the outdoors and have a minimum ventilation rate of 100 cfm (47.2 L/s) for intermittent operation or 25 cfm (11.8 L/s) for continuous operation. </t>
  </si>
  <si>
    <t>902.1.2</t>
  </si>
  <si>
    <t>11.902.1.2</t>
  </si>
  <si>
    <r>
      <t>11.902.1.2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</si>
  <si>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</si>
  <si>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</si>
  <si>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</si>
  <si>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</si>
  <si>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</si>
  <si>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</si>
  <si>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t>11.902.1.3</t>
  </si>
  <si>
    <r>
      <t>11.902.1.3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</si>
  <si>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</si>
  <si>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</si>
  <si>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</si>
  <si>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t>11.902.1.4</t>
  </si>
  <si>
    <r>
      <t xml:space="preserve">11.902.1.4 </t>
    </r>
    <r>
      <rPr>
        <sz val="10"/>
        <color theme="1"/>
        <rFont val="Calibri"/>
        <family val="2"/>
        <scheme val="minor"/>
      </rPr>
      <t xml:space="preserve">Exhaust fans are ENERGY STAR, as applicable. </t>
    </r>
  </si>
  <si>
    <t>ENERGY STAR, or equivalent, fans operating above 1 sone</t>
  </si>
  <si>
    <t># of fans:</t>
  </si>
  <si>
    <t>(Points awarded per fan.)</t>
  </si>
  <si>
    <t>ENERGY STAR, or equivalent, fans operating at or below 1 sone</t>
  </si>
  <si>
    <t>902.1.5</t>
  </si>
  <si>
    <t>11.902.1.5</t>
  </si>
  <si>
    <r>
      <t xml:space="preserve">11.902.1.5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</si>
  <si>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</si>
  <si>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</si>
  <si>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</si>
  <si>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11.902.2</t>
  </si>
  <si>
    <t>11.902.2 Building ventilation systems.</t>
  </si>
  <si>
    <t>902.2.1</t>
  </si>
  <si>
    <t>11.902.2.1</t>
  </si>
  <si>
    <r>
      <t xml:space="preserve">11.902.2.1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</si>
  <si>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</si>
  <si>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</si>
  <si>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</si>
  <si>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</si>
  <si>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</si>
  <si>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11.902.2.2</t>
  </si>
  <si>
    <r>
      <t>11.902.2.2</t>
    </r>
    <r>
      <rPr>
        <sz val="10"/>
        <color theme="1"/>
        <rFont val="Calibri"/>
        <family val="2"/>
        <scheme val="minor"/>
      </rPr>
      <t xml:space="preserve"> Ventilation airflow is tested to achieve the design fan airflow at point of exhaust in accordance with Section 11.902.2.1</t>
    </r>
  </si>
  <si>
    <t>902.2.3</t>
  </si>
  <si>
    <t>11.902.2.3</t>
  </si>
  <si>
    <r>
      <t>11.902.2.3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</si>
  <si>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</si>
  <si>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t>11.902.2.4</t>
  </si>
  <si>
    <r>
      <t xml:space="preserve">11.902.2.4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</si>
  <si>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11.902.3</t>
  </si>
  <si>
    <r>
      <t>11.902.3 Radon control.</t>
    </r>
    <r>
      <rPr>
        <sz val="10"/>
        <color theme="1"/>
        <rFont val="Calibri"/>
        <family val="2"/>
        <scheme val="minor"/>
      </rPr>
      <t xml:space="preserve"> Radon control measures are in accordance with ICC IRC Appendix F. Zones as defined in Figure 9(1). This practice is not mandatory if the existing building has been tested for radon and is accordance with federal and local acceptable limits.</t>
    </r>
  </si>
  <si>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</si>
  <si>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</si>
  <si>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</si>
  <si>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</si>
  <si>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</si>
  <si>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t>11.902.4</t>
  </si>
  <si>
    <r>
      <t>11.902.4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</si>
  <si>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</si>
  <si>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</si>
  <si>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11.902.5</t>
  </si>
  <si>
    <r>
      <t>11.902.5 Central vacuum systems.</t>
    </r>
    <r>
      <rPr>
        <sz val="10"/>
        <color theme="1"/>
        <rFont val="Calibri"/>
        <family val="2"/>
        <scheme val="minor"/>
      </rPr>
      <t xml:space="preserve"> Central vacuum system is installed and vented to the outside.</t>
    </r>
  </si>
  <si>
    <t>11.902.6</t>
  </si>
  <si>
    <r>
      <t>11.902.6 Living space contaminants.</t>
    </r>
    <r>
      <rPr>
        <sz val="10"/>
        <color theme="1"/>
        <rFont val="Calibri"/>
        <family val="2"/>
        <scheme val="minor"/>
      </rPr>
      <t xml:space="preserve"> The living space is sealed in accordance with Section 11.701.4.3.1 to prevent unwanted contaminants.</t>
    </r>
  </si>
  <si>
    <t>11.903 MOISTURE MANAGEMENT: VAPOR, RAINWATER, PLUMBING, HVAC</t>
  </si>
  <si>
    <t>903.0</t>
  </si>
  <si>
    <t>11.903.0</t>
  </si>
  <si>
    <r>
      <t>11.903.0 Intent.</t>
    </r>
    <r>
      <rPr>
        <sz val="10"/>
        <color theme="1"/>
        <rFont val="Calibri"/>
        <family val="2"/>
        <scheme val="minor"/>
      </rPr>
      <t xml:space="preserve"> Moisture and moisture effects are controlled.</t>
    </r>
  </si>
  <si>
    <t>11.903.1</t>
  </si>
  <si>
    <r>
      <t xml:space="preserve">11.903.1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</si>
  <si>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</si>
  <si>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</si>
  <si>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</si>
  <si>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</si>
  <si>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t>11.903.2</t>
  </si>
  <si>
    <r>
      <t>11.903.2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</si>
  <si>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</si>
  <si>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</si>
  <si>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11.903.3</t>
  </si>
  <si>
    <r>
      <t>11.903.3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</si>
  <si>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</si>
  <si>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</si>
  <si>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11.904 INDOOR AIR QUALITY </t>
  </si>
  <si>
    <t>904.0</t>
  </si>
  <si>
    <t>11.904.0</t>
  </si>
  <si>
    <r>
      <t xml:space="preserve">11.904.0 Intent. </t>
    </r>
    <r>
      <rPr>
        <sz val="10"/>
        <color theme="1"/>
        <rFont val="Calibri"/>
        <family val="2"/>
        <scheme val="minor"/>
      </rPr>
      <t>IAQ is protected by best practices to control ventilation, moisture, pollutant sources and sanitation.</t>
    </r>
  </si>
  <si>
    <t>11.904.1</t>
  </si>
  <si>
    <r>
      <t>11.904.1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(11.602.1.7.1(3)), materials comply with emission criteria (11.901.4- 11.901.11), sources of water infiltration or condensation observed during construction have been eliminated, accessible interior surfaces are dry and free of visible suspect growth (per ASTM D7338-10 section 6.3), and water damage (per ASTM D7338-10 section 7.4.3).</t>
    </r>
  </si>
  <si>
    <t>602.1.7.1(3):</t>
  </si>
  <si>
    <t>11.904.2</t>
  </si>
  <si>
    <r>
      <t>11.904.2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11.602.1.7.1(3), 11.901.4-11.901.11, ASTM D7338 Section 6.3, and ASTM D7338 Section 7.4.3.</t>
    </r>
  </si>
  <si>
    <t>11.905 INNOVATIVE PRACTICES</t>
  </si>
  <si>
    <t>11.905.1</t>
  </si>
  <si>
    <r>
      <t>11.905.1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</si>
  <si>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t>11.905.2</t>
  </si>
  <si>
    <r>
      <t>11.905.2 Kitchen exhaust.</t>
    </r>
    <r>
      <rPr>
        <sz val="10"/>
        <color theme="1"/>
        <rFont val="Calibri"/>
        <family val="2"/>
        <scheme val="minor"/>
      </rPr>
      <t xml:space="preserve"> A kitchen exhaust unit(s) that equals or exceeds 400 cfm (189 L/s) is installed, and makeup air is provided.</t>
    </r>
  </si>
  <si>
    <t>END OF CHAPTER 9</t>
  </si>
  <si>
    <t>CLICK TO PROCEED TO CHAPTER 10 &gt;&gt;</t>
  </si>
  <si>
    <t>Ch10Level</t>
  </si>
  <si>
    <t>Ch10Points</t>
  </si>
  <si>
    <t>Ch10NLev</t>
  </si>
  <si>
    <t>Ch10MandError</t>
  </si>
  <si>
    <t>Ch10Error</t>
  </si>
  <si>
    <t>Chapter 10: Operation, Maintenance, and Building Owner Education</t>
  </si>
  <si>
    <t>11.1001 HOMEOWNER’S MANUAL AND TRAINING GUIDELINES FOR ONE- AND TWO-FAMILY DWELLINGS</t>
  </si>
  <si>
    <t>1001.0</t>
  </si>
  <si>
    <t>11.1001.0</t>
  </si>
  <si>
    <r>
      <t>11.1001.0 Intent.</t>
    </r>
    <r>
      <rPr>
        <sz val="10"/>
        <color theme="1"/>
        <rFont val="Calibri"/>
        <family val="2"/>
        <scheme val="minor"/>
      </rPr>
      <t xml:space="preserve"> Information on the building’s use, maintenance, and green components is provided. </t>
    </r>
  </si>
  <si>
    <t>11.1001.1</t>
  </si>
  <si>
    <r>
      <t>11.1001.1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</si>
  <si>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</si>
  <si>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</si>
  <si>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</si>
  <si>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newly installed major equipment, fixtures, and appliances including product model numbers and serial numbers.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</si>
  <si>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</si>
  <si>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</si>
  <si>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</si>
  <si>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</si>
  <si>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</si>
  <si>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</si>
  <si>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</si>
  <si>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</si>
  <si>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</si>
  <si>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</si>
  <si>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</si>
  <si>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</si>
  <si>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</si>
  <si>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</si>
  <si>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</si>
  <si>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</si>
  <si>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</si>
  <si>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</si>
  <si>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</si>
  <si>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</si>
  <si>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</si>
  <si>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</si>
  <si>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</si>
  <si>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</si>
  <si>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</si>
  <si>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</si>
  <si>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</si>
  <si>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</si>
  <si>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</si>
  <si>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</si>
  <si>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</si>
  <si>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</si>
  <si>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</si>
  <si>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For buildings originally built before 1978, the EPA publications “Reducing Lead Hazards When Remodeling Your Home” and “Asbestos in Your Home: A Homeowner’s Guide”.</t>
  </si>
  <si>
    <t>(24)</t>
  </si>
  <si>
    <t>Explanation of and benefits from green cleaning in the home.</t>
  </si>
  <si>
    <t>(25)</t>
  </si>
  <si>
    <t>Retrofit energy calculator that provides baseline for future energy retrofits.</t>
  </si>
  <si>
    <t>11.1001.2</t>
  </si>
  <si>
    <r>
      <t>11.1001. 2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</si>
  <si>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</si>
  <si>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</si>
  <si>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</si>
  <si>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</si>
  <si>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</si>
  <si>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</si>
  <si>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</si>
  <si>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11.1002 CONSTRUCTION, OPERATION, AND MAINTENANCE MANUALS AND TRAINING FOR MULTI-UNIT BUILDINGS</t>
  </si>
  <si>
    <t>1002.0</t>
  </si>
  <si>
    <t>11.1002.0</t>
  </si>
  <si>
    <r>
      <t>11.1002.0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</si>
  <si>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11.1002.1</t>
  </si>
  <si>
    <r>
      <t xml:space="preserve">11.1002.1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11.1002.0.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</si>
  <si>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</si>
  <si>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</si>
  <si>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</si>
  <si>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</si>
  <si>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</si>
  <si>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</si>
  <si>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</si>
  <si>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</si>
  <si>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11.1002.2</t>
  </si>
  <si>
    <r>
      <t xml:space="preserve">11.1002.2 Operations manual. </t>
    </r>
    <r>
      <rPr>
        <sz val="10"/>
        <color theme="1"/>
        <rFont val="Calibri"/>
        <family val="2"/>
        <scheme val="minor"/>
      </rPr>
      <t xml:space="preserve">Operations manuals are created and distributed to the responsible parties in accordance with Section 11.1002.0.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</si>
  <si>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</si>
  <si>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</si>
  <si>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</si>
  <si>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</si>
  <si>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</si>
  <si>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</si>
  <si>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</si>
  <si>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</si>
  <si>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11.1002.3</t>
  </si>
  <si>
    <r>
      <t>11.1002.3 Maintenance manual.</t>
    </r>
    <r>
      <rPr>
        <sz val="10"/>
        <color theme="1"/>
        <rFont val="Calibri"/>
        <family val="2"/>
        <scheme val="minor"/>
      </rPr>
      <t xml:space="preserve"> Maintenance manuals are created and distributed to the responsible parties in accordance with Section 11.1002.0.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</si>
  <si>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</si>
  <si>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</si>
  <si>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</si>
  <si>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</si>
  <si>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</si>
  <si>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</si>
  <si>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</si>
  <si>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</si>
  <si>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</si>
  <si>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</si>
  <si>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</si>
  <si>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</si>
  <si>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11.1002.4</t>
  </si>
  <si>
    <r>
      <t>11.1002.4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newly installed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</si>
  <si>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</si>
  <si>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</si>
  <si>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</si>
  <si>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11.1003 PUBLIC EDUCATION </t>
  </si>
  <si>
    <t>1003.0</t>
  </si>
  <si>
    <t>11.1003.0</t>
  </si>
  <si>
    <r>
      <t xml:space="preserve">11.1003.0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</si>
  <si>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t>11.1003.1</t>
  </si>
  <si>
    <r>
      <t xml:space="preserve">11.1003.1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</si>
  <si>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</si>
  <si>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</si>
  <si>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</si>
  <si>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</si>
  <si>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END OF CHAPTER 10</t>
  </si>
  <si>
    <t>Selected</t>
  </si>
  <si>
    <t>Coding+Points</t>
  </si>
  <si>
    <t>NGBS Green is a site-verified certification. Buildings seeking NGBS Green certification must be inspected at least twice by an NGBS Green Accredited Verifier; once before drywall is installed so the Verifier can inspect NGBS green practices inside the wall, and once when the building is complete. For multifamily buildings, each unit must be inspected. Most practices must be visually inspected by the Verifier before certification points are awarded. Documents, plans, and specs are part of the verification process. Below is documentation the Verifer will need, in addition to ,visual inspection, to award certification points.</t>
  </si>
  <si>
    <t>filter column</t>
  </si>
  <si>
    <t>Required Documentation</t>
  </si>
  <si>
    <t>P</t>
  </si>
  <si>
    <t>Map showing location of transportation relative to the building.</t>
  </si>
  <si>
    <t>Distance is based walking or driving from the lot and not from the community entrance.</t>
  </si>
  <si>
    <t>None</t>
  </si>
  <si>
    <t>Community site plan or official local jurisdiction bike lane map.</t>
  </si>
  <si>
    <t>Approved bike plan showing location of designated bicycle parking and racks.</t>
  </si>
  <si>
    <r>
      <t>REQUIRED</t>
    </r>
    <r>
      <rPr>
        <sz val="10"/>
        <color theme="1"/>
        <rFont val="Calibri"/>
        <family val="2"/>
        <scheme val="minor"/>
      </rPr>
      <t>: 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t>
    </r>
  </si>
  <si>
    <t>Both a plan and implementation is required to award points. Lot specific information for:</t>
  </si>
  <si>
    <r>
      <t>REQUIRED:</t>
    </r>
    <r>
      <rPr>
        <sz val="10"/>
        <color theme="1"/>
        <rFont val="Calibri"/>
        <family val="2"/>
        <scheme val="minor"/>
      </rPr>
      <t xml:space="preserve"> Natural resource inventory signed by qualified professional.</t>
    </r>
  </si>
  <si>
    <r>
      <t>REQUIRED:</t>
    </r>
    <r>
      <rPr>
        <sz val="10"/>
        <color theme="1"/>
        <rFont val="Calibri"/>
        <family val="2"/>
        <scheme val="minor"/>
      </rPr>
      <t xml:space="preserve"> Written conservation plan. Examples of high priority resources include trees, waterways, snags, micro-habitats, etc.</t>
    </r>
  </si>
  <si>
    <t>Statement from professional that he/she directed plan implementation. This applies to high priority resources.</t>
  </si>
  <si>
    <t>Evidence of site supervisor training</t>
  </si>
  <si>
    <t>Invoice or other evidence from Certified Arborist.</t>
  </si>
  <si>
    <t>Statement from professional that maintenance of vegetation during construction complies.</t>
  </si>
  <si>
    <t>Written conservation plan.</t>
  </si>
  <si>
    <r>
      <t>REQUIRED</t>
    </r>
    <r>
      <rPr>
        <sz val="10"/>
        <color theme="1"/>
        <rFont val="Calibri"/>
        <family val="2"/>
        <scheme val="minor"/>
      </rPr>
      <t>: Hydrological study report applicable to the lot and statement that the intent of the requirement has been met.</t>
    </r>
  </si>
  <si>
    <t>Report from qualified professional indicating the percent alignment.</t>
  </si>
  <si>
    <t>Report from qualified professional stating intent of the requirement has been met.</t>
  </si>
  <si>
    <t>None. To receive points, the lot must have enough of a slope that these practices actually contribute to reducing the impact both short and long term. For example, a retaining wall must not just be for decorative purposes and driveways on flat lots do not get points for alignment</t>
  </si>
  <si>
    <t>Construction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</si>
  <si>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tunneling.</t>
  </si>
  <si>
    <t>Plans &amp; scopes of work showing use of smaller equipment.</t>
  </si>
  <si>
    <t>Plans showing shared utility trenches or easements.</t>
  </si>
  <si>
    <t>Plans showing utilities under paved surfaces instead of yards.</t>
  </si>
  <si>
    <t>Plans showing grading &amp; clearing limits.</t>
  </si>
  <si>
    <r>
      <t>REQUIRED:</t>
    </r>
    <r>
      <rPr>
        <sz val="10"/>
        <rFont val="Calibri"/>
        <family val="2"/>
        <scheme val="minor"/>
      </rPr>
      <t xml:space="preserve"> Hydrologic study report verifying the intent of the requirement has been met</t>
    </r>
  </si>
  <si>
    <t>Site assessment and plan that identifies important existing permeable soils, natural drainage ways and other water features.  Photos or other document showing water &amp; natural drainage prior to development.</t>
  </si>
  <si>
    <t>Engineer’s report showing 95% event will not result in rainwater leaving the lot.</t>
  </si>
  <si>
    <t>Calculation showing % of hardscape surface covered with permeable materials.</t>
  </si>
  <si>
    <r>
      <t>REQUIRED:</t>
    </r>
    <r>
      <rPr>
        <sz val="10"/>
        <color theme="1"/>
        <rFont val="Calibri"/>
        <family val="2"/>
        <scheme val="minor"/>
      </rPr>
      <t xml:space="preserve"> (for any of these sub practices): Lot specific plan and information</t>
    </r>
  </si>
  <si>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</si>
  <si>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</si>
  <si>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</si>
  <si>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</si>
  <si>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Calculation showing % of lot (minus building footprint &amp; hardscape) that is turf or EPA Budget Tool. Landscape plan by qualified landscape professional stating intent of practice will be met.</t>
  </si>
  <si>
    <t>Landscape plan by qualified landscape professional showing watering needs. This practice applies to plants on the lot and the plan should show the hydrozoning.</t>
  </si>
  <si>
    <t>Landscape plan by qualified professional stating intent of practice will be met.</t>
  </si>
  <si>
    <t>PO or invoice for contractor providing onsite recycling.</t>
  </si>
  <si>
    <r>
      <t>REQUIRED:</t>
    </r>
    <r>
      <rPr>
        <sz val="10"/>
        <color theme="1"/>
        <rFont val="Calibri"/>
        <family val="2"/>
        <scheme val="minor"/>
      </rPr>
      <t xml:space="preserve"> Pest management plan.</t>
    </r>
  </si>
  <si>
    <t>Development-wide or lot-specific wildlife management plan by a qualified professional. The measures to support wildlife habitat should be commensurate with the lot size and surroundings. Points are available for lots when community space supports wildlife habitat. The minimum support measures should include at least 2 of the following: area for shelter, natural food source, and natural water source.</t>
  </si>
  <si>
    <t>Lot specific plan showing no sensitive areas. These points available if the lot does not contain any environmentally sensitive areas, or if the lot does contain an environmentally sensitive area and this area is not disturbed by the construction.</t>
  </si>
  <si>
    <t>Lot specific plan showing original location of sensitive areas. Plan by qualified professional showing appropriate mitigation or restoration steps. These points are available only if the lot has a compromised environmentally sensitive area on the lot. Points cannot be claimed for mandatory mitigation or restoration of federally-protected sensitive areas unless the mitigation or restoration is greater than that which was required through the federal permit process.</t>
  </si>
  <si>
    <t>List of practices implemented from 503.3. This practice applies to activities on the lot.</t>
  </si>
  <si>
    <t>None. All designated trees and vegetation on the lot or adjacent to the lot that might be disturbed by the construction must be protected in order to award these points.</t>
  </si>
  <si>
    <t>Landscape plan. The lot must have at least one tree identified for saving on the plan and all of the identified trees must be avoided to earn these points.</t>
  </si>
  <si>
    <t>Invoice or other evidence from qualified arborist. Besides evidence that all appropriate measures above have been implemented, the designated trees and vegetation must be healthy on completion of the project. Designated trees are trees existing on the lot before construction began.</t>
  </si>
  <si>
    <t>Storm water pollution prevention plan. These controls must be on the lot.</t>
  </si>
  <si>
    <t>None. Lot lines alone are not sufficient for this practice except on small urban lots where the building footprint consumes at least 50% of the lot.</t>
  </si>
  <si>
    <t>The no disturbance zone may be adjacent to the lot when the zone is close enough to be impacted by the construction.</t>
  </si>
  <si>
    <t>None. Stockpiled topsoil can either be from the lot itself or from the construction of the development, but the stockpiled topsoil must be used on the lot for points to be awarded.</t>
  </si>
  <si>
    <t>None. This must be done for all heavy equipment used on the lot throughout the construction process.</t>
  </si>
  <si>
    <t>As-built construction schedule. This practice applies to the lot.</t>
  </si>
  <si>
    <t>Invoice or evidence from landscape contractor. The amount of amendments should be consistent with good landscape practice. A soil analysis or landscape professional would typically be required to identify the most appropriate amendments. Amendments or mulch should be applied to at least 50% of the landscaped area.</t>
  </si>
  <si>
    <t>Plans and scope of work showing alternative means used. When awarding points for tunneling at least 50% of the utilities must be installed with tunneling to earn these points. At least 75% of the utilities must be installed with low ground pressure equipment for these points. When awarding points for shared trenches or easements, at least three utilities must be in one trench or two utilities in each of two trenches or all utilities use the same easement.</t>
  </si>
  <si>
    <t>None. A shared driveway must be shared at least for 50% of its length.</t>
  </si>
  <si>
    <t>Document with local regulations</t>
  </si>
  <si>
    <t>None.</t>
  </si>
  <si>
    <t>Site and landscape plan.</t>
  </si>
  <si>
    <t>This practice applies to strategies implemented on the lot. Calculation showing percent of hardscape included in heat island minimization. Manufacture’s literature with SRI data.</t>
  </si>
  <si>
    <t>Manufacture’s literature with SRI data.</t>
  </si>
  <si>
    <t>Calculation of number of units divided by lot size for the building.</t>
  </si>
  <si>
    <t>None. These points are intended for buildings that contain other than residential uses in the building. The points for a mixed use community are awarded in 501.2(3).</t>
  </si>
  <si>
    <t>Site plan</t>
  </si>
  <si>
    <t>Plan specs.</t>
  </si>
  <si>
    <t>Plans or other document by architect or designer showing square footage calculation per ANSI Z765 for all finished floor area above grade. Calculation showing weighted average unit size for multi-family buildings.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</si>
  <si>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</si>
  <si>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</si>
  <si>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</si>
  <si>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</si>
  <si>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r>
      <t>REQUIRED:</t>
    </r>
    <r>
      <rPr>
        <sz val="10"/>
        <color theme="1"/>
        <rFont val="Calibri"/>
        <family val="2"/>
        <scheme val="minor"/>
      </rPr>
      <t xml:space="preserve"> Framing/structural plans, material and cut lists.</t>
    </r>
  </si>
  <si>
    <t>PO and documentation from producer.</t>
  </si>
  <si>
    <t xml:space="preserve">List of materials and manufacture’s literature (unless pre-finished is obvious) that do not get site finished. Note if used at 90%, 50%, or 35% level. </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</si>
  <si>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</si>
  <si>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</si>
  <si>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</si>
  <si>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</si>
  <si>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r>
      <t>MANDATORY</t>
    </r>
    <r>
      <rPr>
        <sz val="10"/>
        <color theme="1"/>
        <rFont val="Calibri"/>
        <family val="2"/>
        <scheme val="minor"/>
      </rPr>
      <t>. Plans showing exterior drain tile for foundation, if applicable. Photo(s) showing installation.</t>
    </r>
  </si>
  <si>
    <t>Plans showing exterior and interior rain tile for foundation, if applicable.</t>
  </si>
  <si>
    <t xml:space="preserve">If wet insulation is used, provide documentation of moisture content before enclosure. </t>
  </si>
  <si>
    <r>
      <t>Moisture sampling data by builder or 3</t>
    </r>
    <r>
      <rPr>
        <vertAlign val="superscript"/>
        <sz val="10"/>
        <color theme="1"/>
        <rFont val="Calibri"/>
        <family val="2"/>
        <scheme val="minor"/>
      </rPr>
      <t>rd</t>
    </r>
    <r>
      <rPr>
        <sz val="10"/>
        <color theme="1"/>
        <rFont val="Calibri"/>
        <family val="2"/>
        <scheme val="minor"/>
      </rPr>
      <t xml:space="preserve"> party.</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</si>
  <si>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</si>
  <si>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REQUIRED</t>
    </r>
    <r>
      <rPr>
        <sz val="10"/>
        <color theme="1"/>
        <rFont val="Calibri"/>
        <family val="2"/>
        <scheme val="minor"/>
      </rPr>
      <t>: Hygrothermal analysis, such as WUFI.</t>
    </r>
  </si>
  <si>
    <r>
      <rPr>
        <b/>
        <sz val="10"/>
        <color theme="1"/>
        <rFont val="Calibri"/>
        <family val="2"/>
        <scheme val="minor"/>
      </rPr>
      <t>MANDATORY</t>
    </r>
    <r>
      <rPr>
        <sz val="10"/>
        <color theme="1"/>
        <rFont val="Calibri"/>
        <family val="2"/>
        <scheme val="minor"/>
      </rPr>
      <t xml:space="preserve"> Plans, specification, or scope of work showing WRB or drainage plane.</t>
    </r>
  </si>
  <si>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</si>
  <si>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</si>
  <si>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r>
      <t>MANDATORY</t>
    </r>
    <r>
      <rPr>
        <sz val="10"/>
        <color theme="1"/>
        <rFont val="Calibri"/>
        <family val="2"/>
        <scheme val="minor"/>
      </rPr>
      <t xml:space="preserve"> Manufacturer’s literature/specification/labeling showing ASTM compliance. Plans/specifications and scope of work showing installation. </t>
    </r>
  </si>
  <si>
    <t>See Table 602.1.12</t>
  </si>
  <si>
    <r>
      <t>MANDATORY</t>
    </r>
    <r>
      <rPr>
        <sz val="10"/>
        <color theme="1"/>
        <rFont val="Calibri"/>
        <family val="2"/>
        <scheme val="minor"/>
      </rPr>
      <t xml:space="preserve"> Plans showing ice barrier.</t>
    </r>
  </si>
  <si>
    <r>
      <t>MANDATORY</t>
    </r>
    <r>
      <rPr>
        <sz val="10"/>
        <color theme="1"/>
        <rFont val="Calibri"/>
        <family val="2"/>
        <scheme val="minor"/>
      </rPr>
      <t xml:space="preserve"> </t>
    </r>
  </si>
  <si>
    <t>Manufacturer’s literature showing ENERGY STAR Cool Roof, or documentation demonstrating equivilent to ENERGY STAR requirements .</t>
  </si>
  <si>
    <r>
      <t>MANDATORY</t>
    </r>
    <r>
      <rPr>
        <sz val="10"/>
        <color theme="1"/>
        <rFont val="Calibri"/>
        <family val="2"/>
        <scheme val="minor"/>
      </rPr>
      <t xml:space="preserve"> None.</t>
    </r>
  </si>
  <si>
    <t>MANDATORY</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</si>
  <si>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</si>
  <si>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</si>
  <si>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</si>
  <si>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See Table 604.1</t>
  </si>
  <si>
    <t>Post C&amp;D waste management plan on-site. Evidence that at least 50% of waste materials are being recycled or salvaged.</t>
  </si>
  <si>
    <t>No documentation required, but builder rep shall point out on-site recycling efforts and explain 50% goal.</t>
  </si>
  <si>
    <t>Compatible untreated biomass material (lumber, posts, beams, etc.) are set aside for combustion if a solid fuel-burning appliance per Section 901.2.1(2) will be available for on-site renewable energy.</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</si>
  <si>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</si>
  <si>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</si>
  <si>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</si>
  <si>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NGBS Green Certified Product (GCP)</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</si>
  <si>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</si>
  <si>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</si>
  <si>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</si>
  <si>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</si>
  <si>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t>Whole-building LCA in compliance with ASTM E2921.</t>
  </si>
  <si>
    <t>Documented ISO 14044 LCA comparing at least two products intended for the same application.</t>
  </si>
  <si>
    <t>Documented ISO 14044 Building Assembly LCA comparing at least two assemblies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</si>
  <si>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</si>
  <si>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</si>
  <si>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r>
      <t xml:space="preserve">REQUIRED: </t>
    </r>
    <r>
      <rPr>
        <sz val="10"/>
        <color theme="1"/>
        <rFont val="Calibri"/>
        <family val="2"/>
        <scheme val="minor"/>
      </rPr>
      <t>Type III industry-wide environmental product declaration for each product.</t>
    </r>
  </si>
  <si>
    <r>
      <t>REQUIRED:</t>
    </r>
    <r>
      <rPr>
        <sz val="10"/>
        <color theme="1"/>
        <rFont val="Calibri"/>
        <family val="2"/>
        <scheme val="minor"/>
      </rPr>
      <t xml:space="preserve"> Type III Environmental Product Declaration for each product.</t>
    </r>
  </si>
  <si>
    <r>
      <t>REQUIRED</t>
    </r>
    <r>
      <rPr>
        <sz val="10"/>
        <color theme="1"/>
        <rFont val="Calibri"/>
        <family val="2"/>
        <scheme val="minor"/>
      </rPr>
      <t>: Software output report for this building using ACCA Manual J AND Manual S or equivalent.</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</si>
  <si>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t>
    </r>
  </si>
  <si>
    <r>
      <t>REQUIRED</t>
    </r>
    <r>
      <rPr>
        <sz val="10"/>
        <color theme="1"/>
        <rFont val="Calibri"/>
        <family val="2"/>
        <scheme val="minor"/>
      </rPr>
      <t xml:space="preserve"> if applicable: When primary heat source in the building is a radiant or hydronic heating system, a statement from qualified professional of system design using industry-approved guidelines.</t>
    </r>
  </si>
  <si>
    <r>
      <t xml:space="preserve">MANDATORY </t>
    </r>
    <r>
      <rPr>
        <sz val="10"/>
        <color theme="1"/>
        <rFont val="Calibri"/>
        <family val="2"/>
        <scheme val="minor"/>
      </rPr>
      <t>if there is a duct system: For buildings with ducted systems provide product spec or trade contractor’s scope of work to confirm use of duct sealing using UL 181 tape, mastic, gaskets, or an IRC or ICC/IMC approved system.</t>
    </r>
  </si>
  <si>
    <r>
      <t>REQUIRED</t>
    </r>
    <r>
      <rPr>
        <sz val="10"/>
        <color theme="1"/>
        <rFont val="Calibri"/>
        <family val="2"/>
        <scheme val="minor"/>
      </rPr>
      <t>: Software output report for this building using ACCA Manual D or equivalent.</t>
    </r>
  </si>
  <si>
    <t>Drawing, specifications, scopes of work detailing air sealing that is not readily inspected during the rough inspection.</t>
  </si>
  <si>
    <r>
      <t>REQUIRED</t>
    </r>
    <r>
      <rPr>
        <sz val="10"/>
        <color theme="1"/>
        <rFont val="Calibri"/>
        <family val="2"/>
        <scheme val="minor"/>
      </rPr>
      <t xml:space="preserve">: Blower door report by qualified professional. </t>
    </r>
  </si>
  <si>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</si>
  <si>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t>Manufacturer’s label or literature indicating listing complying with this practice.</t>
  </si>
  <si>
    <t xml:space="preserve">Manufacturer’s literature stating compliance with the practice. </t>
  </si>
  <si>
    <t>Manufacturer’s literature.</t>
  </si>
  <si>
    <r>
      <rPr>
        <b/>
        <sz val="10"/>
        <color theme="1"/>
        <rFont val="Calibri"/>
        <family val="2"/>
        <scheme val="minor"/>
      </rPr>
      <t>MANDATORY</t>
    </r>
    <r>
      <rPr>
        <sz val="10"/>
        <color theme="1"/>
        <rFont val="Calibri"/>
        <family val="2"/>
        <scheme val="minor"/>
      </rPr>
      <t xml:space="preserve"> None.</t>
    </r>
  </si>
  <si>
    <t>Manufacturer’s literature or label. Note: The EPA does not certify fireplaces. There are EPA-qualified fireplaces that are acceptable for this practice.</t>
  </si>
  <si>
    <t>Manufacture’s literature or label.</t>
  </si>
  <si>
    <t>Manufacturer’s literature or label.</t>
  </si>
  <si>
    <r>
      <t xml:space="preserve">1a, and 1b are </t>
    </r>
    <r>
      <rPr>
        <b/>
        <sz val="10"/>
        <color theme="1"/>
        <rFont val="Calibri"/>
        <family val="2"/>
        <scheme val="minor"/>
      </rPr>
      <t>MANDATORY</t>
    </r>
    <r>
      <rPr>
        <sz val="10"/>
        <color theme="1"/>
        <rFont val="Calibri"/>
        <family val="2"/>
        <scheme val="minor"/>
      </rPr>
      <t xml:space="preserve"> if applicable</t>
    </r>
  </si>
  <si>
    <t>Manufacturer’s literature/specifications for fan.</t>
  </si>
  <si>
    <t>MANDATORY None.</t>
  </si>
  <si>
    <t>Manufacturer’s literature or label on product indicating CPA compliance.</t>
  </si>
  <si>
    <t>Manufacturer’s literature or label on product indicating HPVA compliance.</t>
  </si>
  <si>
    <t>Manufacturer’s literature or label on product indicating CPA4 compliance.</t>
  </si>
  <si>
    <t>Manufacturer’s literature or label on product indicating CARB compliance.</t>
  </si>
  <si>
    <t>Manufacturer’s literature demonstrating zero emissions.</t>
  </si>
  <si>
    <t xml:space="preserve">Manufacturer’s literature showing 3rd party certification. </t>
  </si>
  <si>
    <r>
      <rPr>
        <b/>
        <sz val="10"/>
        <rFont val="Calibri"/>
        <family val="2"/>
        <scheme val="minor"/>
      </rPr>
      <t xml:space="preserve">MANDATORY. </t>
    </r>
    <r>
      <rPr>
        <sz val="10"/>
        <color theme="1"/>
        <rFont val="Calibri"/>
        <family val="2"/>
        <scheme val="minor"/>
      </rPr>
      <t xml:space="preserve">
Manufacturer’s literature showing 3rd party certification. </t>
    </r>
  </si>
  <si>
    <t>None for listed materials (a)-(f) because they are deemed to comply. Manufacturer’s literature showing 3rd party certification for other materials, including carpet and carpet cushion. Scope of work or specification showing products to be installed.</t>
  </si>
  <si>
    <r>
      <t>Manufacturer’s literature showin</t>
    </r>
    <r>
      <rPr>
        <vertAlign val="superscript"/>
        <sz val="10"/>
        <color theme="1"/>
        <rFont val="Calibri"/>
        <family val="2"/>
        <scheme val="minor"/>
      </rPr>
      <t xml:space="preserve">g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</si>
  <si>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t>List of interior coatings used showing amount used, %, and VOC criteria. Manufacturer’s literature showing VOC. Scopes of work or specifications showing which materials were to be used.</t>
  </si>
  <si>
    <r>
      <t>11.901.9.2</t>
    </r>
    <r>
      <rPr>
        <sz val="10"/>
        <color theme="1"/>
        <rFont val="Calibri"/>
        <family val="2"/>
        <scheme val="minor"/>
      </rPr>
      <t xml:space="preserve"> Architectural coating colorant additive VOC content is in accordance with Table 11.901.9.2.</t>
    </r>
  </si>
  <si>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</si>
  <si>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</si>
  <si>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</si>
  <si>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</si>
  <si>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NFPA and CSA or UL compliance.</t>
  </si>
  <si>
    <t>Manufacturer’s literature/specifications for the fan showing cfm.</t>
  </si>
  <si>
    <t>Manufacturer’s literature/specifications showing cfm.</t>
  </si>
  <si>
    <r>
      <t>3</t>
    </r>
    <r>
      <rPr>
        <vertAlign val="superscript"/>
        <sz val="10"/>
        <color theme="1"/>
        <rFont val="Calibri"/>
        <family val="2"/>
        <scheme val="minor"/>
      </rPr>
      <t>rd</t>
    </r>
    <r>
      <rPr>
        <sz val="10"/>
        <color theme="1"/>
        <rFont val="Calibri"/>
        <family val="2"/>
        <scheme val="minor"/>
      </rPr>
      <t xml:space="preserve"> party test report showing compliance as installed.</t>
    </r>
  </si>
  <si>
    <t>ENERGY STAR label or literature for basic fans or fans below 1 sone; or documentation demonstrating equivalent to ENERGY STAR requirements.</t>
  </si>
  <si>
    <t>MANDATORY if ACH50 is less than 5 for any of 701.4.3.2(1), or 703.1.5, or 704.5.2.1 or any blower door testing that has been done.</t>
  </si>
  <si>
    <r>
      <t xml:space="preserve">11.902.2.1 </t>
    </r>
    <r>
      <rPr>
        <sz val="10"/>
        <color theme="1"/>
        <rFont val="Calibri"/>
        <family val="2"/>
        <scheme val="minor"/>
      </rPr>
      <t>One of the following whole building ventilation systems is implemented and is in accordance with the specifications of Appendix B and an explanation of the operation and importance of the ventilation system is included in either 11.1001.1(9) or 11.1002.2(11).</t>
    </r>
  </si>
  <si>
    <t>Statement from qualified professional indicating system is in compliance with Appendix B.</t>
  </si>
  <si>
    <t>Test report by qualified professional showing compliance as installed.</t>
  </si>
  <si>
    <t>Designer/installer certification of system capability for installed MERV filters.</t>
  </si>
  <si>
    <t>None for passive system.</t>
  </si>
  <si>
    <t>Plans/specifications for active systems.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</si>
  <si>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</si>
  <si>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</si>
  <si>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</si>
  <si>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r>
      <t xml:space="preserve">Items (1) – (3) are </t>
    </r>
    <r>
      <rPr>
        <b/>
        <sz val="10"/>
        <color theme="1"/>
        <rFont val="Calibri"/>
        <family val="2"/>
        <scheme val="minor"/>
      </rPr>
      <t>mandatory</t>
    </r>
    <r>
      <rPr>
        <sz val="10"/>
        <color theme="1"/>
        <rFont val="Calibri"/>
        <family val="2"/>
        <scheme val="minor"/>
      </rPr>
      <t>.  Verifier should review homeowner’s manual that addresses the required 3 items and any of the listed additional optional items.</t>
    </r>
  </si>
  <si>
    <t>Builder’s documented procedures &amp; standard practices explaining the occupant training process. Examples of training materials and written confirmation from similar projects that training has been done.</t>
  </si>
  <si>
    <r>
      <t xml:space="preserve">Items (1) – (3) are </t>
    </r>
    <r>
      <rPr>
        <b/>
        <sz val="10"/>
        <color theme="1"/>
        <rFont val="Calibri"/>
        <family val="2"/>
        <scheme val="minor"/>
      </rPr>
      <t>mandatory</t>
    </r>
    <r>
      <rPr>
        <sz val="10"/>
        <color theme="1"/>
        <rFont val="Calibri"/>
        <family val="2"/>
        <scheme val="minor"/>
      </rPr>
      <t>. Verifier must review building construction manual that addresses the mandatory 3 items (a certificate placeholder is acceptable) plus at least 2 of the listed additional optional items. Verify the expected process to deliver manual(s) to the responsible party.</t>
    </r>
  </si>
  <si>
    <t>Items (1) and (2) are mandatory.  Review the operations manual that includes both mandatory items and at least 2 from the list of optional items.</t>
  </si>
  <si>
    <t>Item (1) is mandatory.  Review the maintenance manual that addresses the mandatory item and at least 4 of the optional items.</t>
  </si>
  <si>
    <t>Builder’s documented procedures &amp; standard practices explaining the occupant training process. Examples of training materials and written confirmation from similar projects that training has actually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</si>
  <si>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</si>
  <si>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</si>
  <si>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</si>
  <si>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t>Page</t>
  </si>
  <si>
    <t>Start Here!</t>
  </si>
  <si>
    <t>Ch.5</t>
  </si>
  <si>
    <t>Ch.6</t>
  </si>
  <si>
    <t>Ch.7</t>
  </si>
  <si>
    <t>Ch. 9</t>
  </si>
  <si>
    <t>Name</t>
  </si>
  <si>
    <t>TorF</t>
  </si>
  <si>
    <t>Basement</t>
  </si>
  <si>
    <t>Furnace</t>
  </si>
  <si>
    <t>Gas</t>
  </si>
  <si>
    <t>Ducted</t>
  </si>
  <si>
    <t>Heat Pump</t>
  </si>
  <si>
    <t>Fiberglass</t>
  </si>
  <si>
    <t>Yes</t>
  </si>
  <si>
    <t>2003 IECC</t>
  </si>
  <si>
    <t>2003 IRC</t>
  </si>
  <si>
    <t>front only</t>
  </si>
  <si>
    <t>2 story bldg.</t>
  </si>
  <si>
    <t>35% to less than 50%</t>
  </si>
  <si>
    <t>Met</t>
  </si>
  <si>
    <t>None to slight</t>
  </si>
  <si>
    <t>1 exterior door</t>
  </si>
  <si>
    <t>more than .5%</t>
  </si>
  <si>
    <t>ATFS</t>
  </si>
  <si>
    <t>1 material</t>
  </si>
  <si>
    <t>1 product</t>
  </si>
  <si>
    <t>1 component</t>
  </si>
  <si>
    <t>1 comparison</t>
  </si>
  <si>
    <t>4 impact measures</t>
  </si>
  <si>
    <t>1%+</t>
  </si>
  <si>
    <t>HERS Rater</t>
  </si>
  <si>
    <t>Mbtu</t>
  </si>
  <si>
    <t>Multifamily</t>
  </si>
  <si>
    <t>Vented crawlspace</t>
  </si>
  <si>
    <t>Boiler</t>
  </si>
  <si>
    <t>Propane</t>
  </si>
  <si>
    <t>Ductless</t>
  </si>
  <si>
    <t>Electric Air Conditiner</t>
  </si>
  <si>
    <t>Photovoltaic</t>
  </si>
  <si>
    <t>Cellulose</t>
  </si>
  <si>
    <t>Vented</t>
  </si>
  <si>
    <t>No</t>
  </si>
  <si>
    <t>2006 IECC</t>
  </si>
  <si>
    <t>2006 IRC</t>
  </si>
  <si>
    <t>rear only</t>
  </si>
  <si>
    <t>3 story bldg.</t>
  </si>
  <si>
    <t>50% to less than 90%</t>
  </si>
  <si>
    <t>Not Met</t>
  </si>
  <si>
    <t>Slight to Moderate</t>
  </si>
  <si>
    <t>2 exterior door</t>
  </si>
  <si>
    <t>more than 1%</t>
  </si>
  <si>
    <t>CSA Z809</t>
  </si>
  <si>
    <t>2 materials</t>
  </si>
  <si>
    <t>2 products</t>
  </si>
  <si>
    <t>2 components</t>
  </si>
  <si>
    <t>2 comparisons</t>
  </si>
  <si>
    <t>5+ impact measures</t>
  </si>
  <si>
    <t>2%+</t>
  </si>
  <si>
    <t>AEE BESA</t>
  </si>
  <si>
    <t>Dollars</t>
  </si>
  <si>
    <t>Conditioned crawlspace</t>
  </si>
  <si>
    <t>Oil</t>
  </si>
  <si>
    <t>No System</t>
  </si>
  <si>
    <t>Ground Source Heat Pump</t>
  </si>
  <si>
    <t>Solar Hot Water</t>
  </si>
  <si>
    <t>Rigid Foam</t>
  </si>
  <si>
    <t>Sealed</t>
  </si>
  <si>
    <t>2009 IECC</t>
  </si>
  <si>
    <t>2009 IRC</t>
  </si>
  <si>
    <t>full</t>
  </si>
  <si>
    <t>4+ story bldg.</t>
  </si>
  <si>
    <t>90% or more</t>
  </si>
  <si>
    <t>N/A</t>
  </si>
  <si>
    <t>Moderate to heavy</t>
  </si>
  <si>
    <t>3+ exterior door</t>
  </si>
  <si>
    <t>FSC</t>
  </si>
  <si>
    <t>3+ materials</t>
  </si>
  <si>
    <t>3+ products</t>
  </si>
  <si>
    <t>3 components</t>
  </si>
  <si>
    <t>3 comparisons</t>
  </si>
  <si>
    <t>3%+</t>
  </si>
  <si>
    <t>BEMP</t>
  </si>
  <si>
    <t>Not Primary Heat</t>
  </si>
  <si>
    <t>Built to IBC</t>
  </si>
  <si>
    <t>Slab on grade</t>
  </si>
  <si>
    <t>Electric Resistance</t>
  </si>
  <si>
    <t>Electricity</t>
  </si>
  <si>
    <t>Gas Engine-Driven Heat Pump</t>
  </si>
  <si>
    <t>Solar Heating</t>
  </si>
  <si>
    <t>Spray Foam</t>
  </si>
  <si>
    <t>Other</t>
  </si>
  <si>
    <t>2012 IECC</t>
  </si>
  <si>
    <t>2012 IRC</t>
  </si>
  <si>
    <t>Very heavy</t>
  </si>
  <si>
    <t>PEFC</t>
  </si>
  <si>
    <t>4 components</t>
  </si>
  <si>
    <t>4 comparisons</t>
  </si>
  <si>
    <t>4%+</t>
  </si>
  <si>
    <t>ES MFHR LP</t>
  </si>
  <si>
    <t>No Radiant or Hydronic</t>
  </si>
  <si>
    <t>Basement &amp; vented crawlspace</t>
  </si>
  <si>
    <t>Wood/Biomass</t>
  </si>
  <si>
    <t>Wind</t>
  </si>
  <si>
    <t>Fiberglass &amp; Rigid Foam</t>
  </si>
  <si>
    <t>2015 IECC</t>
  </si>
  <si>
    <t>2015 IRC</t>
  </si>
  <si>
    <t>RPP</t>
  </si>
  <si>
    <t>5+ components</t>
  </si>
  <si>
    <t>5 components</t>
  </si>
  <si>
    <t>5+ comparisons</t>
  </si>
  <si>
    <t>5%+</t>
  </si>
  <si>
    <t>Basement &amp; slab on grade</t>
  </si>
  <si>
    <t>Cellulose &amp; Rigid Foam</t>
  </si>
  <si>
    <t>2018 IECC</t>
  </si>
  <si>
    <t>2018 IRC</t>
  </si>
  <si>
    <t>SFI</t>
  </si>
  <si>
    <t>6 components</t>
  </si>
  <si>
    <t>6%+</t>
  </si>
  <si>
    <t>Slab + crawlspace</t>
  </si>
  <si>
    <t>SIP</t>
  </si>
  <si>
    <t>2003 IBC</t>
  </si>
  <si>
    <t>7 components</t>
  </si>
  <si>
    <t>7%+</t>
  </si>
  <si>
    <t>Spray &amp; Rigid Foam</t>
  </si>
  <si>
    <t>2006 IBC</t>
  </si>
  <si>
    <t>8 components</t>
  </si>
  <si>
    <t>8%+</t>
  </si>
  <si>
    <t>2009 IBC</t>
  </si>
  <si>
    <t>9 components</t>
  </si>
  <si>
    <t>9%+</t>
  </si>
  <si>
    <t>2012 IBC</t>
  </si>
  <si>
    <t>10+ components</t>
  </si>
  <si>
    <t>10%+</t>
  </si>
  <si>
    <t>2015 IBC</t>
  </si>
  <si>
    <t>2018 IBC</t>
  </si>
  <si>
    <t>startError</t>
  </si>
  <si>
    <t>verStartError</t>
  </si>
  <si>
    <t>desGoalLevel</t>
  </si>
  <si>
    <t>Gold</t>
  </si>
  <si>
    <t>verGoalLevel</t>
  </si>
  <si>
    <t>threshholds</t>
  </si>
  <si>
    <t>design</t>
  </si>
  <si>
    <t>Bronze</t>
  </si>
  <si>
    <t>Silver</t>
  </si>
  <si>
    <t>Emerald</t>
  </si>
  <si>
    <t>earned</t>
  </si>
  <si>
    <t>Ch 5</t>
  </si>
  <si>
    <t>Ch 6</t>
  </si>
  <si>
    <t>Ch 7</t>
  </si>
  <si>
    <t>Ch7LevelFinal</t>
  </si>
  <si>
    <t>Ch 8</t>
  </si>
  <si>
    <t>Ch8LevelFinal</t>
  </si>
  <si>
    <t>Ch 9</t>
  </si>
  <si>
    <t>Ch 10</t>
  </si>
  <si>
    <t>des  add</t>
  </si>
  <si>
    <t>Dpoints</t>
  </si>
  <si>
    <t>Vpoints</t>
  </si>
  <si>
    <t>ver add</t>
  </si>
  <si>
    <t>Dlevel</t>
  </si>
  <si>
    <t>Vlevel</t>
  </si>
  <si>
    <t>Instructions: Verify all Designer inputs are correct using checkboxes. If incorrect, provide correct information.</t>
  </si>
  <si>
    <t>Mandatory info is missing from the Overview (Design) page!</t>
  </si>
  <si>
    <t>Overview (Verifier phase)</t>
  </si>
  <si>
    <t>Designer</t>
  </si>
  <si>
    <t>Correct?</t>
  </si>
  <si>
    <t>Correction</t>
  </si>
  <si>
    <t>Final</t>
  </si>
  <si>
    <t>verBuilderName</t>
  </si>
  <si>
    <t>verHomeAddress</t>
  </si>
  <si>
    <t>verLot</t>
  </si>
  <si>
    <t>verCity</t>
  </si>
  <si>
    <t>verState</t>
  </si>
  <si>
    <t>verCounty</t>
  </si>
  <si>
    <t>verZIP</t>
  </si>
  <si>
    <t>verSingleOrMulti</t>
  </si>
  <si>
    <t>verUnits</t>
  </si>
  <si>
    <t>verProjectName</t>
  </si>
  <si>
    <t>verYearBuilt</t>
  </si>
  <si>
    <t>verAGFloorArea</t>
  </si>
  <si>
    <t>verTCFloorArea</t>
  </si>
  <si>
    <t>verFloors</t>
  </si>
  <si>
    <t>verProjectDesc</t>
  </si>
  <si>
    <t>verHERS</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</si>
  <si>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</si>
  <si>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</si>
  <si>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</si>
  <si>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</si>
  <si>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</si>
  <si>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</si>
  <si>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</si>
  <si>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</si>
  <si>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</si>
  <si>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</si>
  <si>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</si>
  <si>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</si>
  <si>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</si>
  <si>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</si>
  <si>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</si>
  <si>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</si>
  <si>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</si>
  <si>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</si>
  <si>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</si>
  <si>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</si>
  <si>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</si>
  <si>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</si>
  <si>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verDuctless</t>
  </si>
  <si>
    <t>verRadiantHydronic</t>
  </si>
  <si>
    <t>verTLWH</t>
  </si>
  <si>
    <t>verCToilet</t>
  </si>
  <si>
    <t>verEnergyCode</t>
  </si>
  <si>
    <t>verBuildingCode</t>
  </si>
  <si>
    <t>Project ID:</t>
  </si>
  <si>
    <t>verProjectID</t>
  </si>
  <si>
    <t>Filters</t>
  </si>
  <si>
    <t>Goal Level:</t>
  </si>
  <si>
    <t>Mandatory Information is missing on the Overview (Verification) page!</t>
  </si>
  <si>
    <t>Chapter points</t>
  </si>
  <si>
    <t>final level</t>
  </si>
  <si>
    <t>There is mandatory information or practices missing from the Verifier pages!</t>
  </si>
  <si>
    <t>There are errors on the Verifier pages!</t>
  </si>
  <si>
    <t>verMandError</t>
  </si>
  <si>
    <t>verError</t>
  </si>
  <si>
    <t>Chapter</t>
  </si>
  <si>
    <t>R/F</t>
  </si>
  <si>
    <t>Home Address:</t>
  </si>
  <si>
    <t>Report Phase:</t>
  </si>
  <si>
    <t>Practice</t>
  </si>
  <si>
    <t>Points Claimed</t>
  </si>
  <si>
    <t>Points Awarded</t>
  </si>
  <si>
    <t>Rough</t>
  </si>
  <si>
    <t>dd</t>
  </si>
  <si>
    <t>Verifier Notes</t>
  </si>
  <si>
    <t>Design Phase Notes</t>
  </si>
  <si>
    <t>Reviewer Notes</t>
  </si>
  <si>
    <t>photoRev</t>
  </si>
  <si>
    <t>rgherror</t>
  </si>
  <si>
    <t>RF</t>
  </si>
  <si>
    <t>6</t>
  </si>
  <si>
    <t>3</t>
  </si>
  <si>
    <t>4</t>
  </si>
  <si>
    <t>5</t>
  </si>
  <si>
    <t>2</t>
  </si>
  <si>
    <t>R</t>
  </si>
  <si>
    <t>F</t>
  </si>
  <si>
    <t>601</t>
  </si>
  <si>
    <r>
      <t>11.601.2 Material usage.</t>
    </r>
    <r>
      <rPr>
        <sz val="10"/>
        <color theme="1"/>
        <rFont val="Calibri"/>
        <family val="2"/>
        <scheme val="minor"/>
      </rPr>
      <t xml:space="preserve"> Newly installed structural systems are designed or construction techniques are implemented that reduce and optimize material usage.</t>
    </r>
  </si>
  <si>
    <t>701</t>
  </si>
  <si>
    <r>
      <t>11.701.4.6 Fenestration specifications.</t>
    </r>
    <r>
      <rPr>
        <sz val="10"/>
        <color theme="1"/>
        <rFont val="Calibri"/>
        <family val="2"/>
        <scheme val="minor"/>
      </rPr>
      <t xml:space="preserve"> The NFRC-certified U-factor and SHGC of newly installed windows, exterior doors, skylights, and tubular daylighting devices (TDDs) do not exceed the values in Table 11.703.2.5.1.</t>
    </r>
  </si>
  <si>
    <r>
      <t>11.701.4.7 Replacement fenestration.</t>
    </r>
    <r>
      <rPr>
        <sz val="10"/>
        <color theme="1"/>
        <rFont val="Calibri"/>
        <family val="2"/>
        <scheme val="minor"/>
      </rPr>
      <t xml:space="preserve"> Where some or all of an existing fenestration unit is replaced with a new fenestration product, including sash and glazing, the NFRC-certified U-factor and SHGC of the replacement fenestration unit do not exceed the values in Table 11.703.2.5.1.</t>
    </r>
  </si>
  <si>
    <t>305.3.5 ENERGY EFFICIENCY</t>
  </si>
  <si>
    <t>GO TO ENERGY EFFICIENCY VERIFICATION PAGE</t>
  </si>
  <si>
    <t>801</t>
  </si>
  <si>
    <t>305.3.6 WATER EFFICIENCY</t>
  </si>
  <si>
    <t>GO TO WATER EFFICIENCY VERIFICATION PAGE</t>
  </si>
  <si>
    <t>901</t>
  </si>
  <si>
    <r>
      <t>903.0 Intent.</t>
    </r>
    <r>
      <rPr>
        <sz val="10"/>
        <color theme="1"/>
        <rFont val="Calibri"/>
        <family val="2"/>
        <scheme val="minor"/>
      </rPr>
      <t xml:space="preserve"> Moisture and moisture effects are controlled.</t>
    </r>
  </si>
  <si>
    <t>1001</t>
  </si>
  <si>
    <r>
      <t>1001.0 Intent.</t>
    </r>
    <r>
      <rPr>
        <sz val="10"/>
        <color theme="1"/>
        <rFont val="Calibri"/>
        <family val="2"/>
        <scheme val="minor"/>
      </rPr>
      <t xml:space="preserve"> Information on the building’s use, maintenance, and green components is provided. </t>
    </r>
  </si>
  <si>
    <t>11.1004 POST OCCUPANCY PERFORMANCE ASSESSMENT</t>
  </si>
  <si>
    <t>1004.0</t>
  </si>
  <si>
    <t>11.1004.0</t>
  </si>
  <si>
    <r>
      <t xml:space="preserve">11.1004.0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</si>
  <si>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t>See Table Table 305.3.5</t>
  </si>
  <si>
    <t>_1</t>
  </si>
  <si>
    <t>a1</t>
  </si>
  <si>
    <t>a2</t>
  </si>
  <si>
    <t>a3</t>
  </si>
  <si>
    <t>b1</t>
  </si>
  <si>
    <t>b2</t>
  </si>
  <si>
    <t>b3</t>
  </si>
  <si>
    <t>_2</t>
  </si>
  <si>
    <t>_3</t>
  </si>
  <si>
    <t>_4</t>
  </si>
  <si>
    <t>_5</t>
  </si>
  <si>
    <t>_6</t>
  </si>
  <si>
    <t>_7</t>
  </si>
  <si>
    <t>_8</t>
  </si>
  <si>
    <t>_9</t>
  </si>
  <si>
    <t>_10</t>
  </si>
  <si>
    <t>_11</t>
  </si>
  <si>
    <t>_12</t>
  </si>
  <si>
    <t>_13</t>
  </si>
  <si>
    <t>_14</t>
  </si>
  <si>
    <t>_15</t>
  </si>
  <si>
    <t>_16</t>
  </si>
  <si>
    <t>_17</t>
  </si>
  <si>
    <t>_18</t>
  </si>
  <si>
    <t>_19</t>
  </si>
  <si>
    <t>_20</t>
  </si>
  <si>
    <t>_21</t>
  </si>
  <si>
    <t>_22</t>
  </si>
  <si>
    <t>_23</t>
  </si>
  <si>
    <t>_24</t>
  </si>
  <si>
    <t>_25</t>
  </si>
  <si>
    <t>_26</t>
  </si>
  <si>
    <t>_27</t>
  </si>
  <si>
    <t>_28</t>
  </si>
  <si>
    <t>_29</t>
  </si>
  <si>
    <t>_30</t>
  </si>
  <si>
    <t>Practices that will be reviewed alongside 
the required photo documentation.</t>
  </si>
  <si>
    <t>If photos appear to contradict the points claimed, 
please explain in the Notes field in the Verifier report.</t>
  </si>
  <si>
    <t>include</t>
  </si>
  <si>
    <t>photoRevList</t>
  </si>
  <si>
    <t>Not OK</t>
  </si>
  <si>
    <t>use best judgement to confirm slope angle</t>
  </si>
  <si>
    <t>look at plants</t>
  </si>
  <si>
    <t>look at similar plants</t>
  </si>
  <si>
    <t>look for trees and shading</t>
  </si>
  <si>
    <t>look for silt fence</t>
  </si>
  <si>
    <t xml:space="preserve">look for silt fence </t>
  </si>
  <si>
    <t>look for silt fence or saftey fencing</t>
  </si>
  <si>
    <t>driveway appearance or google maps</t>
  </si>
  <si>
    <t>trees or other that create shading</t>
  </si>
  <si>
    <t>concrete driveway</t>
  </si>
  <si>
    <t>white or light roof color</t>
  </si>
  <si>
    <t>visual judgement</t>
  </si>
  <si>
    <r>
      <t>(For every 100 square feet (9.29 m</t>
    </r>
    <r>
      <rPr>
        <b/>
        <sz val="10"/>
        <color theme="1"/>
        <rFont val="Calibri"/>
        <family val="2"/>
      </rPr>
      <t>²</t>
    </r>
    <r>
      <rPr>
        <b/>
        <sz val="10"/>
        <color theme="1"/>
        <rFont val="Calibri"/>
        <family val="2"/>
        <scheme val="minor"/>
      </rPr>
      <t>) over 4,000 square feet (372 m²), one point is to be added the threshold points shown in Table 305.3.7 for each rating level.)</t>
    </r>
  </si>
  <si>
    <r>
      <t>11.601.3 Building dimensions and layouts.</t>
    </r>
    <r>
      <rPr>
        <sz val="10"/>
        <color theme="1"/>
        <rFont val="Calibri"/>
        <family val="2"/>
        <scheme val="minor"/>
      </rPr>
      <t xml:space="preserve"> Detailed framing or structural plans, material quantity lists and on-site cut lists for newly installed framing, structural materials, and sheathing materials are provided.</t>
    </r>
  </si>
  <si>
    <t>visual confirmation</t>
  </si>
  <si>
    <t xml:space="preserve">trim </t>
  </si>
  <si>
    <t>windows</t>
  </si>
  <si>
    <t>tyvek, or green osb walls with tape</t>
  </si>
  <si>
    <t xml:space="preserve">look at front door and estimate # covered doors excluding garage </t>
  </si>
  <si>
    <t xml:space="preserve">visually estimate roof overhangs </t>
  </si>
  <si>
    <t>visual inspection</t>
  </si>
  <si>
    <t>look for gutters and or downspouts</t>
  </si>
  <si>
    <t>NOTE: In the assigned Notes area, describe the types of products that comply with 11.608.1.</t>
  </si>
  <si>
    <t>NOTE: In the assigned Notes areas, list major and minor materials used that comply with 11.609.1.</t>
  </si>
  <si>
    <t>look for steps at the entery doors - fail</t>
  </si>
  <si>
    <t>look for chimney</t>
  </si>
  <si>
    <t>look for garage</t>
  </si>
  <si>
    <r>
      <t xml:space="preserve">11.901.9.4 </t>
    </r>
    <r>
      <rPr>
        <sz val="10"/>
        <color theme="1"/>
        <rFont val="Calibri"/>
        <family val="2"/>
        <scheme val="minor"/>
      </rPr>
      <t>When the building is occupied during the remodel, a minimum of 85 percent of the newly applied interior architectural coatings are in accordance with either 11.901.9.1 or 11.901.9.3.</t>
    </r>
  </si>
  <si>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</si>
  <si>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</si>
  <si>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</si>
  <si>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</si>
  <si>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</si>
  <si>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</si>
  <si>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</si>
  <si>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</si>
  <si>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</si>
  <si>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</si>
  <si>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Verifier</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</si>
  <si>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</si>
  <si>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</si>
  <si>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</si>
  <si>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</si>
  <si>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</si>
  <si>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t>Point Level:</t>
  </si>
  <si>
    <r>
      <t xml:space="preserve">CHAPTER </t>
    </r>
    <r>
      <rPr>
        <b/>
        <sz val="11"/>
        <color theme="1"/>
        <rFont val="Calibri"/>
        <family val="2"/>
        <scheme val="minor"/>
      </rPr>
      <t>10</t>
    </r>
    <r>
      <rPr>
        <sz val="11"/>
        <color theme="1"/>
        <rFont val="Calibri"/>
        <family val="2"/>
        <scheme val="minor"/>
      </rPr>
      <t xml:space="preserve"> OPERATION, MAINTENANCE</t>
    </r>
  </si>
  <si>
    <t>BRONZE</t>
  </si>
  <si>
    <t>SILVER</t>
  </si>
  <si>
    <t>GOLD</t>
  </si>
  <si>
    <t>EMERALD</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</si>
  <si>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</si>
  <si>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</si>
  <si>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</si>
  <si>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</si>
  <si>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Name:</t>
  </si>
  <si>
    <t>Email:</t>
  </si>
  <si>
    <t>Phone:</t>
  </si>
  <si>
    <t>Date:</t>
  </si>
  <si>
    <t>Verifier Comments &amp; Sign Off</t>
  </si>
  <si>
    <t>I have personally verified by inspection and/or document review the green practices for which I have awarded points during this rough inspection on this building following the guidance in theVerifier Agreement and Verifiers Resource Guide.  My company is not supplying product, participating in the physical construction of this project, or affiliated in any other way that would compromise the independence of my verification services.</t>
  </si>
  <si>
    <t>Verifier Signature:</t>
  </si>
  <si>
    <t>Verifier Comments:</t>
  </si>
  <si>
    <t>Start Time:</t>
  </si>
  <si>
    <t>(format: hh:mm AM)</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</si>
  <si>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</si>
  <si>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</si>
  <si>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</si>
  <si>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</si>
  <si>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</si>
  <si>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</si>
  <si>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</si>
  <si>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</si>
  <si>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</si>
  <si>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</si>
  <si>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</si>
  <si>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</si>
  <si>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</si>
  <si>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</si>
  <si>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</si>
  <si>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</si>
  <si>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</si>
  <si>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</si>
  <si>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</si>
  <si>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</si>
  <si>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</si>
  <si>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</si>
  <si>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</si>
  <si>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</si>
  <si>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</si>
  <si>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</si>
  <si>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</si>
  <si>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</si>
  <si>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</si>
  <si>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</si>
  <si>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</si>
  <si>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</si>
  <si>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Certification Level (Overall):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</si>
  <si>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</si>
  <si>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</si>
  <si>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</si>
  <si>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</si>
  <si>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</si>
  <si>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</si>
  <si>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</si>
  <si>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</si>
  <si>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</si>
  <si>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If the performance path has been selected also send a copy of the RemRate or EnergyGauge report.</t>
  </si>
  <si>
    <t>Batch ID:</t>
  </si>
  <si>
    <t>(The info below is transferred from the Rough Signature sheet; the information must have been entered there at Rough (except inspection date and removal))</t>
  </si>
  <si>
    <t>Final Address</t>
  </si>
  <si>
    <t>Remove:</t>
  </si>
  <si>
    <t>Delivery Method</t>
  </si>
  <si>
    <t>Expected Level</t>
  </si>
  <si>
    <t>US Mail</t>
  </si>
  <si>
    <t>Address On File</t>
  </si>
  <si>
    <t>Overnight $50.00</t>
  </si>
  <si>
    <t>Address as noted in Builder Comment</t>
  </si>
  <si>
    <t>Service Disclosure</t>
  </si>
  <si>
    <t>Verification Only</t>
  </si>
  <si>
    <t>Other sevices as disclosed to the right</t>
  </si>
  <si>
    <t>APPENDIX A</t>
  </si>
  <si>
    <t>DUCTED GARAGE EXHAUST FAN SIZING CRITERIA</t>
  </si>
  <si>
    <t>A100</t>
  </si>
  <si>
    <t>SCOPE AND APPLICABILITY</t>
  </si>
  <si>
    <r>
      <t>A101.1 Applicability of Appendix A.</t>
    </r>
    <r>
      <rPr>
        <sz val="10"/>
        <color theme="1"/>
        <rFont val="Arial"/>
        <family val="2"/>
      </rPr>
      <t xml:space="preserve"> Appendix A is part of this Standard. </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</si>
  <si>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</si>
  <si>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</si>
  <si>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t>A200</t>
  </si>
  <si>
    <t>AIR FLOW RATING</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</si>
  <si>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</si>
  <si>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TABLE A201</t>
  </si>
  <si>
    <t>Prescriptive Duct Sizing</t>
  </si>
  <si>
    <t>Duct Type</t>
  </si>
  <si>
    <t>Fan Rating</t>
  </si>
  <si>
    <t>Flex Duct</t>
  </si>
  <si>
    <t>Smooth Duct</t>
  </si>
  <si>
    <t>cfm @ 0.25 in. w.g.</t>
  </si>
  <si>
    <t>(L/s @ 62.5 Pa)</t>
  </si>
  <si>
    <t>Diameter, in. (mm)</t>
  </si>
  <si>
    <t>Maximum Length, ft (m)</t>
  </si>
  <si>
    <t>3 (75)</t>
  </si>
  <si>
    <t>5 (2)</t>
  </si>
  <si>
    <t>4 (100)</t>
  </si>
  <si>
    <t>70 (27)</t>
  </si>
  <si>
    <t>3 (1)</t>
  </si>
  <si>
    <t>105 (35)</t>
  </si>
  <si>
    <t>35 (12)</t>
  </si>
  <si>
    <t>5 (125)</t>
  </si>
  <si>
    <t>NL</t>
  </si>
  <si>
    <t>20 (7)</t>
  </si>
  <si>
    <t>135 (45)</t>
  </si>
  <si>
    <t>85 (28)</t>
  </si>
  <si>
    <t>55 (18)</t>
  </si>
  <si>
    <t>6 (150)</t>
  </si>
  <si>
    <t>125 (42)</t>
  </si>
  <si>
    <t>95 (32)</t>
  </si>
  <si>
    <t>145 (48)</t>
  </si>
  <si>
    <t>7 (175) and above</t>
  </si>
  <si>
    <t>This table assumes no elbows. Deduct 15 ft (5 m) of allowable duct length for each elbow.</t>
  </si>
  <si>
    <t>NL = no limit on duct length of this size.</t>
  </si>
  <si>
    <t>X = not allowed, any length of duct of this size with assumed turns and fitting will exceed the rated pressure drop.</t>
  </si>
  <si>
    <t>APPENDIX B</t>
  </si>
  <si>
    <t>WHOLE BUILDING VENTILATION SYSTEM SPECIFICATIONS</t>
  </si>
  <si>
    <t>B100</t>
  </si>
  <si>
    <r>
      <t>B101.1 Applicability of Appendix B.</t>
    </r>
    <r>
      <rPr>
        <sz val="10"/>
        <color theme="1"/>
        <rFont val="Arial"/>
        <family val="2"/>
      </rPr>
      <t xml:space="preserve"> Appendix B is part of this Standard. </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</si>
  <si>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</si>
  <si>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</si>
  <si>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t>B200</t>
  </si>
  <si>
    <t>WHOLE-BUILDING VENTILATION</t>
  </si>
  <si>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</si>
  <si>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r>
      <t xml:space="preserve">Exceptions: </t>
    </r>
    <r>
      <rPr>
        <sz val="10"/>
        <color theme="1"/>
        <rFont val="Arial"/>
        <family val="2"/>
      </rPr>
      <t>Whole-building mechanical systems are not required provided that at least one of the following conditions is met:</t>
    </r>
  </si>
  <si>
    <r>
      <t>(a)</t>
    </r>
    <r>
      <rPr>
        <sz val="10"/>
        <color theme="1"/>
        <rFont val="Arial"/>
        <family val="2"/>
      </rPr>
      <t xml:space="preserve"> </t>
    </r>
  </si>
  <si>
    <t>the building has no mechanical cooling and is in zone 1 or 2 of the ICC* IECC Climate Zone Map (see ASHRAE 62.2*, Figure 8.2), or</t>
  </si>
  <si>
    <r>
      <t>(b)</t>
    </r>
    <r>
      <rPr>
        <sz val="10"/>
        <color theme="1"/>
        <rFont val="Arial"/>
        <family val="2"/>
      </rPr>
      <t xml:space="preserve"> </t>
    </r>
  </si>
  <si>
    <t>the building is thermally conditioned for human occupancy for less than 876 hours per year,</t>
  </si>
  <si>
    <r>
      <t xml:space="preserve">and </t>
    </r>
    <r>
      <rPr>
        <sz val="10"/>
        <color theme="1"/>
        <rFont val="Arial"/>
        <family val="2"/>
      </rPr>
      <t>if the authority having jurisdiction determines that window operation is a locally permissible method of providing ventilation.</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</si>
  <si>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</si>
  <si>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B201.1.2 Alternative Ventilation</t>
    </r>
    <r>
      <rPr>
        <sz val="10"/>
        <color theme="1"/>
        <rFont val="Arial"/>
        <family val="2"/>
      </rPr>
      <t>. Other methods may be used to provide the required ventilation rates (of Tables B201.1a and B201.1b) when approved by a licensed design professional.</t>
    </r>
  </si>
  <si>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</si>
  <si>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t>Equation B201.1a</t>
  </si>
  <si>
    <t>where</t>
  </si>
  <si>
    <t>fan flow rate, cfm</t>
  </si>
  <si>
    <r>
      <t>floor area, ft</t>
    </r>
    <r>
      <rPr>
        <vertAlign val="superscript"/>
        <sz val="10"/>
        <color theme="1"/>
        <rFont val="Arial"/>
        <family val="2"/>
      </rPr>
      <t>2</t>
    </r>
  </si>
  <si>
    <t>number of bedrooms; not to be less than one</t>
  </si>
  <si>
    <t>Equation B201.1b</t>
  </si>
  <si>
    <t>fan flow rate, L/s</t>
  </si>
  <si>
    <r>
      <t>floor area, m</t>
    </r>
    <r>
      <rPr>
        <vertAlign val="superscript"/>
        <sz val="10"/>
        <color theme="1"/>
        <rFont val="Arial"/>
        <family val="2"/>
      </rPr>
      <t>2</t>
    </r>
  </si>
  <si>
    <t>TABLE B201.1a (I-P)</t>
  </si>
  <si>
    <t>Ventilation Air Requirements, cfm</t>
  </si>
  <si>
    <t>Floor Area</t>
  </si>
  <si>
    <t>Bedrooms</t>
  </si>
  <si>
    <r>
      <t>(ft</t>
    </r>
    <r>
      <rPr>
        <b/>
        <vertAlign val="superscript"/>
        <sz val="10"/>
        <color theme="1"/>
        <rFont val="Arial"/>
        <family val="2"/>
      </rPr>
      <t>2</t>
    </r>
    <r>
      <rPr>
        <b/>
        <sz val="10"/>
        <color theme="1"/>
        <rFont val="Arial"/>
        <family val="2"/>
      </rPr>
      <t>)</t>
    </r>
  </si>
  <si>
    <t>0–1</t>
  </si>
  <si>
    <t>2–3</t>
  </si>
  <si>
    <t>4–5</t>
  </si>
  <si>
    <t>6–7</t>
  </si>
  <si>
    <t>&gt;7</t>
  </si>
  <si>
    <t>&lt;1500</t>
  </si>
  <si>
    <t>1501–3000</t>
  </si>
  <si>
    <t>3001–4500</t>
  </si>
  <si>
    <t>4501–6000</t>
  </si>
  <si>
    <t>6001–7500</t>
  </si>
  <si>
    <t>&gt;7500</t>
  </si>
  <si>
    <t>TABLE B201.1b (SI)</t>
  </si>
  <si>
    <t>Ventilation Air Requirements, L/s</t>
  </si>
  <si>
    <r>
      <t>(m</t>
    </r>
    <r>
      <rPr>
        <b/>
        <vertAlign val="superscript"/>
        <sz val="10"/>
        <color theme="1"/>
        <rFont val="Arial"/>
        <family val="2"/>
      </rPr>
      <t>2</t>
    </r>
    <r>
      <rPr>
        <b/>
        <sz val="10"/>
        <color theme="1"/>
        <rFont val="Arial"/>
        <family val="2"/>
      </rPr>
      <t>)</t>
    </r>
  </si>
  <si>
    <t>&lt;139</t>
  </si>
  <si>
    <t>139.1–279</t>
  </si>
  <si>
    <t>279.1–418</t>
  </si>
  <si>
    <t>418.1–557</t>
  </si>
  <si>
    <t>557.1–697</t>
  </si>
  <si>
    <t>&gt;697</t>
  </si>
  <si>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</si>
  <si>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</si>
  <si>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</si>
  <si>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</si>
  <si>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</si>
  <si>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</si>
  <si>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</si>
  <si>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t>Equation B201.5</t>
  </si>
  <si>
    <t>=</t>
  </si>
  <si>
    <t>fan flow rate during the on-cycle</t>
  </si>
  <si>
    <t>ventilation air requirement (from Table B201.1a or B201.1b)</t>
  </si>
  <si>
    <r>
      <t>T</t>
    </r>
    <r>
      <rPr>
        <i/>
        <vertAlign val="subscript"/>
        <sz val="10"/>
        <color theme="1"/>
        <rFont val="Times New Roman"/>
        <family val="1"/>
      </rPr>
      <t>cyc</t>
    </r>
  </si>
  <si>
    <t>fan cycle time, defined as the total time for one on-cycle and one off-cycle (used in Table B201.5)</t>
  </si>
  <si>
    <t>ventilation effectiveness (from Table B201.5)</t>
  </si>
  <si>
    <t>fractional on time, defined as the on-time for one cycle divided by the cycle time</t>
  </si>
  <si>
    <t>TABLE B201.5</t>
  </si>
  <si>
    <t>Ventilation Effectiveness for Intermittent Fans</t>
  </si>
  <si>
    <t xml:space="preserve">Fractional On-Time, </t>
  </si>
  <si>
    <r>
      <t>Cycle Time, T</t>
    </r>
    <r>
      <rPr>
        <b/>
        <vertAlign val="subscript"/>
        <sz val="10"/>
        <color theme="1"/>
        <rFont val="Arial"/>
        <family val="2"/>
      </rPr>
      <t xml:space="preserve">cyc </t>
    </r>
    <r>
      <rPr>
        <b/>
        <sz val="10"/>
        <color theme="1"/>
        <rFont val="Arial"/>
        <family val="2"/>
      </rPr>
      <t>(h)</t>
    </r>
  </si>
  <si>
    <t>0-4</t>
  </si>
  <si>
    <t>*</t>
  </si>
  <si>
    <t xml:space="preserve">See Chapter 10 of Guideline 24 for an example of this calculation. </t>
  </si>
  <si>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</si>
  <si>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</si>
  <si>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</si>
  <si>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</si>
  <si>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Exception: </t>
    </r>
    <r>
      <rPr>
        <sz val="10"/>
        <color theme="1"/>
        <rFont val="Arial"/>
        <family val="2"/>
      </rPr>
      <t>These ventilation strategies are not restricted if the authority having jurisdiction approves the envelope design as being moisture resistant.</t>
    </r>
  </si>
  <si>
    <t xml:space="preserve">APPENDIX D </t>
  </si>
  <si>
    <t xml:space="preserve">EXAMPLES OF THIRD-PARTY PROGRAMS FOR INDOOR ENVIRONMENTAL QUALITY </t>
  </si>
  <si>
    <t>D100</t>
  </si>
  <si>
    <r>
      <t>D101.1 Applicability of Appendix D.</t>
    </r>
    <r>
      <rPr>
        <sz val="10"/>
        <color theme="1"/>
        <rFont val="Arial"/>
        <family val="2"/>
      </rPr>
      <t xml:space="preserve"> Appendix D is not part of this Standard. </t>
    </r>
  </si>
  <si>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</si>
  <si>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t>D200</t>
  </si>
  <si>
    <t>CONFORMANCE</t>
  </si>
  <si>
    <t>TABLE D200(1)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</si>
  <si>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</si>
  <si>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</si>
  <si>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</si>
  <si>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</si>
  <si>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</si>
  <si>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</si>
  <si>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</si>
  <si>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</si>
  <si>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</si>
  <si>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</si>
  <si>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</si>
  <si>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</si>
  <si>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</si>
  <si>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</si>
  <si>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</si>
  <si>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</si>
  <si>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</si>
  <si>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</si>
  <si>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</si>
  <si>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</si>
  <si>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</si>
  <si>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</si>
  <si>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TABLE D200(2)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</si>
  <si>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</si>
  <si>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</si>
  <si>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</si>
  <si>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</si>
  <si>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</si>
  <si>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</si>
  <si>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</si>
  <si>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</si>
  <si>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</si>
  <si>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</si>
  <si>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</si>
  <si>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</si>
  <si>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</si>
  <si>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</si>
  <si>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</si>
  <si>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</si>
  <si>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</si>
  <si>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</si>
  <si>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</si>
  <si>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</si>
  <si>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</si>
  <si>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</si>
  <si>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</si>
  <si>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</si>
  <si>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</si>
  <si>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</si>
  <si>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</si>
  <si>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</si>
  <si>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</si>
  <si>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</si>
  <si>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</si>
  <si>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</si>
  <si>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</si>
  <si>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</si>
  <si>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</si>
  <si>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</si>
  <si>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Chapter 7</t>
  </si>
  <si>
    <t>back to Verification Report</t>
  </si>
  <si>
    <t>Table 305.3.5</t>
  </si>
  <si>
    <t>Energy Rating Level Thresholds</t>
  </si>
  <si>
    <t>Rating Level</t>
  </si>
  <si>
    <t>Reduction in energy consumption</t>
  </si>
  <si>
    <t>back to Chapter 8</t>
  </si>
  <si>
    <t>Table 305.3.6</t>
  </si>
  <si>
    <t>Water Rating Level Thresholds</t>
  </si>
  <si>
    <t>Reduction in water consumption</t>
  </si>
  <si>
    <t>back to 11.602.1.12</t>
  </si>
  <si>
    <t>Table 11.602.1.12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</si>
  <si>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</si>
  <si>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</si>
  <si>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</si>
  <si>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</si>
  <si>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</si>
  <si>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</si>
  <si>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</si>
  <si>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</si>
  <si>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</si>
  <si>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</si>
  <si>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11.604.1</t>
  </si>
  <si>
    <t>Table 11.604.1</t>
  </si>
  <si>
    <t>Recycled Content</t>
  </si>
  <si>
    <t>Material Percentage
Recycled Content</t>
  </si>
  <si>
    <t>Points For 2 Minor</t>
  </si>
  <si>
    <t>Points For 2 Major</t>
  </si>
  <si>
    <t>25% to less than 50%</t>
  </si>
  <si>
    <t>50% to less than 75%</t>
  </si>
  <si>
    <t>more than 75%</t>
  </si>
  <si>
    <t>back to 11.610.1.2.1</t>
  </si>
  <si>
    <t>Table 11.610.1.2.1</t>
  </si>
  <si>
    <t>Product LCA</t>
  </si>
  <si>
    <t>4 Impact Measures</t>
  </si>
  <si>
    <t>5 Impact Measures</t>
  </si>
  <si>
    <t>POINTS</t>
  </si>
  <si>
    <t>back to 11.610.1.2.2</t>
  </si>
  <si>
    <t>Table 11.610.1.2.2</t>
  </si>
  <si>
    <t>Assembly LCA</t>
  </si>
  <si>
    <t>2 functional building elements</t>
  </si>
  <si>
    <t>3 functional building elements</t>
  </si>
  <si>
    <t>4 functional building elements</t>
  </si>
  <si>
    <t>Figure 6(2): Average Annual Precipitation</t>
  </si>
  <si>
    <t>back to 602.1.12</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</si>
  <si>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</si>
  <si>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</si>
  <si>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</si>
  <si>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</si>
  <si>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</si>
  <si>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</si>
  <si>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</si>
  <si>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</si>
  <si>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11.701.4.3.2(2)</t>
  </si>
  <si>
    <t>Table 11.701.4.3.2(2)</t>
  </si>
  <si>
    <t>Air Barrier and Insulation Installation</t>
  </si>
  <si>
    <t>back to 703.2.5.1</t>
  </si>
  <si>
    <t>Table 703.2.5.1</t>
  </si>
  <si>
    <t>Fenestration Specifications</t>
  </si>
  <si>
    <t>Climate Zones</t>
  </si>
  <si>
    <t>U-Factor</t>
  </si>
  <si>
    <t>SHGC</t>
  </si>
  <si>
    <t>Windows and Exterior Doors (maximums certified ratings)</t>
  </si>
  <si>
    <t>Skylights and TDDs (maximums certified ratings)</t>
  </si>
  <si>
    <t>5 to 8</t>
  </si>
  <si>
    <t>Any</t>
  </si>
  <si>
    <t>Exception: For Sun-tempered designs meeting the requirements of Section 703.7.1, the SHGC is permitted to be 0.40 or higher on south facing glass.</t>
  </si>
  <si>
    <t>back to 11.901.9.1</t>
  </si>
  <si>
    <t>Table 11.901.9.1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</si>
  <si>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</si>
  <si>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</si>
  <si>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</si>
  <si>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</si>
  <si>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</si>
  <si>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</si>
  <si>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</si>
  <si>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</si>
  <si>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</si>
  <si>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</si>
  <si>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</si>
  <si>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</si>
  <si>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</si>
  <si>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</si>
  <si>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</si>
  <si>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</si>
  <si>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</si>
  <si>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</si>
  <si>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</si>
  <si>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</si>
  <si>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</si>
  <si>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</si>
  <si>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</si>
  <si>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</si>
  <si>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</si>
  <si>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</si>
  <si>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</si>
  <si>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</si>
  <si>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</si>
  <si>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</si>
  <si>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</si>
  <si>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</si>
  <si>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</si>
  <si>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</si>
  <si>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</si>
  <si>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</si>
  <si>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</si>
  <si>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</si>
  <si>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</si>
  <si>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</si>
  <si>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</si>
  <si>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</si>
  <si>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</si>
  <si>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</si>
  <si>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</si>
  <si>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</si>
  <si>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</si>
  <si>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</si>
  <si>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</si>
  <si>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11.901.9.1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</si>
  <si>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</si>
  <si>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</si>
  <si>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11.901.9.2</t>
  </si>
  <si>
    <t>Table 11.901.9.2</t>
  </si>
  <si>
    <t>VOC Content Limits for Colorants</t>
  </si>
  <si>
    <t>Colorant</t>
  </si>
  <si>
    <t>LIMIT (g/l)</t>
  </si>
  <si>
    <t>Architectural Coatings, excluding IM Coatings</t>
  </si>
  <si>
    <t>Solvent-Based IM</t>
  </si>
  <si>
    <t>Waterborne IM</t>
  </si>
  <si>
    <t>back to 11.901.10(3)</t>
  </si>
  <si>
    <t>Table 11.901.10(3)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</si>
  <si>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</si>
  <si>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</si>
  <si>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</si>
  <si>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</si>
  <si>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</si>
  <si>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</si>
  <si>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</si>
  <si>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</si>
  <si>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</si>
  <si>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</si>
  <si>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</si>
  <si>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</si>
  <si>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</si>
  <si>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</si>
  <si>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</si>
  <si>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</si>
  <si>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</si>
  <si>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</si>
  <si>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</si>
  <si>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</si>
  <si>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</si>
  <si>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</si>
  <si>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</si>
  <si>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</si>
  <si>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</si>
  <si>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</si>
  <si>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</si>
  <si>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</si>
  <si>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</si>
  <si>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</si>
  <si>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</si>
  <si>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</si>
  <si>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</si>
  <si>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</si>
  <si>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</si>
  <si>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added "other" to modeler credential field, increased maximum values for some Ch. 7 and Ch. 8 fields</t>
  </si>
  <si>
    <t>3.1.0</t>
  </si>
  <si>
    <t>Removed GCP from 11.606.2, added option to 11.703.2.5, added "no affected areas" option to 11.701.4.3.2, adjusted rough/final for 11.901.3(1), added "N/A" option for 11.902.3(1), added energy code and building code options, unlocked "Other" felds in Overview (Verification) tab, added sampling, expanded batch submission, changed all print areas to portrait, corrected references to "11.703.2.5.1", added Table 703.2.5.1 as well as links, added Modeler Credential field</t>
  </si>
  <si>
    <t>3.0.2</t>
  </si>
  <si>
    <t>modified tab "Ch8" and "Verification (Ch.8)"  to include 1 decimal point for visual presentation</t>
  </si>
  <si>
    <t>3.0.1</t>
  </si>
  <si>
    <t xml:space="preserve">modified 305.3.5.1 Energy consumption reduction increase (ft²) from 50000 to 500000 </t>
  </si>
  <si>
    <t>3.0.0</t>
  </si>
  <si>
    <t>initial release</t>
  </si>
  <si>
    <t>Test Description</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</si>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</sst>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quot; timer(s)&quot;"/>
    <numFmt numFmtId="174" formatCode="0&quot; humidistat(s)&quot;"/>
    <numFmt numFmtId="175" formatCode="0&quot; fan(s)&quot;"/>
    <numFmt numFmtId="176" formatCode="mm/dd/yy;@"/>
    <numFmt numFmtId="177" formatCode="0.0&quot; gal.&quot;"/>
    <numFmt numFmtId="178" formatCode="0&quot; unit(s)&quot;"/>
  </numFmts>
  <fonts count="8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vertAlign val="superscript"/>
      <sz val="10"/>
      <color theme="1"/>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sz val="16"/>
      <color theme="1"/>
      <name val="Calibri"/>
      <family val="2"/>
      <scheme val="minor"/>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b/>
      <sz val="11"/>
      <color theme="1"/>
      <name val="Calibri"/>
      <family val="2"/>
    </font>
    <font>
      <u/>
      <sz val="11"/>
      <color theme="1"/>
      <name val="Calibri"/>
      <family val="2"/>
      <scheme val="minor"/>
    </font>
  </fonts>
  <fills count="52">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
      <patternFill patternType="solid">
        <fgColor rgb="FFFFC000"/>
        <bgColor indexed="64"/>
      </patternFill>
    </fill>
    <fill>
      <patternFill patternType="solid">
        <fgColor rgb="FFFFD700"/>
        <bgColor indexed="64"/>
      </patternFill>
    </fill>
  </fills>
  <borders count="1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style="thin">
        <color auto="1"/>
      </left>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auto="1"/>
      </top>
      <bottom style="double">
        <color auto="1"/>
      </bottom>
      <diagonal/>
    </border>
    <border>
      <left/>
      <right style="thin">
        <color theme="0"/>
      </right>
      <top style="thin">
        <color auto="1"/>
      </top>
      <bottom/>
      <diagonal/>
    </border>
    <border>
      <left/>
      <right/>
      <top/>
      <bottom style="thin">
        <color rgb="FFFFC000"/>
      </bottom>
      <diagonal/>
    </border>
    <border>
      <left style="thin">
        <color theme="0"/>
      </left>
      <right/>
      <top style="thin">
        <color auto="1"/>
      </top>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1"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62" fillId="0" borderId="0" applyNumberFormat="0" applyFill="0" applyBorder="0" applyAlignment="0" applyProtection="0"/>
  </cellStyleXfs>
  <cellXfs count="1239">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39" borderId="10" xfId="48" applyFont="1">
      <protection locked="0"/>
    </xf>
    <xf numFmtId="0" fontId="0" fillId="0" borderId="0" xfId="0"/>
    <xf numFmtId="0" fontId="21" fillId="34" borderId="0" xfId="50" applyAlignment="1">
      <alignment horizontal="left"/>
    </xf>
    <xf numFmtId="0" fontId="0" fillId="0" borderId="0" xfId="0"/>
    <xf numFmtId="0" fontId="0" fillId="0" borderId="0" xfId="0"/>
    <xf numFmtId="0" fontId="30" fillId="0" borderId="0" xfId="60" applyAlignment="1"/>
    <xf numFmtId="0" fontId="30" fillId="0" borderId="0" xfId="60" applyAlignment="1">
      <alignment horizontal="left"/>
    </xf>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30" fillId="0" borderId="0" xfId="60" applyAlignment="1" applyProtection="1"/>
    <xf numFmtId="0" fontId="30" fillId="0" borderId="0" xfId="60" applyAlignment="1" applyProtection="1">
      <alignment horizontal="left"/>
    </xf>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16" fillId="0" borderId="35" xfId="0" applyFont="1" applyBorder="1" applyAlignment="1">
      <alignment horizontal="center" vertical="center"/>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25" fillId="0" borderId="33" xfId="0" applyFont="1" applyBorder="1" applyAlignment="1">
      <alignment vertical="top"/>
    </xf>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0" fontId="0" fillId="0" borderId="0" xfId="0"/>
    <xf numFmtId="0" fontId="0" fillId="0" borderId="0" xfId="0"/>
    <xf numFmtId="0" fontId="0" fillId="0" borderId="0" xfId="0" applyAlignment="1">
      <alignment horizontal="center" vertical="center"/>
    </xf>
    <xf numFmtId="0" fontId="0" fillId="0" borderId="0" xfId="0"/>
    <xf numFmtId="0" fontId="16" fillId="0" borderId="0" xfId="0" applyNumberFormat="1" applyFont="1" applyAlignment="1">
      <alignment horizontal="center" vertical="center"/>
    </xf>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1" fillId="0" borderId="0" xfId="57" applyBorder="1"/>
    <xf numFmtId="0" fontId="0" fillId="0" borderId="0" xfId="0"/>
    <xf numFmtId="0" fontId="32" fillId="0" borderId="0" xfId="0" applyFont="1" applyAlignment="1">
      <alignment vertical="top"/>
    </xf>
    <xf numFmtId="0" fontId="18" fillId="0" borderId="0" xfId="0" applyFont="1" applyAlignment="1">
      <alignment horizontal="right" vertical="top"/>
    </xf>
    <xf numFmtId="0" fontId="0" fillId="0" borderId="0" xfId="0"/>
    <xf numFmtId="0" fontId="18" fillId="0" borderId="0" xfId="0" applyFont="1" applyAlignment="1">
      <alignment horizontal="left"/>
    </xf>
    <xf numFmtId="170" fontId="44" fillId="39" borderId="10" xfId="48" applyNumberFormat="1" applyFont="1">
      <protection locked="0"/>
    </xf>
    <xf numFmtId="0" fontId="0" fillId="0" borderId="0" xfId="0" quotePrefix="1" applyNumberFormat="1"/>
    <xf numFmtId="171" fontId="44"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2"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4"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4" fillId="39" borderId="34" xfId="48" applyNumberFormat="1" applyFont="1" applyBorder="1">
      <protection locked="0"/>
    </xf>
    <xf numFmtId="0" fontId="0" fillId="2" borderId="0" xfId="0" applyFill="1" applyBorder="1"/>
    <xf numFmtId="49" fontId="25" fillId="0" borderId="33" xfId="0" applyNumberFormat="1" applyFont="1" applyBorder="1"/>
    <xf numFmtId="171" fontId="44" fillId="39" borderId="10" xfId="48" applyNumberFormat="1" applyFont="1" applyBorder="1">
      <protection locked="0"/>
    </xf>
    <xf numFmtId="0" fontId="0" fillId="0" borderId="31" xfId="0" applyBorder="1" applyAlignment="1">
      <alignment vertical="center"/>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1" fillId="35" borderId="35" xfId="57" applyFill="1" applyBorder="1"/>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Font="1" applyAlignment="1">
      <alignment horizontal="center" vertical="center"/>
    </xf>
    <xf numFmtId="0" fontId="0" fillId="0" borderId="0" xfId="62" applyNumberFormat="1" applyFont="1">
      <alignment horizontal="center" vertical="center"/>
    </xf>
    <xf numFmtId="0" fontId="0" fillId="0" borderId="0" xfId="0" applyNumberFormat="1"/>
    <xf numFmtId="0" fontId="0" fillId="0" borderId="54" xfId="0" applyBorder="1"/>
    <xf numFmtId="0" fontId="0" fillId="39" borderId="17" xfId="48" applyFont="1" applyBorder="1">
      <protection locked="0"/>
    </xf>
    <xf numFmtId="0" fontId="0" fillId="0" borderId="55" xfId="0" applyBorder="1"/>
    <xf numFmtId="0" fontId="51" fillId="35" borderId="35" xfId="57" applyFill="1" applyBorder="1" applyProtection="1">
      <protection locked="0"/>
    </xf>
    <xf numFmtId="168" fontId="51" fillId="40" borderId="47" xfId="57" applyNumberFormat="1" applyFill="1" applyBorder="1" applyAlignment="1" applyProtection="1">
      <alignment horizontal="left" vertical="top" wrapText="1"/>
      <protection locked="0"/>
    </xf>
    <xf numFmtId="168" fontId="51" fillId="40" borderId="14" xfId="57" applyNumberFormat="1" applyFill="1" applyBorder="1" applyAlignment="1" applyProtection="1">
      <alignment horizontal="left" vertical="top" wrapText="1"/>
      <protection locked="0"/>
    </xf>
    <xf numFmtId="0" fontId="51" fillId="0" borderId="0" xfId="57" applyBorder="1" applyProtection="1">
      <protection locked="0"/>
    </xf>
    <xf numFmtId="0" fontId="0" fillId="0" borderId="64"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168" fontId="29" fillId="40" borderId="51" xfId="65" applyBorder="1" applyAlignment="1">
      <alignment horizontal="left" vertical="top" wrapText="1"/>
    </xf>
    <xf numFmtId="0" fontId="27" fillId="0" borderId="10" xfId="0" applyFont="1" applyBorder="1" applyAlignment="1">
      <alignment horizontal="center" vertical="center" wrapText="1"/>
    </xf>
    <xf numFmtId="0" fontId="26" fillId="0" borderId="65" xfId="0" applyFont="1" applyBorder="1" applyAlignment="1">
      <alignment horizontal="center" vertical="center" wrapText="1"/>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0" fontId="0" fillId="0" borderId="0" xfId="0" applyFill="1"/>
    <xf numFmtId="0" fontId="0" fillId="0" borderId="0" xfId="0"/>
    <xf numFmtId="0" fontId="28" fillId="39" borderId="10" xfId="48" applyFont="1" applyBorder="1">
      <protection locked="0"/>
    </xf>
    <xf numFmtId="0" fontId="25" fillId="0" borderId="35" xfId="0" applyFont="1" applyBorder="1" applyAlignment="1">
      <alignment horizontal="center" vertical="center"/>
    </xf>
    <xf numFmtId="0" fontId="28" fillId="39" borderId="34" xfId="48" applyFont="1" applyBorder="1">
      <protection locked="0"/>
    </xf>
    <xf numFmtId="2" fontId="44" fillId="39" borderId="10" xfId="48" applyNumberFormat="1" applyFont="1" applyBorder="1">
      <protection locked="0"/>
    </xf>
    <xf numFmtId="0" fontId="0" fillId="0" borderId="0" xfId="0"/>
    <xf numFmtId="0" fontId="0" fillId="0" borderId="0" xfId="0"/>
    <xf numFmtId="0" fontId="42" fillId="34" borderId="0" xfId="50" applyFont="1" applyAlignment="1">
      <alignment horizontal="center" vertical="center"/>
    </xf>
    <xf numFmtId="0" fontId="0" fillId="0" borderId="0" xfId="0"/>
    <xf numFmtId="0" fontId="26" fillId="0" borderId="69" xfId="0" applyFont="1" applyBorder="1" applyAlignment="1">
      <alignment horizontal="center" vertical="center" wrapText="1"/>
    </xf>
    <xf numFmtId="9" fontId="1" fillId="39" borderId="10" xfId="48" applyNumberFormat="1" applyFont="1" applyBorder="1" applyAlignment="1">
      <alignment horizontal="right" vertical="center"/>
      <protection locked="0"/>
    </xf>
    <xf numFmtId="0" fontId="27" fillId="0" borderId="65" xfId="0" applyFont="1" applyBorder="1" applyAlignment="1">
      <alignment horizontal="center" vertical="center" wrapText="1"/>
    </xf>
    <xf numFmtId="0" fontId="27" fillId="0" borderId="66"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79"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7" xfId="0" applyFont="1" applyBorder="1" applyAlignment="1">
      <alignment horizontal="left" vertical="center" wrapText="1" indent="1"/>
    </xf>
    <xf numFmtId="0" fontId="26" fillId="0" borderId="66" xfId="0" applyFont="1" applyBorder="1" applyAlignment="1">
      <alignment horizontal="center" vertical="center" wrapText="1"/>
    </xf>
    <xf numFmtId="0" fontId="27" fillId="44" borderId="65" xfId="0" applyFont="1" applyFill="1" applyBorder="1" applyAlignment="1">
      <alignment horizontal="center" vertical="center" wrapText="1"/>
    </xf>
    <xf numFmtId="0" fontId="27" fillId="44" borderId="66" xfId="0" applyFont="1" applyFill="1" applyBorder="1" applyAlignment="1">
      <alignment vertical="center" wrapText="1"/>
    </xf>
    <xf numFmtId="0" fontId="27" fillId="0" borderId="66" xfId="0" applyFont="1" applyBorder="1" applyAlignment="1">
      <alignment vertical="center" wrapText="1"/>
    </xf>
    <xf numFmtId="0" fontId="26" fillId="0" borderId="79" xfId="0" applyFont="1" applyBorder="1" applyAlignment="1">
      <alignment horizontal="center" vertical="center" wrapText="1"/>
    </xf>
    <xf numFmtId="0" fontId="27" fillId="0" borderId="66" xfId="0" applyFont="1" applyBorder="1" applyAlignment="1">
      <alignment horizontal="center" vertical="center" wrapText="1"/>
    </xf>
    <xf numFmtId="0" fontId="27" fillId="0" borderId="10" xfId="0" applyFont="1" applyBorder="1" applyAlignment="1">
      <alignment vertical="center" wrapText="1"/>
    </xf>
    <xf numFmtId="0" fontId="27" fillId="0" borderId="16"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1" fillId="0" borderId="31" xfId="57" applyBorder="1" applyAlignment="1" applyProtection="1">
      <alignment horizontal="left" vertical="top" wrapText="1"/>
      <protection locked="0"/>
    </xf>
    <xf numFmtId="173" fontId="44" fillId="39" borderId="10" xfId="48" applyNumberFormat="1" applyFont="1" applyBorder="1">
      <protection locked="0"/>
    </xf>
    <xf numFmtId="175" fontId="44"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4" fillId="39" borderId="10" xfId="48" applyNumberFormat="1" applyFont="1" applyBorder="1">
      <protection locked="0"/>
    </xf>
    <xf numFmtId="0" fontId="18" fillId="0" borderId="0" xfId="0" applyFont="1" applyAlignment="1">
      <alignment vertical="center"/>
    </xf>
    <xf numFmtId="0" fontId="52" fillId="34" borderId="0" xfId="50" applyFont="1" applyAlignment="1">
      <alignment vertical="center"/>
    </xf>
    <xf numFmtId="0" fontId="25" fillId="0" borderId="0" xfId="0" applyNumberFormat="1" applyFont="1" applyAlignment="1">
      <alignment horizontal="center" vertical="center"/>
    </xf>
    <xf numFmtId="0" fontId="52" fillId="34" borderId="0" xfId="50" applyFont="1" applyAlignment="1">
      <alignment horizontal="center" vertical="center"/>
    </xf>
    <xf numFmtId="0" fontId="18" fillId="0" borderId="35" xfId="0" applyFont="1" applyBorder="1" applyAlignment="1">
      <alignment horizontal="center" vertical="center"/>
    </xf>
    <xf numFmtId="0" fontId="52"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49" fontId="25" fillId="0" borderId="0" xfId="0" applyNumberFormat="1" applyFont="1" applyBorder="1" applyAlignment="1">
      <alignment vertical="top" wrapText="1"/>
    </xf>
    <xf numFmtId="0" fontId="18" fillId="0" borderId="33"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1" fillId="0" borderId="26" xfId="57" applyBorder="1" applyAlignment="1" applyProtection="1">
      <alignment horizontal="left" vertical="top" wrapText="1"/>
      <protection locked="0"/>
    </xf>
    <xf numFmtId="174" fontId="44" fillId="39" borderId="10" xfId="48" applyNumberFormat="1" applyFont="1" applyBorder="1">
      <protection locked="0"/>
    </xf>
    <xf numFmtId="49" fontId="25" fillId="0" borderId="26" xfId="0" applyNumberFormat="1" applyFont="1" applyBorder="1" applyAlignment="1">
      <alignment vertical="top" wrapText="1"/>
    </xf>
    <xf numFmtId="0" fontId="25" fillId="0" borderId="23" xfId="0" applyFont="1" applyBorder="1"/>
    <xf numFmtId="0" fontId="25" fillId="0" borderId="26" xfId="0" applyFont="1" applyBorder="1"/>
    <xf numFmtId="0" fontId="51" fillId="0" borderId="26" xfId="57" applyBorder="1" applyAlignment="1">
      <alignment horizontal="left"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0" fontId="0" fillId="0" borderId="0" xfId="0"/>
    <xf numFmtId="0" fontId="16" fillId="0" borderId="10" xfId="0" applyFont="1" applyBorder="1" applyAlignment="1">
      <alignment horizontal="center" vertical="center"/>
    </xf>
    <xf numFmtId="0" fontId="36" fillId="0" borderId="0" xfId="0" applyFont="1" applyBorder="1" applyAlignment="1">
      <alignment horizontal="left" vertical="top" wrapText="1"/>
    </xf>
    <xf numFmtId="0" fontId="18" fillId="0" borderId="0" xfId="0" applyFont="1" applyAlignment="1">
      <alignment horizontal="right" vertical="top" wrapText="1"/>
    </xf>
    <xf numFmtId="0" fontId="53" fillId="0" borderId="0" xfId="0" applyFont="1"/>
    <xf numFmtId="0" fontId="16" fillId="0" borderId="10" xfId="0" applyFont="1" applyBorder="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56" fillId="0" borderId="0" xfId="0" applyFont="1" applyAlignment="1">
      <alignment vertical="center"/>
    </xf>
    <xf numFmtId="0" fontId="16" fillId="0" borderId="10" xfId="0" applyFont="1" applyBorder="1" applyAlignment="1">
      <alignment horizontal="center" wrapText="1"/>
    </xf>
    <xf numFmtId="0" fontId="16" fillId="0" borderId="0" xfId="0" applyFont="1" applyFill="1" applyBorder="1" applyAlignment="1"/>
    <xf numFmtId="176"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55" fillId="0" borderId="0" xfId="54" applyFont="1" applyFill="1" applyBorder="1">
      <alignment horizontal="left" vertical="top" wrapText="1"/>
      <protection locked="0"/>
    </xf>
    <xf numFmtId="0" fontId="55" fillId="38" borderId="10" xfId="47" applyFont="1" applyAlignment="1">
      <alignment horizontal="left" vertical="top" wrapText="1"/>
      <protection locked="0"/>
    </xf>
    <xf numFmtId="0" fontId="14" fillId="0" borderId="0" xfId="0" applyFont="1" applyAlignment="1">
      <alignment vertical="top"/>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30" fillId="0" borderId="10" xfId="60" applyBorder="1" applyAlignment="1"/>
    <xf numFmtId="0" fontId="0" fillId="0" borderId="0" xfId="0"/>
    <xf numFmtId="0" fontId="26" fillId="0" borderId="0" xfId="0" applyFont="1" applyBorder="1" applyAlignment="1">
      <alignment horizontal="center" vertical="center"/>
    </xf>
    <xf numFmtId="0" fontId="0" fillId="0" borderId="0" xfId="0"/>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Alignment="1">
      <alignment horizontal="left" vertical="top"/>
    </xf>
    <xf numFmtId="0" fontId="0" fillId="0" borderId="0" xfId="0"/>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0" fontId="25" fillId="0" borderId="21" xfId="0" applyFont="1" applyBorder="1" applyAlignment="1">
      <alignment horizontal="left" vertical="top"/>
    </xf>
    <xf numFmtId="0" fontId="0" fillId="0" borderId="26" xfId="0"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18" fillId="0" borderId="35" xfId="0" applyNumberFormat="1" applyFont="1" applyBorder="1" applyAlignment="1">
      <alignment horizontal="left" vertical="top"/>
    </xf>
    <xf numFmtId="0" fontId="18" fillId="0" borderId="33" xfId="0"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0" fontId="0" fillId="0" borderId="23" xfId="0" applyBorder="1" applyAlignment="1">
      <alignment horizontal="left" vertical="top"/>
    </xf>
    <xf numFmtId="49" fontId="25" fillId="0" borderId="23" xfId="0" applyNumberFormat="1" applyFont="1" applyBorder="1" applyAlignment="1">
      <alignment horizontal="left" vertical="top"/>
    </xf>
    <xf numFmtId="0" fontId="18" fillId="0" borderId="23" xfId="0"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0" fontId="18" fillId="0" borderId="0" xfId="0" applyFont="1" applyBorder="1" applyAlignment="1">
      <alignment horizontal="left" vertical="top"/>
    </xf>
    <xf numFmtId="0" fontId="0" fillId="0" borderId="0" xfId="0"/>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14" fontId="0" fillId="39" borderId="10" xfId="48" applyNumberFormat="1" applyFont="1">
      <protection locked="0"/>
    </xf>
    <xf numFmtId="0" fontId="18" fillId="0" borderId="10" xfId="0" applyFont="1" applyBorder="1"/>
    <xf numFmtId="0" fontId="21" fillId="34" borderId="10" xfId="50" applyBorder="1" applyAlignment="1">
      <alignment vertical="top"/>
    </xf>
    <xf numFmtId="0" fontId="21" fillId="34" borderId="10" xfId="50" applyBorder="1" applyAlignment="1">
      <alignment horizontal="left" vertical="top"/>
    </xf>
    <xf numFmtId="0" fontId="21" fillId="34" borderId="10" xfId="50" applyBorder="1" applyAlignment="1">
      <alignment vertical="top" wrapText="1"/>
    </xf>
    <xf numFmtId="0" fontId="46" fillId="0" borderId="10" xfId="0" applyFont="1" applyBorder="1" applyAlignment="1">
      <alignment horizontal="left" vertical="top"/>
    </xf>
    <xf numFmtId="0" fontId="21" fillId="34" borderId="10" xfId="50" applyBorder="1"/>
    <xf numFmtId="49" fontId="21" fillId="34" borderId="10" xfId="50" applyNumberFormat="1" applyBorder="1" applyAlignment="1">
      <alignment horizontal="left" vertical="top" wrapText="1"/>
    </xf>
    <xf numFmtId="0" fontId="21" fillId="34" borderId="10" xfId="50" applyBorder="1" applyAlignment="1">
      <alignment horizontal="left" vertical="top" wrapText="1"/>
    </xf>
    <xf numFmtId="0" fontId="36" fillId="0" borderId="10" xfId="0" applyFont="1" applyBorder="1" applyAlignment="1">
      <alignment horizontal="left" vertical="top" wrapText="1"/>
    </xf>
    <xf numFmtId="0" fontId="52" fillId="34" borderId="10" xfId="50" applyFont="1" applyBorder="1" applyAlignment="1">
      <alignment horizontal="left" vertical="top" wrapText="1"/>
    </xf>
    <xf numFmtId="0" fontId="0" fillId="0" borderId="0" xfId="0"/>
    <xf numFmtId="0" fontId="66" fillId="0" borderId="81" xfId="0" applyFont="1" applyBorder="1" applyAlignment="1">
      <alignment horizontal="center" vertical="top" wrapText="1"/>
    </xf>
    <xf numFmtId="0" fontId="66" fillId="0" borderId="84" xfId="0" applyFont="1" applyBorder="1" applyAlignment="1">
      <alignment horizontal="center" vertical="top" wrapText="1"/>
    </xf>
    <xf numFmtId="0" fontId="66" fillId="0" borderId="86" xfId="0" applyFont="1" applyBorder="1" applyAlignment="1">
      <alignment horizontal="center" vertical="top" wrapText="1"/>
    </xf>
    <xf numFmtId="0" fontId="66" fillId="0" borderId="0" xfId="0" applyFont="1" applyAlignment="1">
      <alignment horizontal="justify" vertical="center"/>
    </xf>
    <xf numFmtId="0" fontId="70" fillId="0" borderId="0" xfId="0" applyFont="1" applyAlignment="1">
      <alignment horizontal="left" vertical="center"/>
    </xf>
    <xf numFmtId="0" fontId="71" fillId="0" borderId="0" xfId="0" applyFont="1" applyAlignment="1">
      <alignment horizontal="center" vertical="center"/>
    </xf>
    <xf numFmtId="0" fontId="71" fillId="0" borderId="0" xfId="0" applyFont="1" applyAlignment="1">
      <alignment horizontal="left" vertical="center"/>
    </xf>
    <xf numFmtId="0" fontId="66" fillId="0" borderId="74" xfId="0" applyFont="1" applyBorder="1" applyAlignment="1">
      <alignment horizontal="center" vertical="top" wrapText="1"/>
    </xf>
    <xf numFmtId="0" fontId="66" fillId="0" borderId="0" xfId="0" applyFont="1" applyBorder="1" applyAlignment="1">
      <alignment horizontal="center" vertical="top" wrapText="1"/>
    </xf>
    <xf numFmtId="0" fontId="67" fillId="0" borderId="92" xfId="0" applyFont="1" applyBorder="1" applyAlignment="1">
      <alignment horizontal="center" vertical="top" wrapText="1"/>
    </xf>
    <xf numFmtId="0" fontId="75" fillId="0" borderId="0" xfId="0" applyFont="1" applyAlignment="1">
      <alignment horizontal="left" vertical="top" wrapText="1"/>
    </xf>
    <xf numFmtId="0" fontId="77" fillId="0" borderId="0" xfId="0" applyFont="1"/>
    <xf numFmtId="0" fontId="67" fillId="0" borderId="93" xfId="0" applyFont="1" applyBorder="1" applyAlignment="1">
      <alignment horizontal="center" vertical="top" wrapText="1"/>
    </xf>
    <xf numFmtId="0" fontId="66" fillId="0" borderId="0" xfId="0" applyFont="1" applyBorder="1" applyAlignment="1">
      <alignment horizontal="left" vertical="top" wrapText="1"/>
    </xf>
    <xf numFmtId="0" fontId="66" fillId="0" borderId="68" xfId="0" applyFont="1" applyBorder="1" applyAlignment="1">
      <alignment horizontal="left" vertical="top" wrapText="1"/>
    </xf>
    <xf numFmtId="0" fontId="66" fillId="0" borderId="91" xfId="0" applyFont="1" applyBorder="1" applyAlignment="1">
      <alignment horizontal="left" vertical="top" wrapText="1"/>
    </xf>
    <xf numFmtId="0" fontId="65" fillId="0" borderId="0" xfId="0" applyFont="1" applyAlignment="1">
      <alignment vertical="top" wrapText="1"/>
    </xf>
    <xf numFmtId="0" fontId="65" fillId="0" borderId="0" xfId="0" applyFont="1" applyAlignment="1">
      <alignment horizontal="justify" vertical="top" wrapText="1"/>
    </xf>
    <xf numFmtId="0" fontId="66" fillId="0" borderId="0" xfId="0" applyFont="1" applyAlignment="1">
      <alignment horizontal="justify" vertical="top"/>
    </xf>
    <xf numFmtId="0" fontId="0" fillId="0" borderId="0" xfId="0" applyAlignment="1">
      <alignment horizontal="center" vertical="top"/>
    </xf>
    <xf numFmtId="0" fontId="71" fillId="0" borderId="0" xfId="0" applyFont="1" applyAlignment="1">
      <alignment horizontal="left" vertical="top"/>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18" fillId="0" borderId="0" xfId="0" quotePrefix="1" applyNumberFormat="1" applyFont="1" applyAlignment="1">
      <alignment horizontal="left" vertical="top"/>
    </xf>
    <xf numFmtId="0" fontId="0" fillId="0" borderId="0" xfId="0"/>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25" fillId="0" borderId="0" xfId="0" applyNumberFormat="1" applyFont="1" applyAlignment="1" applyProtection="1">
      <alignment horizontal="left"/>
      <protection locked="0"/>
    </xf>
    <xf numFmtId="0" fontId="51" fillId="0" borderId="0" xfId="57" applyProtection="1">
      <protection locked="0"/>
    </xf>
    <xf numFmtId="0" fontId="0" fillId="0" borderId="0" xfId="0"/>
    <xf numFmtId="0" fontId="0" fillId="0" borderId="0" xfId="0"/>
    <xf numFmtId="168" fontId="29" fillId="40" borderId="51" xfId="65" applyBorder="1">
      <alignment horizontal="left" vertical="top" wrapText="1"/>
    </xf>
    <xf numFmtId="0" fontId="25" fillId="0" borderId="0" xfId="0" applyFont="1" applyAlignment="1">
      <alignment horizontal="center"/>
    </xf>
    <xf numFmtId="0" fontId="30"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0" borderId="54" xfId="0" applyBorder="1" applyProtection="1">
      <protection locked="0"/>
    </xf>
    <xf numFmtId="0" fontId="0" fillId="0" borderId="31" xfId="0" applyBorder="1" applyProtection="1">
      <protection locked="0"/>
    </xf>
    <xf numFmtId="0" fontId="0" fillId="0" borderId="0" xfId="0" applyBorder="1" applyProtection="1">
      <protection locked="0"/>
    </xf>
    <xf numFmtId="0" fontId="44" fillId="34" borderId="0" xfId="50" applyFont="1"/>
    <xf numFmtId="0" fontId="0" fillId="48" borderId="0" xfId="0" applyFill="1"/>
    <xf numFmtId="168" fontId="29" fillId="49" borderId="14" xfId="65" applyFill="1">
      <alignment horizontal="left" vertical="top" wrapText="1"/>
    </xf>
    <xf numFmtId="0" fontId="0" fillId="39" borderId="10" xfId="0" applyFill="1" applyBorder="1" applyProtection="1">
      <protection locked="0"/>
    </xf>
    <xf numFmtId="9" fontId="0" fillId="48" borderId="0" xfId="0" applyNumberFormat="1" applyFill="1"/>
    <xf numFmtId="0" fontId="0" fillId="50" borderId="0" xfId="0" applyFill="1"/>
    <xf numFmtId="0" fontId="0" fillId="50" borderId="23" xfId="0" applyFill="1" applyBorder="1"/>
    <xf numFmtId="0" fontId="0" fillId="50" borderId="0" xfId="0" applyFill="1" applyBorder="1"/>
    <xf numFmtId="0" fontId="0" fillId="50" borderId="21" xfId="0" applyFill="1" applyBorder="1"/>
    <xf numFmtId="2" fontId="0" fillId="50" borderId="0" xfId="0" applyNumberFormat="1" applyFill="1" applyBorder="1"/>
    <xf numFmtId="0" fontId="0" fillId="0" borderId="0" xfId="0"/>
    <xf numFmtId="0" fontId="0" fillId="0" borderId="0" xfId="0"/>
    <xf numFmtId="0" fontId="18" fillId="0" borderId="107" xfId="0" applyFont="1" applyBorder="1" applyAlignment="1">
      <alignment vertical="top" wrapText="1"/>
    </xf>
    <xf numFmtId="0" fontId="0" fillId="0" borderId="0" xfId="0"/>
    <xf numFmtId="9" fontId="0" fillId="0" borderId="0" xfId="0" applyNumberFormat="1"/>
    <xf numFmtId="0" fontId="28" fillId="39" borderId="16" xfId="48" applyFont="1" applyBorder="1">
      <protection locked="0"/>
    </xf>
    <xf numFmtId="2" fontId="0" fillId="0" borderId="0" xfId="0" applyNumberFormat="1"/>
    <xf numFmtId="9" fontId="0" fillId="0" borderId="0" xfId="0" applyNumberFormat="1" applyFill="1"/>
    <xf numFmtId="0" fontId="0" fillId="0" borderId="0" xfId="0"/>
    <xf numFmtId="1" fontId="0" fillId="39" borderId="10" xfId="48" applyNumberFormat="1" applyFont="1">
      <protection locked="0"/>
    </xf>
    <xf numFmtId="10" fontId="0" fillId="35" borderId="0" xfId="0" applyNumberFormat="1" applyFill="1"/>
    <xf numFmtId="1" fontId="44" fillId="39" borderId="10" xfId="48" applyNumberFormat="1" applyFont="1" applyBorder="1">
      <protection locked="0"/>
    </xf>
    <xf numFmtId="1" fontId="44" fillId="39" borderId="10" xfId="48" applyNumberFormat="1" applyFont="1">
      <protection locked="0"/>
    </xf>
    <xf numFmtId="9" fontId="0" fillId="0" borderId="10" xfId="0" applyNumberFormat="1" applyBorder="1" applyAlignment="1">
      <alignment horizontal="center"/>
    </xf>
    <xf numFmtId="0" fontId="0" fillId="0" borderId="0" xfId="0"/>
    <xf numFmtId="0" fontId="0" fillId="0" borderId="0" xfId="0"/>
    <xf numFmtId="0" fontId="41" fillId="0" borderId="26" xfId="0" applyFont="1" applyFill="1" applyBorder="1" applyAlignment="1">
      <alignment horizontal="center" vertical="center"/>
    </xf>
    <xf numFmtId="0" fontId="0" fillId="0" borderId="0" xfId="0"/>
    <xf numFmtId="0" fontId="0" fillId="0" borderId="0" xfId="0"/>
    <xf numFmtId="0" fontId="41" fillId="0" borderId="0" xfId="0" applyFont="1" applyFill="1" applyAlignment="1">
      <alignment horizontal="center" vertical="center"/>
    </xf>
    <xf numFmtId="0" fontId="0" fillId="39" borderId="12" xfId="48" applyFont="1" applyBorder="1">
      <protection locked="0"/>
    </xf>
    <xf numFmtId="0" fontId="41" fillId="0" borderId="0" xfId="0" applyFont="1" applyFill="1" applyBorder="1" applyAlignment="1">
      <alignment horizontal="center" vertical="center"/>
    </xf>
    <xf numFmtId="0" fontId="0" fillId="0" borderId="24" xfId="0" applyBorder="1"/>
    <xf numFmtId="49" fontId="25" fillId="0" borderId="33" xfId="0" applyNumberFormat="1" applyFont="1" applyBorder="1" applyAlignment="1">
      <alignment horizontal="left"/>
    </xf>
    <xf numFmtId="0" fontId="0" fillId="51" borderId="33" xfId="0" applyFill="1" applyBorder="1"/>
    <xf numFmtId="0" fontId="0" fillId="51" borderId="0" xfId="0" applyFill="1"/>
    <xf numFmtId="0" fontId="0" fillId="51" borderId="0" xfId="0" applyNumberFormat="1" applyFill="1"/>
    <xf numFmtId="0" fontId="27" fillId="0" borderId="0" xfId="0" applyFont="1" applyBorder="1" applyAlignment="1">
      <alignment horizontal="center" vertical="center"/>
    </xf>
    <xf numFmtId="0" fontId="28" fillId="39" borderId="12" xfId="48" applyFont="1" applyBorder="1">
      <protection locked="0"/>
    </xf>
    <xf numFmtId="0" fontId="0" fillId="0" borderId="0" xfId="0"/>
    <xf numFmtId="0" fontId="0" fillId="0" borderId="0" xfId="0"/>
    <xf numFmtId="0" fontId="0" fillId="0" borderId="0" xfId="0"/>
    <xf numFmtId="9" fontId="0" fillId="2" borderId="0" xfId="0" applyNumberFormat="1" applyFill="1"/>
    <xf numFmtId="0" fontId="0" fillId="51" borderId="0" xfId="0" applyFill="1" applyBorder="1"/>
    <xf numFmtId="0" fontId="0" fillId="0" borderId="0" xfId="0"/>
    <xf numFmtId="0" fontId="0" fillId="0" borderId="0" xfId="0" applyAlignment="1">
      <alignment horizontal="center" vertical="center"/>
    </xf>
    <xf numFmtId="0" fontId="0" fillId="0" borderId="0" xfId="0"/>
    <xf numFmtId="0" fontId="16" fillId="0" borderId="0" xfId="0" quotePrefix="1" applyFont="1" applyAlignment="1">
      <alignment horizontal="left"/>
    </xf>
    <xf numFmtId="49" fontId="0" fillId="38" borderId="10" xfId="47" applyNumberFormat="1" applyFont="1" applyAlignment="1">
      <alignment vertical="center"/>
      <protection locked="0"/>
    </xf>
    <xf numFmtId="0" fontId="0" fillId="0" borderId="0" xfId="0"/>
    <xf numFmtId="0" fontId="0" fillId="0" borderId="0" xfId="0"/>
    <xf numFmtId="1" fontId="0" fillId="51" borderId="0" xfId="0" applyNumberFormat="1" applyFill="1"/>
    <xf numFmtId="0" fontId="30" fillId="0" borderId="0" xfId="60" quotePrefix="1" applyAlignment="1">
      <alignment horizontal="left"/>
    </xf>
    <xf numFmtId="1" fontId="0" fillId="0" borderId="0" xfId="0" applyNumberFormat="1"/>
    <xf numFmtId="0" fontId="0" fillId="0" borderId="27" xfId="0" applyBorder="1"/>
    <xf numFmtId="0" fontId="25" fillId="0" borderId="0" xfId="0" applyNumberFormat="1" applyFont="1" applyBorder="1" applyAlignment="1">
      <alignment horizontal="left"/>
    </xf>
    <xf numFmtId="0" fontId="25" fillId="0" borderId="31" xfId="0" applyNumberFormat="1" applyFont="1" applyBorder="1" applyAlignment="1">
      <alignment horizontal="left"/>
    </xf>
    <xf numFmtId="0" fontId="25" fillId="0" borderId="0" xfId="0" applyNumberFormat="1" applyFont="1" applyAlignment="1">
      <alignment horizontal="left"/>
    </xf>
    <xf numFmtId="0" fontId="0" fillId="0" borderId="0" xfId="0"/>
    <xf numFmtId="0" fontId="0" fillId="0" borderId="0" xfId="0"/>
    <xf numFmtId="49" fontId="0" fillId="0" borderId="0" xfId="0" applyNumberFormat="1" applyAlignment="1">
      <alignment horizontal="center" vertical="top"/>
    </xf>
    <xf numFmtId="172" fontId="0" fillId="39" borderId="10" xfId="48" applyNumberFormat="1" applyFont="1">
      <protection locked="0"/>
    </xf>
    <xf numFmtId="177" fontId="0" fillId="0" borderId="0" xfId="0" applyNumberFormat="1" applyAlignment="1">
      <alignment horizontal="left"/>
    </xf>
    <xf numFmtId="0" fontId="0" fillId="0" borderId="0" xfId="0"/>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18" fillId="39" borderId="10" xfId="48" applyNumberFormat="1" applyFont="1" applyAlignment="1">
      <alignment horizontal="right"/>
      <protection locked="0"/>
    </xf>
    <xf numFmtId="178" fontId="18" fillId="39" borderId="10" xfId="48" applyNumberFormat="1" applyFont="1" applyAlignment="1">
      <alignment horizontal="right"/>
      <protection locked="0"/>
    </xf>
    <xf numFmtId="0" fontId="0" fillId="0" borderId="0" xfId="0" applyAlignment="1">
      <alignment wrapText="1"/>
    </xf>
    <xf numFmtId="0" fontId="0" fillId="0" borderId="0" xfId="0"/>
    <xf numFmtId="14" fontId="0" fillId="0" borderId="0" xfId="0" applyNumberFormat="1" applyAlignment="1">
      <alignment vertical="top"/>
    </xf>
    <xf numFmtId="49" fontId="0" fillId="0" borderId="0" xfId="0" applyNumberFormat="1" applyAlignment="1">
      <alignment vertical="top"/>
    </xf>
    <xf numFmtId="1" fontId="18" fillId="0" borderId="10" xfId="0" applyNumberFormat="1" applyFont="1" applyBorder="1" applyAlignment="1">
      <alignment horizontal="center" vertical="center" wrapText="1"/>
    </xf>
    <xf numFmtId="0" fontId="27" fillId="0" borderId="12" xfId="0" applyFont="1" applyBorder="1" applyAlignment="1">
      <alignment horizontal="center" vertical="center" wrapText="1"/>
    </xf>
    <xf numFmtId="2" fontId="18" fillId="0" borderId="10" xfId="0" applyNumberFormat="1" applyFont="1" applyBorder="1" applyAlignment="1">
      <alignment horizontal="center" vertical="center" wrapText="1"/>
    </xf>
    <xf numFmtId="0" fontId="18" fillId="0" borderId="10" xfId="0" applyFont="1" applyBorder="1" applyAlignment="1">
      <alignment horizontal="center" vertical="center" wrapText="1"/>
    </xf>
    <xf numFmtId="0" fontId="0" fillId="37" borderId="0" xfId="66" applyFont="1" applyBorder="1" applyProtection="1">
      <alignment horizontal="left" vertical="top" wrapText="1"/>
      <protection locked="0"/>
    </xf>
    <xf numFmtId="0" fontId="0" fillId="0" borderId="0" xfId="0"/>
    <xf numFmtId="0" fontId="28" fillId="39" borderId="25" xfId="48" applyFont="1" applyBorder="1">
      <protection locked="0"/>
    </xf>
    <xf numFmtId="0" fontId="17" fillId="41" borderId="0" xfId="0" applyFont="1" applyFill="1" applyAlignment="1">
      <alignment horizontal="right"/>
    </xf>
    <xf numFmtId="0" fontId="0" fillId="41" borderId="0" xfId="0" quotePrefix="1" applyNumberFormat="1" applyFont="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0" fontId="0" fillId="41" borderId="0" xfId="0" applyNumberFormat="1" applyFont="1" applyFill="1" applyAlignment="1">
      <alignment horizontal="left" vertical="top"/>
    </xf>
    <xf numFmtId="49" fontId="18" fillId="41" borderId="0" xfId="0" applyNumberFormat="1" applyFont="1" applyFill="1" applyAlignment="1">
      <alignment vertical="top"/>
    </xf>
    <xf numFmtId="49" fontId="25" fillId="41" borderId="0" xfId="0" applyNumberFormat="1" applyFont="1" applyFill="1"/>
    <xf numFmtId="49" fontId="0" fillId="41" borderId="0" xfId="0" applyNumberFormat="1" applyFont="1" applyFill="1" applyAlignment="1">
      <alignment horizontal="left"/>
    </xf>
    <xf numFmtId="49" fontId="18" fillId="41" borderId="0" xfId="0" quotePrefix="1" applyNumberFormat="1" applyFont="1" applyFill="1" applyAlignment="1">
      <alignment horizontal="left" vertical="top"/>
    </xf>
    <xf numFmtId="0" fontId="0" fillId="41" borderId="0" xfId="0" applyNumberFormat="1" applyFill="1"/>
    <xf numFmtId="0" fontId="16" fillId="0" borderId="0" xfId="0" applyFont="1"/>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0" borderId="10" xfId="0" applyBorder="1"/>
    <xf numFmtId="168" fontId="29" fillId="40" borderId="14" xfId="65">
      <alignment horizontal="left" vertical="top" wrapText="1"/>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168" fontId="29" fillId="40" borderId="14" xfId="65" applyBorder="1">
      <alignment horizontal="left" vertical="top" wrapText="1"/>
    </xf>
    <xf numFmtId="168" fontId="29" fillId="40" borderId="50" xfId="65" applyBorder="1">
      <alignment horizontal="left" vertical="top" wrapText="1"/>
    </xf>
    <xf numFmtId="0" fontId="0" fillId="38" borderId="10" xfId="47" applyFont="1">
      <protection locked="0"/>
    </xf>
    <xf numFmtId="0" fontId="0" fillId="0" borderId="13" xfId="0" applyBorder="1"/>
    <xf numFmtId="0" fontId="0" fillId="37" borderId="53" xfId="66" applyFont="1" applyBorder="1">
      <alignment horizontal="left" vertical="top" wrapText="1"/>
    </xf>
    <xf numFmtId="0" fontId="0" fillId="37" borderId="53" xfId="66" applyFont="1" applyBorder="1" applyProtection="1">
      <alignment horizontal="left" vertical="top" wrapText="1"/>
      <protection locked="0"/>
    </xf>
    <xf numFmtId="0" fontId="0" fillId="37" borderId="10" xfId="66" applyFont="1" applyBorder="1" applyProtection="1">
      <alignment horizontal="left" vertical="top" wrapText="1"/>
      <protection locked="0"/>
    </xf>
    <xf numFmtId="0" fontId="0" fillId="37" borderId="32" xfId="66" applyFont="1" applyBorder="1">
      <alignment horizontal="left" vertical="top" wrapText="1"/>
    </xf>
    <xf numFmtId="0" fontId="0" fillId="37" borderId="10" xfId="66" applyFont="1">
      <alignment horizontal="left" vertical="top" wrapText="1"/>
    </xf>
    <xf numFmtId="0" fontId="0" fillId="37" borderId="10" xfId="66" applyFont="1" applyProtection="1">
      <alignment horizontal="left" vertical="top" wrapText="1"/>
      <protection locked="0"/>
    </xf>
    <xf numFmtId="168" fontId="29" fillId="40" borderId="47" xfId="65" applyBorder="1">
      <alignment horizontal="left" vertical="top" wrapText="1"/>
    </xf>
    <xf numFmtId="0" fontId="16" fillId="0" borderId="0" xfId="62" applyFont="1">
      <alignment horizontal="center" vertical="center"/>
    </xf>
    <xf numFmtId="0" fontId="0" fillId="37" borderId="32" xfId="66" applyFont="1" applyBorder="1" applyProtection="1">
      <alignment horizontal="left" vertical="top" wrapText="1"/>
      <protection locked="0"/>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xf>
    <xf numFmtId="0" fontId="0" fillId="0" borderId="0" xfId="0" applyAlignment="1">
      <alignment wrapText="1"/>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Alignment="1"/>
    <xf numFmtId="0" fontId="0" fillId="0" borderId="0" xfId="0" applyAlignment="1">
      <alignment horizontal="right"/>
    </xf>
    <xf numFmtId="0" fontId="0" fillId="0" borderId="0" xfId="0" applyAlignment="1"/>
    <xf numFmtId="0" fontId="25" fillId="0" borderId="0" xfId="62" applyFont="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21"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4" fillId="34" borderId="19" xfId="63" applyBorder="1" applyAlignment="1">
      <alignment vertical="center"/>
    </xf>
    <xf numFmtId="0" fontId="24" fillId="34" borderId="0" xfId="63" applyBorder="1" applyAlignment="1">
      <alignment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6" xfId="0" applyNumberFormat="1" applyFont="1"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168" fontId="29" fillId="40" borderId="14" xfId="65" applyAlignment="1">
      <alignment horizontal="left" vertical="top" wrapText="1"/>
    </xf>
    <xf numFmtId="0" fontId="18" fillId="0" borderId="0" xfId="0" applyFont="1" applyAlignment="1">
      <alignment horizontal="left" vertical="top" wrapText="1"/>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25" fillId="0" borderId="23" xfId="0" applyFont="1" applyBorder="1" applyAlignment="1">
      <alignment horizontal="center" vertical="center"/>
    </xf>
    <xf numFmtId="0" fontId="25" fillId="0" borderId="33" xfId="0" applyFont="1" applyBorder="1" applyAlignment="1">
      <alignment horizontal="center" vertical="center"/>
    </xf>
    <xf numFmtId="0" fontId="18" fillId="0" borderId="31" xfId="0" applyFont="1" applyBorder="1" applyAlignment="1">
      <alignment vertical="top" wrapText="1"/>
    </xf>
    <xf numFmtId="0" fontId="18" fillId="0" borderId="23" xfId="0" applyFont="1" applyBorder="1" applyAlignment="1">
      <alignment horizontal="left" vertical="top" wrapText="1"/>
    </xf>
    <xf numFmtId="0" fontId="25" fillId="0" borderId="26" xfId="0" applyFont="1" applyBorder="1" applyAlignment="1">
      <alignment horizontal="left" vertical="top" wrapText="1"/>
    </xf>
    <xf numFmtId="168" fontId="29" fillId="40" borderId="47" xfId="65" applyBorder="1" applyAlignment="1">
      <alignment horizontal="left" vertical="top" wrapText="1"/>
    </xf>
    <xf numFmtId="0" fontId="41" fillId="2" borderId="0" xfId="0" applyFont="1" applyFill="1" applyBorder="1" applyAlignment="1">
      <alignment horizontal="center" vertical="center"/>
    </xf>
    <xf numFmtId="0" fontId="25" fillId="0" borderId="0" xfId="0" applyFont="1" applyBorder="1" applyAlignment="1">
      <alignment horizontal="right" vertical="top" wrapText="1"/>
    </xf>
    <xf numFmtId="0" fontId="18" fillId="0" borderId="0" xfId="0" applyFont="1" applyAlignment="1">
      <alignmen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5" fillId="0" borderId="0" xfId="0" applyFont="1" applyAlignment="1">
      <alignment horizontal="right" vertical="top" wrapText="1"/>
    </xf>
    <xf numFmtId="0" fontId="41" fillId="2" borderId="26" xfId="0" applyFont="1" applyFill="1" applyBorder="1" applyAlignment="1">
      <alignment horizontal="center" vertical="center"/>
    </xf>
    <xf numFmtId="0" fontId="25" fillId="0" borderId="26" xfId="0" applyFont="1" applyBorder="1" applyAlignment="1">
      <alignment horizontal="right" vertical="top" wrapText="1"/>
    </xf>
    <xf numFmtId="0" fontId="18" fillId="0" borderId="23" xfId="0" applyFont="1" applyBorder="1" applyAlignment="1">
      <alignment vertical="top" wrapText="1"/>
    </xf>
    <xf numFmtId="0" fontId="25" fillId="0" borderId="23" xfId="0" applyFont="1" applyBorder="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18" fillId="0" borderId="33" xfId="0" applyFont="1" applyBorder="1" applyAlignment="1">
      <alignment horizontal="left" vertical="top" wrapText="1"/>
    </xf>
    <xf numFmtId="0" fontId="24" fillId="34" borderId="18" xfId="63" applyAlignment="1">
      <alignment horizontal="center" vertical="center"/>
    </xf>
    <xf numFmtId="0" fontId="16" fillId="0" borderId="0" xfId="0" applyFont="1" applyAlignment="1">
      <alignment horizontal="center"/>
    </xf>
    <xf numFmtId="0" fontId="26" fillId="0" borderId="0"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0" fillId="0" borderId="0" xfId="0" applyAlignment="1">
      <alignment horizontal="center" vertical="center"/>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25" fillId="0" borderId="10" xfId="0" applyFont="1" applyBorder="1" applyAlignment="1">
      <alignment horizontal="left" vertical="top"/>
    </xf>
    <xf numFmtId="0" fontId="25"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25" fillId="0" borderId="0" xfId="0" applyFont="1" applyAlignment="1">
      <alignment vertical="top" wrapText="1"/>
    </xf>
    <xf numFmtId="0" fontId="59" fillId="0" borderId="10" xfId="0" applyFont="1" applyBorder="1" applyAlignment="1">
      <alignment horizontal="left" vertical="top" wrapText="1"/>
    </xf>
    <xf numFmtId="0" fontId="59" fillId="0" borderId="10" xfId="0" applyFont="1" applyBorder="1" applyAlignment="1">
      <alignment horizontal="left" vertical="top"/>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0" fillId="41" borderId="0" xfId="0" applyFill="1" applyAlignment="1">
      <alignment textRotation="90"/>
    </xf>
    <xf numFmtId="0" fontId="0" fillId="38" borderId="10" xfId="47" applyFont="1" applyAlignment="1">
      <protection locked="0"/>
    </xf>
    <xf numFmtId="0" fontId="0" fillId="41" borderId="10" xfId="48"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0" xfId="0" applyBorder="1" applyAlignment="1">
      <alignment horizontal="center" vertical="center"/>
    </xf>
    <xf numFmtId="0" fontId="0" fillId="0" borderId="26" xfId="0" applyBorder="1" applyAlignment="1">
      <alignment horizontal="center" vertical="center"/>
    </xf>
    <xf numFmtId="0" fontId="0" fillId="41" borderId="10" xfId="47" applyFont="1" applyFill="1" applyAlignment="1" applyProtection="1">
      <alignment horizontal="left"/>
    </xf>
    <xf numFmtId="0" fontId="0" fillId="0" borderId="26" xfId="0" applyBorder="1" applyAlignment="1">
      <alignment horizontal="left" vertical="top" wrapText="1"/>
    </xf>
    <xf numFmtId="0" fontId="0" fillId="0" borderId="0" xfId="0" applyAlignment="1" applyProtection="1">
      <alignment horizontal="left" wrapText="1"/>
    </xf>
    <xf numFmtId="0" fontId="0" fillId="0" borderId="33" xfId="0" applyBorder="1" applyAlignment="1">
      <alignment horizontal="center" vertical="center"/>
    </xf>
    <xf numFmtId="0" fontId="0" fillId="0" borderId="31" xfId="0" applyBorder="1" applyAlignment="1">
      <alignment horizontal="center" vertical="center"/>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26" xfId="0" applyNumberFormat="1" applyFont="1" applyBorder="1" applyAlignment="1">
      <alignment horizontal="center" vertical="center"/>
    </xf>
    <xf numFmtId="0" fontId="0" fillId="41" borderId="0" xfId="0" applyFill="1" applyAlignment="1">
      <alignment horizontal="center" vertical="center" textRotation="90"/>
    </xf>
    <xf numFmtId="0" fontId="0" fillId="0" borderId="13" xfId="0" applyBorder="1" applyAlignment="1">
      <alignment horizontal="left" vertical="center"/>
    </xf>
    <xf numFmtId="0" fontId="0" fillId="0" borderId="27" xfId="0" applyBorder="1" applyAlignment="1">
      <alignment horizontal="left" vertical="center"/>
    </xf>
    <xf numFmtId="0" fontId="0" fillId="0" borderId="0" xfId="0" applyBorder="1" applyAlignment="1">
      <alignment horizontal="center"/>
    </xf>
    <xf numFmtId="0" fontId="16" fillId="0" borderId="10" xfId="0" applyFont="1" applyBorder="1" applyAlignment="1">
      <alignment horizontal="center" vertical="center" wrapText="1"/>
    </xf>
    <xf numFmtId="49" fontId="0" fillId="39" borderId="10" xfId="48" applyNumberFormat="1" applyFont="1" applyAlignment="1">
      <protection locked="0"/>
    </xf>
    <xf numFmtId="0" fontId="0" fillId="0" borderId="0" xfId="0" applyAlignment="1">
      <alignment horizontal="left" vertical="top"/>
    </xf>
    <xf numFmtId="49" fontId="0" fillId="39" borderId="10" xfId="48" applyNumberFormat="1" applyFont="1" applyAlignment="1">
      <alignment horizontal="left"/>
      <protection locked="0"/>
    </xf>
    <xf numFmtId="0" fontId="56" fillId="0" borderId="0" xfId="0" applyFont="1" applyAlignment="1">
      <alignment horizontal="left" vertical="center"/>
    </xf>
    <xf numFmtId="0" fontId="16" fillId="0" borderId="10" xfId="0" applyFont="1" applyBorder="1" applyAlignment="1">
      <alignment horizontal="center"/>
    </xf>
    <xf numFmtId="0" fontId="16" fillId="0" borderId="0" xfId="0" applyFont="1" applyAlignment="1">
      <alignment horizontal="right" vertical="center"/>
    </xf>
    <xf numFmtId="49" fontId="0" fillId="38" borderId="10" xfId="47" applyNumberFormat="1" applyFont="1" applyAlignment="1">
      <alignment horizontal="left" vertical="center"/>
      <protection locked="0"/>
    </xf>
    <xf numFmtId="0" fontId="67" fillId="0" borderId="0" xfId="0" applyFont="1" applyAlignment="1">
      <alignment horizontal="justify" vertical="center" wrapText="1"/>
    </xf>
    <xf numFmtId="0" fontId="66" fillId="0" borderId="82" xfId="0" applyFont="1" applyBorder="1" applyAlignment="1">
      <alignment horizontal="center" vertical="top" wrapText="1"/>
    </xf>
    <xf numFmtId="0" fontId="66" fillId="0" borderId="10" xfId="0" applyFont="1" applyBorder="1" applyAlignment="1">
      <alignment horizontal="center" vertical="top" wrapText="1"/>
    </xf>
    <xf numFmtId="0" fontId="66" fillId="0" borderId="34" xfId="0" applyFont="1" applyBorder="1" applyAlignment="1">
      <alignment horizontal="center" vertical="top" wrapText="1"/>
    </xf>
    <xf numFmtId="0" fontId="66" fillId="0" borderId="0" xfId="0" applyFont="1" applyAlignment="1">
      <alignment vertical="top" wrapText="1"/>
    </xf>
    <xf numFmtId="0" fontId="66" fillId="0" borderId="0" xfId="0" applyFont="1" applyAlignment="1">
      <alignment horizontal="justify" vertical="top" wrapText="1"/>
    </xf>
    <xf numFmtId="0" fontId="66" fillId="0" borderId="0" xfId="0" applyFont="1" applyBorder="1" applyAlignment="1">
      <alignment vertical="top" wrapText="1"/>
    </xf>
    <xf numFmtId="0" fontId="67" fillId="0" borderId="0" xfId="0" applyFont="1" applyAlignment="1">
      <alignment horizontal="justify" vertical="top" wrapText="1"/>
    </xf>
    <xf numFmtId="0" fontId="67" fillId="0" borderId="31" xfId="0" applyFont="1" applyBorder="1" applyAlignment="1">
      <alignment horizontal="center" vertical="top" wrapText="1"/>
    </xf>
    <xf numFmtId="0" fontId="72" fillId="0" borderId="0" xfId="0" applyFont="1" applyAlignment="1">
      <alignment vertical="top" wrapText="1"/>
    </xf>
    <xf numFmtId="0" fontId="66" fillId="0" borderId="75" xfId="0" applyFont="1" applyBorder="1" applyAlignment="1">
      <alignment horizontal="center" vertical="top" wrapText="1"/>
    </xf>
    <xf numFmtId="0" fontId="66" fillId="0" borderId="65" xfId="0" applyFont="1" applyBorder="1" applyAlignment="1">
      <alignment horizontal="center" vertical="top" wrapText="1"/>
    </xf>
    <xf numFmtId="0" fontId="26" fillId="0" borderId="10" xfId="0" applyFont="1" applyBorder="1" applyAlignment="1">
      <alignment horizontal="center" vertical="center"/>
    </xf>
    <xf numFmtId="0" fontId="51" fillId="0" borderId="0" xfId="57" applyAlignment="1" applyProtection="1">
      <alignment horizontal="left" vertical="top" wrapText="1"/>
      <protection locked="0"/>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62" fillId="0" borderId="0" xfId="57" applyFont="1" applyAlignment="1" applyProtection="1">
      <alignment horizontal="left"/>
      <protection locked="0"/>
    </xf>
    <xf numFmtId="0" fontId="60" fillId="34" borderId="0" xfId="50" applyFont="1" applyAlignment="1" applyProtection="1">
      <protection locked="0"/>
    </xf>
    <xf numFmtId="0" fontId="23" fillId="0" borderId="0" xfId="0" applyFont="1" applyAlignment="1"/>
    <xf numFmtId="0" fontId="0" fillId="0" borderId="0" xfId="0" applyAlignment="1">
      <alignment wrapText="1"/>
    </xf>
    <xf numFmtId="0" fontId="61" fillId="0" borderId="0" xfId="0" applyFont="1" applyAlignment="1">
      <alignment horizontal="left" vertical="top" wrapText="1"/>
    </xf>
    <xf numFmtId="0" fontId="62" fillId="0" borderId="0" xfId="57" applyFont="1" applyAlignment="1" applyProtection="1">
      <alignment horizontal="left" vertical="top" wrapText="1"/>
      <protection locked="0"/>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30" fillId="0" borderId="0" xfId="60" applyAlignment="1">
      <alignment horizontal="right"/>
    </xf>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2" xfId="63" applyBorder="1" applyAlignment="1">
      <alignment vertical="center"/>
    </xf>
    <xf numFmtId="0" fontId="24" fillId="34" borderId="63"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0" fillId="37" borderId="34" xfId="54" applyFont="1" applyBorder="1" applyAlignment="1">
      <alignment horizontal="left" vertical="top" wrapText="1"/>
      <protection locked="0"/>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49" fontId="16" fillId="0" borderId="0" xfId="0" applyNumberFormat="1" applyFont="1" applyAlignment="1">
      <alignment horizontal="center" textRotation="90"/>
    </xf>
    <xf numFmtId="0" fontId="0" fillId="0" borderId="10" xfId="0" applyBorder="1" applyAlignment="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168" fontId="29" fillId="40" borderId="14" xfId="65"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center" vertical="center"/>
    </xf>
    <xf numFmtId="0" fontId="25" fillId="0" borderId="31" xfId="0" applyFont="1" applyBorder="1" applyAlignment="1">
      <alignment horizontal="left" vertical="top" wrapText="1"/>
    </xf>
    <xf numFmtId="0" fontId="18" fillId="0" borderId="33" xfId="0" applyFont="1" applyBorder="1" applyAlignment="1">
      <alignment horizontal="center" vertical="center"/>
    </xf>
    <xf numFmtId="0" fontId="25" fillId="0" borderId="23" xfId="0" applyFont="1" applyBorder="1" applyAlignment="1">
      <alignment horizontal="center" vertical="center"/>
    </xf>
    <xf numFmtId="0" fontId="0" fillId="37" borderId="15" xfId="54" applyFont="1" applyBorder="1" applyAlignment="1">
      <alignment horizontal="left" vertical="top" wrapText="1"/>
      <protection locked="0"/>
    </xf>
    <xf numFmtId="0" fontId="0" fillId="37" borderId="53" xfId="54" applyFont="1" applyBorder="1" applyAlignment="1">
      <alignment horizontal="left" vertical="top" wrapText="1"/>
      <protection locked="0"/>
    </xf>
    <xf numFmtId="0" fontId="25" fillId="0" borderId="33" xfId="0" applyFont="1" applyBorder="1" applyAlignment="1">
      <alignment horizontal="center" vertical="center"/>
    </xf>
    <xf numFmtId="0" fontId="18" fillId="0" borderId="31" xfId="0" applyFont="1" applyBorder="1" applyAlignment="1">
      <alignment vertical="top" wrapText="1"/>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18" fillId="0" borderId="23" xfId="0" applyFont="1" applyBorder="1" applyAlignment="1">
      <alignment horizontal="left" vertical="top" wrapText="1"/>
    </xf>
    <xf numFmtId="0" fontId="25" fillId="0" borderId="26"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41" fillId="2" borderId="0" xfId="0" applyFont="1" applyFill="1" applyAlignment="1">
      <alignment horizontal="center" vertical="center"/>
    </xf>
    <xf numFmtId="0" fontId="41" fillId="2" borderId="0" xfId="0" applyFont="1" applyFill="1" applyBorder="1" applyAlignment="1">
      <alignment horizontal="center" vertical="center"/>
    </xf>
    <xf numFmtId="0" fontId="51" fillId="0" borderId="23" xfId="57" applyBorder="1" applyAlignment="1" applyProtection="1">
      <alignment horizontal="center" vertical="center" wrapText="1"/>
      <protection locked="0"/>
    </xf>
    <xf numFmtId="0" fontId="51" fillId="0" borderId="0" xfId="57" applyBorder="1" applyAlignment="1" applyProtection="1">
      <alignment horizontal="center" vertical="center" wrapText="1"/>
      <protection locked="0"/>
    </xf>
    <xf numFmtId="0" fontId="51" fillId="0" borderId="26" xfId="57" applyBorder="1" applyAlignment="1" applyProtection="1">
      <alignment horizontal="center" vertical="center" wrapText="1"/>
      <protection locked="0"/>
    </xf>
    <xf numFmtId="0" fontId="51" fillId="0" borderId="0" xfId="57" applyAlignment="1" applyProtection="1">
      <alignment horizontal="center" vertical="center" wrapText="1"/>
      <protection locked="0"/>
    </xf>
    <xf numFmtId="0" fontId="41" fillId="2" borderId="33" xfId="0" applyFont="1" applyFill="1" applyBorder="1" applyAlignment="1">
      <alignment horizontal="center" vertical="center"/>
    </xf>
    <xf numFmtId="0" fontId="41" fillId="2" borderId="31" xfId="0" applyFont="1" applyFill="1" applyBorder="1" applyAlignment="1">
      <alignment horizontal="center" vertical="center"/>
    </xf>
    <xf numFmtId="168" fontId="29" fillId="40" borderId="49" xfId="65" applyBorder="1" applyAlignment="1">
      <alignment horizontal="left" vertical="top" wrapText="1"/>
    </xf>
    <xf numFmtId="0" fontId="25" fillId="0" borderId="0" xfId="0" applyFont="1" applyBorder="1" applyAlignment="1">
      <alignment horizontal="right" vertical="top" wrapText="1"/>
    </xf>
    <xf numFmtId="0" fontId="25" fillId="0" borderId="23" xfId="0" applyFont="1" applyBorder="1" applyAlignment="1">
      <alignment horizontal="left" vertical="top" wrapText="1"/>
    </xf>
    <xf numFmtId="0" fontId="18" fillId="0" borderId="0" xfId="0" applyFont="1" applyAlignment="1">
      <alignmen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5" fillId="0" borderId="0" xfId="0" applyFont="1" applyAlignment="1">
      <alignment horizontal="righ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41" fillId="2" borderId="26" xfId="0" applyFont="1" applyFill="1" applyBorder="1" applyAlignment="1">
      <alignment horizontal="center" vertical="center"/>
    </xf>
    <xf numFmtId="0" fontId="25" fillId="0" borderId="26" xfId="0" applyFont="1" applyBorder="1" applyAlignment="1">
      <alignment horizontal="right" vertical="top" wrapText="1"/>
    </xf>
    <xf numFmtId="0" fontId="25" fillId="0" borderId="26" xfId="0" applyFont="1" applyBorder="1" applyAlignment="1">
      <alignment horizontal="center" vertical="center" wrapText="1"/>
    </xf>
    <xf numFmtId="0" fontId="18" fillId="0" borderId="23" xfId="0" applyFont="1" applyBorder="1" applyAlignment="1">
      <alignmen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5" fillId="0" borderId="31" xfId="0" applyFont="1" applyBorder="1" applyAlignment="1">
      <alignment horizontal="right" vertical="top" wrapText="1"/>
    </xf>
    <xf numFmtId="0" fontId="0" fillId="0" borderId="0" xfId="0" applyBorder="1" applyAlignment="1">
      <alignment wrapText="1"/>
    </xf>
    <xf numFmtId="0" fontId="26" fillId="0" borderId="0" xfId="0" applyFont="1" applyAlignment="1">
      <alignment horizontal="left" vertical="top"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5" fillId="0" borderId="23" xfId="0" applyFont="1" applyBorder="1" applyAlignment="1">
      <alignment vertical="top" wrapText="1"/>
    </xf>
    <xf numFmtId="0" fontId="25" fillId="0" borderId="0" xfId="0" applyFont="1" applyBorder="1" applyAlignment="1">
      <alignment vertical="top" wrapText="1"/>
    </xf>
    <xf numFmtId="0" fontId="41" fillId="2" borderId="23" xfId="0" applyFont="1" applyFill="1" applyBorder="1" applyAlignment="1">
      <alignment horizontal="center" vertical="center"/>
    </xf>
    <xf numFmtId="0" fontId="25" fillId="0" borderId="26" xfId="0" applyFont="1" applyBorder="1" applyAlignment="1">
      <alignment vertical="top" wrapText="1"/>
    </xf>
    <xf numFmtId="0" fontId="18" fillId="0" borderId="33" xfId="0" applyFont="1" applyBorder="1" applyAlignment="1">
      <alignment horizontal="left" vertical="top" wrapText="1"/>
    </xf>
    <xf numFmtId="0" fontId="18" fillId="0" borderId="0" xfId="0" applyFont="1" applyBorder="1" applyAlignment="1">
      <alignment horizontal="center" vertical="top" wrapText="1"/>
    </xf>
    <xf numFmtId="0" fontId="24" fillId="34" borderId="18" xfId="63" applyBorder="1" applyAlignment="1">
      <alignment horizontal="center" vertical="center"/>
    </xf>
    <xf numFmtId="0" fontId="24" fillId="34" borderId="18" xfId="63" applyAlignment="1">
      <alignment horizontal="center" vertical="center"/>
    </xf>
    <xf numFmtId="0" fontId="0" fillId="0" borderId="10" xfId="0" applyBorder="1" applyAlignment="1">
      <alignment horizontal="center" wrapText="1"/>
    </xf>
    <xf numFmtId="0" fontId="16" fillId="0" borderId="0" xfId="0" applyFont="1" applyAlignment="1">
      <alignment horizontal="center"/>
    </xf>
    <xf numFmtId="0" fontId="16" fillId="0" borderId="28" xfId="0" applyFont="1" applyBorder="1" applyAlignment="1">
      <alignment horizontal="center"/>
    </xf>
    <xf numFmtId="0" fontId="0" fillId="39" borderId="10" xfId="48" applyFont="1" applyAlignment="1">
      <alignment horizontal="right"/>
      <protection locked="0"/>
    </xf>
    <xf numFmtId="14" fontId="0" fillId="0" borderId="21" xfId="0" applyNumberFormat="1" applyBorder="1" applyAlignment="1">
      <alignment horizontal="center" vertical="center"/>
    </xf>
    <xf numFmtId="0" fontId="24" fillId="34" borderId="23" xfId="63" applyBorder="1" applyAlignment="1">
      <alignment vertical="center"/>
    </xf>
    <xf numFmtId="0" fontId="24" fillId="34" borderId="108" xfId="63" applyBorder="1" applyAlignment="1">
      <alignment vertical="center"/>
    </xf>
    <xf numFmtId="0" fontId="51" fillId="0" borderId="26" xfId="57" applyBorder="1" applyAlignment="1" applyProtection="1">
      <alignment horizontal="left" vertical="top"/>
      <protection locked="0"/>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0" fillId="0" borderId="0" xfId="0" applyAlignment="1">
      <alignment horizontal="center" vertical="center"/>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25" fillId="0" borderId="10" xfId="0" applyFont="1" applyBorder="1" applyAlignment="1">
      <alignment horizontal="left" vertical="top"/>
    </xf>
    <xf numFmtId="0" fontId="25" fillId="0" borderId="10" xfId="0" applyFont="1" applyBorder="1" applyAlignment="1">
      <alignment horizontal="left" vertical="top" wrapText="1"/>
    </xf>
    <xf numFmtId="0" fontId="18" fillId="0" borderId="15" xfId="0" applyFont="1" applyBorder="1" applyAlignment="1">
      <alignment horizontal="left" vertical="top"/>
    </xf>
    <xf numFmtId="0" fontId="18" fillId="0" borderId="17" xfId="0" applyFont="1" applyBorder="1" applyAlignment="1">
      <alignment horizontal="left" vertical="top"/>
    </xf>
    <xf numFmtId="0" fontId="0" fillId="0" borderId="0" xfId="0" applyAlignment="1">
      <alignment textRotation="90"/>
    </xf>
    <xf numFmtId="49" fontId="18" fillId="0" borderId="10" xfId="0" applyNumberFormat="1" applyFont="1" applyBorder="1" applyAlignment="1">
      <alignment horizontal="left" vertical="top" wrapText="1"/>
    </xf>
    <xf numFmtId="0" fontId="25" fillId="0" borderId="0" xfId="0" applyFont="1" applyAlignment="1">
      <alignment vertical="top" wrapText="1"/>
    </xf>
    <xf numFmtId="0" fontId="59" fillId="0" borderId="10" xfId="0"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59" fillId="0" borderId="10" xfId="0" applyFont="1" applyBorder="1" applyAlignment="1">
      <alignment horizontal="left" vertical="top"/>
    </xf>
    <xf numFmtId="0" fontId="51" fillId="0" borderId="10" xfId="57"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18" fillId="0" borderId="23" xfId="0" applyFont="1" applyBorder="1" applyAlignment="1">
      <alignment horizontal="left" wrapText="1"/>
    </xf>
    <xf numFmtId="0" fontId="18" fillId="0" borderId="26" xfId="0" applyFont="1" applyBorder="1" applyAlignment="1">
      <alignment horizontal="left" wrapText="1"/>
    </xf>
    <xf numFmtId="0" fontId="63" fillId="0" borderId="0" xfId="0" applyFont="1" applyAlignment="1">
      <alignment horizontal="center" vertical="center" wrapText="1"/>
    </xf>
    <xf numFmtId="0" fontId="18" fillId="0" borderId="0" xfId="0" applyFont="1" applyAlignment="1">
      <alignment horizontal="center" vertical="center" wrapText="1"/>
    </xf>
    <xf numFmtId="0" fontId="48" fillId="0" borderId="10" xfId="0" applyFont="1" applyBorder="1" applyAlignment="1">
      <alignment horizontal="left" vertical="top"/>
    </xf>
    <xf numFmtId="0" fontId="0" fillId="41" borderId="0" xfId="0" applyFill="1" applyAlignment="1">
      <alignment textRotation="90"/>
    </xf>
    <xf numFmtId="0" fontId="0" fillId="38" borderId="10" xfId="47" applyFont="1" applyAlignment="1">
      <protection locked="0"/>
    </xf>
    <xf numFmtId="0" fontId="0" fillId="0" borderId="12" xfId="0" applyBorder="1" applyAlignment="1"/>
    <xf numFmtId="0" fontId="0" fillId="0" borderId="13" xfId="0" applyBorder="1" applyAlignment="1"/>
    <xf numFmtId="0" fontId="0" fillId="0" borderId="10" xfId="0" applyBorder="1" applyAlignment="1" applyProtection="1">
      <protection locked="0"/>
    </xf>
    <xf numFmtId="0" fontId="0" fillId="41" borderId="10" xfId="48" applyFont="1" applyFill="1" applyAlignment="1" applyProtection="1">
      <alignment horizontal="left"/>
    </xf>
    <xf numFmtId="0" fontId="16" fillId="0" borderId="28" xfId="0" applyFont="1" applyBorder="1" applyAlignment="1">
      <alignment horizontal="righ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23" xfId="0" applyBorder="1" applyAlignment="1">
      <alignment horizontal="center" vertical="center"/>
    </xf>
    <xf numFmtId="0" fontId="0" fillId="0" borderId="0" xfId="0" applyBorder="1" applyAlignment="1">
      <alignment horizontal="center" vertic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82" fillId="0" borderId="56" xfId="60" applyFont="1" applyBorder="1" applyAlignment="1">
      <alignment horizontal="center" vertical="center"/>
    </xf>
    <xf numFmtId="0" fontId="82" fillId="0" borderId="57" xfId="60" applyFont="1" applyBorder="1" applyAlignment="1">
      <alignment horizontal="center" vertical="center"/>
    </xf>
    <xf numFmtId="0" fontId="82" fillId="0" borderId="58" xfId="60" applyFont="1" applyBorder="1" applyAlignment="1">
      <alignment horizontal="center" vertical="center"/>
    </xf>
    <xf numFmtId="0" fontId="82" fillId="0" borderId="59" xfId="60" applyFont="1" applyBorder="1" applyAlignment="1">
      <alignment horizontal="center" vertical="center"/>
    </xf>
    <xf numFmtId="0" fontId="82" fillId="0" borderId="60" xfId="60" applyFont="1" applyBorder="1" applyAlignment="1">
      <alignment horizontal="center" vertical="center"/>
    </xf>
    <xf numFmtId="0" fontId="82" fillId="0" borderId="61"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41" borderId="10" xfId="47" applyFont="1" applyFill="1" applyAlignment="1" applyProtection="1">
      <alignment horizontal="left"/>
    </xf>
    <xf numFmtId="0" fontId="30" fillId="0" borderId="0" xfId="60" applyBorder="1" applyAlignment="1">
      <alignment horizontal="right"/>
    </xf>
    <xf numFmtId="0" fontId="30" fillId="0" borderId="80" xfId="60" applyBorder="1" applyAlignment="1">
      <alignment horizontal="right"/>
    </xf>
    <xf numFmtId="0" fontId="1" fillId="38" borderId="10" xfId="47" applyFont="1" applyAlignment="1">
      <alignment horizontal="left"/>
      <protection locked="0"/>
    </xf>
    <xf numFmtId="0" fontId="0" fillId="41" borderId="10" xfId="47" applyFont="1" applyFill="1" applyBorder="1" applyAlignment="1" applyProtection="1">
      <alignment horizontal="left"/>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0" fillId="0" borderId="26" xfId="0" applyBorder="1" applyAlignment="1" applyProtection="1">
      <alignment horizont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37" borderId="15" xfId="66" applyFont="1" applyBorder="1" applyAlignment="1">
      <alignment horizontal="left" vertical="top" wrapText="1"/>
    </xf>
    <xf numFmtId="0" fontId="0" fillId="37" borderId="16" xfId="66" applyFont="1" applyBorder="1" applyAlignment="1">
      <alignment horizontal="left" vertical="top" wrapText="1"/>
    </xf>
    <xf numFmtId="0" fontId="0" fillId="37" borderId="53" xfId="66" applyFont="1" applyBorder="1" applyAlignment="1">
      <alignment horizontal="left" vertical="top" wrapText="1"/>
    </xf>
    <xf numFmtId="0" fontId="0" fillId="37" borderId="15" xfId="66" applyFont="1" applyBorder="1" applyAlignment="1" applyProtection="1">
      <alignment horizontal="left" vertical="top" wrapText="1"/>
      <protection locked="0"/>
    </xf>
    <xf numFmtId="0" fontId="0" fillId="37" borderId="16" xfId="66" applyFont="1" applyBorder="1" applyAlignment="1" applyProtection="1">
      <alignment horizontal="left" vertical="top" wrapText="1"/>
      <protection locked="0"/>
    </xf>
    <xf numFmtId="0" fontId="0" fillId="37" borderId="53" xfId="66" applyFont="1" applyBorder="1" applyAlignment="1" applyProtection="1">
      <alignment horizontal="left" vertical="top" wrapText="1"/>
      <protection locked="0"/>
    </xf>
    <xf numFmtId="0" fontId="0" fillId="37" borderId="17" xfId="66" applyFont="1" applyBorder="1" applyAlignment="1">
      <alignment horizontal="left" vertical="top" wrapText="1"/>
    </xf>
    <xf numFmtId="0" fontId="0" fillId="37" borderId="17" xfId="66" applyFont="1" applyBorder="1" applyAlignment="1" applyProtection="1">
      <alignment horizontal="left" vertical="top" wrapText="1"/>
      <protection locked="0"/>
    </xf>
    <xf numFmtId="0" fontId="0" fillId="37" borderId="10" xfId="66" applyFont="1" applyBorder="1" applyAlignment="1">
      <alignment horizontal="left" vertical="top" wrapText="1"/>
    </xf>
    <xf numFmtId="0" fontId="0" fillId="37" borderId="10" xfId="66" applyFont="1" applyBorder="1" applyAlignment="1" applyProtection="1">
      <alignment horizontal="left" vertical="top" wrapText="1"/>
      <protection locked="0"/>
    </xf>
    <xf numFmtId="0" fontId="0" fillId="37" borderId="32" xfId="66" applyFont="1" applyBorder="1" applyAlignment="1">
      <alignment horizontal="left" vertical="top" wrapText="1"/>
    </xf>
    <xf numFmtId="0" fontId="0" fillId="37" borderId="10" xfId="66" applyFont="1" applyAlignment="1">
      <alignment horizontal="left" vertical="top"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37" borderId="10" xfId="66" applyFont="1" applyAlignment="1" applyProtection="1">
      <alignment horizontal="left" vertical="top" wrapText="1"/>
      <protection locked="0"/>
    </xf>
    <xf numFmtId="0" fontId="0" fillId="37" borderId="34" xfId="66" applyFont="1" applyBorder="1" applyAlignment="1">
      <alignment horizontal="left" vertical="top" wrapText="1"/>
    </xf>
    <xf numFmtId="0" fontId="0" fillId="37" borderId="37" xfId="66" applyFont="1" applyBorder="1" applyAlignment="1">
      <alignment horizontal="left" vertical="top" wrapText="1"/>
    </xf>
    <xf numFmtId="0" fontId="0" fillId="37" borderId="33" xfId="66" applyFont="1" applyBorder="1" applyAlignment="1">
      <alignment horizontal="left" vertical="top" wrapText="1"/>
    </xf>
    <xf numFmtId="0" fontId="0" fillId="37" borderId="0" xfId="66" applyFont="1" applyBorder="1" applyAlignment="1">
      <alignment horizontal="left" vertical="top" wrapText="1"/>
    </xf>
    <xf numFmtId="0" fontId="0" fillId="37" borderId="31" xfId="66" applyFont="1" applyBorder="1" applyAlignment="1">
      <alignment horizontal="left" vertical="top" wrapText="1"/>
    </xf>
    <xf numFmtId="0" fontId="0" fillId="0" borderId="0" xfId="62" applyFont="1" applyBorder="1" applyAlignment="1">
      <alignment horizontal="center" vertical="center"/>
    </xf>
    <xf numFmtId="0" fontId="25" fillId="0" borderId="109" xfId="0" applyFont="1" applyBorder="1" applyAlignment="1">
      <alignment horizontal="right" vertical="top" wrapText="1"/>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23" xfId="0" applyFont="1" applyBorder="1" applyAlignment="1">
      <alignment horizontal="center" vertical="center"/>
    </xf>
    <xf numFmtId="0" fontId="16" fillId="0" borderId="0" xfId="0" applyNumberFormat="1" applyFont="1" applyBorder="1" applyAlignment="1">
      <alignment horizontal="center" vertical="center"/>
    </xf>
    <xf numFmtId="0" fontId="16" fillId="0" borderId="26" xfId="0" applyNumberFormat="1" applyFont="1" applyBorder="1" applyAlignment="1">
      <alignment horizontal="center" vertical="center"/>
    </xf>
    <xf numFmtId="0" fontId="16" fillId="0" borderId="0" xfId="62" applyFont="1" applyBorder="1" applyAlignment="1">
      <alignment horizontal="center" vertical="center"/>
    </xf>
    <xf numFmtId="0" fontId="16" fillId="0" borderId="26"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26" xfId="62" applyNumberFormat="1" applyFont="1" applyBorder="1" applyAlignment="1">
      <alignment horizontal="center" vertical="center"/>
    </xf>
    <xf numFmtId="0" fontId="0" fillId="0" borderId="23" xfId="62" applyFont="1" applyBorder="1" applyAlignment="1">
      <alignment horizontal="center" vertical="center"/>
    </xf>
    <xf numFmtId="0" fontId="0" fillId="0" borderId="26" xfId="62" applyFont="1" applyBorder="1" applyAlignment="1">
      <alignment horizontal="center" vertical="center"/>
    </xf>
    <xf numFmtId="0" fontId="16" fillId="0" borderId="0" xfId="62" applyFont="1" applyAlignment="1">
      <alignment horizontal="center" vertical="center"/>
    </xf>
    <xf numFmtId="0" fontId="0" fillId="0" borderId="0" xfId="62" applyNumberFormat="1" applyFont="1" applyAlignment="1">
      <alignment horizontal="center" vertical="center"/>
    </xf>
    <xf numFmtId="0" fontId="0" fillId="37" borderId="32" xfId="66" applyFont="1" applyBorder="1" applyAlignment="1" applyProtection="1">
      <alignment horizontal="left" vertical="top" wrapText="1"/>
      <protection locked="0"/>
    </xf>
    <xf numFmtId="0" fontId="0" fillId="37" borderId="37" xfId="66" applyFont="1" applyBorder="1" applyAlignment="1" applyProtection="1">
      <alignment horizontal="left" vertical="top" wrapText="1"/>
      <protection locked="0"/>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30" fillId="0" borderId="12" xfId="60" applyBorder="1" applyAlignment="1"/>
    <xf numFmtId="0" fontId="30" fillId="0" borderId="13" xfId="60" applyBorder="1" applyAlignment="1"/>
    <xf numFmtId="0" fontId="24" fillId="34" borderId="18" xfId="63" applyAlignment="1">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left" vertical="center"/>
    </xf>
    <xf numFmtId="0" fontId="0" fillId="0" borderId="10" xfId="0" applyFont="1" applyFill="1" applyBorder="1" applyAlignment="1">
      <alignment horizontal="left"/>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0" xfId="0" applyNumberFormat="1" applyAlignment="1">
      <alignment horizontal="center" vertical="center"/>
    </xf>
    <xf numFmtId="0" fontId="0" fillId="37" borderId="34" xfId="66" applyFont="1" applyBorder="1" applyAlignment="1" applyProtection="1">
      <alignment horizontal="left" vertical="top" wrapText="1"/>
      <protection locked="0"/>
    </xf>
    <xf numFmtId="0" fontId="83" fillId="34" borderId="62" xfId="63" applyFont="1" applyBorder="1" applyAlignment="1">
      <alignment horizontal="center" vertical="center"/>
    </xf>
    <xf numFmtId="0" fontId="84" fillId="34" borderId="63" xfId="63" applyFont="1" applyBorder="1" applyAlignment="1">
      <alignment horizontal="center" vertical="center"/>
    </xf>
    <xf numFmtId="0" fontId="24" fillId="34" borderId="110" xfId="63" applyBorder="1" applyAlignment="1">
      <alignment vertical="center"/>
    </xf>
    <xf numFmtId="0" fontId="0" fillId="39" borderId="12" xfId="48" applyFont="1" applyBorder="1" applyAlignment="1">
      <alignment horizontal="left" vertical="center"/>
      <protection locked="0"/>
    </xf>
    <xf numFmtId="0" fontId="0" fillId="39" borderId="21" xfId="48" applyFont="1" applyBorder="1" applyAlignment="1">
      <alignment horizontal="left" vertical="center"/>
      <protection locked="0"/>
    </xf>
    <xf numFmtId="0" fontId="0" fillId="39" borderId="13" xfId="48" applyFont="1" applyBorder="1" applyAlignment="1">
      <alignment horizontal="left" vertical="center"/>
      <protection locked="0"/>
    </xf>
    <xf numFmtId="0" fontId="53" fillId="0" borderId="15" xfId="0" applyFont="1" applyBorder="1" applyAlignment="1">
      <alignment horizontal="center" vertical="center" wrapText="1"/>
    </xf>
    <xf numFmtId="0" fontId="53" fillId="0" borderId="16" xfId="0" applyFont="1" applyBorder="1" applyAlignment="1">
      <alignment horizontal="center" vertical="center" wrapText="1"/>
    </xf>
    <xf numFmtId="168" fontId="29" fillId="40" borderId="14" xfId="65" applyBorder="1" applyAlignment="1">
      <alignment horizontal="center" vertical="center" wrapText="1"/>
    </xf>
    <xf numFmtId="49" fontId="18" fillId="39" borderId="10" xfId="48" applyNumberFormat="1" applyFont="1" applyAlignment="1">
      <alignment horizontal="left"/>
      <protection locked="0"/>
    </xf>
    <xf numFmtId="0" fontId="0" fillId="41" borderId="0" xfId="0" applyFill="1" applyAlignment="1">
      <alignment horizontal="left" vertical="center" wrapText="1" indent="1"/>
    </xf>
    <xf numFmtId="0" fontId="0" fillId="41" borderId="0" xfId="0" applyFill="1" applyAlignment="1">
      <alignment horizontal="left" wrapText="1" indent="1"/>
    </xf>
    <xf numFmtId="0" fontId="16" fillId="0" borderId="10" xfId="0" applyFont="1" applyBorder="1" applyAlignment="1">
      <alignment horizontal="center" vertical="center" wrapText="1"/>
    </xf>
    <xf numFmtId="0" fontId="30" fillId="0" borderId="23" xfId="60" applyBorder="1" applyAlignment="1">
      <alignment wrapText="1"/>
    </xf>
    <xf numFmtId="0" fontId="30" fillId="0" borderId="0" xfId="60" applyAlignment="1">
      <alignment wrapText="1"/>
    </xf>
    <xf numFmtId="0" fontId="30" fillId="0" borderId="0" xfId="60" applyBorder="1" applyAlignment="1">
      <alignment wrapText="1"/>
    </xf>
    <xf numFmtId="49" fontId="0" fillId="39" borderId="10" xfId="48" applyNumberFormat="1" applyFont="1" applyAlignment="1">
      <protection locked="0"/>
    </xf>
    <xf numFmtId="0" fontId="0" fillId="39" borderId="10" xfId="48" applyNumberFormat="1" applyFont="1" applyBorder="1" applyAlignment="1">
      <alignment horizontal="center" vertical="center"/>
      <protection locked="0"/>
    </xf>
    <xf numFmtId="0" fontId="57" fillId="37" borderId="10" xfId="66" applyFont="1" applyAlignment="1">
      <alignment horizontal="left" vertical="top" wrapText="1"/>
    </xf>
    <xf numFmtId="0" fontId="16" fillId="0" borderId="0" xfId="0" applyFont="1" applyAlignment="1">
      <alignment horizontal="left"/>
    </xf>
    <xf numFmtId="0" fontId="55" fillId="37" borderId="10" xfId="66" applyFont="1" applyAlignment="1">
      <alignment horizontal="left" vertical="top" wrapText="1"/>
    </xf>
    <xf numFmtId="0" fontId="44"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56" fillId="0" borderId="0" xfId="0" applyFont="1" applyAlignment="1">
      <alignment horizontal="left" vertical="center"/>
    </xf>
    <xf numFmtId="0" fontId="0" fillId="0" borderId="0" xfId="0" applyAlignment="1">
      <alignment horizontal="center" wrapText="1"/>
    </xf>
    <xf numFmtId="0" fontId="16" fillId="0" borderId="10"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49" fontId="0" fillId="38" borderId="10" xfId="47" applyNumberFormat="1" applyFont="1" applyAlignment="1">
      <alignment horizontal="left" vertical="center"/>
      <protection locked="0"/>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58" fillId="0" borderId="0" xfId="54" applyFont="1" applyFill="1" applyBorder="1" applyAlignment="1">
      <alignment horizontal="center" vertical="top" wrapText="1"/>
      <protection locked="0"/>
    </xf>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56" fillId="0" borderId="0" xfId="0" applyFont="1" applyAlignment="1"/>
    <xf numFmtId="0" fontId="16" fillId="0" borderId="0" xfId="0" applyFont="1" applyAlignment="1">
      <alignment horizontal="center" vertical="top" wrapText="1"/>
    </xf>
    <xf numFmtId="0" fontId="16" fillId="0" borderId="0" xfId="0" applyFont="1" applyBorder="1" applyAlignment="1">
      <alignment horizontal="right"/>
    </xf>
    <xf numFmtId="0" fontId="16" fillId="0" borderId="28" xfId="0" applyFont="1" applyBorder="1" applyAlignment="1">
      <alignment horizontal="right" vertical="center" wrapText="1"/>
    </xf>
    <xf numFmtId="0" fontId="16" fillId="0" borderId="0" xfId="0" applyFont="1" applyBorder="1" applyAlignment="1">
      <alignment horizontal="left" vertical="center"/>
    </xf>
    <xf numFmtId="0" fontId="67" fillId="0" borderId="89" xfId="0" applyFont="1" applyBorder="1" applyAlignment="1">
      <alignment horizontal="center" vertical="top" wrapText="1"/>
    </xf>
    <xf numFmtId="0" fontId="67" fillId="0" borderId="88" xfId="0" applyFont="1" applyBorder="1" applyAlignment="1">
      <alignment horizontal="center" vertical="top" wrapText="1"/>
    </xf>
    <xf numFmtId="0" fontId="66" fillId="46" borderId="90" xfId="0" applyFont="1" applyFill="1" applyBorder="1" applyAlignment="1">
      <alignment horizontal="center" vertical="top" wrapText="1"/>
    </xf>
    <xf numFmtId="0" fontId="66" fillId="46" borderId="89" xfId="0" applyFont="1" applyFill="1" applyBorder="1" applyAlignment="1">
      <alignment horizontal="center" vertical="top" wrapText="1"/>
    </xf>
    <xf numFmtId="0" fontId="67" fillId="0" borderId="0" xfId="0" applyFont="1" applyBorder="1" applyAlignment="1">
      <alignment horizontal="justify" vertical="top" wrapText="1"/>
    </xf>
    <xf numFmtId="0" fontId="68" fillId="47" borderId="91" xfId="0" applyFont="1" applyFill="1" applyBorder="1" applyAlignment="1">
      <alignment vertical="center" wrapText="1"/>
    </xf>
    <xf numFmtId="0" fontId="68" fillId="47" borderId="0" xfId="0" applyFont="1" applyFill="1" applyBorder="1" applyAlignment="1">
      <alignment vertical="center" wrapText="1"/>
    </xf>
    <xf numFmtId="0" fontId="67" fillId="0" borderId="0" xfId="0" applyFont="1" applyAlignment="1">
      <alignment horizontal="justify" vertical="center" wrapText="1"/>
    </xf>
    <xf numFmtId="0" fontId="67" fillId="0" borderId="0" xfId="0" applyFont="1" applyAlignment="1">
      <alignment horizontal="center" vertical="top" wrapText="1"/>
    </xf>
    <xf numFmtId="0" fontId="67" fillId="0" borderId="0" xfId="0" applyFont="1" applyBorder="1" applyAlignment="1">
      <alignment horizontal="center" vertical="top" wrapText="1"/>
    </xf>
    <xf numFmtId="0" fontId="66" fillId="0" borderId="0" xfId="0" applyFont="1" applyAlignment="1">
      <alignment horizontal="justify" vertical="center" wrapText="1"/>
    </xf>
    <xf numFmtId="0" fontId="66" fillId="0" borderId="83" xfId="0" applyFont="1" applyBorder="1" applyAlignment="1">
      <alignment horizontal="center" vertical="top" wrapText="1"/>
    </xf>
    <xf numFmtId="0" fontId="66" fillId="0" borderId="82" xfId="0" applyFont="1" applyBorder="1" applyAlignment="1">
      <alignment horizontal="center" vertical="top" wrapText="1"/>
    </xf>
    <xf numFmtId="0" fontId="65" fillId="0" borderId="0" xfId="0" applyFont="1" applyAlignment="1">
      <alignment vertical="center" wrapText="1"/>
    </xf>
    <xf numFmtId="0" fontId="67" fillId="0" borderId="87" xfId="0" applyFont="1" applyBorder="1" applyAlignment="1">
      <alignment horizontal="center" vertical="top" wrapText="1"/>
    </xf>
    <xf numFmtId="0" fontId="67" fillId="0" borderId="34" xfId="0" applyFont="1" applyBorder="1" applyAlignment="1">
      <alignment horizontal="center" vertical="top" wrapText="1"/>
    </xf>
    <xf numFmtId="0" fontId="66" fillId="0" borderId="85" xfId="0" applyFont="1" applyBorder="1" applyAlignment="1">
      <alignment horizontal="center" vertical="top" wrapText="1"/>
    </xf>
    <xf numFmtId="0" fontId="66" fillId="0" borderId="10" xfId="0" applyFont="1" applyBorder="1" applyAlignment="1">
      <alignment horizontal="center" vertical="top" wrapText="1"/>
    </xf>
    <xf numFmtId="0" fontId="67" fillId="0" borderId="90" xfId="0" applyFont="1" applyBorder="1" applyAlignment="1">
      <alignment horizontal="center" vertical="top" wrapText="1"/>
    </xf>
    <xf numFmtId="0" fontId="66" fillId="0" borderId="87" xfId="0" applyFont="1" applyBorder="1" applyAlignment="1">
      <alignment horizontal="center" vertical="top" wrapText="1"/>
    </xf>
    <xf numFmtId="0" fontId="66" fillId="0" borderId="34" xfId="0" applyFont="1" applyBorder="1" applyAlignment="1">
      <alignment horizontal="center" vertical="top" wrapText="1"/>
    </xf>
    <xf numFmtId="0" fontId="67" fillId="0" borderId="86" xfId="0" applyFont="1" applyBorder="1" applyAlignment="1">
      <alignment horizontal="center" vertical="top" wrapText="1"/>
    </xf>
    <xf numFmtId="0" fontId="65" fillId="0" borderId="0" xfId="0" applyFont="1" applyBorder="1" applyAlignment="1">
      <alignment vertical="center" wrapText="1"/>
    </xf>
    <xf numFmtId="0" fontId="66" fillId="0" borderId="0" xfId="0" applyFont="1" applyAlignment="1">
      <alignment vertical="top" wrapText="1"/>
    </xf>
    <xf numFmtId="0" fontId="66" fillId="0" borderId="0" xfId="0" applyFont="1" applyAlignment="1">
      <alignment horizontal="justify" vertical="top" wrapText="1"/>
    </xf>
    <xf numFmtId="0" fontId="67" fillId="0" borderId="95" xfId="0" applyFont="1" applyBorder="1" applyAlignment="1">
      <alignment horizontal="center" vertical="top" wrapText="1"/>
    </xf>
    <xf numFmtId="0" fontId="67" fillId="0" borderId="72" xfId="0" applyFont="1" applyBorder="1" applyAlignment="1">
      <alignment horizontal="center" vertical="top" wrapText="1"/>
    </xf>
    <xf numFmtId="0" fontId="77" fillId="0" borderId="0" xfId="0" applyFont="1" applyAlignment="1">
      <alignment wrapText="1"/>
    </xf>
    <xf numFmtId="0" fontId="66" fillId="0" borderId="91" xfId="0" applyFont="1" applyBorder="1" applyAlignment="1">
      <alignment vertical="top" wrapText="1"/>
    </xf>
    <xf numFmtId="0" fontId="66" fillId="0" borderId="0" xfId="0" applyFont="1" applyBorder="1" applyAlignment="1">
      <alignment vertical="top" wrapText="1"/>
    </xf>
    <xf numFmtId="0" fontId="66" fillId="0" borderId="68" xfId="0" applyFont="1" applyBorder="1" applyAlignment="1">
      <alignment vertical="top" wrapText="1"/>
    </xf>
    <xf numFmtId="0" fontId="66" fillId="0" borderId="74" xfId="0" applyFont="1" applyBorder="1" applyAlignment="1">
      <alignment vertical="top" wrapText="1"/>
    </xf>
    <xf numFmtId="0" fontId="67" fillId="0" borderId="0" xfId="0" applyFont="1" applyAlignment="1">
      <alignment horizontal="justify" vertical="top" wrapText="1"/>
    </xf>
    <xf numFmtId="0" fontId="67" fillId="0" borderId="73" xfId="0" applyFont="1" applyBorder="1" applyAlignment="1">
      <alignment horizontal="center" vertical="top" wrapText="1"/>
    </xf>
    <xf numFmtId="0" fontId="67" fillId="0" borderId="94" xfId="0" applyFont="1" applyBorder="1" applyAlignment="1">
      <alignment horizontal="center" vertical="top" wrapText="1"/>
    </xf>
    <xf numFmtId="0" fontId="67" fillId="0" borderId="31" xfId="0" applyFont="1" applyBorder="1" applyAlignment="1">
      <alignment horizontal="center" vertical="top" wrapText="1"/>
    </xf>
    <xf numFmtId="0" fontId="67" fillId="0" borderId="74" xfId="0" applyFont="1" applyBorder="1" applyAlignment="1">
      <alignment horizontal="center" vertical="top" wrapText="1"/>
    </xf>
    <xf numFmtId="0" fontId="70" fillId="0" borderId="0" xfId="0" applyFont="1" applyAlignment="1">
      <alignment horizontal="left" vertical="top"/>
    </xf>
    <xf numFmtId="0" fontId="72" fillId="0" borderId="0" xfId="0" applyFont="1" applyAlignment="1">
      <alignment vertical="top" wrapText="1"/>
    </xf>
    <xf numFmtId="0" fontId="69" fillId="0" borderId="0" xfId="0" applyFont="1" applyAlignment="1">
      <alignment horizontal="justify" vertical="top" wrapText="1"/>
    </xf>
    <xf numFmtId="0" fontId="66" fillId="0" borderId="0" xfId="0" applyFont="1" applyAlignment="1">
      <alignment horizontal="left" vertical="top" wrapText="1"/>
    </xf>
    <xf numFmtId="0" fontId="66" fillId="0" borderId="91" xfId="0" applyFont="1" applyBorder="1" applyAlignment="1">
      <alignment horizontal="center" vertical="top" wrapText="1"/>
    </xf>
    <xf numFmtId="0" fontId="66" fillId="0" borderId="75" xfId="0" applyFont="1" applyBorder="1" applyAlignment="1">
      <alignment horizontal="center" vertical="top" wrapText="1"/>
    </xf>
    <xf numFmtId="0" fontId="67" fillId="0" borderId="73" xfId="0" applyFont="1" applyBorder="1" applyAlignment="1">
      <alignment horizontal="left" vertical="top" wrapText="1"/>
    </xf>
    <xf numFmtId="0" fontId="67" fillId="0" borderId="72" xfId="0" applyFont="1" applyBorder="1" applyAlignment="1">
      <alignment horizontal="left" vertical="top" wrapText="1"/>
    </xf>
    <xf numFmtId="0" fontId="67" fillId="0" borderId="94" xfId="0" applyFont="1" applyBorder="1" applyAlignment="1">
      <alignment horizontal="left" vertical="top" wrapText="1"/>
    </xf>
    <xf numFmtId="0" fontId="67" fillId="0" borderId="93" xfId="0" applyFont="1" applyBorder="1" applyAlignment="1">
      <alignment horizontal="left" vertical="top" wrapText="1"/>
    </xf>
    <xf numFmtId="0" fontId="67" fillId="0" borderId="71" xfId="0" applyFont="1" applyBorder="1" applyAlignment="1">
      <alignment horizontal="center" vertical="top" wrapText="1"/>
    </xf>
    <xf numFmtId="0" fontId="67" fillId="0" borderId="70" xfId="0" applyFont="1" applyBorder="1" applyAlignment="1">
      <alignment horizontal="center" vertical="top" wrapText="1"/>
    </xf>
    <xf numFmtId="0" fontId="67" fillId="0" borderId="69" xfId="0" applyFont="1" applyBorder="1" applyAlignment="1">
      <alignment horizontal="center" vertical="top" wrapText="1"/>
    </xf>
    <xf numFmtId="0" fontId="66" fillId="0" borderId="68" xfId="0" applyFont="1" applyBorder="1" applyAlignment="1">
      <alignment horizontal="center" vertical="top" wrapText="1"/>
    </xf>
    <xf numFmtId="0" fontId="66" fillId="0" borderId="65" xfId="0" applyFont="1" applyBorder="1" applyAlignment="1">
      <alignment horizontal="center" vertical="top" wrapText="1"/>
    </xf>
    <xf numFmtId="0" fontId="66" fillId="0" borderId="85" xfId="0" applyFont="1" applyBorder="1" applyAlignment="1">
      <alignment vertical="center" wrapText="1"/>
    </xf>
    <xf numFmtId="0" fontId="66" fillId="0" borderId="10" xfId="0" applyFont="1" applyBorder="1" applyAlignment="1">
      <alignment vertical="center" wrapText="1"/>
    </xf>
    <xf numFmtId="0" fontId="67" fillId="0" borderId="0" xfId="0" applyFont="1" applyBorder="1" applyAlignment="1">
      <alignment horizontal="center" vertical="center" wrapText="1"/>
    </xf>
    <xf numFmtId="0" fontId="66" fillId="0" borderId="84" xfId="0" applyFont="1" applyBorder="1" applyAlignment="1">
      <alignment vertical="center" wrapText="1"/>
    </xf>
    <xf numFmtId="0" fontId="66" fillId="0" borderId="105" xfId="0" applyFont="1" applyBorder="1" applyAlignment="1">
      <alignment vertical="center" wrapText="1"/>
    </xf>
    <xf numFmtId="0" fontId="66" fillId="0" borderId="104" xfId="0" applyFont="1" applyBorder="1" applyAlignment="1">
      <alignment vertical="center" wrapText="1"/>
    </xf>
    <xf numFmtId="0" fontId="66" fillId="0" borderId="82" xfId="0" applyFont="1" applyBorder="1" applyAlignment="1">
      <alignment vertical="center" wrapText="1"/>
    </xf>
    <xf numFmtId="0" fontId="66" fillId="0" borderId="81" xfId="0" applyFont="1" applyBorder="1" applyAlignment="1">
      <alignment vertical="center" wrapText="1"/>
    </xf>
    <xf numFmtId="0" fontId="67" fillId="0" borderId="0" xfId="0" applyFont="1" applyBorder="1" applyAlignment="1">
      <alignment horizontal="justify" vertical="center" wrapText="1"/>
    </xf>
    <xf numFmtId="0" fontId="67" fillId="0" borderId="74" xfId="0" applyFont="1" applyBorder="1" applyAlignment="1">
      <alignment horizontal="center" vertical="center" wrapText="1"/>
    </xf>
    <xf numFmtId="0" fontId="66" fillId="0" borderId="0" xfId="0" applyFont="1" applyBorder="1" applyAlignment="1">
      <alignment horizontal="justify" vertical="center" wrapText="1"/>
    </xf>
    <xf numFmtId="0" fontId="67" fillId="0" borderId="73" xfId="0" applyFont="1" applyBorder="1" applyAlignment="1">
      <alignment horizontal="center" vertical="center" wrapText="1"/>
    </xf>
    <xf numFmtId="0" fontId="67" fillId="0" borderId="95" xfId="0" applyFont="1" applyBorder="1" applyAlignment="1">
      <alignment horizontal="center" vertical="center" wrapText="1"/>
    </xf>
    <xf numFmtId="0" fontId="67" fillId="0" borderId="72" xfId="0" applyFont="1" applyBorder="1" applyAlignment="1">
      <alignment horizontal="center" vertical="center" wrapText="1"/>
    </xf>
    <xf numFmtId="0" fontId="67" fillId="0" borderId="68" xfId="0" applyFont="1" applyBorder="1" applyAlignment="1">
      <alignment horizontal="center" vertical="center" wrapText="1"/>
    </xf>
    <xf numFmtId="0" fontId="67" fillId="0" borderId="65" xfId="0" applyFont="1" applyBorder="1" applyAlignment="1">
      <alignment horizontal="center" vertical="center" wrapText="1"/>
    </xf>
    <xf numFmtId="0" fontId="67" fillId="0" borderId="100" xfId="0" applyFont="1" applyBorder="1" applyAlignment="1">
      <alignment horizontal="center" vertical="center" wrapText="1"/>
    </xf>
    <xf numFmtId="0" fontId="67" fillId="0" borderId="99" xfId="0" applyFont="1" applyBorder="1" applyAlignment="1">
      <alignment horizontal="center" vertical="center" wrapText="1"/>
    </xf>
    <xf numFmtId="0" fontId="67" fillId="0" borderId="98" xfId="0" applyFont="1" applyBorder="1" applyAlignment="1">
      <alignment horizontal="center" vertical="center" wrapText="1"/>
    </xf>
    <xf numFmtId="0" fontId="66" fillId="0" borderId="97" xfId="0" applyFont="1" applyBorder="1" applyAlignment="1">
      <alignment vertical="center" wrapText="1"/>
    </xf>
    <xf numFmtId="0" fontId="66" fillId="0" borderId="17" xfId="0" applyFont="1" applyBorder="1" applyAlignment="1">
      <alignment vertical="center" wrapText="1"/>
    </xf>
    <xf numFmtId="0" fontId="66" fillId="0" borderId="83" xfId="0" applyFont="1" applyBorder="1" applyAlignment="1">
      <alignment vertical="center" wrapText="1"/>
    </xf>
    <xf numFmtId="0" fontId="69" fillId="0" borderId="10" xfId="0" applyFont="1" applyBorder="1" applyAlignment="1">
      <alignment vertical="center" wrapText="1"/>
    </xf>
    <xf numFmtId="0" fontId="69" fillId="0" borderId="84" xfId="0" applyFont="1" applyBorder="1" applyAlignment="1">
      <alignment vertical="center" wrapText="1"/>
    </xf>
    <xf numFmtId="0" fontId="62" fillId="0" borderId="10" xfId="67" applyBorder="1" applyAlignment="1">
      <alignment vertical="center" wrapText="1"/>
    </xf>
    <xf numFmtId="0" fontId="62" fillId="0" borderId="84" xfId="67" applyBorder="1" applyAlignment="1">
      <alignment vertical="center" wrapText="1"/>
    </xf>
    <xf numFmtId="0" fontId="69" fillId="0" borderId="17" xfId="0" applyFont="1" applyBorder="1" applyAlignment="1">
      <alignment vertical="center" wrapText="1"/>
    </xf>
    <xf numFmtId="0" fontId="69" fillId="0" borderId="96" xfId="0" applyFont="1" applyBorder="1" applyAlignment="1">
      <alignment vertical="center" wrapText="1"/>
    </xf>
    <xf numFmtId="0" fontId="70" fillId="0" borderId="0" xfId="0" applyFont="1" applyAlignment="1">
      <alignment horizontal="left" vertical="center" wrapText="1"/>
    </xf>
    <xf numFmtId="0" fontId="69" fillId="0" borderId="82" xfId="0" applyFont="1" applyBorder="1" applyAlignment="1">
      <alignment vertical="center" wrapText="1"/>
    </xf>
    <xf numFmtId="0" fontId="69" fillId="0" borderId="81" xfId="0" applyFont="1" applyBorder="1" applyAlignment="1">
      <alignment vertical="center" wrapText="1"/>
    </xf>
    <xf numFmtId="0" fontId="67" fillId="0" borderId="28" xfId="0" applyFont="1" applyBorder="1" applyAlignment="1">
      <alignment horizontal="center" vertical="center" wrapText="1"/>
    </xf>
    <xf numFmtId="0" fontId="67" fillId="0" borderId="16" xfId="0" applyFont="1" applyBorder="1" applyAlignment="1">
      <alignment horizontal="center" vertical="center" wrapText="1"/>
    </xf>
    <xf numFmtId="0" fontId="67" fillId="0" borderId="29" xfId="0" applyFont="1" applyBorder="1" applyAlignment="1">
      <alignment horizontal="center" vertical="center" wrapText="1"/>
    </xf>
    <xf numFmtId="0" fontId="67" fillId="0" borderId="103" xfId="0" applyFont="1" applyBorder="1" applyAlignment="1">
      <alignment horizontal="center" vertical="center" wrapText="1"/>
    </xf>
    <xf numFmtId="0" fontId="67" fillId="0" borderId="102" xfId="0" applyFont="1" applyBorder="1" applyAlignment="1">
      <alignment horizontal="center" vertical="center" wrapText="1"/>
    </xf>
    <xf numFmtId="0" fontId="67" fillId="0" borderId="101" xfId="0" applyFont="1" applyBorder="1" applyAlignment="1">
      <alignment horizontal="center" vertical="center" wrapText="1"/>
    </xf>
    <xf numFmtId="0" fontId="66" fillId="0" borderId="106" xfId="0" applyFont="1" applyBorder="1" applyAlignment="1">
      <alignment vertical="center" wrapText="1"/>
    </xf>
    <xf numFmtId="0" fontId="51" fillId="37" borderId="46" xfId="57" applyFill="1" applyBorder="1" applyAlignment="1" applyProtection="1">
      <alignment horizontal="center"/>
      <protection locked="0"/>
    </xf>
    <xf numFmtId="0" fontId="51" fillId="37" borderId="76" xfId="57" applyFill="1" applyBorder="1" applyAlignment="1" applyProtection="1">
      <alignment horizontal="center"/>
      <protection locked="0"/>
    </xf>
    <xf numFmtId="0" fontId="51" fillId="37" borderId="77" xfId="57" applyFill="1" applyBorder="1" applyAlignment="1" applyProtection="1">
      <alignment horizontal="center"/>
      <protection locked="0"/>
    </xf>
    <xf numFmtId="0" fontId="51" fillId="37" borderId="78" xfId="57" applyFill="1" applyBorder="1" applyAlignment="1" applyProtection="1">
      <alignment horizontal="center"/>
      <protection locked="0"/>
    </xf>
    <xf numFmtId="0" fontId="0" fillId="0" borderId="10" xfId="0" applyBorder="1" applyAlignment="1">
      <alignment horizontal="right"/>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1"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3" fillId="43" borderId="12" xfId="0" applyFont="1" applyFill="1" applyBorder="1" applyAlignment="1">
      <alignment horizontal="center" vertical="center" wrapText="1"/>
    </xf>
    <xf numFmtId="0" fontId="43" fillId="43" borderId="21" xfId="0" applyFont="1" applyFill="1" applyBorder="1" applyAlignment="1">
      <alignment horizontal="center" vertical="center" wrapText="1"/>
    </xf>
    <xf numFmtId="0" fontId="43" fillId="43" borderId="13" xfId="0" applyFont="1" applyFill="1" applyBorder="1" applyAlignment="1">
      <alignment horizontal="center" vertical="center" wrapText="1"/>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6" fillId="0" borderId="15" xfId="0" applyFont="1" applyBorder="1" applyAlignment="1">
      <alignment horizontal="center" vertical="center"/>
    </xf>
    <xf numFmtId="0" fontId="26" fillId="0" borderId="17" xfId="0" applyFont="1" applyBorder="1" applyAlignment="1">
      <alignment horizontal="center" vertical="center"/>
    </xf>
    <xf numFmtId="0" fontId="43"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1" fillId="37" borderId="10" xfId="57" applyFill="1" applyBorder="1" applyAlignment="1" applyProtection="1">
      <alignment horizontal="center"/>
      <protection locked="0"/>
    </xf>
    <xf numFmtId="0" fontId="51" fillId="0" borderId="41" xfId="57" applyBorder="1" applyAlignment="1" applyProtection="1">
      <alignment horizontal="center"/>
    </xf>
    <xf numFmtId="0" fontId="51"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26" fillId="0" borderId="0" xfId="0" applyFont="1" applyAlignment="1">
      <alignment horizontal="center" vertical="top" wrapText="1"/>
    </xf>
    <xf numFmtId="0" fontId="25" fillId="0" borderId="26" xfId="0" applyFont="1" applyBorder="1" applyAlignment="1">
      <alignment horizontal="center" wrapText="1"/>
    </xf>
    <xf numFmtId="0" fontId="18" fillId="0" borderId="22" xfId="0" applyFont="1" applyBorder="1" applyAlignment="1">
      <alignment horizontal="center" vertical="center" wrapText="1"/>
    </xf>
    <xf numFmtId="0" fontId="18" fillId="0" borderId="25"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27" fillId="0" borderId="0" xfId="0" applyFont="1" applyAlignment="1">
      <alignment horizontal="left" vertical="center"/>
    </xf>
    <xf numFmtId="0" fontId="27" fillId="0" borderId="0" xfId="0" applyFont="1" applyAlignment="1">
      <alignment horizontal="left" vertical="top" wrapText="1"/>
    </xf>
    <xf numFmtId="0" fontId="26" fillId="0" borderId="74" xfId="0" applyFont="1" applyBorder="1" applyAlignment="1">
      <alignment horizontal="center" vertical="center"/>
    </xf>
    <xf numFmtId="0" fontId="26" fillId="0" borderId="74" xfId="0" applyFont="1" applyBorder="1" applyAlignment="1">
      <alignment horizontal="center" vertical="center" wrapText="1"/>
    </xf>
    <xf numFmtId="0" fontId="50"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61" builtinId="9" hidden="1"/>
    <cellStyle name="Followed Hyperlink" xfId="59" builtinId="9" hidden="1"/>
    <cellStyle name="Followed Hyperlink" xfId="56" builtinId="9" hidden="1"/>
    <cellStyle name="Followed Hyperlink" xfId="58"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3300">
    <dxf>
      <fill>
        <patternFill patternType="lightGray"/>
      </fill>
    </dxf>
    <dxf>
      <fill>
        <patternFill patternType="lightGray"/>
      </fill>
    </dxf>
    <dxf>
      <font>
        <b/>
        <i val="0"/>
        <color theme="1"/>
      </font>
      <fill>
        <patternFill>
          <bgColor rgb="FFFF000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patternType="solid">
          <bgColor rgb="FFFFFF99"/>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ont>
        <b/>
        <i val="0"/>
        <color theme="1"/>
      </font>
      <fill>
        <patternFill>
          <bgColor rgb="FFFF000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ont>
        <color theme="1"/>
      </font>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theme="1"/>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theme="7" tint="0.59996337778862885"/>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D700"/>
      <color rgb="FF37CBFF"/>
      <color rgb="FF8FE2FF"/>
      <color rgb="FFFFFF99"/>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15</xdr:row>
      <xdr:rowOff>0</xdr:rowOff>
    </xdr:from>
    <xdr:to>
      <xdr:col>22</xdr:col>
      <xdr:colOff>180975</xdr:colOff>
      <xdr:row>15</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xdr:row>
      <xdr:rowOff>0</xdr:rowOff>
    </xdr:from>
    <xdr:to>
      <xdr:col>22</xdr:col>
      <xdr:colOff>180975</xdr:colOff>
      <xdr:row>19</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xdr:row>
      <xdr:rowOff>0</xdr:rowOff>
    </xdr:from>
    <xdr:to>
      <xdr:col>22</xdr:col>
      <xdr:colOff>180975</xdr:colOff>
      <xdr:row>28</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180975</xdr:colOff>
      <xdr:row>62</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xdr:row>
      <xdr:rowOff>0</xdr:rowOff>
    </xdr:from>
    <xdr:to>
      <xdr:col>22</xdr:col>
      <xdr:colOff>180975</xdr:colOff>
      <xdr:row>63</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180975</xdr:colOff>
      <xdr:row>72</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xdr:row>
      <xdr:rowOff>0</xdr:rowOff>
    </xdr:from>
    <xdr:to>
      <xdr:col>22</xdr:col>
      <xdr:colOff>180975</xdr:colOff>
      <xdr:row>85</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xdr:row>
      <xdr:rowOff>0</xdr:rowOff>
    </xdr:from>
    <xdr:to>
      <xdr:col>22</xdr:col>
      <xdr:colOff>180975</xdr:colOff>
      <xdr:row>135</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3274" name="Check Box 202" hidden="1">
          <a:extLst>
            <a:ext uri="{63B3BB69-23CF-44E3-9099-C40C66FF867C}">
              <a14:compatExt xmlns:a14="http://schemas.microsoft.com/office/drawing/2010/main" spid="_x0000_s3274"/>
            </a:ext>
            <a:ext uri="{FF2B5EF4-FFF2-40B4-BE49-F238E27FC236}">
              <a16:creationId xmlns:a16="http://schemas.microsoft.com/office/drawing/2014/main" id="{00000000-0008-0000-0300-0000C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3275" name="Check Box 203" hidden="1">
          <a:extLst>
            <a:ext uri="{63B3BB69-23CF-44E3-9099-C40C66FF867C}">
              <a14:compatExt xmlns:a14="http://schemas.microsoft.com/office/drawing/2010/main" spid="_x0000_s3275"/>
            </a:ext>
            <a:ext uri="{FF2B5EF4-FFF2-40B4-BE49-F238E27FC236}">
              <a16:creationId xmlns:a16="http://schemas.microsoft.com/office/drawing/2014/main" id="{00000000-0008-0000-0300-0000C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xdr:row>
      <xdr:rowOff>0</xdr:rowOff>
    </xdr:from>
    <xdr:to>
      <xdr:col>22</xdr:col>
      <xdr:colOff>180975</xdr:colOff>
      <xdr:row>179</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xdr:row>
      <xdr:rowOff>0</xdr:rowOff>
    </xdr:from>
    <xdr:to>
      <xdr:col>22</xdr:col>
      <xdr:colOff>180975</xdr:colOff>
      <xdr:row>198</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3301" name="Check Box 229" hidden="1">
          <a:extLst>
            <a:ext uri="{63B3BB69-23CF-44E3-9099-C40C66FF867C}">
              <a14:compatExt xmlns:a14="http://schemas.microsoft.com/office/drawing/2010/main" spid="_x0000_s3301"/>
            </a:ext>
            <a:ext uri="{FF2B5EF4-FFF2-40B4-BE49-F238E27FC236}">
              <a16:creationId xmlns:a16="http://schemas.microsoft.com/office/drawing/2014/main" id="{00000000-0008-0000-0300-0000E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3302" name="Check Box 230" hidden="1">
          <a:extLst>
            <a:ext uri="{63B3BB69-23CF-44E3-9099-C40C66FF867C}">
              <a14:compatExt xmlns:a14="http://schemas.microsoft.com/office/drawing/2010/main" spid="_x0000_s3302"/>
            </a:ext>
            <a:ext uri="{FF2B5EF4-FFF2-40B4-BE49-F238E27FC236}">
              <a16:creationId xmlns:a16="http://schemas.microsoft.com/office/drawing/2014/main" id="{00000000-0008-0000-0300-0000E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31</xdr:row>
      <xdr:rowOff>0</xdr:rowOff>
    </xdr:from>
    <xdr:to>
      <xdr:col>22</xdr:col>
      <xdr:colOff>180975</xdr:colOff>
      <xdr:row>31</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180975</xdr:colOff>
      <xdr:row>34</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xdr:row>
      <xdr:rowOff>0</xdr:rowOff>
    </xdr:from>
    <xdr:to>
      <xdr:col>22</xdr:col>
      <xdr:colOff>180975</xdr:colOff>
      <xdr:row>47</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xdr:row>
      <xdr:rowOff>0</xdr:rowOff>
    </xdr:from>
    <xdr:to>
      <xdr:col>22</xdr:col>
      <xdr:colOff>180975</xdr:colOff>
      <xdr:row>198</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xdr:row>
      <xdr:rowOff>0</xdr:rowOff>
    </xdr:from>
    <xdr:to>
      <xdr:col>22</xdr:col>
      <xdr:colOff>180975</xdr:colOff>
      <xdr:row>199</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248</xdr:row>
      <xdr:rowOff>0</xdr:rowOff>
    </xdr:from>
    <xdr:to>
      <xdr:col>22</xdr:col>
      <xdr:colOff>180975</xdr:colOff>
      <xdr:row>248</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249</xdr:row>
      <xdr:rowOff>0</xdr:rowOff>
    </xdr:from>
    <xdr:to>
      <xdr:col>22</xdr:col>
      <xdr:colOff>180975</xdr:colOff>
      <xdr:row>249</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180975</xdr:colOff>
      <xdr:row>252</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256</xdr:row>
      <xdr:rowOff>0</xdr:rowOff>
    </xdr:from>
    <xdr:to>
      <xdr:col>22</xdr:col>
      <xdr:colOff>180975</xdr:colOff>
      <xdr:row>256</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261</xdr:row>
      <xdr:rowOff>0</xdr:rowOff>
    </xdr:from>
    <xdr:to>
      <xdr:col>22</xdr:col>
      <xdr:colOff>180975</xdr:colOff>
      <xdr:row>261</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280</xdr:row>
      <xdr:rowOff>0</xdr:rowOff>
    </xdr:from>
    <xdr:to>
      <xdr:col>22</xdr:col>
      <xdr:colOff>180975</xdr:colOff>
      <xdr:row>280</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298</xdr:row>
      <xdr:rowOff>0</xdr:rowOff>
    </xdr:from>
    <xdr:to>
      <xdr:col>22</xdr:col>
      <xdr:colOff>180975</xdr:colOff>
      <xdr:row>298</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326</xdr:row>
      <xdr:rowOff>0</xdr:rowOff>
    </xdr:from>
    <xdr:to>
      <xdr:col>22</xdr:col>
      <xdr:colOff>180975</xdr:colOff>
      <xdr:row>326</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327</xdr:row>
      <xdr:rowOff>0</xdr:rowOff>
    </xdr:from>
    <xdr:to>
      <xdr:col>22</xdr:col>
      <xdr:colOff>180975</xdr:colOff>
      <xdr:row>327</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328</xdr:row>
      <xdr:rowOff>0</xdr:rowOff>
    </xdr:from>
    <xdr:to>
      <xdr:col>22</xdr:col>
      <xdr:colOff>180975</xdr:colOff>
      <xdr:row>328</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329</xdr:row>
      <xdr:rowOff>0</xdr:rowOff>
    </xdr:from>
    <xdr:to>
      <xdr:col>22</xdr:col>
      <xdr:colOff>180975</xdr:colOff>
      <xdr:row>329</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330</xdr:row>
      <xdr:rowOff>0</xdr:rowOff>
    </xdr:from>
    <xdr:to>
      <xdr:col>22</xdr:col>
      <xdr:colOff>180975</xdr:colOff>
      <xdr:row>330</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331</xdr:row>
      <xdr:rowOff>0</xdr:rowOff>
    </xdr:from>
    <xdr:to>
      <xdr:col>22</xdr:col>
      <xdr:colOff>180975</xdr:colOff>
      <xdr:row>331</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332</xdr:row>
      <xdr:rowOff>0</xdr:rowOff>
    </xdr:from>
    <xdr:to>
      <xdr:col>22</xdr:col>
      <xdr:colOff>180975</xdr:colOff>
      <xdr:row>332</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333</xdr:row>
      <xdr:rowOff>0</xdr:rowOff>
    </xdr:from>
    <xdr:to>
      <xdr:col>22</xdr:col>
      <xdr:colOff>180975</xdr:colOff>
      <xdr:row>333</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334</xdr:row>
      <xdr:rowOff>0</xdr:rowOff>
    </xdr:from>
    <xdr:to>
      <xdr:col>22</xdr:col>
      <xdr:colOff>180975</xdr:colOff>
      <xdr:row>334</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381</xdr:row>
      <xdr:rowOff>0</xdr:rowOff>
    </xdr:from>
    <xdr:to>
      <xdr:col>22</xdr:col>
      <xdr:colOff>180975</xdr:colOff>
      <xdr:row>381</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383</xdr:row>
      <xdr:rowOff>0</xdr:rowOff>
    </xdr:from>
    <xdr:to>
      <xdr:col>22</xdr:col>
      <xdr:colOff>180975</xdr:colOff>
      <xdr:row>383</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384</xdr:row>
      <xdr:rowOff>0</xdr:rowOff>
    </xdr:from>
    <xdr:to>
      <xdr:col>22</xdr:col>
      <xdr:colOff>180975</xdr:colOff>
      <xdr:row>384</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412</xdr:row>
      <xdr:rowOff>0</xdr:rowOff>
    </xdr:from>
    <xdr:to>
      <xdr:col>22</xdr:col>
      <xdr:colOff>180975</xdr:colOff>
      <xdr:row>412</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421</xdr:row>
      <xdr:rowOff>0</xdr:rowOff>
    </xdr:from>
    <xdr:to>
      <xdr:col>22</xdr:col>
      <xdr:colOff>180975</xdr:colOff>
      <xdr:row>421</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180975</xdr:colOff>
      <xdr:row>428</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180975</xdr:colOff>
      <xdr:row>484</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485</xdr:row>
      <xdr:rowOff>0</xdr:rowOff>
    </xdr:from>
    <xdr:to>
      <xdr:col>22</xdr:col>
      <xdr:colOff>180975</xdr:colOff>
      <xdr:row>485</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486</xdr:row>
      <xdr:rowOff>0</xdr:rowOff>
    </xdr:from>
    <xdr:to>
      <xdr:col>22</xdr:col>
      <xdr:colOff>180975</xdr:colOff>
      <xdr:row>486</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180975</xdr:colOff>
      <xdr:row>488</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489</xdr:row>
      <xdr:rowOff>0</xdr:rowOff>
    </xdr:from>
    <xdr:to>
      <xdr:col>22</xdr:col>
      <xdr:colOff>180975</xdr:colOff>
      <xdr:row>489</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490</xdr:row>
      <xdr:rowOff>0</xdr:rowOff>
    </xdr:from>
    <xdr:to>
      <xdr:col>22</xdr:col>
      <xdr:colOff>180975</xdr:colOff>
      <xdr:row>490</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494</xdr:row>
      <xdr:rowOff>0</xdr:rowOff>
    </xdr:from>
    <xdr:to>
      <xdr:col>22</xdr:col>
      <xdr:colOff>180975</xdr:colOff>
      <xdr:row>494</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499</xdr:row>
      <xdr:rowOff>0</xdr:rowOff>
    </xdr:from>
    <xdr:to>
      <xdr:col>22</xdr:col>
      <xdr:colOff>180975</xdr:colOff>
      <xdr:row>499</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503</xdr:row>
      <xdr:rowOff>0</xdr:rowOff>
    </xdr:from>
    <xdr:to>
      <xdr:col>22</xdr:col>
      <xdr:colOff>180975</xdr:colOff>
      <xdr:row>503</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507</xdr:row>
      <xdr:rowOff>0</xdr:rowOff>
    </xdr:from>
    <xdr:to>
      <xdr:col>22</xdr:col>
      <xdr:colOff>180975</xdr:colOff>
      <xdr:row>507</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509</xdr:row>
      <xdr:rowOff>0</xdr:rowOff>
    </xdr:from>
    <xdr:to>
      <xdr:col>22</xdr:col>
      <xdr:colOff>180975</xdr:colOff>
      <xdr:row>509</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513</xdr:row>
      <xdr:rowOff>0</xdr:rowOff>
    </xdr:from>
    <xdr:to>
      <xdr:col>22</xdr:col>
      <xdr:colOff>180975</xdr:colOff>
      <xdr:row>513</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515</xdr:row>
      <xdr:rowOff>0</xdr:rowOff>
    </xdr:from>
    <xdr:to>
      <xdr:col>22</xdr:col>
      <xdr:colOff>180975</xdr:colOff>
      <xdr:row>515</xdr:row>
      <xdr:rowOff>180975</xdr:rowOff>
    </xdr:to>
    <xdr:sp macro="" textlink="">
      <xdr:nvSpPr>
        <xdr:cNvPr id="4285" name="Check Box 189" hidden="1">
          <a:extLst>
            <a:ext uri="{63B3BB69-23CF-44E3-9099-C40C66FF867C}">
              <a14:compatExt xmlns:a14="http://schemas.microsoft.com/office/drawing/2010/main" spid="_x0000_s4285"/>
            </a:ext>
            <a:ext uri="{FF2B5EF4-FFF2-40B4-BE49-F238E27FC236}">
              <a16:creationId xmlns:a16="http://schemas.microsoft.com/office/drawing/2014/main" id="{00000000-0008-0000-0400-0000B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295</xdr:row>
      <xdr:rowOff>0</xdr:rowOff>
    </xdr:from>
    <xdr:to>
      <xdr:col>22</xdr:col>
      <xdr:colOff>180975</xdr:colOff>
      <xdr:row>295</xdr:row>
      <xdr:rowOff>180975</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882650</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editAs="oneCell">
    <xdr:from>
      <xdr:col>22</xdr:col>
      <xdr:colOff>0</xdr:colOff>
      <xdr:row>20</xdr:row>
      <xdr:rowOff>0</xdr:rowOff>
    </xdr:from>
    <xdr:to>
      <xdr:col>22</xdr:col>
      <xdr:colOff>180975</xdr:colOff>
      <xdr:row>20</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5129" name="Check Box 9" hidden="1">
          <a:extLst>
            <a:ext uri="{63B3BB69-23CF-44E3-9099-C40C66FF867C}">
              <a14:compatExt xmlns:a14="http://schemas.microsoft.com/office/drawing/2010/main"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104</xdr:row>
      <xdr:rowOff>0</xdr:rowOff>
    </xdr:from>
    <xdr:to>
      <xdr:col>22</xdr:col>
      <xdr:colOff>180975</xdr:colOff>
      <xdr:row>104</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118</xdr:row>
      <xdr:rowOff>0</xdr:rowOff>
    </xdr:from>
    <xdr:to>
      <xdr:col>22</xdr:col>
      <xdr:colOff>180975</xdr:colOff>
      <xdr:row>118</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120</xdr:row>
      <xdr:rowOff>0</xdr:rowOff>
    </xdr:from>
    <xdr:to>
      <xdr:col>22</xdr:col>
      <xdr:colOff>180975</xdr:colOff>
      <xdr:row>120</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xdr:row>
      <xdr:rowOff>0</xdr:rowOff>
    </xdr:from>
    <xdr:to>
      <xdr:col>22</xdr:col>
      <xdr:colOff>180975</xdr:colOff>
      <xdr:row>29</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xdr:row>
      <xdr:rowOff>0</xdr:rowOff>
    </xdr:from>
    <xdr:to>
      <xdr:col>22</xdr:col>
      <xdr:colOff>180975</xdr:colOff>
      <xdr:row>32</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35</xdr:row>
      <xdr:rowOff>0</xdr:rowOff>
    </xdr:from>
    <xdr:to>
      <xdr:col>22</xdr:col>
      <xdr:colOff>180975</xdr:colOff>
      <xdr:row>35</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74</xdr:row>
      <xdr:rowOff>0</xdr:rowOff>
    </xdr:from>
    <xdr:to>
      <xdr:col>22</xdr:col>
      <xdr:colOff>180975</xdr:colOff>
      <xdr:row>74</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77</xdr:row>
      <xdr:rowOff>0</xdr:rowOff>
    </xdr:from>
    <xdr:to>
      <xdr:col>22</xdr:col>
      <xdr:colOff>180975</xdr:colOff>
      <xdr:row>77</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121</xdr:row>
      <xdr:rowOff>0</xdr:rowOff>
    </xdr:from>
    <xdr:to>
      <xdr:col>22</xdr:col>
      <xdr:colOff>180975</xdr:colOff>
      <xdr:row>121</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xdr:row>
      <xdr:rowOff>0</xdr:rowOff>
    </xdr:from>
    <xdr:to>
      <xdr:col>22</xdr:col>
      <xdr:colOff>180975</xdr:colOff>
      <xdr:row>13</xdr:row>
      <xdr:rowOff>180975</xdr:rowOff>
    </xdr:to>
    <xdr:sp macro="" textlink="">
      <xdr:nvSpPr>
        <xdr:cNvPr id="5155" name="Check Box 35" hidden="1">
          <a:extLst>
            <a:ext uri="{63B3BB69-23CF-44E3-9099-C40C66FF867C}">
              <a14:compatExt xmlns:a14="http://schemas.microsoft.com/office/drawing/2010/main" spid="_x0000_s5155"/>
            </a:ext>
            <a:ext uri="{FF2B5EF4-FFF2-40B4-BE49-F238E27FC236}">
              <a16:creationId xmlns:a16="http://schemas.microsoft.com/office/drawing/2014/main" id="{00000000-0008-0000-0500-00002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123</xdr:row>
      <xdr:rowOff>0</xdr:rowOff>
    </xdr:from>
    <xdr:to>
      <xdr:col>22</xdr:col>
      <xdr:colOff>180975</xdr:colOff>
      <xdr:row>123</xdr:row>
      <xdr:rowOff>180975</xdr:rowOff>
    </xdr:to>
    <xdr:sp macro="" textlink="">
      <xdr:nvSpPr>
        <xdr:cNvPr id="5157" name="Check Box 37" hidden="1">
          <a:extLst>
            <a:ext uri="{63B3BB69-23CF-44E3-9099-C40C66FF867C}">
              <a14:compatExt xmlns:a14="http://schemas.microsoft.com/office/drawing/2010/main" spid="_x0000_s5157"/>
            </a:ext>
            <a:ext uri="{FF2B5EF4-FFF2-40B4-BE49-F238E27FC236}">
              <a16:creationId xmlns:a16="http://schemas.microsoft.com/office/drawing/2014/main" id="{00000000-0008-0000-0500-00002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127</xdr:row>
      <xdr:rowOff>0</xdr:rowOff>
    </xdr:from>
    <xdr:to>
      <xdr:col>22</xdr:col>
      <xdr:colOff>180975</xdr:colOff>
      <xdr:row>127</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56</xdr:row>
      <xdr:rowOff>0</xdr:rowOff>
    </xdr:from>
    <xdr:to>
      <xdr:col>22</xdr:col>
      <xdr:colOff>180975</xdr:colOff>
      <xdr:row>56</xdr:row>
      <xdr:rowOff>180975</xdr:rowOff>
    </xdr:to>
    <xdr:sp macro="" textlink="">
      <xdr:nvSpPr>
        <xdr:cNvPr id="5160" name="Check Box 40" hidden="1">
          <a:extLst>
            <a:ext uri="{63B3BB69-23CF-44E3-9099-C40C66FF867C}">
              <a14:compatExt xmlns:a14="http://schemas.microsoft.com/office/drawing/2010/main" spid="_x0000_s5160"/>
            </a:ext>
            <a:ext uri="{FF2B5EF4-FFF2-40B4-BE49-F238E27FC236}">
              <a16:creationId xmlns:a16="http://schemas.microsoft.com/office/drawing/2014/main" id="{00000000-0008-0000-0500-00002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10</xdr:col>
      <xdr:colOff>476250</xdr:colOff>
      <xdr:row>0</xdr:row>
      <xdr:rowOff>0</xdr:rowOff>
    </xdr:from>
    <xdr:to>
      <xdr:col>13</xdr:col>
      <xdr:colOff>133350</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882650</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editAs="oneCell">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xdr:row>
      <xdr:rowOff>0</xdr:rowOff>
    </xdr:from>
    <xdr:to>
      <xdr:col>22</xdr:col>
      <xdr:colOff>180975</xdr:colOff>
      <xdr:row>32</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66</xdr:row>
      <xdr:rowOff>0</xdr:rowOff>
    </xdr:from>
    <xdr:to>
      <xdr:col>22</xdr:col>
      <xdr:colOff>180975</xdr:colOff>
      <xdr:row>66</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60</xdr:row>
      <xdr:rowOff>0</xdr:rowOff>
    </xdr:from>
    <xdr:to>
      <xdr:col>22</xdr:col>
      <xdr:colOff>180975</xdr:colOff>
      <xdr:row>60</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90</xdr:row>
      <xdr:rowOff>0</xdr:rowOff>
    </xdr:from>
    <xdr:to>
      <xdr:col>22</xdr:col>
      <xdr:colOff>180975</xdr:colOff>
      <xdr:row>90</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92</xdr:row>
      <xdr:rowOff>0</xdr:rowOff>
    </xdr:from>
    <xdr:to>
      <xdr:col>22</xdr:col>
      <xdr:colOff>180975</xdr:colOff>
      <xdr:row>92</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95</xdr:row>
      <xdr:rowOff>0</xdr:rowOff>
    </xdr:from>
    <xdr:to>
      <xdr:col>22</xdr:col>
      <xdr:colOff>180975</xdr:colOff>
      <xdr:row>95</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119</xdr:row>
      <xdr:rowOff>0</xdr:rowOff>
    </xdr:from>
    <xdr:to>
      <xdr:col>22</xdr:col>
      <xdr:colOff>180975</xdr:colOff>
      <xdr:row>119</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131</xdr:row>
      <xdr:rowOff>0</xdr:rowOff>
    </xdr:from>
    <xdr:to>
      <xdr:col>22</xdr:col>
      <xdr:colOff>180975</xdr:colOff>
      <xdr:row>131</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133</xdr:row>
      <xdr:rowOff>0</xdr:rowOff>
    </xdr:from>
    <xdr:to>
      <xdr:col>22</xdr:col>
      <xdr:colOff>180975</xdr:colOff>
      <xdr:row>133</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134</xdr:row>
      <xdr:rowOff>0</xdr:rowOff>
    </xdr:from>
    <xdr:to>
      <xdr:col>22</xdr:col>
      <xdr:colOff>180975</xdr:colOff>
      <xdr:row>134</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141</xdr:row>
      <xdr:rowOff>0</xdr:rowOff>
    </xdr:from>
    <xdr:to>
      <xdr:col>22</xdr:col>
      <xdr:colOff>180975</xdr:colOff>
      <xdr:row>141</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154</xdr:row>
      <xdr:rowOff>0</xdr:rowOff>
    </xdr:from>
    <xdr:to>
      <xdr:col>22</xdr:col>
      <xdr:colOff>180975</xdr:colOff>
      <xdr:row>154</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159</xdr:row>
      <xdr:rowOff>0</xdr:rowOff>
    </xdr:from>
    <xdr:to>
      <xdr:col>22</xdr:col>
      <xdr:colOff>180975</xdr:colOff>
      <xdr:row>159</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160</xdr:row>
      <xdr:rowOff>0</xdr:rowOff>
    </xdr:from>
    <xdr:to>
      <xdr:col>22</xdr:col>
      <xdr:colOff>180975</xdr:colOff>
      <xdr:row>160</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164</xdr:row>
      <xdr:rowOff>0</xdr:rowOff>
    </xdr:from>
    <xdr:to>
      <xdr:col>22</xdr:col>
      <xdr:colOff>180975</xdr:colOff>
      <xdr:row>164</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173</xdr:row>
      <xdr:rowOff>0</xdr:rowOff>
    </xdr:from>
    <xdr:to>
      <xdr:col>22</xdr:col>
      <xdr:colOff>180975</xdr:colOff>
      <xdr:row>173</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174</xdr:row>
      <xdr:rowOff>0</xdr:rowOff>
    </xdr:from>
    <xdr:to>
      <xdr:col>22</xdr:col>
      <xdr:colOff>180975</xdr:colOff>
      <xdr:row>174</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177</xdr:row>
      <xdr:rowOff>0</xdr:rowOff>
    </xdr:from>
    <xdr:to>
      <xdr:col>22</xdr:col>
      <xdr:colOff>180975</xdr:colOff>
      <xdr:row>177</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179</xdr:row>
      <xdr:rowOff>0</xdr:rowOff>
    </xdr:from>
    <xdr:to>
      <xdr:col>22</xdr:col>
      <xdr:colOff>180975</xdr:colOff>
      <xdr:row>179</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187</xdr:row>
      <xdr:rowOff>0</xdr:rowOff>
    </xdr:from>
    <xdr:to>
      <xdr:col>22</xdr:col>
      <xdr:colOff>180975</xdr:colOff>
      <xdr:row>187</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189</xdr:row>
      <xdr:rowOff>0</xdr:rowOff>
    </xdr:from>
    <xdr:to>
      <xdr:col>22</xdr:col>
      <xdr:colOff>180975</xdr:colOff>
      <xdr:row>189</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193</xdr:row>
      <xdr:rowOff>0</xdr:rowOff>
    </xdr:from>
    <xdr:to>
      <xdr:col>22</xdr:col>
      <xdr:colOff>180975</xdr:colOff>
      <xdr:row>193</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200</xdr:row>
      <xdr:rowOff>0</xdr:rowOff>
    </xdr:from>
    <xdr:to>
      <xdr:col>22</xdr:col>
      <xdr:colOff>180975</xdr:colOff>
      <xdr:row>200</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211</xdr:row>
      <xdr:rowOff>0</xdr:rowOff>
    </xdr:from>
    <xdr:to>
      <xdr:col>22</xdr:col>
      <xdr:colOff>180975</xdr:colOff>
      <xdr:row>211</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213</xdr:row>
      <xdr:rowOff>0</xdr:rowOff>
    </xdr:from>
    <xdr:to>
      <xdr:col>22</xdr:col>
      <xdr:colOff>180975</xdr:colOff>
      <xdr:row>213</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215</xdr:row>
      <xdr:rowOff>0</xdr:rowOff>
    </xdr:from>
    <xdr:to>
      <xdr:col>22</xdr:col>
      <xdr:colOff>180975</xdr:colOff>
      <xdr:row>215</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229</xdr:row>
      <xdr:rowOff>0</xdr:rowOff>
    </xdr:from>
    <xdr:to>
      <xdr:col>22</xdr:col>
      <xdr:colOff>180975</xdr:colOff>
      <xdr:row>229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231</xdr:row>
      <xdr:rowOff>0</xdr:rowOff>
    </xdr:from>
    <xdr:to>
      <xdr:col>22</xdr:col>
      <xdr:colOff>180975</xdr:colOff>
      <xdr:row>231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234</xdr:row>
      <xdr:rowOff>0</xdr:rowOff>
    </xdr:from>
    <xdr:to>
      <xdr:col>22</xdr:col>
      <xdr:colOff>180975</xdr:colOff>
      <xdr:row>234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244</xdr:row>
      <xdr:rowOff>0</xdr:rowOff>
    </xdr:from>
    <xdr:to>
      <xdr:col>22</xdr:col>
      <xdr:colOff>180975</xdr:colOff>
      <xdr:row>244</xdr:row>
      <xdr:rowOff>180975</xdr:rowOff>
    </xdr:to>
    <xdr:sp macro="" textlink="">
      <xdr:nvSpPr>
        <xdr:cNvPr id="7215" name="Check Box 47" hidden="1">
          <a:extLst>
            <a:ext uri="{63B3BB69-23CF-44E3-9099-C40C66FF867C}">
              <a14:compatExt xmlns:a14="http://schemas.microsoft.com/office/drawing/2010/main" spid="_x0000_s7215"/>
            </a:ext>
            <a:ext uri="{FF2B5EF4-FFF2-40B4-BE49-F238E27FC236}">
              <a16:creationId xmlns:a16="http://schemas.microsoft.com/office/drawing/2014/main" id="{00000000-0008-0000-0700-00002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247</xdr:row>
      <xdr:rowOff>0</xdr:rowOff>
    </xdr:from>
    <xdr:to>
      <xdr:col>22</xdr:col>
      <xdr:colOff>180975</xdr:colOff>
      <xdr:row>247</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249</xdr:row>
      <xdr:rowOff>0</xdr:rowOff>
    </xdr:from>
    <xdr:to>
      <xdr:col>22</xdr:col>
      <xdr:colOff>180975</xdr:colOff>
      <xdr:row>249</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252</xdr:row>
      <xdr:rowOff>0</xdr:rowOff>
    </xdr:from>
    <xdr:to>
      <xdr:col>22</xdr:col>
      <xdr:colOff>180975</xdr:colOff>
      <xdr:row>252</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254</xdr:row>
      <xdr:rowOff>0</xdr:rowOff>
    </xdr:from>
    <xdr:to>
      <xdr:col>22</xdr:col>
      <xdr:colOff>180975</xdr:colOff>
      <xdr:row>254</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268</xdr:row>
      <xdr:rowOff>0</xdr:rowOff>
    </xdr:from>
    <xdr:to>
      <xdr:col>22</xdr:col>
      <xdr:colOff>180975</xdr:colOff>
      <xdr:row>268</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269</xdr:row>
      <xdr:rowOff>0</xdr:rowOff>
    </xdr:from>
    <xdr:to>
      <xdr:col>22</xdr:col>
      <xdr:colOff>180975</xdr:colOff>
      <xdr:row>269</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274</xdr:row>
      <xdr:rowOff>0</xdr:rowOff>
    </xdr:from>
    <xdr:to>
      <xdr:col>22</xdr:col>
      <xdr:colOff>180975</xdr:colOff>
      <xdr:row>274</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279</xdr:row>
      <xdr:rowOff>0</xdr:rowOff>
    </xdr:from>
    <xdr:to>
      <xdr:col>22</xdr:col>
      <xdr:colOff>180975</xdr:colOff>
      <xdr:row>279</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283</xdr:row>
      <xdr:rowOff>0</xdr:rowOff>
    </xdr:from>
    <xdr:to>
      <xdr:col>22</xdr:col>
      <xdr:colOff>180975</xdr:colOff>
      <xdr:row>283</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288</xdr:row>
      <xdr:rowOff>0</xdr:rowOff>
    </xdr:from>
    <xdr:to>
      <xdr:col>22</xdr:col>
      <xdr:colOff>180975</xdr:colOff>
      <xdr:row>288</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136</xdr:row>
      <xdr:rowOff>0</xdr:rowOff>
    </xdr:from>
    <xdr:to>
      <xdr:col>22</xdr:col>
      <xdr:colOff>180975</xdr:colOff>
      <xdr:row>136</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181</xdr:row>
      <xdr:rowOff>0</xdr:rowOff>
    </xdr:from>
    <xdr:to>
      <xdr:col>22</xdr:col>
      <xdr:colOff>180975</xdr:colOff>
      <xdr:row>181</xdr:row>
      <xdr:rowOff>180975</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xdr:row>
      <xdr:rowOff>0</xdr:rowOff>
    </xdr:from>
    <xdr:to>
      <xdr:col>22</xdr:col>
      <xdr:colOff>180975</xdr:colOff>
      <xdr:row>85</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xdr:row>
      <xdr:rowOff>0</xdr:rowOff>
    </xdr:from>
    <xdr:to>
      <xdr:col>22</xdr:col>
      <xdr:colOff>180975</xdr:colOff>
      <xdr:row>88</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xdr:row>
      <xdr:rowOff>0</xdr:rowOff>
    </xdr:from>
    <xdr:to>
      <xdr:col>22</xdr:col>
      <xdr:colOff>180975</xdr:colOff>
      <xdr:row>114</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xdr:row>
      <xdr:rowOff>0</xdr:rowOff>
    </xdr:from>
    <xdr:to>
      <xdr:col>22</xdr:col>
      <xdr:colOff>180975</xdr:colOff>
      <xdr:row>119</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76" name="Check Box 184" hidden="1">
          <a:extLst>
            <a:ext uri="{63B3BB69-23CF-44E3-9099-C40C66FF867C}">
              <a14:compatExt xmlns:a14="http://schemas.microsoft.com/office/drawing/2010/main" spid="_x0000_s8376"/>
            </a:ext>
            <a:ext uri="{FF2B5EF4-FFF2-40B4-BE49-F238E27FC236}">
              <a16:creationId xmlns:a16="http://schemas.microsoft.com/office/drawing/2014/main" id="{00000000-0008-0000-0800-0000B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57</xdr:row>
      <xdr:rowOff>0</xdr:rowOff>
    </xdr:from>
    <xdr:to>
      <xdr:col>22</xdr:col>
      <xdr:colOff>180975</xdr:colOff>
      <xdr:row>57</xdr:row>
      <xdr:rowOff>180975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7</xdr:row>
      <xdr:rowOff>0</xdr:rowOff>
    </xdr:from>
    <xdr:to>
      <xdr:col>8</xdr:col>
      <xdr:colOff>180975</xdr:colOff>
      <xdr:row>7</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C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8</xdr:row>
      <xdr:rowOff>0</xdr:rowOff>
    </xdr:from>
    <xdr:to>
      <xdr:col>8</xdr:col>
      <xdr:colOff>180975</xdr:colOff>
      <xdr:row>8</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C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9</xdr:row>
      <xdr:rowOff>0</xdr:rowOff>
    </xdr:from>
    <xdr:to>
      <xdr:col>8</xdr:col>
      <xdr:colOff>180975</xdr:colOff>
      <xdr:row>9</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C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C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C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C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C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C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16</xdr:row>
      <xdr:rowOff>0</xdr:rowOff>
    </xdr:from>
    <xdr:to>
      <xdr:col>8</xdr:col>
      <xdr:colOff>180975</xdr:colOff>
      <xdr:row>16</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C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C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20</xdr:row>
      <xdr:rowOff>0</xdr:rowOff>
    </xdr:from>
    <xdr:to>
      <xdr:col>8</xdr:col>
      <xdr:colOff>180975</xdr:colOff>
      <xdr:row>20</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C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21</xdr:row>
      <xdr:rowOff>0</xdr:rowOff>
    </xdr:from>
    <xdr:to>
      <xdr:col>8</xdr:col>
      <xdr:colOff>180975</xdr:colOff>
      <xdr:row>21</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C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180975</xdr:colOff>
      <xdr:row>24</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C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05" name="Check Box 57" hidden="1">
          <a:extLst>
            <a:ext uri="{63B3BB69-23CF-44E3-9099-C40C66FF867C}">
              <a14:compatExt xmlns:a14="http://schemas.microsoft.com/office/drawing/2010/main" spid="_x0000_s27705"/>
            </a:ext>
            <a:ext uri="{FF2B5EF4-FFF2-40B4-BE49-F238E27FC236}">
              <a16:creationId xmlns:a16="http://schemas.microsoft.com/office/drawing/2014/main" id="{00000000-0008-0000-0C00-00003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27</xdr:row>
      <xdr:rowOff>0</xdr:rowOff>
    </xdr:from>
    <xdr:to>
      <xdr:col>8</xdr:col>
      <xdr:colOff>180975</xdr:colOff>
      <xdr:row>27</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C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29</xdr:row>
      <xdr:rowOff>0</xdr:rowOff>
    </xdr:from>
    <xdr:to>
      <xdr:col>8</xdr:col>
      <xdr:colOff>180975</xdr:colOff>
      <xdr:row>29</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C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C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31</xdr:row>
      <xdr:rowOff>0</xdr:rowOff>
    </xdr:from>
    <xdr:to>
      <xdr:col>8</xdr:col>
      <xdr:colOff>180975</xdr:colOff>
      <xdr:row>31</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C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180975</xdr:colOff>
      <xdr:row>32</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C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C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C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C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C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180975</xdr:colOff>
      <xdr:row>47</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C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C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51</xdr:row>
      <xdr:rowOff>0</xdr:rowOff>
    </xdr:from>
    <xdr:to>
      <xdr:col>8</xdr:col>
      <xdr:colOff>180975</xdr:colOff>
      <xdr:row>51</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C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52</xdr:row>
      <xdr:rowOff>0</xdr:rowOff>
    </xdr:from>
    <xdr:to>
      <xdr:col>8</xdr:col>
      <xdr:colOff>180975</xdr:colOff>
      <xdr:row>52</xdr:row>
      <xdr:rowOff>180975</xdr:rowOff>
    </xdr:to>
    <xdr:sp macro="" textlink="">
      <xdr:nvSpPr>
        <xdr:cNvPr id="27718" name="Check Box 70" hidden="1">
          <a:extLst>
            <a:ext uri="{63B3BB69-23CF-44E3-9099-C40C66FF867C}">
              <a14:compatExt xmlns:a14="http://schemas.microsoft.com/office/drawing/2010/main" spid="_x0000_s27718"/>
            </a:ext>
            <a:ext uri="{FF2B5EF4-FFF2-40B4-BE49-F238E27FC236}">
              <a16:creationId xmlns:a16="http://schemas.microsoft.com/office/drawing/2014/main" id="{00000000-0008-0000-0C00-00004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C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54</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C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180975</xdr:colOff>
      <xdr:row>56</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C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57</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C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58</xdr:row>
      <xdr:rowOff>0</xdr:rowOff>
    </xdr:from>
    <xdr:to>
      <xdr:col>8</xdr:col>
      <xdr:colOff>180975</xdr:colOff>
      <xdr:row>58</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C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180975</xdr:colOff>
      <xdr:row>22</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C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C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C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C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C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180975</xdr:colOff>
      <xdr:row>37</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C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C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C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41</xdr:row>
      <xdr:rowOff>0</xdr:rowOff>
    </xdr:from>
    <xdr:to>
      <xdr:col>8</xdr:col>
      <xdr:colOff>180975</xdr:colOff>
      <xdr:row>41</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C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C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39" name="Check Box 91" hidden="1">
          <a:extLst>
            <a:ext uri="{63B3BB69-23CF-44E3-9099-C40C66FF867C}">
              <a14:compatExt xmlns:a14="http://schemas.microsoft.com/office/drawing/2010/main" spid="_x0000_s27739"/>
            </a:ext>
            <a:ext uri="{FF2B5EF4-FFF2-40B4-BE49-F238E27FC236}">
              <a16:creationId xmlns:a16="http://schemas.microsoft.com/office/drawing/2014/main" id="{00000000-0008-0000-0C00-00005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0D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0D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0D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0D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0D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0D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0D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0D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0D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0D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0D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0D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0D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180975</xdr:colOff>
      <xdr:row>62</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0D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0D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180975</xdr:colOff>
      <xdr:row>71</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0D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180975</xdr:colOff>
      <xdr:row>75</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0D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0D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0D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0D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0D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0D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0D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0D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xdr:row>
      <xdr:rowOff>0</xdr:rowOff>
    </xdr:from>
    <xdr:to>
      <xdr:col>22</xdr:col>
      <xdr:colOff>180975</xdr:colOff>
      <xdr:row>119</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0D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0D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0D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0D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0D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xdr:row>
      <xdr:rowOff>0</xdr:rowOff>
    </xdr:from>
    <xdr:to>
      <xdr:col>22</xdr:col>
      <xdr:colOff>180975</xdr:colOff>
      <xdr:row>136</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0D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0D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0D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0D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0D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0D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0D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0D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15603" name="Check Box 243" hidden="1">
          <a:extLst>
            <a:ext uri="{63B3BB69-23CF-44E3-9099-C40C66FF867C}">
              <a14:compatExt xmlns:a14="http://schemas.microsoft.com/office/drawing/2010/main" spid="_x0000_s15603"/>
            </a:ext>
            <a:ext uri="{FF2B5EF4-FFF2-40B4-BE49-F238E27FC236}">
              <a16:creationId xmlns:a16="http://schemas.microsoft.com/office/drawing/2014/main" id="{00000000-0008-0000-0D00-0000F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15604" name="Check Box 244" hidden="1">
          <a:extLst>
            <a:ext uri="{63B3BB69-23CF-44E3-9099-C40C66FF867C}">
              <a14:compatExt xmlns:a14="http://schemas.microsoft.com/office/drawing/2010/main" spid="_x0000_s15604"/>
            </a:ext>
            <a:ext uri="{FF2B5EF4-FFF2-40B4-BE49-F238E27FC236}">
              <a16:creationId xmlns:a16="http://schemas.microsoft.com/office/drawing/2014/main" id="{00000000-0008-0000-0D00-0000F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0D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0D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0D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0D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0D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0D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xdr:row>
      <xdr:rowOff>0</xdr:rowOff>
    </xdr:from>
    <xdr:to>
      <xdr:col>22</xdr:col>
      <xdr:colOff>180975</xdr:colOff>
      <xdr:row>179</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0D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0D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0D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xdr:row>
      <xdr:rowOff>0</xdr:rowOff>
    </xdr:from>
    <xdr:to>
      <xdr:col>22</xdr:col>
      <xdr:colOff>180975</xdr:colOff>
      <xdr:row>187</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0D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0D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0D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0D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0D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0D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0D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0D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xdr:row>
      <xdr:rowOff>0</xdr:rowOff>
    </xdr:from>
    <xdr:to>
      <xdr:col>22</xdr:col>
      <xdr:colOff>180975</xdr:colOff>
      <xdr:row>205</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0D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0D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xdr:row>
      <xdr:rowOff>0</xdr:rowOff>
    </xdr:from>
    <xdr:to>
      <xdr:col>22</xdr:col>
      <xdr:colOff>180975</xdr:colOff>
      <xdr:row>220</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0D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0D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0D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0D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0D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15630" name="Check Box 270" hidden="1">
          <a:extLst>
            <a:ext uri="{63B3BB69-23CF-44E3-9099-C40C66FF867C}">
              <a14:compatExt xmlns:a14="http://schemas.microsoft.com/office/drawing/2010/main" spid="_x0000_s15630"/>
            </a:ext>
            <a:ext uri="{FF2B5EF4-FFF2-40B4-BE49-F238E27FC236}">
              <a16:creationId xmlns:a16="http://schemas.microsoft.com/office/drawing/2014/main" id="{00000000-0008-0000-0D00-00000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15631" name="Check Box 271" hidden="1">
          <a:extLst>
            <a:ext uri="{63B3BB69-23CF-44E3-9099-C40C66FF867C}">
              <a14:compatExt xmlns:a14="http://schemas.microsoft.com/office/drawing/2010/main" spid="_x0000_s15631"/>
            </a:ext>
            <a:ext uri="{FF2B5EF4-FFF2-40B4-BE49-F238E27FC236}">
              <a16:creationId xmlns:a16="http://schemas.microsoft.com/office/drawing/2014/main" id="{00000000-0008-0000-0D00-00000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270</xdr:row>
      <xdr:rowOff>0</xdr:rowOff>
    </xdr:from>
    <xdr:to>
      <xdr:col>22</xdr:col>
      <xdr:colOff>180975</xdr:colOff>
      <xdr:row>270</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0D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273</xdr:row>
      <xdr:rowOff>0</xdr:rowOff>
    </xdr:from>
    <xdr:to>
      <xdr:col>22</xdr:col>
      <xdr:colOff>180975</xdr:colOff>
      <xdr:row>273</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0D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276</xdr:row>
      <xdr:rowOff>0</xdr:rowOff>
    </xdr:from>
    <xdr:to>
      <xdr:col>22</xdr:col>
      <xdr:colOff>180975</xdr:colOff>
      <xdr:row>276</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0D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180975</xdr:colOff>
      <xdr:row>282</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0D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283</xdr:row>
      <xdr:rowOff>0</xdr:rowOff>
    </xdr:from>
    <xdr:to>
      <xdr:col>22</xdr:col>
      <xdr:colOff>180975</xdr:colOff>
      <xdr:row>283</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0D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284</xdr:row>
      <xdr:rowOff>0</xdr:rowOff>
    </xdr:from>
    <xdr:to>
      <xdr:col>22</xdr:col>
      <xdr:colOff>180975</xdr:colOff>
      <xdr:row>284</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0D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0D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286</xdr:row>
      <xdr:rowOff>0</xdr:rowOff>
    </xdr:from>
    <xdr:to>
      <xdr:col>22</xdr:col>
      <xdr:colOff>180975</xdr:colOff>
      <xdr:row>286</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0D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0D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295</xdr:row>
      <xdr:rowOff>0</xdr:rowOff>
    </xdr:from>
    <xdr:to>
      <xdr:col>22</xdr:col>
      <xdr:colOff>180975</xdr:colOff>
      <xdr:row>295</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0D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296</xdr:row>
      <xdr:rowOff>0</xdr:rowOff>
    </xdr:from>
    <xdr:to>
      <xdr:col>22</xdr:col>
      <xdr:colOff>180975</xdr:colOff>
      <xdr:row>296</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0D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297</xdr:row>
      <xdr:rowOff>0</xdr:rowOff>
    </xdr:from>
    <xdr:to>
      <xdr:col>22</xdr:col>
      <xdr:colOff>180975</xdr:colOff>
      <xdr:row>297</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0D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298</xdr:row>
      <xdr:rowOff>0</xdr:rowOff>
    </xdr:from>
    <xdr:to>
      <xdr:col>22</xdr:col>
      <xdr:colOff>180975</xdr:colOff>
      <xdr:row>298</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0D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0D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339</xdr:row>
      <xdr:rowOff>0</xdr:rowOff>
    </xdr:from>
    <xdr:to>
      <xdr:col>22</xdr:col>
      <xdr:colOff>180975</xdr:colOff>
      <xdr:row>339</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0D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345</xdr:row>
      <xdr:rowOff>0</xdr:rowOff>
    </xdr:from>
    <xdr:to>
      <xdr:col>22</xdr:col>
      <xdr:colOff>180975</xdr:colOff>
      <xdr:row>345</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0D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346</xdr:row>
      <xdr:rowOff>0</xdr:rowOff>
    </xdr:from>
    <xdr:to>
      <xdr:col>22</xdr:col>
      <xdr:colOff>180975</xdr:colOff>
      <xdr:row>346</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0D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180975</xdr:colOff>
      <xdr:row>351</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0D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0D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368</xdr:row>
      <xdr:rowOff>0</xdr:rowOff>
    </xdr:from>
    <xdr:to>
      <xdr:col>22</xdr:col>
      <xdr:colOff>180975</xdr:colOff>
      <xdr:row>368</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0D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376</xdr:row>
      <xdr:rowOff>0</xdr:rowOff>
    </xdr:from>
    <xdr:to>
      <xdr:col>22</xdr:col>
      <xdr:colOff>180975</xdr:colOff>
      <xdr:row>376</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0D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378</xdr:row>
      <xdr:rowOff>0</xdr:rowOff>
    </xdr:from>
    <xdr:to>
      <xdr:col>22</xdr:col>
      <xdr:colOff>180975</xdr:colOff>
      <xdr:row>378</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0D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384</xdr:row>
      <xdr:rowOff>0</xdr:rowOff>
    </xdr:from>
    <xdr:to>
      <xdr:col>22</xdr:col>
      <xdr:colOff>180975</xdr:colOff>
      <xdr:row>384</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0D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388</xdr:row>
      <xdr:rowOff>0</xdr:rowOff>
    </xdr:from>
    <xdr:to>
      <xdr:col>22</xdr:col>
      <xdr:colOff>180975</xdr:colOff>
      <xdr:row>388</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0D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392</xdr:row>
      <xdr:rowOff>0</xdr:rowOff>
    </xdr:from>
    <xdr:to>
      <xdr:col>22</xdr:col>
      <xdr:colOff>180975</xdr:colOff>
      <xdr:row>392</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0D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0D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402</xdr:row>
      <xdr:rowOff>0</xdr:rowOff>
    </xdr:from>
    <xdr:to>
      <xdr:col>22</xdr:col>
      <xdr:colOff>180975</xdr:colOff>
      <xdr:row>402</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0D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404</xdr:row>
      <xdr:rowOff>0</xdr:rowOff>
    </xdr:from>
    <xdr:to>
      <xdr:col>22</xdr:col>
      <xdr:colOff>180975</xdr:colOff>
      <xdr:row>404</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0D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406</xdr:row>
      <xdr:rowOff>0</xdr:rowOff>
    </xdr:from>
    <xdr:to>
      <xdr:col>22</xdr:col>
      <xdr:colOff>180975</xdr:colOff>
      <xdr:row>406</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0D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180975</xdr:colOff>
      <xdr:row>434</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0D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437</xdr:row>
      <xdr:rowOff>0</xdr:rowOff>
    </xdr:from>
    <xdr:to>
      <xdr:col>22</xdr:col>
      <xdr:colOff>180975</xdr:colOff>
      <xdr:row>437</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0D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438</xdr:row>
      <xdr:rowOff>0</xdr:rowOff>
    </xdr:from>
    <xdr:to>
      <xdr:col>22</xdr:col>
      <xdr:colOff>180975</xdr:colOff>
      <xdr:row>438</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0D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0D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450</xdr:row>
      <xdr:rowOff>0</xdr:rowOff>
    </xdr:from>
    <xdr:to>
      <xdr:col>22</xdr:col>
      <xdr:colOff>180975</xdr:colOff>
      <xdr:row>450</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0D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0D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479</xdr:row>
      <xdr:rowOff>0</xdr:rowOff>
    </xdr:from>
    <xdr:to>
      <xdr:col>22</xdr:col>
      <xdr:colOff>180975</xdr:colOff>
      <xdr:row>479</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0D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480</xdr:row>
      <xdr:rowOff>0</xdr:rowOff>
    </xdr:from>
    <xdr:to>
      <xdr:col>22</xdr:col>
      <xdr:colOff>180975</xdr:colOff>
      <xdr:row>480</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0D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485</xdr:row>
      <xdr:rowOff>0</xdr:rowOff>
    </xdr:from>
    <xdr:to>
      <xdr:col>22</xdr:col>
      <xdr:colOff>180975</xdr:colOff>
      <xdr:row>485</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0D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0D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180975</xdr:colOff>
      <xdr:row>488</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0D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180975</xdr:colOff>
      <xdr:row>491</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0D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0D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180975</xdr:colOff>
      <xdr:row>500</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0D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502</xdr:row>
      <xdr:rowOff>0</xdr:rowOff>
    </xdr:from>
    <xdr:to>
      <xdr:col>22</xdr:col>
      <xdr:colOff>180975</xdr:colOff>
      <xdr:row>502</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0D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519</xdr:row>
      <xdr:rowOff>0</xdr:rowOff>
    </xdr:from>
    <xdr:to>
      <xdr:col>22</xdr:col>
      <xdr:colOff>180975</xdr:colOff>
      <xdr:row>519</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0D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537</xdr:row>
      <xdr:rowOff>0</xdr:rowOff>
    </xdr:from>
    <xdr:to>
      <xdr:col>22</xdr:col>
      <xdr:colOff>180975</xdr:colOff>
      <xdr:row>537</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0D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180975</xdr:colOff>
      <xdr:row>550</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0D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552</xdr:row>
      <xdr:rowOff>0</xdr:rowOff>
    </xdr:from>
    <xdr:to>
      <xdr:col>22</xdr:col>
      <xdr:colOff>180975</xdr:colOff>
      <xdr:row>552</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0D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565</xdr:row>
      <xdr:rowOff>0</xdr:rowOff>
    </xdr:from>
    <xdr:to>
      <xdr:col>22</xdr:col>
      <xdr:colOff>180975</xdr:colOff>
      <xdr:row>565</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0D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566</xdr:row>
      <xdr:rowOff>0</xdr:rowOff>
    </xdr:from>
    <xdr:to>
      <xdr:col>22</xdr:col>
      <xdr:colOff>180975</xdr:colOff>
      <xdr:row>566</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0D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567</xdr:row>
      <xdr:rowOff>0</xdr:rowOff>
    </xdr:from>
    <xdr:to>
      <xdr:col>22</xdr:col>
      <xdr:colOff>180975</xdr:colOff>
      <xdr:row>567</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0D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568</xdr:row>
      <xdr:rowOff>0</xdr:rowOff>
    </xdr:from>
    <xdr:to>
      <xdr:col>22</xdr:col>
      <xdr:colOff>180975</xdr:colOff>
      <xdr:row>568</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0D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569</xdr:row>
      <xdr:rowOff>0</xdr:rowOff>
    </xdr:from>
    <xdr:to>
      <xdr:col>22</xdr:col>
      <xdr:colOff>180975</xdr:colOff>
      <xdr:row>569</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0D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570</xdr:row>
      <xdr:rowOff>0</xdr:rowOff>
    </xdr:from>
    <xdr:to>
      <xdr:col>22</xdr:col>
      <xdr:colOff>180975</xdr:colOff>
      <xdr:row>570</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0D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571</xdr:row>
      <xdr:rowOff>0</xdr:rowOff>
    </xdr:from>
    <xdr:to>
      <xdr:col>22</xdr:col>
      <xdr:colOff>180975</xdr:colOff>
      <xdr:row>571</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0D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180975</xdr:colOff>
      <xdr:row>572</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0D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573</xdr:row>
      <xdr:rowOff>0</xdr:rowOff>
    </xdr:from>
    <xdr:to>
      <xdr:col>22</xdr:col>
      <xdr:colOff>180975</xdr:colOff>
      <xdr:row>573</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0D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620</xdr:row>
      <xdr:rowOff>0</xdr:rowOff>
    </xdr:from>
    <xdr:to>
      <xdr:col>22</xdr:col>
      <xdr:colOff>180975</xdr:colOff>
      <xdr:row>620</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0D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622</xdr:row>
      <xdr:rowOff>0</xdr:rowOff>
    </xdr:from>
    <xdr:to>
      <xdr:col>22</xdr:col>
      <xdr:colOff>180975</xdr:colOff>
      <xdr:row>622</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0D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180975</xdr:colOff>
      <xdr:row>623</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0D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651</xdr:row>
      <xdr:rowOff>0</xdr:rowOff>
    </xdr:from>
    <xdr:to>
      <xdr:col>22</xdr:col>
      <xdr:colOff>180975</xdr:colOff>
      <xdr:row>651</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0D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660</xdr:row>
      <xdr:rowOff>0</xdr:rowOff>
    </xdr:from>
    <xdr:to>
      <xdr:col>22</xdr:col>
      <xdr:colOff>180975</xdr:colOff>
      <xdr:row>660</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0D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667</xdr:row>
      <xdr:rowOff>0</xdr:rowOff>
    </xdr:from>
    <xdr:to>
      <xdr:col>22</xdr:col>
      <xdr:colOff>180975</xdr:colOff>
      <xdr:row>667</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0D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723</xdr:row>
      <xdr:rowOff>0</xdr:rowOff>
    </xdr:from>
    <xdr:to>
      <xdr:col>22</xdr:col>
      <xdr:colOff>180975</xdr:colOff>
      <xdr:row>723</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0D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180975</xdr:colOff>
      <xdr:row>724</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0D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180975</xdr:colOff>
      <xdr:row>726</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0D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725</xdr:row>
      <xdr:rowOff>0</xdr:rowOff>
    </xdr:from>
    <xdr:to>
      <xdr:col>22</xdr:col>
      <xdr:colOff>180975</xdr:colOff>
      <xdr:row>725</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0D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727</xdr:row>
      <xdr:rowOff>0</xdr:rowOff>
    </xdr:from>
    <xdr:to>
      <xdr:col>22</xdr:col>
      <xdr:colOff>180975</xdr:colOff>
      <xdr:row>727</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0D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728</xdr:row>
      <xdr:rowOff>0</xdr:rowOff>
    </xdr:from>
    <xdr:to>
      <xdr:col>22</xdr:col>
      <xdr:colOff>180975</xdr:colOff>
      <xdr:row>728</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0D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729</xdr:row>
      <xdr:rowOff>0</xdr:rowOff>
    </xdr:from>
    <xdr:to>
      <xdr:col>22</xdr:col>
      <xdr:colOff>180975</xdr:colOff>
      <xdr:row>729</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0D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733</xdr:row>
      <xdr:rowOff>0</xdr:rowOff>
    </xdr:from>
    <xdr:to>
      <xdr:col>22</xdr:col>
      <xdr:colOff>180975</xdr:colOff>
      <xdr:row>733</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0D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738</xdr:row>
      <xdr:rowOff>0</xdr:rowOff>
    </xdr:from>
    <xdr:to>
      <xdr:col>22</xdr:col>
      <xdr:colOff>180975</xdr:colOff>
      <xdr:row>738</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0D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0D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744</xdr:row>
      <xdr:rowOff>0</xdr:rowOff>
    </xdr:from>
    <xdr:to>
      <xdr:col>22</xdr:col>
      <xdr:colOff>180975</xdr:colOff>
      <xdr:row>744</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0D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746</xdr:row>
      <xdr:rowOff>0</xdr:rowOff>
    </xdr:from>
    <xdr:to>
      <xdr:col>22</xdr:col>
      <xdr:colOff>180975</xdr:colOff>
      <xdr:row>746</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0D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747</xdr:row>
      <xdr:rowOff>0</xdr:rowOff>
    </xdr:from>
    <xdr:to>
      <xdr:col>22</xdr:col>
      <xdr:colOff>180975</xdr:colOff>
      <xdr:row>747</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0D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748</xdr:row>
      <xdr:rowOff>0</xdr:rowOff>
    </xdr:from>
    <xdr:to>
      <xdr:col>22</xdr:col>
      <xdr:colOff>180975</xdr:colOff>
      <xdr:row>748</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0D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752</xdr:row>
      <xdr:rowOff>0</xdr:rowOff>
    </xdr:from>
    <xdr:to>
      <xdr:col>22</xdr:col>
      <xdr:colOff>180975</xdr:colOff>
      <xdr:row>752</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0D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754</xdr:row>
      <xdr:rowOff>0</xdr:rowOff>
    </xdr:from>
    <xdr:to>
      <xdr:col>22</xdr:col>
      <xdr:colOff>180975</xdr:colOff>
      <xdr:row>754</xdr:row>
      <xdr:rowOff>180975</xdr:rowOff>
    </xdr:to>
    <xdr:sp macro="" textlink="">
      <xdr:nvSpPr>
        <xdr:cNvPr id="15715" name="Check Box 355" hidden="1">
          <a:extLst>
            <a:ext uri="{63B3BB69-23CF-44E3-9099-C40C66FF867C}">
              <a14:compatExt xmlns:a14="http://schemas.microsoft.com/office/drawing/2010/main" spid="_x0000_s15715"/>
            </a:ext>
            <a:ext uri="{FF2B5EF4-FFF2-40B4-BE49-F238E27FC236}">
              <a16:creationId xmlns:a16="http://schemas.microsoft.com/office/drawing/2014/main" id="{00000000-0008-0000-0D00-00006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789</xdr:row>
      <xdr:rowOff>0</xdr:rowOff>
    </xdr:from>
    <xdr:to>
      <xdr:col>22</xdr:col>
      <xdr:colOff>180975</xdr:colOff>
      <xdr:row>789</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0D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798</xdr:row>
      <xdr:rowOff>0</xdr:rowOff>
    </xdr:from>
    <xdr:to>
      <xdr:col>22</xdr:col>
      <xdr:colOff>180975</xdr:colOff>
      <xdr:row>798</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0D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801</xdr:row>
      <xdr:rowOff>0</xdr:rowOff>
    </xdr:from>
    <xdr:to>
      <xdr:col>22</xdr:col>
      <xdr:colOff>180975</xdr:colOff>
      <xdr:row>801</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0D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804</xdr:row>
      <xdr:rowOff>0</xdr:rowOff>
    </xdr:from>
    <xdr:to>
      <xdr:col>22</xdr:col>
      <xdr:colOff>180975</xdr:colOff>
      <xdr:row>804</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0D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808</xdr:row>
      <xdr:rowOff>0</xdr:rowOff>
    </xdr:from>
    <xdr:to>
      <xdr:col>22</xdr:col>
      <xdr:colOff>180975</xdr:colOff>
      <xdr:row>808</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0D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810</xdr:row>
      <xdr:rowOff>0</xdr:rowOff>
    </xdr:from>
    <xdr:to>
      <xdr:col>22</xdr:col>
      <xdr:colOff>180975</xdr:colOff>
      <xdr:row>810</xdr:row>
      <xdr:rowOff>180975</xdr:rowOff>
    </xdr:to>
    <xdr:sp macro="" textlink="">
      <xdr:nvSpPr>
        <xdr:cNvPr id="15810" name="Check Box 450" hidden="1">
          <a:extLst>
            <a:ext uri="{63B3BB69-23CF-44E3-9099-C40C66FF867C}">
              <a14:compatExt xmlns:a14="http://schemas.microsoft.com/office/drawing/2010/main" spid="_x0000_s15810"/>
            </a:ext>
            <a:ext uri="{FF2B5EF4-FFF2-40B4-BE49-F238E27FC236}">
              <a16:creationId xmlns:a16="http://schemas.microsoft.com/office/drawing/2014/main" id="{00000000-0008-0000-0D00-0000C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180975</xdr:colOff>
      <xdr:row>843</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0D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846</xdr:row>
      <xdr:rowOff>0</xdr:rowOff>
    </xdr:from>
    <xdr:to>
      <xdr:col>22</xdr:col>
      <xdr:colOff>180975</xdr:colOff>
      <xdr:row>846</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0D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873</xdr:row>
      <xdr:rowOff>0</xdr:rowOff>
    </xdr:from>
    <xdr:to>
      <xdr:col>22</xdr:col>
      <xdr:colOff>180975</xdr:colOff>
      <xdr:row>873</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0D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887</xdr:row>
      <xdr:rowOff>0</xdr:rowOff>
    </xdr:from>
    <xdr:to>
      <xdr:col>22</xdr:col>
      <xdr:colOff>180975</xdr:colOff>
      <xdr:row>887</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0D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889</xdr:row>
      <xdr:rowOff>0</xdr:rowOff>
    </xdr:from>
    <xdr:to>
      <xdr:col>22</xdr:col>
      <xdr:colOff>180975</xdr:colOff>
      <xdr:row>889</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0D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890</xdr:row>
      <xdr:rowOff>0</xdr:rowOff>
    </xdr:from>
    <xdr:to>
      <xdr:col>22</xdr:col>
      <xdr:colOff>180975</xdr:colOff>
      <xdr:row>890</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0D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912</xdr:row>
      <xdr:rowOff>0</xdr:rowOff>
    </xdr:from>
    <xdr:to>
      <xdr:col>22</xdr:col>
      <xdr:colOff>180975</xdr:colOff>
      <xdr:row>912</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0D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918</xdr:row>
      <xdr:rowOff>0</xdr:rowOff>
    </xdr:from>
    <xdr:to>
      <xdr:col>22</xdr:col>
      <xdr:colOff>180975</xdr:colOff>
      <xdr:row>918</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0D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933</xdr:row>
      <xdr:rowOff>0</xdr:rowOff>
    </xdr:from>
    <xdr:to>
      <xdr:col>22</xdr:col>
      <xdr:colOff>180975</xdr:colOff>
      <xdr:row>933</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0D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961</xdr:row>
      <xdr:rowOff>0</xdr:rowOff>
    </xdr:from>
    <xdr:to>
      <xdr:col>22</xdr:col>
      <xdr:colOff>180975</xdr:colOff>
      <xdr:row>961</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0D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967</xdr:row>
      <xdr:rowOff>0</xdr:rowOff>
    </xdr:from>
    <xdr:to>
      <xdr:col>22</xdr:col>
      <xdr:colOff>180975</xdr:colOff>
      <xdr:row>967</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0D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991</xdr:row>
      <xdr:rowOff>0</xdr:rowOff>
    </xdr:from>
    <xdr:to>
      <xdr:col>22</xdr:col>
      <xdr:colOff>180975</xdr:colOff>
      <xdr:row>991</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0D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993</xdr:row>
      <xdr:rowOff>0</xdr:rowOff>
    </xdr:from>
    <xdr:to>
      <xdr:col>22</xdr:col>
      <xdr:colOff>180975</xdr:colOff>
      <xdr:row>993</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0D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996</xdr:row>
      <xdr:rowOff>0</xdr:rowOff>
    </xdr:from>
    <xdr:to>
      <xdr:col>22</xdr:col>
      <xdr:colOff>180975</xdr:colOff>
      <xdr:row>996</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0D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1020</xdr:row>
      <xdr:rowOff>0</xdr:rowOff>
    </xdr:from>
    <xdr:to>
      <xdr:col>22</xdr:col>
      <xdr:colOff>180975</xdr:colOff>
      <xdr:row>1020</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0D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1032</xdr:row>
      <xdr:rowOff>0</xdr:rowOff>
    </xdr:from>
    <xdr:to>
      <xdr:col>22</xdr:col>
      <xdr:colOff>180975</xdr:colOff>
      <xdr:row>1032</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0D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1034</xdr:row>
      <xdr:rowOff>0</xdr:rowOff>
    </xdr:from>
    <xdr:to>
      <xdr:col>22</xdr:col>
      <xdr:colOff>180975</xdr:colOff>
      <xdr:row>1034</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0D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1035</xdr:row>
      <xdr:rowOff>0</xdr:rowOff>
    </xdr:from>
    <xdr:to>
      <xdr:col>22</xdr:col>
      <xdr:colOff>180975</xdr:colOff>
      <xdr:row>1035</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0D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1037</xdr:row>
      <xdr:rowOff>0</xdr:rowOff>
    </xdr:from>
    <xdr:to>
      <xdr:col>22</xdr:col>
      <xdr:colOff>180975</xdr:colOff>
      <xdr:row>1037</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0D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1042</xdr:row>
      <xdr:rowOff>0</xdr:rowOff>
    </xdr:from>
    <xdr:to>
      <xdr:col>22</xdr:col>
      <xdr:colOff>180975</xdr:colOff>
      <xdr:row>1042</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0D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1055</xdr:row>
      <xdr:rowOff>0</xdr:rowOff>
    </xdr:from>
    <xdr:to>
      <xdr:col>22</xdr:col>
      <xdr:colOff>180975</xdr:colOff>
      <xdr:row>1055</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0D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1060</xdr:row>
      <xdr:rowOff>0</xdr:rowOff>
    </xdr:from>
    <xdr:to>
      <xdr:col>22</xdr:col>
      <xdr:colOff>180975</xdr:colOff>
      <xdr:row>1060</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0D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1061</xdr:row>
      <xdr:rowOff>0</xdr:rowOff>
    </xdr:from>
    <xdr:to>
      <xdr:col>22</xdr:col>
      <xdr:colOff>180975</xdr:colOff>
      <xdr:row>1061</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0D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1065</xdr:row>
      <xdr:rowOff>0</xdr:rowOff>
    </xdr:from>
    <xdr:to>
      <xdr:col>22</xdr:col>
      <xdr:colOff>180975</xdr:colOff>
      <xdr:row>1065</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0D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1074</xdr:row>
      <xdr:rowOff>0</xdr:rowOff>
    </xdr:from>
    <xdr:to>
      <xdr:col>22</xdr:col>
      <xdr:colOff>180975</xdr:colOff>
      <xdr:row>1074</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0D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1075</xdr:row>
      <xdr:rowOff>0</xdr:rowOff>
    </xdr:from>
    <xdr:to>
      <xdr:col>22</xdr:col>
      <xdr:colOff>180975</xdr:colOff>
      <xdr:row>1075</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0D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180975</xdr:colOff>
      <xdr:row>1078</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0D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1080</xdr:row>
      <xdr:rowOff>0</xdr:rowOff>
    </xdr:from>
    <xdr:to>
      <xdr:col>22</xdr:col>
      <xdr:colOff>180975</xdr:colOff>
      <xdr:row>1080</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0D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1088</xdr:row>
      <xdr:rowOff>0</xdr:rowOff>
    </xdr:from>
    <xdr:to>
      <xdr:col>22</xdr:col>
      <xdr:colOff>180975</xdr:colOff>
      <xdr:row>1088</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0D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1090</xdr:row>
      <xdr:rowOff>0</xdr:rowOff>
    </xdr:from>
    <xdr:to>
      <xdr:col>22</xdr:col>
      <xdr:colOff>180975</xdr:colOff>
      <xdr:row>1090</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0D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1094</xdr:row>
      <xdr:rowOff>0</xdr:rowOff>
    </xdr:from>
    <xdr:to>
      <xdr:col>22</xdr:col>
      <xdr:colOff>180975</xdr:colOff>
      <xdr:row>1094</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0D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1101</xdr:row>
      <xdr:rowOff>0</xdr:rowOff>
    </xdr:from>
    <xdr:to>
      <xdr:col>22</xdr:col>
      <xdr:colOff>180975</xdr:colOff>
      <xdr:row>1101</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0D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1112</xdr:row>
      <xdr:rowOff>0</xdr:rowOff>
    </xdr:from>
    <xdr:to>
      <xdr:col>22</xdr:col>
      <xdr:colOff>180975</xdr:colOff>
      <xdr:row>1112</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0D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1114</xdr:row>
      <xdr:rowOff>0</xdr:rowOff>
    </xdr:from>
    <xdr:to>
      <xdr:col>22</xdr:col>
      <xdr:colOff>180975</xdr:colOff>
      <xdr:row>1114</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0D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1116</xdr:row>
      <xdr:rowOff>0</xdr:rowOff>
    </xdr:from>
    <xdr:to>
      <xdr:col>22</xdr:col>
      <xdr:colOff>180975</xdr:colOff>
      <xdr:row>1116</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0D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1130</xdr:row>
      <xdr:rowOff>0</xdr:rowOff>
    </xdr:from>
    <xdr:to>
      <xdr:col>22</xdr:col>
      <xdr:colOff>180975</xdr:colOff>
      <xdr:row>1130</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0D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1132</xdr:row>
      <xdr:rowOff>0</xdr:rowOff>
    </xdr:from>
    <xdr:to>
      <xdr:col>22</xdr:col>
      <xdr:colOff>180975</xdr:colOff>
      <xdr:row>1132</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0D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1135</xdr:row>
      <xdr:rowOff>0</xdr:rowOff>
    </xdr:from>
    <xdr:to>
      <xdr:col>22</xdr:col>
      <xdr:colOff>180975</xdr:colOff>
      <xdr:row>1135</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0D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1145</xdr:row>
      <xdr:rowOff>0</xdr:rowOff>
    </xdr:from>
    <xdr:to>
      <xdr:col>22</xdr:col>
      <xdr:colOff>180975</xdr:colOff>
      <xdr:row>1145</xdr:row>
      <xdr:rowOff>180975</xdr:rowOff>
    </xdr:to>
    <xdr:sp macro="" textlink="">
      <xdr:nvSpPr>
        <xdr:cNvPr id="16014" name="Check Box 654" hidden="1">
          <a:extLst>
            <a:ext uri="{63B3BB69-23CF-44E3-9099-C40C66FF867C}">
              <a14:compatExt xmlns:a14="http://schemas.microsoft.com/office/drawing/2010/main" spid="_x0000_s16014"/>
            </a:ext>
            <a:ext uri="{FF2B5EF4-FFF2-40B4-BE49-F238E27FC236}">
              <a16:creationId xmlns:a16="http://schemas.microsoft.com/office/drawing/2014/main" id="{00000000-0008-0000-0D00-00008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1148</xdr:row>
      <xdr:rowOff>0</xdr:rowOff>
    </xdr:from>
    <xdr:to>
      <xdr:col>22</xdr:col>
      <xdr:colOff>180975</xdr:colOff>
      <xdr:row>1148</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0D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1150</xdr:row>
      <xdr:rowOff>0</xdr:rowOff>
    </xdr:from>
    <xdr:to>
      <xdr:col>22</xdr:col>
      <xdr:colOff>180975</xdr:colOff>
      <xdr:row>1150</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0D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1153</xdr:row>
      <xdr:rowOff>0</xdr:rowOff>
    </xdr:from>
    <xdr:to>
      <xdr:col>22</xdr:col>
      <xdr:colOff>180975</xdr:colOff>
      <xdr:row>1153</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0D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1155</xdr:row>
      <xdr:rowOff>0</xdr:rowOff>
    </xdr:from>
    <xdr:to>
      <xdr:col>22</xdr:col>
      <xdr:colOff>180975</xdr:colOff>
      <xdr:row>1155</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0D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1169</xdr:row>
      <xdr:rowOff>0</xdr:rowOff>
    </xdr:from>
    <xdr:to>
      <xdr:col>22</xdr:col>
      <xdr:colOff>180975</xdr:colOff>
      <xdr:row>1169</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0D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1170</xdr:row>
      <xdr:rowOff>0</xdr:rowOff>
    </xdr:from>
    <xdr:to>
      <xdr:col>22</xdr:col>
      <xdr:colOff>180975</xdr:colOff>
      <xdr:row>1170</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0D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1175</xdr:row>
      <xdr:rowOff>0</xdr:rowOff>
    </xdr:from>
    <xdr:to>
      <xdr:col>22</xdr:col>
      <xdr:colOff>180975</xdr:colOff>
      <xdr:row>1175</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0D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1180</xdr:row>
      <xdr:rowOff>0</xdr:rowOff>
    </xdr:from>
    <xdr:to>
      <xdr:col>22</xdr:col>
      <xdr:colOff>180975</xdr:colOff>
      <xdr:row>1180</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0D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1184</xdr:row>
      <xdr:rowOff>0</xdr:rowOff>
    </xdr:from>
    <xdr:to>
      <xdr:col>22</xdr:col>
      <xdr:colOff>180975</xdr:colOff>
      <xdr:row>1184</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0D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1189</xdr:row>
      <xdr:rowOff>0</xdr:rowOff>
    </xdr:from>
    <xdr:to>
      <xdr:col>22</xdr:col>
      <xdr:colOff>180975</xdr:colOff>
      <xdr:row>1189</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0D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1197</xdr:row>
      <xdr:rowOff>0</xdr:rowOff>
    </xdr:from>
    <xdr:to>
      <xdr:col>22</xdr:col>
      <xdr:colOff>180975</xdr:colOff>
      <xdr:row>1197</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0D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1198</xdr:row>
      <xdr:rowOff>0</xdr:rowOff>
    </xdr:from>
    <xdr:to>
      <xdr:col>22</xdr:col>
      <xdr:colOff>180975</xdr:colOff>
      <xdr:row>1198</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0D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1199</xdr:row>
      <xdr:rowOff>0</xdr:rowOff>
    </xdr:from>
    <xdr:to>
      <xdr:col>22</xdr:col>
      <xdr:colOff>180975</xdr:colOff>
      <xdr:row>1199</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0D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1203</xdr:row>
      <xdr:rowOff>0</xdr:rowOff>
    </xdr:from>
    <xdr:to>
      <xdr:col>22</xdr:col>
      <xdr:colOff>180975</xdr:colOff>
      <xdr:row>1203</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0D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1204</xdr:row>
      <xdr:rowOff>0</xdr:rowOff>
    </xdr:from>
    <xdr:to>
      <xdr:col>22</xdr:col>
      <xdr:colOff>180975</xdr:colOff>
      <xdr:row>1204</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0D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1205</xdr:row>
      <xdr:rowOff>0</xdr:rowOff>
    </xdr:from>
    <xdr:to>
      <xdr:col>22</xdr:col>
      <xdr:colOff>180975</xdr:colOff>
      <xdr:row>1205</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0D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1207</xdr:row>
      <xdr:rowOff>0</xdr:rowOff>
    </xdr:from>
    <xdr:to>
      <xdr:col>22</xdr:col>
      <xdr:colOff>180975</xdr:colOff>
      <xdr:row>1207</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0D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1209</xdr:row>
      <xdr:rowOff>0</xdr:rowOff>
    </xdr:from>
    <xdr:to>
      <xdr:col>22</xdr:col>
      <xdr:colOff>180975</xdr:colOff>
      <xdr:row>1209</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0D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1210</xdr:row>
      <xdr:rowOff>0</xdr:rowOff>
    </xdr:from>
    <xdr:to>
      <xdr:col>22</xdr:col>
      <xdr:colOff>180975</xdr:colOff>
      <xdr:row>1210</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0D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1212</xdr:row>
      <xdr:rowOff>0</xdr:rowOff>
    </xdr:from>
    <xdr:to>
      <xdr:col>22</xdr:col>
      <xdr:colOff>180975</xdr:colOff>
      <xdr:row>1212</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0D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1213</xdr:row>
      <xdr:rowOff>0</xdr:rowOff>
    </xdr:from>
    <xdr:to>
      <xdr:col>22</xdr:col>
      <xdr:colOff>180975</xdr:colOff>
      <xdr:row>1213</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0D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1214</xdr:row>
      <xdr:rowOff>0</xdr:rowOff>
    </xdr:from>
    <xdr:to>
      <xdr:col>22</xdr:col>
      <xdr:colOff>180975</xdr:colOff>
      <xdr:row>1214</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0D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1220</xdr:row>
      <xdr:rowOff>0</xdr:rowOff>
    </xdr:from>
    <xdr:to>
      <xdr:col>22</xdr:col>
      <xdr:colOff>180975</xdr:colOff>
      <xdr:row>1220</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0D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1224</xdr:row>
      <xdr:rowOff>0</xdr:rowOff>
    </xdr:from>
    <xdr:to>
      <xdr:col>22</xdr:col>
      <xdr:colOff>180975</xdr:colOff>
      <xdr:row>1224</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0D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1226</xdr:row>
      <xdr:rowOff>0</xdr:rowOff>
    </xdr:from>
    <xdr:to>
      <xdr:col>22</xdr:col>
      <xdr:colOff>180975</xdr:colOff>
      <xdr:row>1226</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0D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1228</xdr:row>
      <xdr:rowOff>0</xdr:rowOff>
    </xdr:from>
    <xdr:to>
      <xdr:col>22</xdr:col>
      <xdr:colOff>180975</xdr:colOff>
      <xdr:row>1228</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0D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1229</xdr:row>
      <xdr:rowOff>0</xdr:rowOff>
    </xdr:from>
    <xdr:to>
      <xdr:col>22</xdr:col>
      <xdr:colOff>180975</xdr:colOff>
      <xdr:row>1229</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0D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1231</xdr:row>
      <xdr:rowOff>0</xdr:rowOff>
    </xdr:from>
    <xdr:to>
      <xdr:col>22</xdr:col>
      <xdr:colOff>180975</xdr:colOff>
      <xdr:row>1231</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0D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1233</xdr:row>
      <xdr:rowOff>0</xdr:rowOff>
    </xdr:from>
    <xdr:to>
      <xdr:col>22</xdr:col>
      <xdr:colOff>180975</xdr:colOff>
      <xdr:row>1233</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0D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1234</xdr:row>
      <xdr:rowOff>0</xdr:rowOff>
    </xdr:from>
    <xdr:to>
      <xdr:col>22</xdr:col>
      <xdr:colOff>180975</xdr:colOff>
      <xdr:row>1234</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0D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1236</xdr:row>
      <xdr:rowOff>0</xdr:rowOff>
    </xdr:from>
    <xdr:to>
      <xdr:col>22</xdr:col>
      <xdr:colOff>180975</xdr:colOff>
      <xdr:row>1236</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0D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1238</xdr:row>
      <xdr:rowOff>0</xdr:rowOff>
    </xdr:from>
    <xdr:to>
      <xdr:col>22</xdr:col>
      <xdr:colOff>180975</xdr:colOff>
      <xdr:row>1238</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0D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1244</xdr:row>
      <xdr:rowOff>0</xdr:rowOff>
    </xdr:from>
    <xdr:to>
      <xdr:col>22</xdr:col>
      <xdr:colOff>180975</xdr:colOff>
      <xdr:row>1244</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0D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1265</xdr:row>
      <xdr:rowOff>0</xdr:rowOff>
    </xdr:from>
    <xdr:to>
      <xdr:col>22</xdr:col>
      <xdr:colOff>180975</xdr:colOff>
      <xdr:row>1265</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0D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1268</xdr:row>
      <xdr:rowOff>0</xdr:rowOff>
    </xdr:from>
    <xdr:to>
      <xdr:col>22</xdr:col>
      <xdr:colOff>180975</xdr:colOff>
      <xdr:row>1268</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0D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1271</xdr:row>
      <xdr:rowOff>0</xdr:rowOff>
    </xdr:from>
    <xdr:to>
      <xdr:col>22</xdr:col>
      <xdr:colOff>180975</xdr:colOff>
      <xdr:row>1271</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0D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1273</xdr:row>
      <xdr:rowOff>0</xdr:rowOff>
    </xdr:from>
    <xdr:to>
      <xdr:col>22</xdr:col>
      <xdr:colOff>180975</xdr:colOff>
      <xdr:row>1273</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0D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1274</xdr:row>
      <xdr:rowOff>0</xdr:rowOff>
    </xdr:from>
    <xdr:to>
      <xdr:col>22</xdr:col>
      <xdr:colOff>180975</xdr:colOff>
      <xdr:row>1274</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0D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1276</xdr:row>
      <xdr:rowOff>0</xdr:rowOff>
    </xdr:from>
    <xdr:to>
      <xdr:col>22</xdr:col>
      <xdr:colOff>180975</xdr:colOff>
      <xdr:row>1276</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0D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1277</xdr:row>
      <xdr:rowOff>0</xdr:rowOff>
    </xdr:from>
    <xdr:to>
      <xdr:col>22</xdr:col>
      <xdr:colOff>180975</xdr:colOff>
      <xdr:row>1277</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0D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1278</xdr:row>
      <xdr:rowOff>0</xdr:rowOff>
    </xdr:from>
    <xdr:to>
      <xdr:col>22</xdr:col>
      <xdr:colOff>180975</xdr:colOff>
      <xdr:row>1278</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0D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1284</xdr:row>
      <xdr:rowOff>0</xdr:rowOff>
    </xdr:from>
    <xdr:to>
      <xdr:col>22</xdr:col>
      <xdr:colOff>180975</xdr:colOff>
      <xdr:row>1284</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0D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1286</xdr:row>
      <xdr:rowOff>0</xdr:rowOff>
    </xdr:from>
    <xdr:to>
      <xdr:col>22</xdr:col>
      <xdr:colOff>180975</xdr:colOff>
      <xdr:row>1286</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0D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1289</xdr:row>
      <xdr:rowOff>0</xdr:rowOff>
    </xdr:from>
    <xdr:to>
      <xdr:col>22</xdr:col>
      <xdr:colOff>180975</xdr:colOff>
      <xdr:row>1289</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0D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1291</xdr:row>
      <xdr:rowOff>0</xdr:rowOff>
    </xdr:from>
    <xdr:to>
      <xdr:col>22</xdr:col>
      <xdr:colOff>180975</xdr:colOff>
      <xdr:row>1291</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0D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1294</xdr:row>
      <xdr:rowOff>0</xdr:rowOff>
    </xdr:from>
    <xdr:to>
      <xdr:col>22</xdr:col>
      <xdr:colOff>180975</xdr:colOff>
      <xdr:row>1294</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0D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1296</xdr:row>
      <xdr:rowOff>0</xdr:rowOff>
    </xdr:from>
    <xdr:to>
      <xdr:col>22</xdr:col>
      <xdr:colOff>180975</xdr:colOff>
      <xdr:row>1296</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0D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1297</xdr:row>
      <xdr:rowOff>0</xdr:rowOff>
    </xdr:from>
    <xdr:to>
      <xdr:col>22</xdr:col>
      <xdr:colOff>180975</xdr:colOff>
      <xdr:row>1297</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0D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1299</xdr:row>
      <xdr:rowOff>0</xdr:rowOff>
    </xdr:from>
    <xdr:to>
      <xdr:col>22</xdr:col>
      <xdr:colOff>180975</xdr:colOff>
      <xdr:row>1299</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0D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1301</xdr:row>
      <xdr:rowOff>0</xdr:rowOff>
    </xdr:from>
    <xdr:to>
      <xdr:col>22</xdr:col>
      <xdr:colOff>180975</xdr:colOff>
      <xdr:row>1301</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0D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1302</xdr:row>
      <xdr:rowOff>0</xdr:rowOff>
    </xdr:from>
    <xdr:to>
      <xdr:col>22</xdr:col>
      <xdr:colOff>180975</xdr:colOff>
      <xdr:row>1302</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0D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1305</xdr:row>
      <xdr:rowOff>0</xdr:rowOff>
    </xdr:from>
    <xdr:to>
      <xdr:col>22</xdr:col>
      <xdr:colOff>180975</xdr:colOff>
      <xdr:row>1305</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0D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1311</xdr:row>
      <xdr:rowOff>0</xdr:rowOff>
    </xdr:from>
    <xdr:to>
      <xdr:col>22</xdr:col>
      <xdr:colOff>180975</xdr:colOff>
      <xdr:row>1311</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0D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1313</xdr:row>
      <xdr:rowOff>0</xdr:rowOff>
    </xdr:from>
    <xdr:to>
      <xdr:col>22</xdr:col>
      <xdr:colOff>180975</xdr:colOff>
      <xdr:row>1313</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0D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1317</xdr:row>
      <xdr:rowOff>0</xdr:rowOff>
    </xdr:from>
    <xdr:to>
      <xdr:col>22</xdr:col>
      <xdr:colOff>180975</xdr:colOff>
      <xdr:row>1317</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0D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1324</xdr:row>
      <xdr:rowOff>0</xdr:rowOff>
    </xdr:from>
    <xdr:to>
      <xdr:col>22</xdr:col>
      <xdr:colOff>180975</xdr:colOff>
      <xdr:row>1324</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0D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1326</xdr:row>
      <xdr:rowOff>0</xdr:rowOff>
    </xdr:from>
    <xdr:to>
      <xdr:col>22</xdr:col>
      <xdr:colOff>180975</xdr:colOff>
      <xdr:row>1326</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0D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1327</xdr:row>
      <xdr:rowOff>0</xdr:rowOff>
    </xdr:from>
    <xdr:to>
      <xdr:col>22</xdr:col>
      <xdr:colOff>180975</xdr:colOff>
      <xdr:row>1327</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0D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1329</xdr:row>
      <xdr:rowOff>0</xdr:rowOff>
    </xdr:from>
    <xdr:to>
      <xdr:col>22</xdr:col>
      <xdr:colOff>180975</xdr:colOff>
      <xdr:row>1329</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0D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1330</xdr:row>
      <xdr:rowOff>0</xdr:rowOff>
    </xdr:from>
    <xdr:to>
      <xdr:col>22</xdr:col>
      <xdr:colOff>180975</xdr:colOff>
      <xdr:row>1330</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0D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1331</xdr:row>
      <xdr:rowOff>0</xdr:rowOff>
    </xdr:from>
    <xdr:to>
      <xdr:col>22</xdr:col>
      <xdr:colOff>180975</xdr:colOff>
      <xdr:row>1331</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0D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1332</xdr:row>
      <xdr:rowOff>0</xdr:rowOff>
    </xdr:from>
    <xdr:to>
      <xdr:col>22</xdr:col>
      <xdr:colOff>180975</xdr:colOff>
      <xdr:row>1332</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0D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1333</xdr:row>
      <xdr:rowOff>0</xdr:rowOff>
    </xdr:from>
    <xdr:to>
      <xdr:col>22</xdr:col>
      <xdr:colOff>180975</xdr:colOff>
      <xdr:row>1333</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0D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1350</xdr:row>
      <xdr:rowOff>0</xdr:rowOff>
    </xdr:from>
    <xdr:to>
      <xdr:col>22</xdr:col>
      <xdr:colOff>180975</xdr:colOff>
      <xdr:row>1350</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0D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1352</xdr:row>
      <xdr:rowOff>0</xdr:rowOff>
    </xdr:from>
    <xdr:to>
      <xdr:col>22</xdr:col>
      <xdr:colOff>180975</xdr:colOff>
      <xdr:row>1352</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0D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1355</xdr:row>
      <xdr:rowOff>0</xdr:rowOff>
    </xdr:from>
    <xdr:to>
      <xdr:col>22</xdr:col>
      <xdr:colOff>180975</xdr:colOff>
      <xdr:row>1355</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0D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954</xdr:row>
      <xdr:rowOff>0</xdr:rowOff>
    </xdr:from>
    <xdr:to>
      <xdr:col>22</xdr:col>
      <xdr:colOff>180975</xdr:colOff>
      <xdr:row>954</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0D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1242</xdr:row>
      <xdr:rowOff>0</xdr:rowOff>
    </xdr:from>
    <xdr:to>
      <xdr:col>22</xdr:col>
      <xdr:colOff>180975</xdr:colOff>
      <xdr:row>1242</xdr:row>
      <xdr:rowOff>180975</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0D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1243</xdr:row>
      <xdr:rowOff>0</xdr:rowOff>
    </xdr:from>
    <xdr:to>
      <xdr:col>22</xdr:col>
      <xdr:colOff>180975</xdr:colOff>
      <xdr:row>1243</xdr:row>
      <xdr:rowOff>180975</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0D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180975</xdr:colOff>
      <xdr:row>534</xdr:row>
      <xdr:rowOff>180975</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0D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782</xdr:row>
      <xdr:rowOff>0</xdr:rowOff>
    </xdr:from>
    <xdr:to>
      <xdr:col>22</xdr:col>
      <xdr:colOff>180975</xdr:colOff>
      <xdr:row>782</xdr:row>
      <xdr:rowOff>180975</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0D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892</xdr:row>
      <xdr:rowOff>0</xdr:rowOff>
    </xdr:from>
    <xdr:to>
      <xdr:col>22</xdr:col>
      <xdr:colOff>180975</xdr:colOff>
      <xdr:row>892</xdr:row>
      <xdr:rowOff>180975</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0D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896</xdr:row>
      <xdr:rowOff>0</xdr:rowOff>
    </xdr:from>
    <xdr:to>
      <xdr:col>22</xdr:col>
      <xdr:colOff>180975</xdr:colOff>
      <xdr:row>896</xdr:row>
      <xdr:rowOff>180975</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0D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1240</xdr:row>
      <xdr:rowOff>0</xdr:rowOff>
    </xdr:from>
    <xdr:to>
      <xdr:col>22</xdr:col>
      <xdr:colOff>180975</xdr:colOff>
      <xdr:row>1240</xdr:row>
      <xdr:rowOff>180975</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0D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1082</xdr:row>
      <xdr:rowOff>0</xdr:rowOff>
    </xdr:from>
    <xdr:to>
      <xdr:col>22</xdr:col>
      <xdr:colOff>180975</xdr:colOff>
      <xdr:row>1082</xdr:row>
      <xdr:rowOff>180975</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0D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825</xdr:row>
      <xdr:rowOff>0</xdr:rowOff>
    </xdr:from>
    <xdr:to>
      <xdr:col>22</xdr:col>
      <xdr:colOff>180975</xdr:colOff>
      <xdr:row>825</xdr:row>
      <xdr:rowOff>180975</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0D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419100</xdr:colOff>
      <xdr:row>4</xdr:row>
      <xdr:rowOff>141767</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180975</xdr:colOff>
      <xdr:row>37</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180975</xdr:colOff>
      <xdr:row>37</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2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104</xdr:row>
      <xdr:rowOff>0</xdr:rowOff>
    </xdr:from>
    <xdr:to>
      <xdr:col>1</xdr:col>
      <xdr:colOff>200025</xdr:colOff>
      <xdr:row>105</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2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105</xdr:row>
      <xdr:rowOff>0</xdr:rowOff>
    </xdr:from>
    <xdr:to>
      <xdr:col>1</xdr:col>
      <xdr:colOff>200025</xdr:colOff>
      <xdr:row>106</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2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106</xdr:row>
      <xdr:rowOff>0</xdr:rowOff>
    </xdr:from>
    <xdr:to>
      <xdr:col>1</xdr:col>
      <xdr:colOff>200025</xdr:colOff>
      <xdr:row>107</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2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107</xdr:row>
      <xdr:rowOff>0</xdr:rowOff>
    </xdr:from>
    <xdr:to>
      <xdr:col>1</xdr:col>
      <xdr:colOff>200025</xdr:colOff>
      <xdr:row>108</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2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108</xdr:row>
      <xdr:rowOff>0</xdr:rowOff>
    </xdr:from>
    <xdr:to>
      <xdr:col>1</xdr:col>
      <xdr:colOff>200025</xdr:colOff>
      <xdr:row>109</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2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109</xdr:row>
      <xdr:rowOff>0</xdr:rowOff>
    </xdr:from>
    <xdr:to>
      <xdr:col>1</xdr:col>
      <xdr:colOff>200025</xdr:colOff>
      <xdr:row>110</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2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110</xdr:row>
      <xdr:rowOff>0</xdr:rowOff>
    </xdr:from>
    <xdr:to>
      <xdr:col>1</xdr:col>
      <xdr:colOff>200025</xdr:colOff>
      <xdr:row>111</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2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111</xdr:row>
      <xdr:rowOff>0</xdr:rowOff>
    </xdr:from>
    <xdr:to>
      <xdr:col>1</xdr:col>
      <xdr:colOff>200025</xdr:colOff>
      <xdr:row>112</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2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112</xdr:row>
      <xdr:rowOff>0</xdr:rowOff>
    </xdr:from>
    <xdr:to>
      <xdr:col>1</xdr:col>
      <xdr:colOff>200025</xdr:colOff>
      <xdr:row>113</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2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103</xdr:row>
      <xdr:rowOff>0</xdr:rowOff>
    </xdr:from>
    <xdr:to>
      <xdr:col>1</xdr:col>
      <xdr:colOff>200025</xdr:colOff>
      <xdr:row>104</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2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114</xdr:row>
      <xdr:rowOff>0</xdr:rowOff>
    </xdr:from>
    <xdr:to>
      <xdr:col>1</xdr:col>
      <xdr:colOff>200025</xdr:colOff>
      <xdr:row>115</xdr:row>
      <xdr:rowOff>0</xdr:rowOff>
    </xdr:to>
    <xdr:sp macro="" textlink="">
      <xdr:nvSpPr>
        <xdr:cNvPr id="30736" name="Check Box 16" hidden="1">
          <a:extLst>
            <a:ext uri="{63B3BB69-23CF-44E3-9099-C40C66FF867C}">
              <a14:compatExt xmlns:a14="http://schemas.microsoft.com/office/drawing/2010/main" spid="_x0000_s30736"/>
            </a:ext>
            <a:ext uri="{FF2B5EF4-FFF2-40B4-BE49-F238E27FC236}">
              <a16:creationId xmlns:a16="http://schemas.microsoft.com/office/drawing/2014/main" id="{00000000-0008-0000-1200-00001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115</xdr:row>
      <xdr:rowOff>0</xdr:rowOff>
    </xdr:from>
    <xdr:to>
      <xdr:col>1</xdr:col>
      <xdr:colOff>200025</xdr:colOff>
      <xdr:row>116</xdr:row>
      <xdr:rowOff>0</xdr:rowOff>
    </xdr:to>
    <xdr:sp macro="" textlink="">
      <xdr:nvSpPr>
        <xdr:cNvPr id="30737" name="Check Box 17" hidden="1">
          <a:extLst>
            <a:ext uri="{63B3BB69-23CF-44E3-9099-C40C66FF867C}">
              <a14:compatExt xmlns:a14="http://schemas.microsoft.com/office/drawing/2010/main" spid="_x0000_s30737"/>
            </a:ext>
            <a:ext uri="{FF2B5EF4-FFF2-40B4-BE49-F238E27FC236}">
              <a16:creationId xmlns:a16="http://schemas.microsoft.com/office/drawing/2014/main" id="{00000000-0008-0000-1200-00001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116</xdr:row>
      <xdr:rowOff>0</xdr:rowOff>
    </xdr:from>
    <xdr:to>
      <xdr:col>1</xdr:col>
      <xdr:colOff>200025</xdr:colOff>
      <xdr:row>117</xdr:row>
      <xdr:rowOff>0</xdr:rowOff>
    </xdr:to>
    <xdr:sp macro="" textlink="">
      <xdr:nvSpPr>
        <xdr:cNvPr id="30738" name="Check Box 18" hidden="1">
          <a:extLst>
            <a:ext uri="{63B3BB69-23CF-44E3-9099-C40C66FF867C}">
              <a14:compatExt xmlns:a14="http://schemas.microsoft.com/office/drawing/2010/main" spid="_x0000_s30738"/>
            </a:ext>
            <a:ext uri="{FF2B5EF4-FFF2-40B4-BE49-F238E27FC236}">
              <a16:creationId xmlns:a16="http://schemas.microsoft.com/office/drawing/2014/main" id="{00000000-0008-0000-1200-00001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117</xdr:row>
      <xdr:rowOff>0</xdr:rowOff>
    </xdr:from>
    <xdr:to>
      <xdr:col>1</xdr:col>
      <xdr:colOff>200025</xdr:colOff>
      <xdr:row>118</xdr:row>
      <xdr:rowOff>0</xdr:rowOff>
    </xdr:to>
    <xdr:sp macro="" textlink="">
      <xdr:nvSpPr>
        <xdr:cNvPr id="30739" name="Check Box 19" hidden="1">
          <a:extLst>
            <a:ext uri="{63B3BB69-23CF-44E3-9099-C40C66FF867C}">
              <a14:compatExt xmlns:a14="http://schemas.microsoft.com/office/drawing/2010/main" spid="_x0000_s30739"/>
            </a:ext>
            <a:ext uri="{FF2B5EF4-FFF2-40B4-BE49-F238E27FC236}">
              <a16:creationId xmlns:a16="http://schemas.microsoft.com/office/drawing/2014/main" id="{00000000-0008-0000-1200-00001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118</xdr:row>
      <xdr:rowOff>0</xdr:rowOff>
    </xdr:from>
    <xdr:to>
      <xdr:col>1</xdr:col>
      <xdr:colOff>200025</xdr:colOff>
      <xdr:row>119</xdr:row>
      <xdr:rowOff>0</xdr:rowOff>
    </xdr:to>
    <xdr:sp macro="" textlink="">
      <xdr:nvSpPr>
        <xdr:cNvPr id="30740" name="Check Box 20" hidden="1">
          <a:extLst>
            <a:ext uri="{63B3BB69-23CF-44E3-9099-C40C66FF867C}">
              <a14:compatExt xmlns:a14="http://schemas.microsoft.com/office/drawing/2010/main" spid="_x0000_s30740"/>
            </a:ext>
            <a:ext uri="{FF2B5EF4-FFF2-40B4-BE49-F238E27FC236}">
              <a16:creationId xmlns:a16="http://schemas.microsoft.com/office/drawing/2014/main" id="{00000000-0008-0000-1200-00001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119</xdr:row>
      <xdr:rowOff>0</xdr:rowOff>
    </xdr:from>
    <xdr:to>
      <xdr:col>1</xdr:col>
      <xdr:colOff>200025</xdr:colOff>
      <xdr:row>120</xdr:row>
      <xdr:rowOff>0</xdr:rowOff>
    </xdr:to>
    <xdr:sp macro="" textlink="">
      <xdr:nvSpPr>
        <xdr:cNvPr id="30741" name="Check Box 21" hidden="1">
          <a:extLst>
            <a:ext uri="{63B3BB69-23CF-44E3-9099-C40C66FF867C}">
              <a14:compatExt xmlns:a14="http://schemas.microsoft.com/office/drawing/2010/main" spid="_x0000_s30741"/>
            </a:ext>
            <a:ext uri="{FF2B5EF4-FFF2-40B4-BE49-F238E27FC236}">
              <a16:creationId xmlns:a16="http://schemas.microsoft.com/office/drawing/2014/main" id="{00000000-0008-0000-1200-00001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120</xdr:row>
      <xdr:rowOff>0</xdr:rowOff>
    </xdr:from>
    <xdr:to>
      <xdr:col>1</xdr:col>
      <xdr:colOff>200025</xdr:colOff>
      <xdr:row>121</xdr:row>
      <xdr:rowOff>0</xdr:rowOff>
    </xdr:to>
    <xdr:sp macro="" textlink="">
      <xdr:nvSpPr>
        <xdr:cNvPr id="30742" name="Check Box 22" hidden="1">
          <a:extLst>
            <a:ext uri="{63B3BB69-23CF-44E3-9099-C40C66FF867C}">
              <a14:compatExt xmlns:a14="http://schemas.microsoft.com/office/drawing/2010/main" spid="_x0000_s30742"/>
            </a:ext>
            <a:ext uri="{FF2B5EF4-FFF2-40B4-BE49-F238E27FC236}">
              <a16:creationId xmlns:a16="http://schemas.microsoft.com/office/drawing/2014/main" id="{00000000-0008-0000-1200-00001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121</xdr:row>
      <xdr:rowOff>0</xdr:rowOff>
    </xdr:from>
    <xdr:to>
      <xdr:col>1</xdr:col>
      <xdr:colOff>200025</xdr:colOff>
      <xdr:row>122</xdr:row>
      <xdr:rowOff>0</xdr:rowOff>
    </xdr:to>
    <xdr:sp macro="" textlink="">
      <xdr:nvSpPr>
        <xdr:cNvPr id="30743" name="Check Box 23" hidden="1">
          <a:extLst>
            <a:ext uri="{63B3BB69-23CF-44E3-9099-C40C66FF867C}">
              <a14:compatExt xmlns:a14="http://schemas.microsoft.com/office/drawing/2010/main" spid="_x0000_s30743"/>
            </a:ext>
            <a:ext uri="{FF2B5EF4-FFF2-40B4-BE49-F238E27FC236}">
              <a16:creationId xmlns:a16="http://schemas.microsoft.com/office/drawing/2014/main" id="{00000000-0008-0000-1200-00001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122</xdr:row>
      <xdr:rowOff>0</xdr:rowOff>
    </xdr:from>
    <xdr:to>
      <xdr:col>1</xdr:col>
      <xdr:colOff>200025</xdr:colOff>
      <xdr:row>123</xdr:row>
      <xdr:rowOff>0</xdr:rowOff>
    </xdr:to>
    <xdr:sp macro="" textlink="">
      <xdr:nvSpPr>
        <xdr:cNvPr id="30744" name="Check Box 24" hidden="1">
          <a:extLst>
            <a:ext uri="{63B3BB69-23CF-44E3-9099-C40C66FF867C}">
              <a14:compatExt xmlns:a14="http://schemas.microsoft.com/office/drawing/2010/main" spid="_x0000_s30744"/>
            </a:ext>
            <a:ext uri="{FF2B5EF4-FFF2-40B4-BE49-F238E27FC236}">
              <a16:creationId xmlns:a16="http://schemas.microsoft.com/office/drawing/2014/main" id="{00000000-0008-0000-1200-00001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113</xdr:row>
      <xdr:rowOff>0</xdr:rowOff>
    </xdr:from>
    <xdr:to>
      <xdr:col>1</xdr:col>
      <xdr:colOff>200025</xdr:colOff>
      <xdr:row>114</xdr:row>
      <xdr:rowOff>0</xdr:rowOff>
    </xdr:to>
    <xdr:sp macro="" textlink="">
      <xdr:nvSpPr>
        <xdr:cNvPr id="30745" name="Check Box 25" hidden="1">
          <a:extLst>
            <a:ext uri="{63B3BB69-23CF-44E3-9099-C40C66FF867C}">
              <a14:compatExt xmlns:a14="http://schemas.microsoft.com/office/drawing/2010/main" spid="_x0000_s30745"/>
            </a:ext>
            <a:ext uri="{FF2B5EF4-FFF2-40B4-BE49-F238E27FC236}">
              <a16:creationId xmlns:a16="http://schemas.microsoft.com/office/drawing/2014/main" id="{00000000-0008-0000-1200-00001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113</xdr:row>
      <xdr:rowOff>0</xdr:rowOff>
    </xdr:from>
    <xdr:to>
      <xdr:col>1</xdr:col>
      <xdr:colOff>200025</xdr:colOff>
      <xdr:row>114</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2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114</xdr:row>
      <xdr:rowOff>0</xdr:rowOff>
    </xdr:from>
    <xdr:to>
      <xdr:col>1</xdr:col>
      <xdr:colOff>200025</xdr:colOff>
      <xdr:row>115</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2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115</xdr:row>
      <xdr:rowOff>0</xdr:rowOff>
    </xdr:from>
    <xdr:to>
      <xdr:col>1</xdr:col>
      <xdr:colOff>200025</xdr:colOff>
      <xdr:row>116</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2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116</xdr:row>
      <xdr:rowOff>0</xdr:rowOff>
    </xdr:from>
    <xdr:to>
      <xdr:col>1</xdr:col>
      <xdr:colOff>200025</xdr:colOff>
      <xdr:row>117</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2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117</xdr:row>
      <xdr:rowOff>0</xdr:rowOff>
    </xdr:from>
    <xdr:to>
      <xdr:col>1</xdr:col>
      <xdr:colOff>200025</xdr:colOff>
      <xdr:row>118</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2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118</xdr:row>
      <xdr:rowOff>0</xdr:rowOff>
    </xdr:from>
    <xdr:to>
      <xdr:col>1</xdr:col>
      <xdr:colOff>200025</xdr:colOff>
      <xdr:row>119</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2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119</xdr:row>
      <xdr:rowOff>0</xdr:rowOff>
    </xdr:from>
    <xdr:to>
      <xdr:col>1</xdr:col>
      <xdr:colOff>200025</xdr:colOff>
      <xdr:row>120</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2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120</xdr:row>
      <xdr:rowOff>0</xdr:rowOff>
    </xdr:from>
    <xdr:to>
      <xdr:col>1</xdr:col>
      <xdr:colOff>200025</xdr:colOff>
      <xdr:row>121</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2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121</xdr:row>
      <xdr:rowOff>0</xdr:rowOff>
    </xdr:from>
    <xdr:to>
      <xdr:col>1</xdr:col>
      <xdr:colOff>200025</xdr:colOff>
      <xdr:row>122</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2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122</xdr:row>
      <xdr:rowOff>0</xdr:rowOff>
    </xdr:from>
    <xdr:to>
      <xdr:col>1</xdr:col>
      <xdr:colOff>200025</xdr:colOff>
      <xdr:row>123</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2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ropbox/Work/New%20Green/2020%20Development/working/2015/working202009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amp; Intro"/>
      <sheetName val="Overview (Design)"/>
      <sheetName val="Geography"/>
      <sheetName val="Ch5"/>
      <sheetName val="Ch6"/>
      <sheetName val="Ch7"/>
      <sheetName val="Ch8"/>
      <sheetName val="Ch9"/>
      <sheetName val="Ch10"/>
      <sheetName val="Req. Doc."/>
      <sheetName val="Design Summ."/>
      <sheetName val="Dropdowns"/>
      <sheetName val="Points"/>
      <sheetName val="Formulas"/>
      <sheetName val="Overview (Verification)"/>
      <sheetName val="Verification Report"/>
      <sheetName val="Photo Review"/>
      <sheetName val="Rough Sig."/>
      <sheetName val="Final Sig."/>
      <sheetName val="Appendix A"/>
      <sheetName val="Appendix B"/>
      <sheetName val="Appendix D"/>
      <sheetName val="Table 602.1.12"/>
      <sheetName val="Table 604.1"/>
      <sheetName val="Table 610.1.2.1"/>
      <sheetName val="Table 610.1.2.2"/>
      <sheetName val="Figure 6(2)"/>
      <sheetName val="Figure 6(3)"/>
      <sheetName val="Table 701.4.3.2(2)"/>
      <sheetName val="Table 703.2.1(a)"/>
      <sheetName val="Table 703.2.1(b)"/>
      <sheetName val="Table 703.2.2"/>
      <sheetName val="Table 703.2.4"/>
      <sheetName val="Table 703.2.5.1"/>
      <sheetName val="Tables 703.2.5.2(a), (b) &amp; (c)"/>
      <sheetName val="Table 703.7.1(7)"/>
      <sheetName val="Table 801.1(1)"/>
      <sheetName val="Table 801.1(2)"/>
      <sheetName val="Table 901.9.1"/>
      <sheetName val="Table 901.9.2"/>
      <sheetName val="Table 901.10(3)"/>
      <sheetName val="Errata"/>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ngbs.com/"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1.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8.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9.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4"/>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715"/>
      <c r="B1" s="715"/>
      <c r="C1" s="715"/>
      <c r="D1" s="716" t="s">
        <v>0</v>
      </c>
      <c r="E1" s="716"/>
      <c r="F1" s="716"/>
      <c r="G1" s="716"/>
      <c r="H1" s="716"/>
      <c r="I1" s="716"/>
      <c r="J1" s="716"/>
      <c r="K1" s="716"/>
      <c r="L1" s="716"/>
      <c r="M1" s="716"/>
      <c r="N1" s="716"/>
      <c r="O1" s="716"/>
      <c r="P1" s="716"/>
      <c r="Q1" s="716"/>
      <c r="R1" s="716"/>
      <c r="S1" s="716"/>
    </row>
    <row r="2" spans="1:19" ht="14.5" customHeight="1" x14ac:dyDescent="0.2">
      <c r="A2" s="715"/>
      <c r="B2" s="715"/>
      <c r="C2" s="715"/>
      <c r="D2" s="716"/>
      <c r="E2" s="716"/>
      <c r="F2" s="716"/>
      <c r="G2" s="716"/>
      <c r="H2" s="716"/>
      <c r="I2" s="716"/>
      <c r="J2" s="716"/>
      <c r="K2" s="716"/>
      <c r="L2" s="716"/>
      <c r="M2" s="716"/>
      <c r="N2" s="716"/>
      <c r="O2" s="716"/>
      <c r="P2" s="716"/>
      <c r="Q2" s="716"/>
      <c r="R2" s="716"/>
      <c r="S2" s="716"/>
    </row>
    <row r="3" spans="1:19" ht="14.5" customHeight="1" x14ac:dyDescent="0.2">
      <c r="A3" s="715"/>
      <c r="B3" s="715"/>
      <c r="C3" s="715"/>
      <c r="D3" s="716"/>
      <c r="E3" s="716"/>
      <c r="F3" s="716"/>
      <c r="G3" s="716"/>
      <c r="H3" s="716"/>
      <c r="I3" s="716"/>
      <c r="J3" s="716"/>
      <c r="K3" s="716"/>
      <c r="L3" s="716"/>
      <c r="M3" s="716"/>
      <c r="N3" s="716"/>
      <c r="O3" s="716"/>
      <c r="P3" s="716"/>
      <c r="Q3" s="716"/>
      <c r="R3" s="716"/>
      <c r="S3" s="716"/>
    </row>
    <row r="4" spans="1:19" ht="14.5" customHeight="1" x14ac:dyDescent="0.2">
      <c r="A4" s="715"/>
      <c r="B4" s="715"/>
      <c r="C4" s="715"/>
      <c r="D4" s="717" t="s">
        <v>1</v>
      </c>
      <c r="E4" s="717"/>
      <c r="F4" s="717"/>
      <c r="G4" s="717"/>
      <c r="H4" s="717"/>
      <c r="I4" s="717"/>
      <c r="J4" s="717"/>
      <c r="K4" s="717"/>
      <c r="L4" s="717"/>
      <c r="M4" s="717"/>
      <c r="N4" s="717"/>
      <c r="O4" s="717"/>
      <c r="P4" s="717"/>
      <c r="Q4" s="717"/>
      <c r="R4" s="717"/>
      <c r="S4" s="717"/>
    </row>
    <row r="5" spans="1:19" x14ac:dyDescent="0.2">
      <c r="A5" s="715"/>
      <c r="B5" s="715"/>
      <c r="C5" s="715"/>
      <c r="D5" s="717"/>
      <c r="E5" s="717"/>
      <c r="F5" s="717"/>
      <c r="G5" s="717"/>
      <c r="H5" s="717"/>
      <c r="I5" s="717"/>
      <c r="J5" s="717"/>
      <c r="K5" s="717"/>
      <c r="L5" s="717"/>
      <c r="M5" s="717"/>
      <c r="N5" s="717"/>
      <c r="O5" s="717"/>
      <c r="P5" s="717"/>
      <c r="Q5" s="717"/>
      <c r="R5" s="717"/>
      <c r="S5" s="717"/>
    </row>
    <row r="6" spans="1:19" x14ac:dyDescent="0.2">
      <c r="A6" s="715"/>
      <c r="B6" s="715"/>
      <c r="C6" s="715"/>
      <c r="D6" s="717"/>
      <c r="E6" s="717"/>
      <c r="F6" s="717"/>
      <c r="G6" s="717"/>
      <c r="H6" s="717"/>
      <c r="I6" s="717"/>
      <c r="J6" s="717"/>
      <c r="K6" s="717"/>
      <c r="L6" s="717"/>
      <c r="M6" s="717"/>
      <c r="N6" s="717"/>
      <c r="O6" s="717"/>
      <c r="P6" s="717"/>
      <c r="Q6" s="717"/>
      <c r="R6" s="717"/>
      <c r="S6" s="717"/>
    </row>
    <row r="7" spans="1:19" ht="19" x14ac:dyDescent="0.25">
      <c r="A7" s="585" t="s">
        <v>2</v>
      </c>
      <c r="B7" s="429" t="s">
        <v>3</v>
      </c>
      <c r="C7" s="719" t="s">
        <v>4</v>
      </c>
      <c r="D7" s="719"/>
      <c r="E7" s="720">
        <v>44165.732872222223</v>
      </c>
      <c r="F7" s="720"/>
      <c r="G7" s="585"/>
      <c r="H7" s="585"/>
      <c r="I7" s="585"/>
      <c r="J7" s="585"/>
      <c r="K7" s="585"/>
      <c r="L7" s="585"/>
      <c r="M7" s="585"/>
      <c r="N7" s="585"/>
      <c r="O7" s="585"/>
      <c r="P7" s="585"/>
      <c r="Q7" s="585"/>
      <c r="R7" s="585"/>
      <c r="S7" s="585"/>
    </row>
    <row r="8" spans="1:19" s="9" customFormat="1" x14ac:dyDescent="0.2">
      <c r="A8" s="718"/>
      <c r="B8" s="718"/>
      <c r="C8" s="718"/>
      <c r="D8" s="718"/>
      <c r="E8" s="718"/>
      <c r="F8" s="718"/>
      <c r="G8" s="718"/>
      <c r="H8" s="718"/>
      <c r="I8" s="718"/>
      <c r="J8" s="718"/>
      <c r="K8" s="718"/>
      <c r="L8" s="718"/>
      <c r="M8" s="718"/>
      <c r="N8" s="718"/>
      <c r="O8" s="718"/>
      <c r="P8" s="718"/>
      <c r="Q8" s="718"/>
      <c r="R8" s="718"/>
      <c r="S8" s="718"/>
    </row>
    <row r="9" spans="1:19" x14ac:dyDescent="0.2">
      <c r="A9" s="562"/>
      <c r="B9" s="722" t="s">
        <v>5</v>
      </c>
      <c r="C9" s="722"/>
      <c r="D9" s="722"/>
      <c r="E9" s="722"/>
      <c r="F9" s="722"/>
      <c r="G9" s="722"/>
      <c r="H9" s="722"/>
      <c r="I9" s="722"/>
      <c r="J9" s="722"/>
      <c r="K9" s="722"/>
      <c r="L9" s="722"/>
      <c r="M9" s="722"/>
      <c r="N9" s="722"/>
      <c r="O9" s="722"/>
      <c r="P9" s="722"/>
      <c r="Q9" s="722"/>
      <c r="R9" s="722"/>
      <c r="S9" s="562"/>
    </row>
    <row r="10" spans="1:19" x14ac:dyDescent="0.2">
      <c r="A10" s="562"/>
      <c r="B10" s="723" t="s">
        <v>6</v>
      </c>
      <c r="C10" s="723"/>
      <c r="D10" s="723"/>
      <c r="E10" s="723"/>
      <c r="F10" s="723"/>
      <c r="G10" s="723"/>
      <c r="H10" s="723"/>
      <c r="I10" s="723"/>
      <c r="J10" s="723"/>
      <c r="K10" s="723"/>
      <c r="L10" s="723"/>
      <c r="M10" s="723"/>
      <c r="N10" s="723"/>
      <c r="O10" s="723"/>
      <c r="P10" s="723"/>
      <c r="Q10" s="723"/>
      <c r="R10" s="723"/>
      <c r="S10" s="562"/>
    </row>
    <row r="11" spans="1:19" s="9" customFormat="1" x14ac:dyDescent="0.2">
      <c r="A11" s="718"/>
      <c r="B11" s="718"/>
      <c r="C11" s="718"/>
      <c r="D11" s="718"/>
      <c r="E11" s="718"/>
      <c r="F11" s="718"/>
      <c r="G11" s="718"/>
      <c r="H11" s="718"/>
      <c r="I11" s="718"/>
      <c r="J11" s="718"/>
      <c r="K11" s="718"/>
      <c r="L11" s="718"/>
      <c r="M11" s="718"/>
      <c r="N11" s="718"/>
      <c r="O11" s="718"/>
      <c r="P11" s="718"/>
      <c r="Q11" s="718"/>
      <c r="R11" s="718"/>
      <c r="S11" s="718"/>
    </row>
    <row r="12" spans="1:19" s="7" customFormat="1" ht="19" x14ac:dyDescent="0.25">
      <c r="A12" s="714" t="s">
        <v>7</v>
      </c>
      <c r="B12" s="714"/>
      <c r="C12" s="714"/>
      <c r="D12" s="714"/>
      <c r="E12" s="714"/>
      <c r="F12" s="714"/>
      <c r="G12" s="714"/>
      <c r="H12" s="714"/>
      <c r="I12" s="714"/>
      <c r="J12" s="714"/>
      <c r="K12" s="714"/>
      <c r="L12" s="714"/>
      <c r="M12" s="714"/>
      <c r="N12" s="714"/>
      <c r="O12" s="714"/>
      <c r="P12" s="714"/>
      <c r="Q12" s="714"/>
      <c r="R12" s="714"/>
      <c r="S12" s="714"/>
    </row>
    <row r="13" spans="1:19" s="9" customFormat="1" x14ac:dyDescent="0.2">
      <c r="A13" s="718"/>
      <c r="B13" s="718"/>
      <c r="C13" s="718"/>
      <c r="D13" s="718"/>
      <c r="E13" s="718"/>
      <c r="F13" s="718"/>
      <c r="G13" s="718"/>
      <c r="H13" s="718"/>
      <c r="I13" s="718"/>
      <c r="J13" s="718"/>
      <c r="K13" s="718"/>
      <c r="L13" s="718"/>
      <c r="M13" s="718"/>
      <c r="N13" s="718"/>
      <c r="O13" s="718"/>
      <c r="P13" s="718"/>
      <c r="Q13" s="718"/>
      <c r="R13" s="718"/>
      <c r="S13" s="718"/>
    </row>
    <row r="14" spans="1:19" s="7" customFormat="1" ht="14.5" customHeight="1" x14ac:dyDescent="0.2">
      <c r="A14" s="562"/>
      <c r="B14" s="721" t="s">
        <v>8</v>
      </c>
      <c r="C14" s="721"/>
      <c r="D14" s="721"/>
      <c r="E14" s="721"/>
      <c r="F14" s="721"/>
      <c r="G14" s="721"/>
      <c r="H14" s="721"/>
      <c r="I14" s="721"/>
      <c r="J14" s="721"/>
      <c r="K14" s="721"/>
      <c r="L14" s="721"/>
      <c r="M14" s="721"/>
      <c r="N14" s="721"/>
      <c r="O14" s="721"/>
      <c r="P14" s="721"/>
      <c r="Q14" s="721"/>
      <c r="R14" s="721"/>
      <c r="S14" s="562"/>
    </row>
    <row r="15" spans="1:19" s="7" customFormat="1" x14ac:dyDescent="0.2">
      <c r="A15" s="562"/>
      <c r="B15" s="721"/>
      <c r="C15" s="721"/>
      <c r="D15" s="721"/>
      <c r="E15" s="721"/>
      <c r="F15" s="721"/>
      <c r="G15" s="721"/>
      <c r="H15" s="721"/>
      <c r="I15" s="721"/>
      <c r="J15" s="721"/>
      <c r="K15" s="721"/>
      <c r="L15" s="721"/>
      <c r="M15" s="721"/>
      <c r="N15" s="721"/>
      <c r="O15" s="721"/>
      <c r="P15" s="721"/>
      <c r="Q15" s="721"/>
      <c r="R15" s="721"/>
      <c r="S15" s="562"/>
    </row>
    <row r="16" spans="1:19" s="7" customFormat="1" x14ac:dyDescent="0.2">
      <c r="A16" s="562"/>
      <c r="B16" s="721"/>
      <c r="C16" s="721"/>
      <c r="D16" s="721"/>
      <c r="E16" s="721"/>
      <c r="F16" s="721"/>
      <c r="G16" s="721"/>
      <c r="H16" s="721"/>
      <c r="I16" s="721"/>
      <c r="J16" s="721"/>
      <c r="K16" s="721"/>
      <c r="L16" s="721"/>
      <c r="M16" s="721"/>
      <c r="N16" s="721"/>
      <c r="O16" s="721"/>
      <c r="P16" s="721"/>
      <c r="Q16" s="721"/>
      <c r="R16" s="721"/>
      <c r="S16" s="562"/>
    </row>
    <row r="17" spans="1:19" s="9" customFormat="1" x14ac:dyDescent="0.2">
      <c r="A17" s="718"/>
      <c r="B17" s="718"/>
      <c r="C17" s="718"/>
      <c r="D17" s="718"/>
      <c r="E17" s="718"/>
      <c r="F17" s="718"/>
      <c r="G17" s="718"/>
      <c r="H17" s="718"/>
      <c r="I17" s="718"/>
      <c r="J17" s="718"/>
      <c r="K17" s="718"/>
      <c r="L17" s="718"/>
      <c r="M17" s="718"/>
      <c r="N17" s="718"/>
      <c r="O17" s="718"/>
      <c r="P17" s="718"/>
      <c r="Q17" s="718"/>
      <c r="R17" s="718"/>
      <c r="S17" s="718"/>
    </row>
    <row r="18" spans="1:19" s="330" customFormat="1" ht="19" x14ac:dyDescent="0.25">
      <c r="A18" s="714" t="s">
        <v>9</v>
      </c>
      <c r="B18" s="714"/>
      <c r="C18" s="714"/>
      <c r="D18" s="714"/>
      <c r="E18" s="714"/>
      <c r="F18" s="714"/>
      <c r="G18" s="714"/>
      <c r="H18" s="714"/>
      <c r="I18" s="714"/>
      <c r="J18" s="714"/>
      <c r="K18" s="714"/>
      <c r="L18" s="714"/>
      <c r="M18" s="714"/>
      <c r="N18" s="714"/>
      <c r="O18" s="714"/>
      <c r="P18" s="714"/>
      <c r="Q18" s="714"/>
      <c r="R18" s="714"/>
      <c r="S18" s="714"/>
    </row>
    <row r="19" spans="1:19" s="330" customFormat="1" x14ac:dyDescent="0.2">
      <c r="A19" s="562"/>
      <c r="B19" s="562"/>
      <c r="C19" s="562"/>
      <c r="D19" s="562"/>
      <c r="E19" s="562"/>
      <c r="F19" s="562"/>
      <c r="G19" s="562"/>
      <c r="H19" s="562"/>
      <c r="I19" s="562"/>
      <c r="J19" s="562"/>
      <c r="K19" s="562"/>
      <c r="L19" s="562"/>
      <c r="M19" s="562"/>
      <c r="N19" s="562"/>
      <c r="O19" s="562"/>
      <c r="P19" s="562"/>
      <c r="Q19" s="562"/>
      <c r="R19" s="562"/>
      <c r="S19" s="562"/>
    </row>
    <row r="20" spans="1:19" s="330" customFormat="1" x14ac:dyDescent="0.2">
      <c r="A20" s="562"/>
      <c r="B20" s="725" t="s">
        <v>10</v>
      </c>
      <c r="C20" s="725"/>
      <c r="D20" s="725"/>
      <c r="E20" s="725"/>
      <c r="F20" s="725"/>
      <c r="G20" s="725"/>
      <c r="H20" s="725"/>
      <c r="I20" s="725"/>
      <c r="J20" s="725"/>
      <c r="K20" s="725"/>
      <c r="L20" s="725"/>
      <c r="M20" s="725"/>
      <c r="N20" s="725"/>
      <c r="O20" s="725"/>
      <c r="P20" s="725"/>
      <c r="Q20" s="725"/>
      <c r="R20" s="725"/>
      <c r="S20" s="562"/>
    </row>
    <row r="21" spans="1:19" s="330" customFormat="1" x14ac:dyDescent="0.2">
      <c r="A21" s="562"/>
      <c r="B21" s="562"/>
      <c r="C21" s="562"/>
      <c r="D21" s="562"/>
      <c r="E21" s="562"/>
      <c r="F21" s="562"/>
      <c r="G21" s="562"/>
      <c r="H21" s="562"/>
      <c r="I21" s="562"/>
      <c r="J21" s="562"/>
      <c r="K21" s="562"/>
      <c r="L21" s="562"/>
      <c r="M21" s="562"/>
      <c r="N21" s="562"/>
      <c r="O21" s="562"/>
      <c r="P21" s="562"/>
      <c r="Q21" s="562"/>
      <c r="R21" s="562"/>
      <c r="S21" s="562"/>
    </row>
    <row r="22" spans="1:19" s="330" customFormat="1" ht="15" customHeight="1" x14ac:dyDescent="0.2">
      <c r="A22" s="562"/>
      <c r="B22" s="726" t="s">
        <v>11</v>
      </c>
      <c r="C22" s="726"/>
      <c r="D22" s="726"/>
      <c r="E22" s="726"/>
      <c r="F22" s="726"/>
      <c r="G22" s="726"/>
      <c r="H22" s="726"/>
      <c r="I22" s="726"/>
      <c r="J22" s="726"/>
      <c r="K22" s="726"/>
      <c r="L22" s="726"/>
      <c r="M22" s="726"/>
      <c r="N22" s="726"/>
      <c r="O22" s="726"/>
      <c r="P22" s="726"/>
      <c r="Q22" s="726"/>
      <c r="R22" s="726"/>
      <c r="S22" s="562"/>
    </row>
    <row r="23" spans="1:19" s="330" customFormat="1" x14ac:dyDescent="0.2">
      <c r="A23" s="562"/>
      <c r="B23" s="726"/>
      <c r="C23" s="726"/>
      <c r="D23" s="726"/>
      <c r="E23" s="726"/>
      <c r="F23" s="726"/>
      <c r="G23" s="726"/>
      <c r="H23" s="726"/>
      <c r="I23" s="726"/>
      <c r="J23" s="726"/>
      <c r="K23" s="726"/>
      <c r="L23" s="726"/>
      <c r="M23" s="726"/>
      <c r="N23" s="726"/>
      <c r="O23" s="726"/>
      <c r="P23" s="726"/>
      <c r="Q23" s="726"/>
      <c r="R23" s="726"/>
      <c r="S23" s="562"/>
    </row>
    <row r="24" spans="1:19" s="330" customFormat="1" x14ac:dyDescent="0.2">
      <c r="A24" s="562"/>
      <c r="B24" s="562"/>
      <c r="C24" s="562"/>
      <c r="D24" s="562"/>
      <c r="E24" s="562"/>
      <c r="F24" s="562"/>
      <c r="G24" s="562"/>
      <c r="H24" s="562"/>
      <c r="I24" s="562"/>
      <c r="J24" s="562"/>
      <c r="K24" s="562"/>
      <c r="L24" s="562"/>
      <c r="M24" s="562"/>
      <c r="N24" s="562"/>
      <c r="O24" s="562"/>
      <c r="P24" s="562"/>
      <c r="Q24" s="562"/>
      <c r="R24" s="562"/>
      <c r="S24" s="562"/>
    </row>
    <row r="25" spans="1:19" ht="19" x14ac:dyDescent="0.25">
      <c r="A25" s="714" t="s">
        <v>12</v>
      </c>
      <c r="B25" s="714"/>
      <c r="C25" s="714"/>
      <c r="D25" s="714"/>
      <c r="E25" s="714"/>
      <c r="F25" s="714"/>
      <c r="G25" s="714"/>
      <c r="H25" s="714"/>
      <c r="I25" s="714"/>
      <c r="J25" s="714"/>
      <c r="K25" s="714"/>
      <c r="L25" s="714"/>
      <c r="M25" s="714"/>
      <c r="N25" s="714"/>
      <c r="O25" s="714"/>
      <c r="P25" s="714"/>
      <c r="Q25" s="714"/>
      <c r="R25" s="714"/>
      <c r="S25" s="714"/>
    </row>
    <row r="26" spans="1:19" x14ac:dyDescent="0.2">
      <c r="A26" s="562"/>
      <c r="B26" s="562"/>
      <c r="C26" s="562"/>
      <c r="D26" s="562"/>
      <c r="E26" s="562"/>
      <c r="F26" s="562"/>
      <c r="G26" s="562"/>
      <c r="H26" s="562"/>
      <c r="I26" s="562"/>
      <c r="J26" s="562"/>
      <c r="K26" s="562"/>
      <c r="L26" s="562"/>
      <c r="M26" s="562"/>
      <c r="N26" s="562"/>
      <c r="O26" s="562"/>
      <c r="P26" s="562"/>
      <c r="Q26" s="562"/>
      <c r="R26" s="562"/>
      <c r="S26" s="562"/>
    </row>
    <row r="27" spans="1:19" s="330" customFormat="1" ht="15" customHeight="1" x14ac:dyDescent="0.2">
      <c r="A27" s="562"/>
      <c r="B27" s="721" t="s">
        <v>13</v>
      </c>
      <c r="C27" s="721"/>
      <c r="D27" s="721"/>
      <c r="E27" s="721"/>
      <c r="F27" s="721"/>
      <c r="G27" s="721"/>
      <c r="H27" s="721"/>
      <c r="I27" s="721"/>
      <c r="J27" s="721"/>
      <c r="K27" s="721"/>
      <c r="L27" s="721"/>
      <c r="M27" s="721"/>
      <c r="N27" s="721"/>
      <c r="O27" s="721"/>
      <c r="P27" s="721"/>
      <c r="Q27" s="721"/>
      <c r="R27" s="721"/>
      <c r="S27" s="562"/>
    </row>
    <row r="28" spans="1:19" s="330" customFormat="1" x14ac:dyDescent="0.2">
      <c r="A28" s="562"/>
      <c r="B28" s="721"/>
      <c r="C28" s="721"/>
      <c r="D28" s="721"/>
      <c r="E28" s="721"/>
      <c r="F28" s="721"/>
      <c r="G28" s="721"/>
      <c r="H28" s="721"/>
      <c r="I28" s="721"/>
      <c r="J28" s="721"/>
      <c r="K28" s="721"/>
      <c r="L28" s="721"/>
      <c r="M28" s="721"/>
      <c r="N28" s="721"/>
      <c r="O28" s="721"/>
      <c r="P28" s="721"/>
      <c r="Q28" s="721"/>
      <c r="R28" s="721"/>
      <c r="S28" s="562"/>
    </row>
    <row r="29" spans="1:19" s="330" customFormat="1" x14ac:dyDescent="0.2">
      <c r="A29" s="562"/>
      <c r="B29" s="721"/>
      <c r="C29" s="721"/>
      <c r="D29" s="721"/>
      <c r="E29" s="721"/>
      <c r="F29" s="721"/>
      <c r="G29" s="721"/>
      <c r="H29" s="721"/>
      <c r="I29" s="721"/>
      <c r="J29" s="721"/>
      <c r="K29" s="721"/>
      <c r="L29" s="721"/>
      <c r="M29" s="721"/>
      <c r="N29" s="721"/>
      <c r="O29" s="721"/>
      <c r="P29" s="721"/>
      <c r="Q29" s="721"/>
      <c r="R29" s="721"/>
      <c r="S29" s="562"/>
    </row>
    <row r="30" spans="1:19" s="7" customFormat="1" x14ac:dyDescent="0.2">
      <c r="A30" s="562"/>
      <c r="B30" s="587"/>
      <c r="C30" s="587"/>
      <c r="D30" s="587"/>
      <c r="E30" s="587"/>
      <c r="F30" s="587"/>
      <c r="G30" s="587"/>
      <c r="H30" s="587"/>
      <c r="I30" s="587"/>
      <c r="J30" s="587"/>
      <c r="K30" s="587"/>
      <c r="L30" s="587"/>
      <c r="M30" s="587"/>
      <c r="N30" s="587"/>
      <c r="O30" s="587"/>
      <c r="P30" s="587"/>
      <c r="Q30" s="587"/>
      <c r="R30" s="587"/>
      <c r="S30" s="562"/>
    </row>
    <row r="31" spans="1:19" s="330" customFormat="1" ht="15" customHeight="1" x14ac:dyDescent="0.2">
      <c r="A31" s="562"/>
      <c r="B31" s="727" t="s">
        <v>14</v>
      </c>
      <c r="C31" s="727"/>
      <c r="D31" s="727"/>
      <c r="E31" s="727"/>
      <c r="F31" s="727"/>
      <c r="G31" s="727"/>
      <c r="H31" s="727"/>
      <c r="I31" s="727"/>
      <c r="J31" s="727"/>
      <c r="K31" s="727"/>
      <c r="L31" s="727"/>
      <c r="M31" s="727"/>
      <c r="N31" s="727"/>
      <c r="O31" s="727"/>
      <c r="P31" s="727"/>
      <c r="Q31" s="727"/>
      <c r="R31" s="727"/>
      <c r="S31" s="562"/>
    </row>
    <row r="32" spans="1:19" s="330" customFormat="1" x14ac:dyDescent="0.2">
      <c r="A32" s="562"/>
      <c r="B32" s="587"/>
      <c r="C32" s="587"/>
      <c r="D32" s="587"/>
      <c r="E32" s="587"/>
      <c r="F32" s="587"/>
      <c r="G32" s="587"/>
      <c r="H32" s="587"/>
      <c r="I32" s="587"/>
      <c r="J32" s="587"/>
      <c r="K32" s="587"/>
      <c r="L32" s="587"/>
      <c r="M32" s="587"/>
      <c r="N32" s="587"/>
      <c r="O32" s="587"/>
      <c r="P32" s="587"/>
      <c r="Q32" s="587"/>
      <c r="R32" s="587"/>
      <c r="S32" s="562"/>
    </row>
    <row r="33" spans="1:19" s="330" customFormat="1" ht="15" customHeight="1" x14ac:dyDescent="0.2">
      <c r="A33" s="562"/>
      <c r="B33" s="721" t="s">
        <v>15</v>
      </c>
      <c r="C33" s="721"/>
      <c r="D33" s="721"/>
      <c r="E33" s="721"/>
      <c r="F33" s="721"/>
      <c r="G33" s="721"/>
      <c r="H33" s="721"/>
      <c r="I33" s="721"/>
      <c r="J33" s="721"/>
      <c r="K33" s="721"/>
      <c r="L33" s="721"/>
      <c r="M33" s="721"/>
      <c r="N33" s="721"/>
      <c r="O33" s="721"/>
      <c r="P33" s="721"/>
      <c r="Q33" s="721"/>
      <c r="R33" s="721"/>
      <c r="S33" s="721"/>
    </row>
    <row r="34" spans="1:19" s="330" customFormat="1" x14ac:dyDescent="0.2">
      <c r="A34" s="562"/>
      <c r="B34" s="587"/>
      <c r="C34" s="587"/>
      <c r="D34" s="587"/>
      <c r="E34" s="587"/>
      <c r="F34" s="587"/>
      <c r="G34" s="587"/>
      <c r="H34" s="587"/>
      <c r="I34" s="587"/>
      <c r="J34" s="587"/>
      <c r="K34" s="587"/>
      <c r="L34" s="587"/>
      <c r="M34" s="587"/>
      <c r="N34" s="587"/>
      <c r="O34" s="587"/>
      <c r="P34" s="587"/>
      <c r="Q34" s="587"/>
      <c r="R34" s="587"/>
      <c r="S34" s="562"/>
    </row>
    <row r="35" spans="1:19" s="330" customFormat="1" ht="15" customHeight="1" x14ac:dyDescent="0.2">
      <c r="A35" s="562"/>
      <c r="B35" s="721" t="s">
        <v>16</v>
      </c>
      <c r="C35" s="721"/>
      <c r="D35" s="721"/>
      <c r="E35" s="721"/>
      <c r="F35" s="721"/>
      <c r="G35" s="721"/>
      <c r="H35" s="721"/>
      <c r="I35" s="721"/>
      <c r="J35" s="721"/>
      <c r="K35" s="721"/>
      <c r="L35" s="721"/>
      <c r="M35" s="721"/>
      <c r="N35" s="721"/>
      <c r="O35" s="721"/>
      <c r="P35" s="721"/>
      <c r="Q35" s="721"/>
      <c r="R35" s="721"/>
      <c r="S35" s="562"/>
    </row>
    <row r="36" spans="1:19" s="330" customFormat="1" x14ac:dyDescent="0.2">
      <c r="A36" s="562"/>
      <c r="B36" s="721"/>
      <c r="C36" s="721"/>
      <c r="D36" s="721"/>
      <c r="E36" s="721"/>
      <c r="F36" s="721"/>
      <c r="G36" s="721"/>
      <c r="H36" s="721"/>
      <c r="I36" s="721"/>
      <c r="J36" s="721"/>
      <c r="K36" s="721"/>
      <c r="L36" s="721"/>
      <c r="M36" s="721"/>
      <c r="N36" s="721"/>
      <c r="O36" s="721"/>
      <c r="P36" s="721"/>
      <c r="Q36" s="721"/>
      <c r="R36" s="721"/>
      <c r="S36" s="562"/>
    </row>
    <row r="37" spans="1:19" s="330" customFormat="1" x14ac:dyDescent="0.2">
      <c r="A37" s="562"/>
      <c r="B37" s="587"/>
      <c r="C37" s="587"/>
      <c r="D37" s="587"/>
      <c r="E37" s="587"/>
      <c r="F37" s="587"/>
      <c r="G37" s="587"/>
      <c r="H37" s="587"/>
      <c r="I37" s="587"/>
      <c r="J37" s="587"/>
      <c r="K37" s="587"/>
      <c r="L37" s="587"/>
      <c r="M37" s="587"/>
      <c r="N37" s="587"/>
      <c r="O37" s="587"/>
      <c r="P37" s="587"/>
      <c r="Q37" s="587"/>
      <c r="R37" s="587"/>
      <c r="S37" s="562"/>
    </row>
    <row r="38" spans="1:19" s="330" customFormat="1" ht="15" customHeight="1" x14ac:dyDescent="0.2">
      <c r="A38" s="562"/>
      <c r="B38" s="562"/>
      <c r="C38" s="712" t="s">
        <v>17</v>
      </c>
      <c r="D38" s="712"/>
      <c r="E38" s="712"/>
      <c r="F38" s="712"/>
      <c r="G38" s="712"/>
      <c r="H38" s="712"/>
      <c r="I38" s="712"/>
      <c r="J38" s="712"/>
      <c r="K38" s="712"/>
      <c r="L38" s="712"/>
      <c r="M38" s="712"/>
      <c r="N38" s="712"/>
      <c r="O38" s="712"/>
      <c r="P38" s="712"/>
      <c r="Q38" s="712"/>
      <c r="R38" s="712"/>
      <c r="S38" s="562"/>
    </row>
    <row r="39" spans="1:19" s="330" customFormat="1" x14ac:dyDescent="0.2">
      <c r="A39" s="562"/>
      <c r="B39" s="587"/>
      <c r="C39" s="587"/>
      <c r="D39" s="587"/>
      <c r="E39" s="587"/>
      <c r="F39" s="587"/>
      <c r="G39" s="587"/>
      <c r="H39" s="587"/>
      <c r="I39" s="587"/>
      <c r="J39" s="587"/>
      <c r="K39" s="587"/>
      <c r="L39" s="587"/>
      <c r="M39" s="587"/>
      <c r="N39" s="587"/>
      <c r="O39" s="587"/>
      <c r="P39" s="587"/>
      <c r="Q39" s="587"/>
      <c r="R39" s="587"/>
      <c r="S39" s="562"/>
    </row>
    <row r="40" spans="1:19" s="330" customFormat="1" ht="15" customHeight="1" x14ac:dyDescent="0.2">
      <c r="A40" s="562"/>
      <c r="B40" s="562"/>
      <c r="C40" s="712" t="s">
        <v>18</v>
      </c>
      <c r="D40" s="712"/>
      <c r="E40" s="712"/>
      <c r="F40" s="712"/>
      <c r="G40" s="712"/>
      <c r="H40" s="712"/>
      <c r="I40" s="712"/>
      <c r="J40" s="712"/>
      <c r="K40" s="712"/>
      <c r="L40" s="712"/>
      <c r="M40" s="712"/>
      <c r="N40" s="712"/>
      <c r="O40" s="712"/>
      <c r="P40" s="712"/>
      <c r="Q40" s="712"/>
      <c r="R40" s="712"/>
      <c r="S40" s="562"/>
    </row>
    <row r="41" spans="1:19" s="330" customFormat="1" x14ac:dyDescent="0.2">
      <c r="A41" s="562"/>
      <c r="B41" s="584"/>
      <c r="C41" s="712"/>
      <c r="D41" s="712"/>
      <c r="E41" s="712"/>
      <c r="F41" s="712"/>
      <c r="G41" s="712"/>
      <c r="H41" s="712"/>
      <c r="I41" s="712"/>
      <c r="J41" s="712"/>
      <c r="K41" s="712"/>
      <c r="L41" s="712"/>
      <c r="M41" s="712"/>
      <c r="N41" s="712"/>
      <c r="O41" s="712"/>
      <c r="P41" s="712"/>
      <c r="Q41" s="712"/>
      <c r="R41" s="712"/>
      <c r="S41" s="562"/>
    </row>
    <row r="42" spans="1:19" s="330" customFormat="1" x14ac:dyDescent="0.2">
      <c r="A42" s="562"/>
      <c r="B42" s="587"/>
      <c r="C42" s="587"/>
      <c r="D42" s="587"/>
      <c r="E42" s="587"/>
      <c r="F42" s="587"/>
      <c r="G42" s="587"/>
      <c r="H42" s="587"/>
      <c r="I42" s="587"/>
      <c r="J42" s="587"/>
      <c r="K42" s="587"/>
      <c r="L42" s="587"/>
      <c r="M42" s="587"/>
      <c r="N42" s="587"/>
      <c r="O42" s="587"/>
      <c r="P42" s="587"/>
      <c r="Q42" s="587"/>
      <c r="R42" s="587"/>
      <c r="S42" s="562"/>
    </row>
    <row r="43" spans="1:19" s="330" customFormat="1" ht="15" customHeight="1" x14ac:dyDescent="0.2">
      <c r="A43" s="562"/>
      <c r="B43" s="712" t="s">
        <v>19</v>
      </c>
      <c r="C43" s="712"/>
      <c r="D43" s="712"/>
      <c r="E43" s="712"/>
      <c r="F43" s="712"/>
      <c r="G43" s="712"/>
      <c r="H43" s="712"/>
      <c r="I43" s="712"/>
      <c r="J43" s="712"/>
      <c r="K43" s="712"/>
      <c r="L43" s="712"/>
      <c r="M43" s="712"/>
      <c r="N43" s="712"/>
      <c r="O43" s="712"/>
      <c r="P43" s="712"/>
      <c r="Q43" s="712"/>
      <c r="R43" s="712"/>
      <c r="S43" s="712"/>
    </row>
    <row r="44" spans="1:19" s="330" customFormat="1" x14ac:dyDescent="0.2">
      <c r="A44" s="562"/>
      <c r="B44" s="587"/>
      <c r="C44" s="587"/>
      <c r="D44" s="587"/>
      <c r="E44" s="587"/>
      <c r="F44" s="587"/>
      <c r="G44" s="587"/>
      <c r="H44" s="587"/>
      <c r="I44" s="587"/>
      <c r="J44" s="587"/>
      <c r="K44" s="587"/>
      <c r="L44" s="587"/>
      <c r="M44" s="587"/>
      <c r="N44" s="587"/>
      <c r="O44" s="587"/>
      <c r="P44" s="587"/>
      <c r="Q44" s="587"/>
      <c r="R44" s="587"/>
      <c r="S44" s="562"/>
    </row>
    <row r="45" spans="1:19" s="330" customFormat="1" ht="15" customHeight="1" x14ac:dyDescent="0.2">
      <c r="A45" s="562"/>
      <c r="B45" s="712" t="s">
        <v>20</v>
      </c>
      <c r="C45" s="712"/>
      <c r="D45" s="712"/>
      <c r="E45" s="712"/>
      <c r="F45" s="712"/>
      <c r="G45" s="712"/>
      <c r="H45" s="712"/>
      <c r="I45" s="712"/>
      <c r="J45" s="712"/>
      <c r="K45" s="712"/>
      <c r="L45" s="712"/>
      <c r="M45" s="712"/>
      <c r="N45" s="712"/>
      <c r="O45" s="712"/>
      <c r="P45" s="712"/>
      <c r="Q45" s="712"/>
      <c r="R45" s="712"/>
      <c r="S45" s="562"/>
    </row>
    <row r="46" spans="1:19" s="330" customFormat="1" x14ac:dyDescent="0.2">
      <c r="A46" s="562"/>
      <c r="B46" s="587"/>
      <c r="C46" s="587"/>
      <c r="D46" s="587"/>
      <c r="E46" s="587"/>
      <c r="F46" s="587"/>
      <c r="G46" s="587"/>
      <c r="H46" s="587"/>
      <c r="I46" s="587"/>
      <c r="J46" s="587"/>
      <c r="K46" s="587"/>
      <c r="L46" s="587"/>
      <c r="M46" s="587"/>
      <c r="N46" s="587"/>
      <c r="O46" s="587"/>
      <c r="P46" s="587"/>
      <c r="Q46" s="587"/>
      <c r="R46" s="587"/>
      <c r="S46" s="562"/>
    </row>
    <row r="47" spans="1:19" s="330" customFormat="1" ht="15" customHeight="1" x14ac:dyDescent="0.2">
      <c r="A47" s="562"/>
      <c r="B47" s="712" t="s">
        <v>21</v>
      </c>
      <c r="C47" s="712"/>
      <c r="D47" s="712"/>
      <c r="E47" s="712"/>
      <c r="F47" s="712"/>
      <c r="G47" s="712"/>
      <c r="H47" s="712"/>
      <c r="I47" s="712"/>
      <c r="J47" s="712"/>
      <c r="K47" s="712"/>
      <c r="L47" s="712"/>
      <c r="M47" s="712"/>
      <c r="N47" s="712"/>
      <c r="O47" s="712"/>
      <c r="P47" s="712"/>
      <c r="Q47" s="712"/>
      <c r="R47" s="712"/>
      <c r="S47" s="562"/>
    </row>
    <row r="48" spans="1:19" s="330" customFormat="1" ht="15" customHeight="1" x14ac:dyDescent="0.2">
      <c r="A48" s="562"/>
      <c r="B48" s="728" t="s">
        <v>22</v>
      </c>
      <c r="C48" s="728"/>
      <c r="D48" s="728"/>
      <c r="E48" s="728"/>
      <c r="F48" s="728"/>
      <c r="G48" s="728"/>
      <c r="H48" s="728"/>
      <c r="I48" s="728"/>
      <c r="J48" s="728"/>
      <c r="K48" s="728"/>
      <c r="L48" s="728"/>
      <c r="M48" s="728"/>
      <c r="N48" s="728"/>
      <c r="O48" s="728"/>
      <c r="P48" s="728"/>
      <c r="Q48" s="728"/>
      <c r="R48" s="728"/>
      <c r="S48" s="562"/>
    </row>
    <row r="49" spans="1:19" s="330" customFormat="1" x14ac:dyDescent="0.2">
      <c r="A49" s="562"/>
      <c r="B49" s="584"/>
      <c r="C49" s="584"/>
      <c r="D49" s="584"/>
      <c r="E49" s="584"/>
      <c r="F49" s="584"/>
      <c r="G49" s="584"/>
      <c r="H49" s="584"/>
      <c r="I49" s="584"/>
      <c r="J49" s="584"/>
      <c r="K49" s="584"/>
      <c r="L49" s="584"/>
      <c r="M49" s="584"/>
      <c r="N49" s="584"/>
      <c r="O49" s="584"/>
      <c r="P49" s="584"/>
      <c r="Q49" s="584"/>
      <c r="R49" s="584"/>
      <c r="S49" s="562"/>
    </row>
    <row r="50" spans="1:19" s="330" customFormat="1" ht="15" customHeight="1" x14ac:dyDescent="0.2">
      <c r="A50" s="562"/>
      <c r="B50" s="727" t="s">
        <v>23</v>
      </c>
      <c r="C50" s="727"/>
      <c r="D50" s="727"/>
      <c r="E50" s="727"/>
      <c r="F50" s="727"/>
      <c r="G50" s="727"/>
      <c r="H50" s="727"/>
      <c r="I50" s="727"/>
      <c r="J50" s="727"/>
      <c r="K50" s="727"/>
      <c r="L50" s="727"/>
      <c r="M50" s="727"/>
      <c r="N50" s="727"/>
      <c r="O50" s="727"/>
      <c r="P50" s="727"/>
      <c r="Q50" s="727"/>
      <c r="R50" s="727"/>
      <c r="S50" s="562"/>
    </row>
    <row r="51" spans="1:19" s="330" customFormat="1" x14ac:dyDescent="0.2">
      <c r="A51" s="562"/>
      <c r="B51" s="562"/>
      <c r="C51" s="562"/>
      <c r="D51" s="562"/>
      <c r="E51" s="562"/>
      <c r="F51" s="562"/>
      <c r="G51" s="562"/>
      <c r="H51" s="562"/>
      <c r="I51" s="562"/>
      <c r="J51" s="562"/>
      <c r="K51" s="562"/>
      <c r="L51" s="562"/>
      <c r="M51" s="562"/>
      <c r="N51" s="562"/>
      <c r="O51" s="562"/>
      <c r="P51" s="562"/>
      <c r="Q51" s="562"/>
      <c r="R51" s="562"/>
      <c r="S51" s="562"/>
    </row>
    <row r="52" spans="1:19" s="330" customFormat="1" ht="15" customHeight="1" x14ac:dyDescent="0.2">
      <c r="A52" s="562"/>
      <c r="B52" s="712" t="s">
        <v>24</v>
      </c>
      <c r="C52" s="712"/>
      <c r="D52" s="712"/>
      <c r="E52" s="712"/>
      <c r="F52" s="712"/>
      <c r="G52" s="712"/>
      <c r="H52" s="712"/>
      <c r="I52" s="712"/>
      <c r="J52" s="712"/>
      <c r="K52" s="712"/>
      <c r="L52" s="712"/>
      <c r="M52" s="712"/>
      <c r="N52" s="712"/>
      <c r="O52" s="712"/>
      <c r="P52" s="712"/>
      <c r="Q52" s="712"/>
      <c r="R52" s="712"/>
      <c r="S52" s="562"/>
    </row>
    <row r="53" spans="1:19" s="330" customFormat="1" x14ac:dyDescent="0.2">
      <c r="A53" s="562"/>
      <c r="B53" s="712"/>
      <c r="C53" s="712"/>
      <c r="D53" s="712"/>
      <c r="E53" s="712"/>
      <c r="F53" s="712"/>
      <c r="G53" s="712"/>
      <c r="H53" s="712"/>
      <c r="I53" s="712"/>
      <c r="J53" s="712"/>
      <c r="K53" s="712"/>
      <c r="L53" s="712"/>
      <c r="M53" s="712"/>
      <c r="N53" s="712"/>
      <c r="O53" s="712"/>
      <c r="P53" s="712"/>
      <c r="Q53" s="712"/>
      <c r="R53" s="712"/>
      <c r="S53" s="562"/>
    </row>
    <row r="54" spans="1:19" s="330" customFormat="1" x14ac:dyDescent="0.2">
      <c r="A54" s="562"/>
      <c r="B54" s="562"/>
      <c r="C54" s="562"/>
      <c r="D54" s="562"/>
      <c r="E54" s="562"/>
      <c r="F54" s="562"/>
      <c r="G54" s="562"/>
      <c r="H54" s="562"/>
      <c r="I54" s="562"/>
      <c r="J54" s="562"/>
      <c r="K54" s="562"/>
      <c r="L54" s="562"/>
      <c r="M54" s="562"/>
      <c r="N54" s="562"/>
      <c r="O54" s="562"/>
      <c r="P54" s="562"/>
      <c r="Q54" s="562"/>
      <c r="R54" s="562"/>
      <c r="S54" s="562"/>
    </row>
    <row r="55" spans="1:19" s="330" customFormat="1" ht="15" customHeight="1" x14ac:dyDescent="0.2">
      <c r="A55" s="562"/>
      <c r="B55" s="712" t="s">
        <v>25</v>
      </c>
      <c r="C55" s="712"/>
      <c r="D55" s="712"/>
      <c r="E55" s="712"/>
      <c r="F55" s="712"/>
      <c r="G55" s="712"/>
      <c r="H55" s="712"/>
      <c r="I55" s="712"/>
      <c r="J55" s="712"/>
      <c r="K55" s="712"/>
      <c r="L55" s="712"/>
      <c r="M55" s="712"/>
      <c r="N55" s="712"/>
      <c r="O55" s="712"/>
      <c r="P55" s="712"/>
      <c r="Q55" s="712"/>
      <c r="R55" s="712"/>
      <c r="S55" s="562"/>
    </row>
    <row r="56" spans="1:19" s="330" customFormat="1" x14ac:dyDescent="0.2">
      <c r="A56" s="562"/>
      <c r="B56" s="562"/>
      <c r="C56" s="562"/>
      <c r="D56" s="562"/>
      <c r="E56" s="562"/>
      <c r="F56" s="562"/>
      <c r="G56" s="562"/>
      <c r="H56" s="562"/>
      <c r="I56" s="562"/>
      <c r="J56" s="562"/>
      <c r="K56" s="562"/>
      <c r="L56" s="562"/>
      <c r="M56" s="562"/>
      <c r="N56" s="562"/>
      <c r="O56" s="562"/>
      <c r="P56" s="562"/>
      <c r="Q56" s="562"/>
      <c r="R56" s="562"/>
      <c r="S56" s="562"/>
    </row>
    <row r="57" spans="1:19" s="330" customFormat="1" ht="15" customHeight="1" x14ac:dyDescent="0.2">
      <c r="A57" s="562"/>
      <c r="B57" s="562"/>
      <c r="C57" s="712" t="s">
        <v>26</v>
      </c>
      <c r="D57" s="712"/>
      <c r="E57" s="712"/>
      <c r="F57" s="712"/>
      <c r="G57" s="712"/>
      <c r="H57" s="712"/>
      <c r="I57" s="712"/>
      <c r="J57" s="712"/>
      <c r="K57" s="712"/>
      <c r="L57" s="712"/>
      <c r="M57" s="712"/>
      <c r="N57" s="712"/>
      <c r="O57" s="712"/>
      <c r="P57" s="712"/>
      <c r="Q57" s="712"/>
      <c r="R57" s="712"/>
      <c r="S57" s="562"/>
    </row>
    <row r="58" spans="1:19" s="330" customFormat="1" x14ac:dyDescent="0.2">
      <c r="A58" s="562"/>
      <c r="B58" s="562"/>
      <c r="C58" s="562"/>
      <c r="D58" s="562"/>
      <c r="E58" s="562"/>
      <c r="F58" s="562"/>
      <c r="G58" s="562"/>
      <c r="H58" s="562"/>
      <c r="I58" s="562"/>
      <c r="J58" s="562"/>
      <c r="K58" s="562"/>
      <c r="L58" s="562"/>
      <c r="M58" s="562"/>
      <c r="N58" s="562"/>
      <c r="O58" s="562"/>
      <c r="P58" s="562"/>
      <c r="Q58" s="562"/>
      <c r="R58" s="562"/>
      <c r="S58" s="562"/>
    </row>
    <row r="59" spans="1:19" s="330" customFormat="1" ht="15" customHeight="1" x14ac:dyDescent="0.2">
      <c r="A59" s="562"/>
      <c r="B59" s="562"/>
      <c r="C59" s="712" t="s">
        <v>27</v>
      </c>
      <c r="D59" s="712"/>
      <c r="E59" s="712"/>
      <c r="F59" s="712"/>
      <c r="G59" s="712"/>
      <c r="H59" s="712"/>
      <c r="I59" s="712"/>
      <c r="J59" s="712"/>
      <c r="K59" s="712"/>
      <c r="L59" s="712"/>
      <c r="M59" s="712"/>
      <c r="N59" s="712"/>
      <c r="O59" s="712"/>
      <c r="P59" s="712"/>
      <c r="Q59" s="712"/>
      <c r="R59" s="712"/>
      <c r="S59" s="562"/>
    </row>
    <row r="60" spans="1:19" s="330" customFormat="1" ht="15" customHeight="1" x14ac:dyDescent="0.2">
      <c r="A60" s="562"/>
      <c r="B60" s="562"/>
      <c r="C60" s="712"/>
      <c r="D60" s="712"/>
      <c r="E60" s="712"/>
      <c r="F60" s="712"/>
      <c r="G60" s="712"/>
      <c r="H60" s="712"/>
      <c r="I60" s="712"/>
      <c r="J60" s="712"/>
      <c r="K60" s="712"/>
      <c r="L60" s="712"/>
      <c r="M60" s="712"/>
      <c r="N60" s="712"/>
      <c r="O60" s="712"/>
      <c r="P60" s="712"/>
      <c r="Q60" s="712"/>
      <c r="R60" s="712"/>
      <c r="S60" s="562"/>
    </row>
    <row r="61" spans="1:19" s="330" customFormat="1" x14ac:dyDescent="0.2">
      <c r="A61" s="562"/>
      <c r="B61" s="562"/>
      <c r="C61" s="562"/>
      <c r="D61" s="562"/>
      <c r="E61" s="562"/>
      <c r="F61" s="562"/>
      <c r="G61" s="562"/>
      <c r="H61" s="562"/>
      <c r="I61" s="562"/>
      <c r="J61" s="562"/>
      <c r="K61" s="562"/>
      <c r="L61" s="562"/>
      <c r="M61" s="562"/>
      <c r="N61" s="562"/>
      <c r="O61" s="562"/>
      <c r="P61" s="562"/>
      <c r="Q61" s="562"/>
      <c r="R61" s="562"/>
      <c r="S61" s="562"/>
    </row>
    <row r="62" spans="1:19" s="330" customFormat="1" ht="15" customHeight="1" x14ac:dyDescent="0.2">
      <c r="A62" s="562"/>
      <c r="B62" s="712" t="s">
        <v>28</v>
      </c>
      <c r="C62" s="712"/>
      <c r="D62" s="712"/>
      <c r="E62" s="712"/>
      <c r="F62" s="712"/>
      <c r="G62" s="712"/>
      <c r="H62" s="712"/>
      <c r="I62" s="712"/>
      <c r="J62" s="712"/>
      <c r="K62" s="712"/>
      <c r="L62" s="712"/>
      <c r="M62" s="712"/>
      <c r="N62" s="712"/>
      <c r="O62" s="712"/>
      <c r="P62" s="712"/>
      <c r="Q62" s="712"/>
      <c r="R62" s="712"/>
      <c r="S62" s="712"/>
    </row>
    <row r="63" spans="1:19" s="330" customFormat="1" x14ac:dyDescent="0.2">
      <c r="A63" s="562"/>
      <c r="B63" s="562"/>
      <c r="C63" s="562"/>
      <c r="D63" s="562"/>
      <c r="E63" s="562"/>
      <c r="F63" s="562"/>
      <c r="G63" s="562"/>
      <c r="H63" s="562"/>
      <c r="I63" s="562"/>
      <c r="J63" s="562"/>
      <c r="K63" s="562"/>
      <c r="L63" s="562"/>
      <c r="M63" s="562"/>
      <c r="N63" s="562"/>
      <c r="O63" s="562"/>
      <c r="P63" s="562"/>
      <c r="Q63" s="562"/>
      <c r="R63" s="562"/>
      <c r="S63" s="562"/>
    </row>
    <row r="64" spans="1:19" s="330" customFormat="1" ht="15" customHeight="1" x14ac:dyDescent="0.2">
      <c r="A64" s="562"/>
      <c r="B64" s="712" t="s">
        <v>29</v>
      </c>
      <c r="C64" s="712"/>
      <c r="D64" s="712"/>
      <c r="E64" s="712"/>
      <c r="F64" s="712"/>
      <c r="G64" s="712"/>
      <c r="H64" s="712"/>
      <c r="I64" s="712"/>
      <c r="J64" s="712"/>
      <c r="K64" s="712"/>
      <c r="L64" s="712"/>
      <c r="M64" s="712"/>
      <c r="N64" s="712"/>
      <c r="O64" s="712"/>
      <c r="P64" s="712"/>
      <c r="Q64" s="712"/>
      <c r="R64" s="712"/>
      <c r="S64" s="712"/>
    </row>
    <row r="65" spans="1:19" s="330" customFormat="1" x14ac:dyDescent="0.2">
      <c r="A65" s="562"/>
      <c r="B65" s="562"/>
      <c r="C65" s="562"/>
      <c r="D65" s="562"/>
      <c r="E65" s="562"/>
      <c r="F65" s="562"/>
      <c r="G65" s="562"/>
      <c r="H65" s="562"/>
      <c r="I65" s="562"/>
      <c r="J65" s="562"/>
      <c r="K65" s="562"/>
      <c r="L65" s="562"/>
      <c r="M65" s="562"/>
      <c r="N65" s="562"/>
      <c r="O65" s="562"/>
      <c r="P65" s="562"/>
      <c r="Q65" s="562"/>
      <c r="R65" s="562"/>
      <c r="S65" s="562"/>
    </row>
    <row r="66" spans="1:19" s="404" customFormat="1" ht="19" x14ac:dyDescent="0.25">
      <c r="A66" s="714" t="s">
        <v>30</v>
      </c>
      <c r="B66" s="714"/>
      <c r="C66" s="714"/>
      <c r="D66" s="714"/>
      <c r="E66" s="714"/>
      <c r="F66" s="714"/>
      <c r="G66" s="714"/>
      <c r="H66" s="714"/>
      <c r="I66" s="714"/>
      <c r="J66" s="714"/>
      <c r="K66" s="714"/>
      <c r="L66" s="714"/>
      <c r="M66" s="714"/>
      <c r="N66" s="714"/>
      <c r="O66" s="714"/>
      <c r="P66" s="714"/>
      <c r="Q66" s="714"/>
      <c r="R66" s="714"/>
      <c r="S66" s="714"/>
    </row>
    <row r="67" spans="1:19" s="404" customFormat="1" x14ac:dyDescent="0.2">
      <c r="A67" s="562"/>
      <c r="B67" s="562"/>
      <c r="C67" s="562"/>
      <c r="D67" s="562"/>
      <c r="E67" s="562"/>
      <c r="F67" s="562"/>
      <c r="G67" s="562"/>
      <c r="H67" s="562"/>
      <c r="I67" s="562"/>
      <c r="J67" s="562"/>
      <c r="K67" s="562"/>
      <c r="L67" s="562"/>
      <c r="M67" s="562"/>
      <c r="N67" s="562"/>
      <c r="O67" s="562"/>
      <c r="P67" s="562"/>
      <c r="Q67" s="562"/>
      <c r="R67" s="562"/>
      <c r="S67" s="562"/>
    </row>
    <row r="68" spans="1:19" s="404" customFormat="1" x14ac:dyDescent="0.2">
      <c r="A68" s="562"/>
      <c r="B68" s="712" t="s">
        <v>31</v>
      </c>
      <c r="C68" s="712"/>
      <c r="D68" s="712"/>
      <c r="E68" s="712"/>
      <c r="F68" s="712"/>
      <c r="G68" s="712"/>
      <c r="H68" s="712"/>
      <c r="I68" s="712"/>
      <c r="J68" s="712"/>
      <c r="K68" s="712"/>
      <c r="L68" s="712"/>
      <c r="M68" s="712"/>
      <c r="N68" s="712"/>
      <c r="O68" s="712"/>
      <c r="P68" s="712"/>
      <c r="Q68" s="712"/>
      <c r="R68" s="712"/>
      <c r="S68" s="712"/>
    </row>
    <row r="69" spans="1:19" s="404" customFormat="1" x14ac:dyDescent="0.2">
      <c r="A69" s="562"/>
      <c r="B69" s="562"/>
      <c r="C69" s="562"/>
      <c r="D69" s="562"/>
      <c r="E69" s="562"/>
      <c r="F69" s="562"/>
      <c r="G69" s="562"/>
      <c r="H69" s="562"/>
      <c r="I69" s="562"/>
      <c r="J69" s="562"/>
      <c r="K69" s="562"/>
      <c r="L69" s="562"/>
      <c r="M69" s="562"/>
      <c r="N69" s="562"/>
      <c r="O69" s="562"/>
      <c r="P69" s="562"/>
      <c r="Q69" s="562"/>
      <c r="R69" s="562"/>
      <c r="S69" s="562"/>
    </row>
    <row r="70" spans="1:19" s="404" customFormat="1" ht="15" customHeight="1" x14ac:dyDescent="0.2">
      <c r="A70" s="562"/>
      <c r="B70" s="562"/>
      <c r="C70" s="712" t="s">
        <v>32</v>
      </c>
      <c r="D70" s="712"/>
      <c r="E70" s="712"/>
      <c r="F70" s="712"/>
      <c r="G70" s="712"/>
      <c r="H70" s="712"/>
      <c r="I70" s="712"/>
      <c r="J70" s="712"/>
      <c r="K70" s="712"/>
      <c r="L70" s="712"/>
      <c r="M70" s="712"/>
      <c r="N70" s="712"/>
      <c r="O70" s="712"/>
      <c r="P70" s="712"/>
      <c r="Q70" s="712"/>
      <c r="R70" s="712"/>
      <c r="S70" s="584"/>
    </row>
    <row r="71" spans="1:19" s="404" customFormat="1" ht="15" customHeight="1" x14ac:dyDescent="0.2">
      <c r="A71" s="562"/>
      <c r="B71" s="562"/>
      <c r="C71" s="712" t="s">
        <v>33</v>
      </c>
      <c r="D71" s="712"/>
      <c r="E71" s="712"/>
      <c r="F71" s="712"/>
      <c r="G71" s="712"/>
      <c r="H71" s="712"/>
      <c r="I71" s="712"/>
      <c r="J71" s="712"/>
      <c r="K71" s="712"/>
      <c r="L71" s="712"/>
      <c r="M71" s="712"/>
      <c r="N71" s="712"/>
      <c r="O71" s="712"/>
      <c r="P71" s="712"/>
      <c r="Q71" s="712"/>
      <c r="R71" s="712"/>
      <c r="S71" s="584"/>
    </row>
    <row r="72" spans="1:19" s="404" customFormat="1" x14ac:dyDescent="0.2">
      <c r="A72" s="562"/>
      <c r="B72" s="562"/>
      <c r="C72" s="562"/>
      <c r="D72" s="562"/>
      <c r="E72" s="562"/>
      <c r="F72" s="562"/>
      <c r="G72" s="562"/>
      <c r="H72" s="562"/>
      <c r="I72" s="562"/>
      <c r="J72" s="562"/>
      <c r="K72" s="562"/>
      <c r="L72" s="562"/>
      <c r="M72" s="562"/>
      <c r="N72" s="562"/>
      <c r="O72" s="562"/>
      <c r="P72" s="562"/>
      <c r="Q72" s="562"/>
      <c r="R72" s="562"/>
      <c r="S72" s="562"/>
    </row>
    <row r="73" spans="1:19" s="404" customFormat="1" ht="15" customHeight="1" x14ac:dyDescent="0.2">
      <c r="A73" s="562"/>
      <c r="B73" s="562"/>
      <c r="C73" s="712" t="s">
        <v>34</v>
      </c>
      <c r="D73" s="712"/>
      <c r="E73" s="712"/>
      <c r="F73" s="712"/>
      <c r="G73" s="712"/>
      <c r="H73" s="712"/>
      <c r="I73" s="712"/>
      <c r="J73" s="712"/>
      <c r="K73" s="712"/>
      <c r="L73" s="712"/>
      <c r="M73" s="712"/>
      <c r="N73" s="712"/>
      <c r="O73" s="712"/>
      <c r="P73" s="712"/>
      <c r="Q73" s="712"/>
      <c r="R73" s="712"/>
      <c r="S73" s="584"/>
    </row>
    <row r="74" spans="1:19" s="404" customFormat="1" ht="15" customHeight="1" x14ac:dyDescent="0.2">
      <c r="A74" s="562"/>
      <c r="B74" s="562"/>
      <c r="C74" s="584"/>
      <c r="D74" s="584"/>
      <c r="E74" s="584"/>
      <c r="F74" s="584"/>
      <c r="G74" s="584"/>
      <c r="H74" s="584"/>
      <c r="I74" s="584"/>
      <c r="J74" s="584"/>
      <c r="K74" s="584"/>
      <c r="L74" s="584"/>
      <c r="M74" s="584"/>
      <c r="N74" s="584"/>
      <c r="O74" s="584"/>
      <c r="P74" s="584"/>
      <c r="Q74" s="584"/>
      <c r="R74" s="584"/>
      <c r="S74" s="584"/>
    </row>
    <row r="75" spans="1:19" s="404" customFormat="1" ht="15" customHeight="1" x14ac:dyDescent="0.2">
      <c r="A75" s="562"/>
      <c r="B75" s="712" t="s">
        <v>35</v>
      </c>
      <c r="C75" s="712"/>
      <c r="D75" s="712"/>
      <c r="E75" s="712"/>
      <c r="F75" s="712"/>
      <c r="G75" s="712"/>
      <c r="H75" s="712"/>
      <c r="I75" s="712"/>
      <c r="J75" s="712"/>
      <c r="K75" s="712"/>
      <c r="L75" s="712"/>
      <c r="M75" s="712"/>
      <c r="N75" s="712"/>
      <c r="O75" s="712"/>
      <c r="P75" s="712"/>
      <c r="Q75" s="712"/>
      <c r="R75" s="712"/>
      <c r="S75" s="712"/>
    </row>
    <row r="76" spans="1:19" s="404" customFormat="1" ht="15" customHeight="1" x14ac:dyDescent="0.2">
      <c r="A76" s="562"/>
      <c r="B76" s="712" t="s">
        <v>36</v>
      </c>
      <c r="C76" s="712"/>
      <c r="D76" s="712"/>
      <c r="E76" s="712"/>
      <c r="F76" s="712"/>
      <c r="G76" s="712"/>
      <c r="H76" s="712"/>
      <c r="I76" s="712"/>
      <c r="J76" s="712"/>
      <c r="K76" s="712"/>
      <c r="L76" s="712"/>
      <c r="M76" s="712"/>
      <c r="N76" s="712"/>
      <c r="O76" s="712"/>
      <c r="P76" s="712"/>
      <c r="Q76" s="712"/>
      <c r="R76" s="712"/>
      <c r="S76" s="712"/>
    </row>
    <row r="77" spans="1:19" s="404" customFormat="1" ht="15" customHeight="1" x14ac:dyDescent="0.2">
      <c r="A77" s="562"/>
      <c r="B77" s="584"/>
      <c r="C77" s="584"/>
      <c r="D77" s="584"/>
      <c r="E77" s="584"/>
      <c r="F77" s="584"/>
      <c r="G77" s="584"/>
      <c r="H77" s="584"/>
      <c r="I77" s="584"/>
      <c r="J77" s="584"/>
      <c r="K77" s="584"/>
      <c r="L77" s="584"/>
      <c r="M77" s="584"/>
      <c r="N77" s="584"/>
      <c r="O77" s="584"/>
      <c r="P77" s="584"/>
      <c r="Q77" s="584"/>
      <c r="R77" s="584"/>
      <c r="S77" s="584"/>
    </row>
    <row r="78" spans="1:19" s="404" customFormat="1" ht="15" customHeight="1" x14ac:dyDescent="0.2">
      <c r="A78" s="562"/>
      <c r="B78" s="713" t="s">
        <v>37</v>
      </c>
      <c r="C78" s="713"/>
      <c r="D78" s="713"/>
      <c r="E78" s="713"/>
      <c r="F78" s="713"/>
      <c r="G78" s="713"/>
      <c r="H78" s="713"/>
      <c r="I78" s="713"/>
      <c r="J78" s="713"/>
      <c r="K78" s="713"/>
      <c r="L78" s="713"/>
      <c r="M78" s="713"/>
      <c r="N78" s="713"/>
      <c r="O78" s="713"/>
      <c r="P78" s="713"/>
      <c r="Q78" s="713"/>
      <c r="R78" s="713"/>
      <c r="S78" s="713"/>
    </row>
    <row r="79" spans="1:19" s="404" customFormat="1" x14ac:dyDescent="0.2">
      <c r="A79" s="562"/>
      <c r="B79" s="562"/>
      <c r="C79" s="562"/>
      <c r="D79" s="562"/>
      <c r="E79" s="562"/>
      <c r="F79" s="562"/>
      <c r="G79" s="562"/>
      <c r="H79" s="562"/>
      <c r="I79" s="562"/>
      <c r="J79" s="562"/>
      <c r="K79" s="562"/>
      <c r="L79" s="562"/>
      <c r="M79" s="562"/>
      <c r="N79" s="562"/>
      <c r="O79" s="562"/>
      <c r="P79" s="562"/>
      <c r="Q79" s="562"/>
      <c r="R79" s="562"/>
      <c r="S79" s="562"/>
    </row>
    <row r="80" spans="1:19" ht="19" x14ac:dyDescent="0.25">
      <c r="A80" s="714" t="s">
        <v>38</v>
      </c>
      <c r="B80" s="714"/>
      <c r="C80" s="714"/>
      <c r="D80" s="714"/>
      <c r="E80" s="714"/>
      <c r="F80" s="714"/>
      <c r="G80" s="714"/>
      <c r="H80" s="714"/>
      <c r="I80" s="714"/>
      <c r="J80" s="714"/>
      <c r="K80" s="714"/>
      <c r="L80" s="714"/>
      <c r="M80" s="714"/>
      <c r="N80" s="714"/>
      <c r="O80" s="714"/>
      <c r="P80" s="714"/>
      <c r="Q80" s="714"/>
      <c r="R80" s="714"/>
      <c r="S80" s="714"/>
    </row>
    <row r="82" spans="1:19" x14ac:dyDescent="0.2">
      <c r="A82" s="562"/>
      <c r="B82" s="324"/>
      <c r="C82" s="562" t="s">
        <v>39</v>
      </c>
      <c r="D82" s="562"/>
      <c r="E82" s="562"/>
      <c r="F82" s="562"/>
      <c r="G82" s="562"/>
      <c r="H82" s="562"/>
      <c r="I82" s="562"/>
      <c r="J82" s="562"/>
      <c r="K82" s="562"/>
      <c r="L82" s="562"/>
      <c r="M82" s="562"/>
      <c r="N82" s="562"/>
      <c r="O82" s="562"/>
      <c r="P82" s="562"/>
      <c r="Q82" s="562"/>
      <c r="R82" s="562"/>
      <c r="S82" s="562"/>
    </row>
    <row r="84" spans="1:19" x14ac:dyDescent="0.2">
      <c r="A84" s="562"/>
      <c r="B84" s="325"/>
      <c r="C84" s="562" t="s">
        <v>40</v>
      </c>
      <c r="D84" s="562"/>
      <c r="E84" s="562"/>
      <c r="F84" s="562"/>
      <c r="G84" s="562"/>
      <c r="H84" s="562"/>
      <c r="I84" s="562"/>
      <c r="J84" s="562"/>
      <c r="K84" s="562"/>
      <c r="L84" s="562"/>
      <c r="M84" s="562"/>
      <c r="N84" s="562"/>
      <c r="O84" s="562"/>
      <c r="P84" s="562"/>
      <c r="Q84" s="562"/>
      <c r="R84" s="562"/>
      <c r="S84" s="562"/>
    </row>
    <row r="86" spans="1:19" x14ac:dyDescent="0.2">
      <c r="A86" s="562"/>
      <c r="B86" s="326"/>
      <c r="C86" s="562" t="s">
        <v>41</v>
      </c>
      <c r="D86" s="562"/>
      <c r="E86" s="562"/>
      <c r="F86" s="562"/>
      <c r="G86" s="562"/>
      <c r="H86" s="562"/>
      <c r="I86" s="562"/>
      <c r="J86" s="562"/>
      <c r="K86" s="562"/>
      <c r="L86" s="562"/>
      <c r="M86" s="562"/>
      <c r="N86" s="562"/>
      <c r="O86" s="562"/>
      <c r="P86" s="562"/>
      <c r="Q86" s="562"/>
      <c r="R86" s="562"/>
      <c r="S86" s="562"/>
    </row>
    <row r="88" spans="1:19" x14ac:dyDescent="0.2">
      <c r="A88" s="562"/>
      <c r="B88" s="327"/>
      <c r="C88" s="562" t="s">
        <v>42</v>
      </c>
      <c r="D88" s="562"/>
      <c r="E88" s="562"/>
      <c r="F88" s="562"/>
      <c r="G88" s="562"/>
      <c r="H88" s="562"/>
      <c r="I88" s="562"/>
      <c r="J88" s="562"/>
      <c r="K88" s="562"/>
      <c r="L88" s="562"/>
      <c r="M88" s="562"/>
      <c r="N88" s="562"/>
      <c r="O88" s="562"/>
      <c r="P88" s="562"/>
      <c r="Q88" s="562"/>
      <c r="R88" s="562"/>
      <c r="S88" s="562"/>
    </row>
    <row r="90" spans="1:19" x14ac:dyDescent="0.2">
      <c r="A90" s="562"/>
      <c r="B90" s="328"/>
      <c r="C90" s="562" t="s">
        <v>43</v>
      </c>
      <c r="D90" s="562"/>
      <c r="E90" s="562"/>
      <c r="F90" s="562"/>
      <c r="G90" s="562"/>
      <c r="H90" s="562"/>
      <c r="I90" s="562"/>
      <c r="J90" s="562"/>
      <c r="K90" s="562"/>
      <c r="L90" s="562"/>
      <c r="M90" s="562"/>
      <c r="N90" s="562"/>
      <c r="O90" s="562"/>
      <c r="P90" s="562"/>
      <c r="Q90" s="562"/>
      <c r="R90" s="562"/>
      <c r="S90" s="562"/>
    </row>
    <row r="92" spans="1:19" x14ac:dyDescent="0.2">
      <c r="A92" s="562"/>
      <c r="B92" s="329"/>
      <c r="C92" s="562" t="s">
        <v>44</v>
      </c>
      <c r="D92" s="562"/>
      <c r="E92" s="562"/>
      <c r="F92" s="562"/>
      <c r="G92" s="562"/>
      <c r="H92" s="562"/>
      <c r="I92" s="562"/>
      <c r="J92" s="562"/>
      <c r="K92" s="562"/>
      <c r="L92" s="562"/>
      <c r="M92" s="562"/>
      <c r="N92" s="562"/>
      <c r="O92" s="562"/>
      <c r="P92" s="562"/>
      <c r="Q92" s="562"/>
      <c r="R92" s="562"/>
      <c r="S92" s="562"/>
    </row>
    <row r="94" spans="1:19" ht="18.75" customHeight="1" x14ac:dyDescent="0.25">
      <c r="A94" s="724" t="s">
        <v>45</v>
      </c>
      <c r="B94" s="724"/>
      <c r="C94" s="724"/>
      <c r="D94" s="724"/>
      <c r="E94" s="724"/>
      <c r="F94" s="724"/>
      <c r="G94" s="724"/>
      <c r="H94" s="724"/>
      <c r="I94" s="724"/>
      <c r="J94" s="724"/>
      <c r="K94" s="724"/>
      <c r="L94" s="724"/>
      <c r="M94" s="724"/>
      <c r="N94" s="724"/>
      <c r="O94" s="724"/>
      <c r="P94" s="724"/>
      <c r="Q94" s="724"/>
      <c r="R94" s="724"/>
      <c r="S94" s="724"/>
    </row>
  </sheetData>
  <sheetProtection algorithmName="SHA-512" hashValue="ukn6nQdS0dar67il2tQaGhdbaSkl7S3ULOEGLNOQLX/ChDzuqIIp3w7D26Ate7oZCPvRjqPIWLkt1mHCCv7qVg==" saltValue="5zcVDy1EuB5naAKYurhQEQ==" spinCount="100000" sheet="1" objects="1" scenarios="1" selectLockedCells="1"/>
  <mergeCells count="44">
    <mergeCell ref="B64:S64"/>
    <mergeCell ref="B47:R47"/>
    <mergeCell ref="B48:R48"/>
    <mergeCell ref="C38:R38"/>
    <mergeCell ref="C40:R41"/>
    <mergeCell ref="B52:R53"/>
    <mergeCell ref="B55:R55"/>
    <mergeCell ref="B43:S43"/>
    <mergeCell ref="A94:S94"/>
    <mergeCell ref="A12:S12"/>
    <mergeCell ref="A18:S18"/>
    <mergeCell ref="A25:S25"/>
    <mergeCell ref="A80:S80"/>
    <mergeCell ref="B20:R20"/>
    <mergeCell ref="B22:R23"/>
    <mergeCell ref="B27:R29"/>
    <mergeCell ref="B31:R31"/>
    <mergeCell ref="B33:S33"/>
    <mergeCell ref="B50:R50"/>
    <mergeCell ref="B45:R45"/>
    <mergeCell ref="B35:R36"/>
    <mergeCell ref="C57:R57"/>
    <mergeCell ref="C59:R60"/>
    <mergeCell ref="B62:S62"/>
    <mergeCell ref="A1:C6"/>
    <mergeCell ref="D1:S3"/>
    <mergeCell ref="D4:S6"/>
    <mergeCell ref="A17:S17"/>
    <mergeCell ref="C7:D7"/>
    <mergeCell ref="E7:F7"/>
    <mergeCell ref="B14:R16"/>
    <mergeCell ref="A8:S8"/>
    <mergeCell ref="B9:R9"/>
    <mergeCell ref="B10:R10"/>
    <mergeCell ref="A11:S11"/>
    <mergeCell ref="A13:S13"/>
    <mergeCell ref="B76:S76"/>
    <mergeCell ref="B78:S78"/>
    <mergeCell ref="B75:S75"/>
    <mergeCell ref="A66:S66"/>
    <mergeCell ref="B68:S68"/>
    <mergeCell ref="C71:R71"/>
    <mergeCell ref="C73:R73"/>
    <mergeCell ref="C70:R70"/>
  </mergeCells>
  <hyperlinks>
    <hyperlink ref="A94"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8" r:id="rId2" xr:uid="{00000000-0004-0000-0000-000002000000}"/>
  </hyperlinks>
  <pageMargins left="0.7" right="0.7" top="0.75" bottom="0.75" header="0.3" footer="0.3"/>
  <pageSetup scale="51" fitToHeight="0" orientation="portrait" r:id="rId3"/>
  <rowBreaks count="1" manualBreakCount="1">
    <brk id="65"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3"/>
  <sheetViews>
    <sheetView showGridLines="0" zoomScaleNormal="100" workbookViewId="0">
      <pane ySplit="6" topLeftCell="A7" activePane="bottomLeft" state="frozen"/>
      <selection activeCell="E7" sqref="E7:F7"/>
      <selection pane="bottomLeft" activeCell="G16" sqref="G16:H16"/>
    </sheetView>
  </sheetViews>
  <sheetFormatPr baseColWidth="10" defaultColWidth="8.83203125" defaultRowHeight="15" x14ac:dyDescent="0.2"/>
  <cols>
    <col min="5" max="5" width="16.83203125" hidden="1" customWidth="1"/>
    <col min="6" max="6" width="17.5" hidden="1" customWidth="1"/>
  </cols>
  <sheetData>
    <row r="1" spans="1:21" x14ac:dyDescent="0.2">
      <c r="A1" s="715"/>
      <c r="B1" s="715"/>
      <c r="C1" s="715"/>
      <c r="D1" s="715" t="s">
        <v>46</v>
      </c>
      <c r="E1" s="715"/>
      <c r="F1" s="715"/>
      <c r="G1" s="715"/>
      <c r="H1" s="715"/>
      <c r="I1" s="715"/>
      <c r="J1" s="715"/>
      <c r="K1" s="715"/>
      <c r="L1" s="715"/>
      <c r="M1" s="715"/>
      <c r="N1" s="715"/>
      <c r="O1" s="715"/>
      <c r="P1" s="715"/>
      <c r="Q1" s="715"/>
      <c r="R1" s="715"/>
      <c r="S1" s="715"/>
      <c r="T1" s="715"/>
      <c r="U1" s="715"/>
    </row>
    <row r="2" spans="1:21" s="36" customFormat="1" x14ac:dyDescent="0.2">
      <c r="A2" s="715"/>
      <c r="B2" s="715"/>
      <c r="C2" s="715"/>
      <c r="D2" s="715"/>
      <c r="E2" s="715"/>
      <c r="F2" s="715"/>
      <c r="G2" s="715"/>
      <c r="H2" s="715"/>
      <c r="I2" s="715"/>
      <c r="J2" s="715"/>
      <c r="K2" s="715"/>
      <c r="L2" s="715"/>
      <c r="M2" s="715"/>
      <c r="N2" s="715"/>
      <c r="O2" s="715"/>
      <c r="P2" s="715"/>
      <c r="Q2" s="715"/>
      <c r="R2" s="715"/>
      <c r="S2" s="715"/>
      <c r="T2" s="715"/>
      <c r="U2" s="715"/>
    </row>
    <row r="3" spans="1:21" s="36" customFormat="1" x14ac:dyDescent="0.2">
      <c r="A3" s="715"/>
      <c r="B3" s="715"/>
      <c r="C3" s="715"/>
      <c r="D3" s="715"/>
      <c r="E3" s="715"/>
      <c r="F3" s="715"/>
      <c r="G3" s="715"/>
      <c r="H3" s="715"/>
      <c r="I3" s="715"/>
      <c r="J3" s="715"/>
      <c r="K3" s="715"/>
      <c r="L3" s="715"/>
      <c r="M3" s="715"/>
      <c r="N3" s="715"/>
      <c r="O3" s="715"/>
      <c r="P3" s="715"/>
      <c r="Q3" s="715"/>
      <c r="R3" s="715"/>
      <c r="S3" s="715"/>
      <c r="T3" s="715"/>
      <c r="U3" s="715"/>
    </row>
    <row r="4" spans="1:21" s="36" customFormat="1" x14ac:dyDescent="0.2">
      <c r="A4" s="715"/>
      <c r="B4" s="715"/>
      <c r="C4" s="715"/>
      <c r="D4" s="715"/>
      <c r="E4" s="715"/>
      <c r="F4" s="715"/>
      <c r="G4" s="715"/>
      <c r="H4" s="715"/>
      <c r="I4" s="715"/>
      <c r="J4" s="715"/>
      <c r="K4" s="715"/>
      <c r="L4" s="715"/>
      <c r="M4" s="715"/>
      <c r="N4" s="715"/>
      <c r="O4" s="715"/>
      <c r="P4" s="715"/>
      <c r="Q4" s="715"/>
      <c r="R4" s="715"/>
      <c r="S4" s="715"/>
      <c r="T4" s="715"/>
      <c r="U4" s="715"/>
    </row>
    <row r="5" spans="1:21" s="36" customFormat="1" x14ac:dyDescent="0.2">
      <c r="A5" s="715"/>
      <c r="B5" s="715"/>
      <c r="C5" s="715"/>
      <c r="D5" s="715"/>
      <c r="E5" s="715"/>
      <c r="F5" s="715"/>
      <c r="G5" s="715"/>
      <c r="H5" s="715"/>
      <c r="I5" s="715"/>
      <c r="J5" s="715"/>
      <c r="K5" s="715"/>
      <c r="L5" s="715"/>
      <c r="M5" s="715"/>
      <c r="N5" s="715"/>
      <c r="O5" s="715"/>
      <c r="P5" s="715"/>
      <c r="Q5" s="715"/>
      <c r="R5" s="715"/>
      <c r="S5" s="715"/>
      <c r="T5" s="715"/>
      <c r="U5" s="715"/>
    </row>
    <row r="6" spans="1:21" s="9" customFormat="1" ht="19" x14ac:dyDescent="0.25">
      <c r="A6" s="585" t="s">
        <v>47</v>
      </c>
      <c r="B6" s="585"/>
      <c r="C6" s="585"/>
      <c r="D6" s="585"/>
      <c r="E6" s="562" t="s">
        <v>48</v>
      </c>
      <c r="F6" s="562" t="s">
        <v>48</v>
      </c>
      <c r="G6" s="585"/>
      <c r="H6" s="585"/>
      <c r="I6" s="585"/>
      <c r="J6" s="585"/>
      <c r="K6" s="585"/>
      <c r="L6" s="585"/>
      <c r="M6" s="585"/>
      <c r="N6" s="585"/>
      <c r="O6" s="585"/>
      <c r="P6" s="585"/>
      <c r="Q6" s="585"/>
      <c r="R6" s="585"/>
      <c r="S6" s="585"/>
      <c r="T6" s="585"/>
      <c r="U6" s="585"/>
    </row>
    <row r="7" spans="1:21" x14ac:dyDescent="0.2">
      <c r="A7" s="562"/>
      <c r="B7" s="562"/>
      <c r="C7" s="562"/>
      <c r="D7" s="562"/>
      <c r="E7" s="562" t="s">
        <v>49</v>
      </c>
      <c r="F7" s="562" t="s">
        <v>50</v>
      </c>
      <c r="G7" s="562"/>
      <c r="H7" s="562"/>
      <c r="I7" s="562"/>
      <c r="J7" s="562"/>
      <c r="K7" s="562"/>
      <c r="L7" s="562"/>
      <c r="M7" s="562"/>
      <c r="N7" s="562"/>
      <c r="O7" s="562"/>
      <c r="P7" s="562"/>
      <c r="Q7" s="562"/>
      <c r="R7" s="562"/>
      <c r="S7" s="562"/>
      <c r="T7" s="562"/>
      <c r="U7" s="562"/>
    </row>
    <row r="8" spans="1:21" x14ac:dyDescent="0.2">
      <c r="A8" s="731" t="s">
        <v>51</v>
      </c>
      <c r="B8" s="731"/>
      <c r="C8" s="731"/>
      <c r="D8" s="731"/>
      <c r="E8" s="588"/>
      <c r="F8" s="588" t="s">
        <v>52</v>
      </c>
      <c r="G8" s="729" t="s">
        <v>53</v>
      </c>
      <c r="H8" s="729"/>
      <c r="I8" s="729"/>
      <c r="J8" s="729"/>
      <c r="K8" s="562"/>
      <c r="L8" s="766" t="s">
        <v>54</v>
      </c>
      <c r="M8" s="767"/>
      <c r="N8" s="592"/>
      <c r="O8" s="561"/>
      <c r="P8" s="561"/>
      <c r="Q8" s="562"/>
      <c r="R8" s="562"/>
      <c r="S8" s="562"/>
      <c r="T8" s="562"/>
      <c r="U8" s="562"/>
    </row>
    <row r="9" spans="1:21" x14ac:dyDescent="0.2">
      <c r="A9" s="731" t="s">
        <v>55</v>
      </c>
      <c r="B9" s="731"/>
      <c r="C9" s="731"/>
      <c r="D9" s="731"/>
      <c r="E9" s="588"/>
      <c r="F9" s="588" t="s">
        <v>56</v>
      </c>
      <c r="G9" s="729" t="s">
        <v>57</v>
      </c>
      <c r="H9" s="729"/>
      <c r="I9" s="729"/>
      <c r="J9" s="729"/>
      <c r="K9" s="562"/>
      <c r="L9" s="334" t="str">
        <f>N13</f>
        <v>!!</v>
      </c>
      <c r="M9" s="335" t="str">
        <f>O13</f>
        <v>!!</v>
      </c>
      <c r="N9" s="335" t="str">
        <f>P13</f>
        <v>!!</v>
      </c>
      <c r="O9" s="335"/>
      <c r="P9" s="336" t="str">
        <f>Q13</f>
        <v>!!</v>
      </c>
      <c r="Q9" s="562"/>
      <c r="R9" s="562"/>
      <c r="S9" s="562"/>
      <c r="T9" s="562"/>
      <c r="U9" s="562"/>
    </row>
    <row r="10" spans="1:21" x14ac:dyDescent="0.2">
      <c r="A10" s="731" t="s">
        <v>58</v>
      </c>
      <c r="B10" s="731"/>
      <c r="C10" s="731"/>
      <c r="D10" s="731"/>
      <c r="E10" s="588"/>
      <c r="F10" s="588" t="s">
        <v>59</v>
      </c>
      <c r="G10" s="729"/>
      <c r="H10" s="729"/>
      <c r="I10" s="729"/>
      <c r="J10" s="729"/>
      <c r="K10" s="562"/>
      <c r="L10" s="562"/>
      <c r="M10" s="562"/>
      <c r="N10" s="562"/>
      <c r="O10" s="562"/>
      <c r="P10" s="562"/>
      <c r="Q10" s="562"/>
      <c r="R10" s="562"/>
      <c r="S10" s="562"/>
      <c r="T10" s="562"/>
      <c r="U10" s="562"/>
    </row>
    <row r="11" spans="1:21" x14ac:dyDescent="0.2">
      <c r="A11" s="731" t="s">
        <v>60</v>
      </c>
      <c r="B11" s="731"/>
      <c r="C11" s="731"/>
      <c r="D11" s="731"/>
      <c r="E11" s="588"/>
      <c r="F11" s="588" t="s">
        <v>61</v>
      </c>
      <c r="G11" s="729" t="s">
        <v>62</v>
      </c>
      <c r="H11" s="729"/>
      <c r="I11" s="729"/>
      <c r="J11" s="729"/>
      <c r="K11" s="562"/>
      <c r="L11" s="562"/>
      <c r="M11" s="562"/>
      <c r="N11" s="594"/>
      <c r="O11" s="562"/>
      <c r="P11" s="562"/>
      <c r="Q11" s="562"/>
      <c r="R11" s="562"/>
      <c r="S11" s="562"/>
      <c r="T11" s="562"/>
      <c r="U11" s="562"/>
    </row>
    <row r="12" spans="1:21" x14ac:dyDescent="0.2">
      <c r="A12" s="731" t="s">
        <v>63</v>
      </c>
      <c r="B12" s="731"/>
      <c r="C12" s="731"/>
      <c r="D12" s="731"/>
      <c r="E12" s="4" t="s">
        <v>64</v>
      </c>
      <c r="F12" s="588" t="s">
        <v>65</v>
      </c>
      <c r="G12" s="750" t="s">
        <v>66</v>
      </c>
      <c r="H12" s="751"/>
      <c r="I12" s="751"/>
      <c r="J12" s="752"/>
      <c r="K12" s="11" t="s">
        <v>67</v>
      </c>
      <c r="L12" s="11" t="s">
        <v>68</v>
      </c>
      <c r="M12" s="290" t="str">
        <f>Geography!D1</f>
        <v>Radon</v>
      </c>
      <c r="N12" s="11" t="str">
        <f>Geography!E1</f>
        <v>Climate</v>
      </c>
      <c r="O12" s="11" t="str">
        <f>Geography!F1</f>
        <v>Moist</v>
      </c>
      <c r="P12" s="11" t="str">
        <f>Geography!G1</f>
        <v>WarmHumid</v>
      </c>
      <c r="Q12" s="11" t="str">
        <f>Geography!H1</f>
        <v>Tropical</v>
      </c>
      <c r="R12" s="562"/>
      <c r="S12" s="562"/>
      <c r="T12" s="562"/>
      <c r="U12" s="562"/>
    </row>
    <row r="13" spans="1:21" x14ac:dyDescent="0.2">
      <c r="A13" s="731" t="s">
        <v>69</v>
      </c>
      <c r="B13" s="731"/>
      <c r="C13" s="731"/>
      <c r="D13" s="731"/>
      <c r="E13" s="4" t="s">
        <v>70</v>
      </c>
      <c r="F13" s="588" t="s">
        <v>71</v>
      </c>
      <c r="G13" s="750"/>
      <c r="H13" s="751"/>
      <c r="I13" s="751"/>
      <c r="J13" s="752"/>
      <c r="K13" s="12" t="str">
        <f>G12</f>
        <v>North Carolina</v>
      </c>
      <c r="L13" s="12" t="str">
        <f>IF(LEN(G13)=0,"",G13)</f>
        <v/>
      </c>
      <c r="M13" s="290" t="str">
        <f>IFERROR(DGET(dbState,M12,$K$12:$L$13),"!!")</f>
        <v>!!</v>
      </c>
      <c r="N13" s="11" t="str">
        <f>IFERROR(DGET(dbState,N12,$K$12:$L$13),"!!")</f>
        <v>!!</v>
      </c>
      <c r="O13" s="11" t="str">
        <f>IFERROR(DGET(dbState,O12,$K$12:$L$13),"!!")</f>
        <v>!!</v>
      </c>
      <c r="P13" s="11" t="str">
        <f>IFERROR(DGET(dbState,P12,$K$12:$L$13),"!!")</f>
        <v>!!</v>
      </c>
      <c r="Q13" s="11" t="str">
        <f>IFERROR(DGET(dbState,Q12,$K$12:$L$13),"!!")</f>
        <v>!!</v>
      </c>
      <c r="R13" s="562"/>
      <c r="S13" s="562"/>
      <c r="T13" s="562"/>
      <c r="U13" s="562"/>
    </row>
    <row r="14" spans="1:21" x14ac:dyDescent="0.2">
      <c r="A14" s="731" t="s">
        <v>72</v>
      </c>
      <c r="B14" s="731"/>
      <c r="C14" s="731"/>
      <c r="D14" s="731"/>
      <c r="E14" s="588"/>
      <c r="F14" s="588" t="s">
        <v>73</v>
      </c>
      <c r="G14" s="688" t="s">
        <v>74</v>
      </c>
      <c r="H14" s="588"/>
      <c r="I14" s="588"/>
      <c r="J14" s="588"/>
      <c r="K14" s="562"/>
      <c r="L14" s="562"/>
      <c r="M14" s="562"/>
      <c r="N14" s="562"/>
      <c r="O14" s="562"/>
      <c r="P14" s="562"/>
      <c r="Q14" s="562"/>
      <c r="R14" s="562"/>
      <c r="S14" s="562"/>
      <c r="T14" s="562"/>
      <c r="U14" s="562"/>
    </row>
    <row r="15" spans="1:21" x14ac:dyDescent="0.2">
      <c r="A15" s="735"/>
      <c r="B15" s="735"/>
      <c r="C15" s="735"/>
      <c r="D15" s="735"/>
      <c r="E15" s="588"/>
      <c r="F15" s="588"/>
      <c r="G15" s="588"/>
      <c r="H15" s="588"/>
      <c r="I15" s="588"/>
      <c r="J15" s="588"/>
      <c r="K15" s="562"/>
      <c r="L15" s="562"/>
      <c r="M15" s="562"/>
      <c r="N15" s="562"/>
      <c r="O15" s="562"/>
      <c r="P15" s="562"/>
      <c r="Q15" s="562"/>
      <c r="R15" s="562"/>
      <c r="S15" s="562"/>
      <c r="T15" s="562"/>
      <c r="U15" s="562"/>
    </row>
    <row r="16" spans="1:21" x14ac:dyDescent="0.2">
      <c r="A16" s="731" t="s">
        <v>75</v>
      </c>
      <c r="B16" s="731"/>
      <c r="C16" s="731"/>
      <c r="D16" s="731"/>
      <c r="E16" s="588" t="s">
        <v>76</v>
      </c>
      <c r="F16" s="588" t="s">
        <v>77</v>
      </c>
      <c r="G16" s="764" t="s">
        <v>78</v>
      </c>
      <c r="H16" s="765"/>
      <c r="I16" s="588"/>
      <c r="J16" s="588"/>
      <c r="K16" s="562"/>
      <c r="L16" s="562"/>
      <c r="M16" s="562"/>
      <c r="N16" s="562"/>
      <c r="O16" s="562"/>
      <c r="P16" s="562"/>
      <c r="Q16" s="562"/>
      <c r="R16" s="562"/>
      <c r="S16" s="562"/>
      <c r="T16" s="562"/>
      <c r="U16" s="562"/>
    </row>
    <row r="17" spans="1:21" x14ac:dyDescent="0.2">
      <c r="A17" s="742" t="s">
        <v>79</v>
      </c>
      <c r="B17" s="742"/>
      <c r="C17" s="742"/>
      <c r="D17" s="742"/>
      <c r="E17" s="588"/>
      <c r="F17" s="588" t="s">
        <v>80</v>
      </c>
      <c r="G17" s="590"/>
      <c r="H17" s="588"/>
      <c r="I17" s="588"/>
      <c r="J17" s="588"/>
      <c r="K17" s="562"/>
      <c r="L17" s="562"/>
      <c r="M17" s="562"/>
      <c r="N17" s="562"/>
      <c r="O17" s="562"/>
      <c r="P17" s="562"/>
      <c r="Q17" s="562"/>
      <c r="R17" s="562"/>
      <c r="S17" s="562"/>
      <c r="T17" s="562"/>
      <c r="U17" s="562"/>
    </row>
    <row r="18" spans="1:21" x14ac:dyDescent="0.2">
      <c r="A18" s="742" t="s">
        <v>81</v>
      </c>
      <c r="B18" s="742"/>
      <c r="C18" s="742"/>
      <c r="D18" s="742"/>
      <c r="E18" s="588"/>
      <c r="F18" s="588" t="s">
        <v>82</v>
      </c>
      <c r="G18" s="729"/>
      <c r="H18" s="729"/>
      <c r="I18" s="729"/>
      <c r="J18" s="729"/>
      <c r="K18" s="562"/>
      <c r="L18" s="562"/>
      <c r="M18" s="562"/>
      <c r="N18" s="562"/>
      <c r="O18" s="562"/>
      <c r="P18" s="562"/>
      <c r="Q18" s="562"/>
      <c r="R18" s="562"/>
      <c r="S18" s="562"/>
      <c r="T18" s="562"/>
      <c r="U18" s="562"/>
    </row>
    <row r="19" spans="1:21" x14ac:dyDescent="0.2">
      <c r="A19" s="743"/>
      <c r="B19" s="743"/>
      <c r="C19" s="743"/>
      <c r="D19" s="743"/>
      <c r="E19" s="588"/>
      <c r="F19" s="588"/>
      <c r="G19" s="562"/>
      <c r="H19" s="562"/>
      <c r="I19" s="562"/>
      <c r="J19" s="562"/>
      <c r="K19" s="562"/>
      <c r="L19" s="562"/>
      <c r="M19" s="562"/>
      <c r="N19" s="562"/>
      <c r="O19" s="562"/>
      <c r="P19" s="562"/>
      <c r="Q19" s="562"/>
      <c r="R19" s="562"/>
      <c r="S19" s="562"/>
      <c r="T19" s="562"/>
      <c r="U19" s="562"/>
    </row>
    <row r="20" spans="1:21" s="503" customFormat="1" x14ac:dyDescent="0.2">
      <c r="A20" s="731" t="s">
        <v>83</v>
      </c>
      <c r="B20" s="731"/>
      <c r="C20" s="731"/>
      <c r="D20" s="731"/>
      <c r="E20" s="588"/>
      <c r="F20" s="588" t="s">
        <v>84</v>
      </c>
      <c r="G20" s="591"/>
      <c r="H20" s="562" t="s">
        <v>85</v>
      </c>
      <c r="I20" s="562"/>
      <c r="J20" s="562"/>
      <c r="K20" s="562"/>
      <c r="L20" s="562"/>
      <c r="M20" s="562"/>
      <c r="N20" s="562"/>
      <c r="O20" s="562"/>
      <c r="P20" s="562"/>
      <c r="Q20" s="562"/>
      <c r="R20" s="562"/>
      <c r="S20" s="562"/>
      <c r="T20" s="562"/>
      <c r="U20" s="562"/>
    </row>
    <row r="21" spans="1:21" x14ac:dyDescent="0.2">
      <c r="A21" s="731" t="s">
        <v>86</v>
      </c>
      <c r="B21" s="731"/>
      <c r="C21" s="731"/>
      <c r="D21" s="731"/>
      <c r="E21" s="588"/>
      <c r="F21" s="588" t="s">
        <v>87</v>
      </c>
      <c r="G21" s="591"/>
      <c r="H21" s="2" t="s">
        <v>88</v>
      </c>
      <c r="I21" s="744" t="s">
        <v>89</v>
      </c>
      <c r="J21" s="745"/>
      <c r="K21" s="745"/>
      <c r="L21" s="745"/>
      <c r="M21" s="745"/>
      <c r="N21" s="746"/>
      <c r="O21" s="588"/>
      <c r="P21" s="588"/>
      <c r="Q21" s="588"/>
      <c r="R21" s="588"/>
      <c r="S21" s="588"/>
      <c r="T21" s="588"/>
      <c r="U21" s="588"/>
    </row>
    <row r="22" spans="1:21" x14ac:dyDescent="0.2">
      <c r="A22" s="731" t="s">
        <v>90</v>
      </c>
      <c r="B22" s="731"/>
      <c r="C22" s="731"/>
      <c r="D22" s="731"/>
      <c r="E22" s="588"/>
      <c r="F22" s="588" t="s">
        <v>91</v>
      </c>
      <c r="G22" s="591"/>
      <c r="H22" s="2" t="s">
        <v>92</v>
      </c>
      <c r="I22" s="747"/>
      <c r="J22" s="748"/>
      <c r="K22" s="748"/>
      <c r="L22" s="748"/>
      <c r="M22" s="748"/>
      <c r="N22" s="749"/>
      <c r="O22" s="562"/>
      <c r="P22" s="562"/>
      <c r="Q22" s="562"/>
      <c r="R22" s="562"/>
      <c r="S22" s="562"/>
      <c r="T22" s="562"/>
      <c r="U22" s="562"/>
    </row>
    <row r="23" spans="1:21" s="202" customFormat="1" x14ac:dyDescent="0.2">
      <c r="A23" s="731" t="s">
        <v>93</v>
      </c>
      <c r="B23" s="731"/>
      <c r="C23" s="731"/>
      <c r="D23" s="731"/>
      <c r="E23" s="588"/>
      <c r="F23" s="588" t="s">
        <v>94</v>
      </c>
      <c r="G23" s="591"/>
      <c r="H23" s="2"/>
      <c r="I23" s="203"/>
      <c r="J23" s="203"/>
      <c r="K23" s="203"/>
      <c r="L23" s="203"/>
      <c r="M23" s="203"/>
      <c r="N23" s="203"/>
      <c r="O23" s="562"/>
      <c r="P23" s="562"/>
      <c r="Q23" s="562"/>
      <c r="R23" s="562"/>
      <c r="S23" s="562"/>
      <c r="T23" s="562"/>
      <c r="U23" s="562"/>
    </row>
    <row r="24" spans="1:21" x14ac:dyDescent="0.2">
      <c r="A24" s="733"/>
      <c r="B24" s="733"/>
      <c r="C24" s="733"/>
      <c r="D24" s="733"/>
      <c r="E24" s="588"/>
      <c r="F24" s="588"/>
      <c r="G24" s="562"/>
      <c r="H24" s="562"/>
      <c r="I24" s="562"/>
      <c r="J24" s="562"/>
      <c r="K24" s="562"/>
      <c r="L24" s="562"/>
      <c r="M24" s="562"/>
      <c r="N24" s="562"/>
      <c r="O24" s="562"/>
      <c r="P24" s="562"/>
      <c r="Q24" s="562"/>
      <c r="R24" s="562"/>
      <c r="S24" s="562"/>
      <c r="T24" s="562"/>
      <c r="U24" s="562"/>
    </row>
    <row r="25" spans="1:21" x14ac:dyDescent="0.2">
      <c r="A25" s="731" t="s">
        <v>95</v>
      </c>
      <c r="B25" s="731"/>
      <c r="C25" s="731"/>
      <c r="D25" s="731"/>
      <c r="E25" s="588"/>
      <c r="F25" s="588" t="s">
        <v>96</v>
      </c>
      <c r="G25" s="736"/>
      <c r="H25" s="737"/>
      <c r="I25" s="737"/>
      <c r="J25" s="737"/>
      <c r="K25" s="737"/>
      <c r="L25" s="737"/>
      <c r="M25" s="737"/>
      <c r="N25" s="738"/>
      <c r="O25" s="562"/>
      <c r="P25" s="562"/>
      <c r="Q25" s="562"/>
      <c r="R25" s="562"/>
      <c r="S25" s="562"/>
      <c r="T25" s="562"/>
      <c r="U25" s="562"/>
    </row>
    <row r="26" spans="1:21" s="27" customFormat="1" x14ac:dyDescent="0.2">
      <c r="A26" s="592"/>
      <c r="B26" s="592"/>
      <c r="C26" s="592"/>
      <c r="D26" s="592"/>
      <c r="E26" s="588"/>
      <c r="F26" s="588"/>
      <c r="G26" s="739"/>
      <c r="H26" s="740"/>
      <c r="I26" s="740"/>
      <c r="J26" s="740"/>
      <c r="K26" s="740"/>
      <c r="L26" s="740"/>
      <c r="M26" s="740"/>
      <c r="N26" s="741"/>
      <c r="O26" s="562"/>
      <c r="P26" s="562"/>
      <c r="Q26" s="562"/>
      <c r="R26" s="562"/>
      <c r="S26" s="562"/>
      <c r="T26" s="562"/>
      <c r="U26" s="562"/>
    </row>
    <row r="27" spans="1:21" x14ac:dyDescent="0.2">
      <c r="A27" s="731" t="s">
        <v>97</v>
      </c>
      <c r="B27" s="731"/>
      <c r="C27" s="731"/>
      <c r="D27" s="731"/>
      <c r="E27" s="588"/>
      <c r="F27" s="588" t="s">
        <v>98</v>
      </c>
      <c r="G27" s="590"/>
      <c r="H27" s="562"/>
      <c r="I27" s="562"/>
      <c r="J27" s="562"/>
      <c r="K27" s="562"/>
      <c r="L27" s="562"/>
      <c r="M27" s="562"/>
      <c r="N27" s="562"/>
      <c r="O27" s="562"/>
      <c r="P27" s="562"/>
      <c r="Q27" s="562"/>
      <c r="R27" s="562"/>
      <c r="S27" s="562"/>
      <c r="T27" s="562"/>
      <c r="U27" s="562"/>
    </row>
    <row r="28" spans="1:21" x14ac:dyDescent="0.2">
      <c r="A28" s="731" t="s">
        <v>99</v>
      </c>
      <c r="B28" s="731"/>
      <c r="C28" s="731"/>
      <c r="D28" s="731"/>
      <c r="E28" s="588" t="s">
        <v>100</v>
      </c>
      <c r="F28" s="588" t="s">
        <v>101</v>
      </c>
      <c r="G28" s="730"/>
      <c r="H28" s="730"/>
      <c r="I28" s="730"/>
      <c r="J28" s="730"/>
      <c r="K28" s="562"/>
      <c r="L28" s="562"/>
      <c r="M28" s="562"/>
      <c r="N28" s="562"/>
      <c r="O28" s="562"/>
      <c r="P28" s="562"/>
      <c r="Q28" s="562"/>
      <c r="R28" s="562"/>
      <c r="S28" s="562"/>
      <c r="T28" s="562"/>
      <c r="U28" s="562"/>
    </row>
    <row r="29" spans="1:21" x14ac:dyDescent="0.2">
      <c r="A29" s="561"/>
      <c r="B29" s="561"/>
      <c r="C29" s="561"/>
      <c r="D29" s="561"/>
      <c r="E29" s="562"/>
      <c r="F29" s="562"/>
      <c r="G29" s="562"/>
      <c r="H29" s="562"/>
      <c r="I29" s="562"/>
      <c r="J29" s="562"/>
      <c r="K29" s="562"/>
      <c r="L29" s="562"/>
      <c r="M29" s="562"/>
      <c r="N29" s="562"/>
      <c r="O29" s="562"/>
      <c r="P29" s="562"/>
      <c r="Q29" s="562"/>
      <c r="R29" s="562"/>
      <c r="S29" s="562"/>
      <c r="T29" s="562"/>
      <c r="U29" s="562"/>
    </row>
    <row r="30" spans="1:21" x14ac:dyDescent="0.2">
      <c r="A30" s="731" t="s">
        <v>102</v>
      </c>
      <c r="B30" s="731"/>
      <c r="C30" s="731"/>
      <c r="D30" s="731"/>
      <c r="E30" s="588" t="s">
        <v>103</v>
      </c>
      <c r="F30" s="588" t="s">
        <v>104</v>
      </c>
      <c r="G30" s="730"/>
      <c r="H30" s="730"/>
      <c r="I30" s="730"/>
      <c r="J30" s="562"/>
      <c r="K30" s="562"/>
      <c r="L30" s="562"/>
      <c r="M30" s="562"/>
      <c r="N30" s="562"/>
      <c r="O30" s="562"/>
      <c r="P30" s="562"/>
      <c r="Q30" s="562"/>
      <c r="R30" s="562"/>
      <c r="S30" s="562"/>
      <c r="T30" s="562"/>
      <c r="U30" s="562"/>
    </row>
    <row r="31" spans="1:21" x14ac:dyDescent="0.2">
      <c r="A31" s="731" t="s">
        <v>105</v>
      </c>
      <c r="B31" s="731"/>
      <c r="C31" s="731"/>
      <c r="D31" s="731"/>
      <c r="E31" s="588" t="s">
        <v>106</v>
      </c>
      <c r="F31" s="588" t="s">
        <v>107</v>
      </c>
      <c r="G31" s="729"/>
      <c r="H31" s="729"/>
      <c r="I31" s="729"/>
      <c r="J31" s="562"/>
      <c r="K31" s="562"/>
      <c r="L31" s="562"/>
      <c r="M31" s="562"/>
      <c r="N31" s="562"/>
      <c r="O31" s="562"/>
      <c r="P31" s="562"/>
      <c r="Q31" s="562"/>
      <c r="R31" s="562"/>
      <c r="S31" s="562"/>
      <c r="T31" s="562"/>
      <c r="U31" s="562"/>
    </row>
    <row r="32" spans="1:21" x14ac:dyDescent="0.2">
      <c r="A32" s="731" t="s">
        <v>108</v>
      </c>
      <c r="B32" s="731"/>
      <c r="C32" s="731"/>
      <c r="D32" s="731"/>
      <c r="E32" s="588" t="s">
        <v>109</v>
      </c>
      <c r="F32" s="588" t="s">
        <v>110</v>
      </c>
      <c r="G32" s="729"/>
      <c r="H32" s="729"/>
      <c r="I32" s="729"/>
      <c r="J32" s="562"/>
      <c r="K32" s="562"/>
      <c r="L32" s="562"/>
      <c r="M32" s="562"/>
      <c r="N32" s="562"/>
      <c r="O32" s="562"/>
      <c r="P32" s="562"/>
      <c r="Q32" s="562"/>
      <c r="R32" s="562"/>
      <c r="S32" s="562"/>
      <c r="T32" s="562"/>
      <c r="U32" s="562"/>
    </row>
    <row r="33" spans="1:11" s="200" customFormat="1" x14ac:dyDescent="0.2">
      <c r="A33" s="731" t="s">
        <v>111</v>
      </c>
      <c r="B33" s="731"/>
      <c r="C33" s="731"/>
      <c r="D33" s="731"/>
      <c r="E33" s="588" t="s">
        <v>112</v>
      </c>
      <c r="F33" s="588" t="s">
        <v>113</v>
      </c>
      <c r="G33" s="753"/>
      <c r="H33" s="754"/>
      <c r="I33" s="755"/>
      <c r="J33" s="562"/>
      <c r="K33" s="562"/>
    </row>
    <row r="34" spans="1:11" s="200" customFormat="1" x14ac:dyDescent="0.2">
      <c r="A34" s="731" t="s">
        <v>114</v>
      </c>
      <c r="B34" s="731"/>
      <c r="C34" s="731"/>
      <c r="D34" s="731"/>
      <c r="E34" s="588" t="s">
        <v>115</v>
      </c>
      <c r="F34" s="588" t="s">
        <v>116</v>
      </c>
      <c r="G34" s="730"/>
      <c r="H34" s="730"/>
      <c r="I34" s="730"/>
      <c r="J34" s="562"/>
      <c r="K34" s="562"/>
    </row>
    <row r="35" spans="1:11" s="199" customFormat="1" x14ac:dyDescent="0.2">
      <c r="A35" s="731" t="s">
        <v>117</v>
      </c>
      <c r="B35" s="731"/>
      <c r="C35" s="731"/>
      <c r="D35" s="731"/>
      <c r="E35" s="588" t="s">
        <v>118</v>
      </c>
      <c r="F35" s="588" t="s">
        <v>119</v>
      </c>
      <c r="G35" s="730"/>
      <c r="H35" s="730"/>
      <c r="I35" s="730"/>
      <c r="J35" s="562"/>
      <c r="K35" s="562"/>
    </row>
    <row r="36" spans="1:11" s="199" customFormat="1" x14ac:dyDescent="0.2">
      <c r="A36" s="731" t="s">
        <v>120</v>
      </c>
      <c r="B36" s="731"/>
      <c r="C36" s="731"/>
      <c r="D36" s="731"/>
      <c r="E36" s="588" t="s">
        <v>121</v>
      </c>
      <c r="F36" s="588" t="s">
        <v>122</v>
      </c>
      <c r="G36" s="753"/>
      <c r="H36" s="754"/>
      <c r="I36" s="755"/>
      <c r="J36" s="562"/>
      <c r="K36" s="562"/>
    </row>
    <row r="37" spans="1:11" s="199" customFormat="1" x14ac:dyDescent="0.2">
      <c r="A37" s="731" t="s">
        <v>123</v>
      </c>
      <c r="B37" s="731"/>
      <c r="C37" s="731"/>
      <c r="D37" s="731"/>
      <c r="E37" s="588" t="s">
        <v>124</v>
      </c>
      <c r="F37" s="588" t="s">
        <v>125</v>
      </c>
      <c r="G37" s="753"/>
      <c r="H37" s="754"/>
      <c r="I37" s="755"/>
      <c r="J37" s="562"/>
      <c r="K37" s="562"/>
    </row>
    <row r="38" spans="1:11" x14ac:dyDescent="0.2">
      <c r="A38" s="731" t="s">
        <v>126</v>
      </c>
      <c r="B38" s="731"/>
      <c r="C38" s="731"/>
      <c r="D38" s="731"/>
      <c r="E38" s="588" t="s">
        <v>127</v>
      </c>
      <c r="F38" s="588" t="s">
        <v>128</v>
      </c>
      <c r="G38" s="756"/>
      <c r="H38" s="756"/>
      <c r="I38" s="562"/>
      <c r="J38" s="562"/>
      <c r="K38" s="562"/>
    </row>
    <row r="39" spans="1:11" x14ac:dyDescent="0.2">
      <c r="A39" s="561"/>
      <c r="B39" s="561"/>
      <c r="C39" s="561"/>
      <c r="D39" s="561"/>
      <c r="E39" s="562"/>
      <c r="F39" s="562"/>
      <c r="G39" s="562"/>
      <c r="H39" s="562"/>
      <c r="I39" s="562"/>
      <c r="J39" s="562"/>
      <c r="K39" s="562"/>
    </row>
    <row r="40" spans="1:11" s="211" customFormat="1" x14ac:dyDescent="0.2">
      <c r="A40" s="731" t="s">
        <v>129</v>
      </c>
      <c r="B40" s="731"/>
      <c r="C40" s="731"/>
      <c r="D40" s="731"/>
      <c r="E40" s="562"/>
      <c r="F40" s="215" t="s">
        <v>130</v>
      </c>
      <c r="G40" s="591"/>
      <c r="H40" s="757" t="s">
        <v>131</v>
      </c>
      <c r="I40" s="758"/>
      <c r="J40" s="562"/>
      <c r="K40" s="562"/>
    </row>
    <row r="41" spans="1:11" s="211" customFormat="1" x14ac:dyDescent="0.2">
      <c r="A41" s="731" t="s">
        <v>132</v>
      </c>
      <c r="B41" s="731"/>
      <c r="C41" s="731"/>
      <c r="D41" s="731"/>
      <c r="E41" s="562"/>
      <c r="F41" s="215" t="s">
        <v>133</v>
      </c>
      <c r="G41" s="590"/>
      <c r="H41" s="759"/>
      <c r="I41" s="760"/>
      <c r="J41" s="562"/>
      <c r="K41" s="562"/>
    </row>
    <row r="42" spans="1:11" s="211" customFormat="1" x14ac:dyDescent="0.2">
      <c r="A42" s="731" t="s">
        <v>134</v>
      </c>
      <c r="B42" s="731"/>
      <c r="C42" s="731"/>
      <c r="D42" s="731"/>
      <c r="E42" s="562"/>
      <c r="F42" s="215" t="s">
        <v>135</v>
      </c>
      <c r="G42" s="591"/>
      <c r="H42" s="759"/>
      <c r="I42" s="760"/>
      <c r="J42" s="562"/>
      <c r="K42" s="562"/>
    </row>
    <row r="43" spans="1:11" s="211" customFormat="1" x14ac:dyDescent="0.2">
      <c r="A43" s="731" t="s">
        <v>136</v>
      </c>
      <c r="B43" s="731"/>
      <c r="C43" s="731"/>
      <c r="D43" s="731"/>
      <c r="E43" s="562"/>
      <c r="F43" s="215" t="s">
        <v>137</v>
      </c>
      <c r="G43" s="590"/>
      <c r="H43" s="761"/>
      <c r="I43" s="762"/>
      <c r="J43" s="562"/>
      <c r="K43" s="562"/>
    </row>
    <row r="44" spans="1:11" x14ac:dyDescent="0.2">
      <c r="A44" s="731" t="s">
        <v>138</v>
      </c>
      <c r="B44" s="731"/>
      <c r="C44" s="731"/>
      <c r="D44" s="731"/>
      <c r="E44" s="588" t="s">
        <v>139</v>
      </c>
      <c r="F44" s="588" t="s">
        <v>140</v>
      </c>
      <c r="G44" s="729"/>
      <c r="H44" s="763"/>
      <c r="I44" s="562"/>
      <c r="J44" s="562"/>
      <c r="K44" s="562"/>
    </row>
    <row r="45" spans="1:11" x14ac:dyDescent="0.2">
      <c r="A45" s="731" t="s">
        <v>141</v>
      </c>
      <c r="B45" s="731"/>
      <c r="C45" s="731"/>
      <c r="D45" s="731"/>
      <c r="E45" s="588" t="s">
        <v>142</v>
      </c>
      <c r="F45" s="588" t="s">
        <v>143</v>
      </c>
      <c r="G45" s="729"/>
      <c r="H45" s="729"/>
      <c r="I45" s="729"/>
      <c r="J45" s="562"/>
      <c r="K45" s="562"/>
    </row>
    <row r="46" spans="1:11" x14ac:dyDescent="0.2">
      <c r="A46" s="731" t="s">
        <v>144</v>
      </c>
      <c r="B46" s="731"/>
      <c r="C46" s="731"/>
      <c r="D46" s="731"/>
      <c r="E46" s="588" t="s">
        <v>145</v>
      </c>
      <c r="F46" s="588" t="s">
        <v>146</v>
      </c>
      <c r="G46" s="730"/>
      <c r="H46" s="730"/>
      <c r="I46" s="562"/>
      <c r="J46" s="562"/>
      <c r="K46" s="562"/>
    </row>
    <row r="47" spans="1:11" x14ac:dyDescent="0.2">
      <c r="A47" s="731" t="s">
        <v>147</v>
      </c>
      <c r="B47" s="731"/>
      <c r="C47" s="731"/>
      <c r="D47" s="731"/>
      <c r="E47" s="588" t="s">
        <v>148</v>
      </c>
      <c r="F47" s="588" t="s">
        <v>149</v>
      </c>
      <c r="G47" s="590"/>
      <c r="H47" s="562"/>
      <c r="I47" s="562"/>
      <c r="J47" s="562"/>
      <c r="K47" s="562"/>
    </row>
    <row r="48" spans="1:11" x14ac:dyDescent="0.2">
      <c r="A48" s="731" t="s">
        <v>150</v>
      </c>
      <c r="B48" s="731"/>
      <c r="C48" s="731"/>
      <c r="D48" s="731"/>
      <c r="E48" s="588" t="s">
        <v>151</v>
      </c>
      <c r="F48" s="588" t="s">
        <v>152</v>
      </c>
      <c r="G48" s="590"/>
      <c r="H48" s="562"/>
      <c r="I48" s="562"/>
      <c r="J48" s="562"/>
      <c r="K48" s="562"/>
    </row>
    <row r="49" spans="1:21" x14ac:dyDescent="0.2">
      <c r="A49" s="733"/>
      <c r="B49" s="733"/>
      <c r="C49" s="733"/>
      <c r="D49" s="733"/>
      <c r="E49" s="588"/>
      <c r="F49" s="588"/>
      <c r="G49" s="588"/>
      <c r="H49" s="562"/>
      <c r="I49" s="562"/>
      <c r="J49" s="562"/>
      <c r="K49" s="562"/>
      <c r="L49" s="562"/>
      <c r="M49" s="562"/>
      <c r="N49" s="562"/>
      <c r="O49" s="562"/>
      <c r="P49" s="562"/>
      <c r="Q49" s="562"/>
      <c r="R49" s="562"/>
      <c r="S49" s="562"/>
      <c r="T49" s="562"/>
      <c r="U49" s="562"/>
    </row>
    <row r="50" spans="1:21" x14ac:dyDescent="0.2">
      <c r="A50" s="731" t="s">
        <v>153</v>
      </c>
      <c r="B50" s="731"/>
      <c r="C50" s="731"/>
      <c r="D50" s="593"/>
      <c r="E50" s="588"/>
      <c r="F50" s="588"/>
      <c r="G50" s="588"/>
      <c r="H50" s="562"/>
      <c r="I50" s="562"/>
      <c r="J50" s="562"/>
      <c r="K50" s="562"/>
      <c r="L50" s="562"/>
      <c r="M50" s="562"/>
      <c r="N50" s="562"/>
      <c r="O50" s="562"/>
      <c r="P50" s="562"/>
      <c r="Q50" s="562"/>
      <c r="R50" s="562"/>
      <c r="S50" s="562"/>
      <c r="T50" s="562"/>
      <c r="U50" s="562"/>
    </row>
    <row r="51" spans="1:21" x14ac:dyDescent="0.2">
      <c r="A51" s="731" t="s">
        <v>154</v>
      </c>
      <c r="B51" s="731"/>
      <c r="C51" s="731"/>
      <c r="D51" s="731"/>
      <c r="E51" s="588" t="s">
        <v>155</v>
      </c>
      <c r="F51" s="588" t="s">
        <v>156</v>
      </c>
      <c r="G51" s="6"/>
      <c r="H51" s="562"/>
      <c r="I51" s="562"/>
      <c r="J51" s="562"/>
      <c r="K51" s="562"/>
      <c r="L51" s="562"/>
      <c r="M51" s="562"/>
      <c r="N51" s="562"/>
      <c r="O51" s="562"/>
      <c r="P51" s="562"/>
      <c r="Q51" s="562"/>
      <c r="R51" s="562"/>
      <c r="S51" s="562"/>
      <c r="T51" s="562"/>
      <c r="U51" s="562"/>
    </row>
    <row r="52" spans="1:21" x14ac:dyDescent="0.2">
      <c r="A52" s="731" t="s">
        <v>157</v>
      </c>
      <c r="B52" s="731"/>
      <c r="C52" s="731"/>
      <c r="D52" s="731"/>
      <c r="E52" s="588" t="s">
        <v>158</v>
      </c>
      <c r="F52" s="588" t="s">
        <v>159</v>
      </c>
      <c r="G52" s="590"/>
      <c r="H52" s="562"/>
      <c r="I52" s="562"/>
      <c r="J52" s="562"/>
      <c r="K52" s="562"/>
      <c r="L52" s="562"/>
      <c r="M52" s="562"/>
      <c r="N52" s="562"/>
      <c r="O52" s="562"/>
      <c r="P52" s="562"/>
      <c r="Q52" s="562"/>
      <c r="R52" s="562"/>
      <c r="S52" s="562"/>
      <c r="T52" s="562"/>
      <c r="U52" s="562"/>
    </row>
    <row r="53" spans="1:21" x14ac:dyDescent="0.2">
      <c r="A53" s="731" t="s">
        <v>160</v>
      </c>
      <c r="B53" s="731"/>
      <c r="C53" s="731"/>
      <c r="D53" s="731"/>
      <c r="E53" s="588" t="s">
        <v>161</v>
      </c>
      <c r="F53" s="588" t="s">
        <v>162</v>
      </c>
      <c r="G53" s="590"/>
      <c r="H53" s="562"/>
      <c r="I53" s="562"/>
      <c r="J53" s="562"/>
      <c r="K53" s="562"/>
      <c r="L53" s="562"/>
      <c r="M53" s="562"/>
      <c r="N53" s="562"/>
      <c r="O53" s="562"/>
      <c r="P53" s="562"/>
      <c r="Q53" s="562"/>
      <c r="R53" s="562"/>
      <c r="S53" s="562"/>
      <c r="T53" s="562"/>
      <c r="U53" s="562"/>
    </row>
    <row r="54" spans="1:21" s="5" customFormat="1" x14ac:dyDescent="0.2">
      <c r="A54" s="731" t="s">
        <v>163</v>
      </c>
      <c r="B54" s="731"/>
      <c r="C54" s="731"/>
      <c r="D54" s="731"/>
      <c r="E54" s="588" t="s">
        <v>164</v>
      </c>
      <c r="F54" s="588" t="s">
        <v>165</v>
      </c>
      <c r="G54" s="590"/>
      <c r="H54" s="562"/>
      <c r="I54" s="562"/>
      <c r="J54" s="562"/>
      <c r="K54" s="562"/>
      <c r="L54" s="562"/>
      <c r="M54" s="562"/>
      <c r="N54" s="562"/>
      <c r="O54" s="562"/>
      <c r="P54" s="562"/>
      <c r="Q54" s="562"/>
      <c r="R54" s="562"/>
      <c r="S54" s="562"/>
      <c r="T54" s="562"/>
      <c r="U54" s="562"/>
    </row>
    <row r="55" spans="1:21" s="5" customFormat="1" x14ac:dyDescent="0.2">
      <c r="A55" s="732" t="s">
        <v>166</v>
      </c>
      <c r="B55" s="732"/>
      <c r="C55" s="732"/>
      <c r="D55" s="732"/>
      <c r="E55" s="588" t="s">
        <v>167</v>
      </c>
      <c r="F55" s="588" t="s">
        <v>168</v>
      </c>
      <c r="G55" s="590"/>
      <c r="H55" s="562"/>
      <c r="I55" s="562"/>
      <c r="J55" s="562"/>
      <c r="K55" s="562"/>
      <c r="L55" s="562"/>
      <c r="M55" s="562"/>
      <c r="N55" s="562"/>
      <c r="O55" s="562"/>
      <c r="P55" s="562"/>
      <c r="Q55" s="562"/>
      <c r="R55" s="562"/>
      <c r="S55" s="562"/>
      <c r="T55" s="562"/>
      <c r="U55" s="562"/>
    </row>
    <row r="56" spans="1:21" ht="14.5" customHeight="1" x14ac:dyDescent="0.2">
      <c r="A56" s="734" t="s">
        <v>169</v>
      </c>
      <c r="B56" s="734"/>
      <c r="C56" s="734"/>
      <c r="D56" s="734"/>
      <c r="E56" s="588" t="s">
        <v>170</v>
      </c>
      <c r="F56" s="588" t="s">
        <v>171</v>
      </c>
      <c r="G56" s="590"/>
      <c r="H56" s="562"/>
      <c r="I56" s="562"/>
      <c r="J56" s="562"/>
      <c r="K56" s="562"/>
      <c r="L56" s="562"/>
      <c r="M56" s="562"/>
      <c r="N56" s="562"/>
      <c r="O56" s="562"/>
      <c r="P56" s="562"/>
      <c r="Q56" s="562"/>
      <c r="R56" s="562"/>
      <c r="S56" s="562"/>
      <c r="T56" s="562"/>
      <c r="U56" s="562"/>
    </row>
    <row r="57" spans="1:21" x14ac:dyDescent="0.2">
      <c r="A57" s="733"/>
      <c r="B57" s="733"/>
      <c r="C57" s="733"/>
      <c r="D57" s="733"/>
      <c r="E57" s="588"/>
      <c r="F57" s="588"/>
      <c r="G57" s="588"/>
      <c r="H57" s="562"/>
      <c r="I57" s="562"/>
      <c r="J57" s="562"/>
      <c r="K57" s="562"/>
      <c r="L57" s="562"/>
      <c r="M57" s="562"/>
      <c r="N57" s="562"/>
      <c r="O57" s="562"/>
      <c r="P57" s="562"/>
      <c r="Q57" s="562"/>
      <c r="R57" s="562"/>
      <c r="S57" s="562"/>
      <c r="T57" s="562"/>
      <c r="U57" s="562"/>
    </row>
    <row r="58" spans="1:21" x14ac:dyDescent="0.2">
      <c r="A58" s="731" t="s">
        <v>172</v>
      </c>
      <c r="B58" s="731"/>
      <c r="C58" s="731"/>
      <c r="D58" s="731"/>
      <c r="E58" s="588" t="s">
        <v>173</v>
      </c>
      <c r="F58" s="588" t="s">
        <v>174</v>
      </c>
      <c r="G58" s="729"/>
      <c r="H58" s="729"/>
      <c r="I58" s="562"/>
      <c r="J58" s="562"/>
      <c r="K58" s="562"/>
      <c r="L58" s="562"/>
      <c r="M58" s="562"/>
      <c r="N58" s="562"/>
      <c r="O58" s="562"/>
      <c r="P58" s="562"/>
      <c r="Q58" s="562"/>
      <c r="R58" s="562"/>
      <c r="S58" s="562"/>
      <c r="T58" s="562"/>
      <c r="U58" s="562"/>
    </row>
    <row r="59" spans="1:21" x14ac:dyDescent="0.2">
      <c r="A59" s="731" t="s">
        <v>175</v>
      </c>
      <c r="B59" s="731"/>
      <c r="C59" s="731"/>
      <c r="D59" s="731"/>
      <c r="E59" s="588" t="s">
        <v>176</v>
      </c>
      <c r="F59" s="588" t="s">
        <v>177</v>
      </c>
      <c r="G59" s="729"/>
      <c r="H59" s="729"/>
      <c r="I59" s="562"/>
      <c r="J59" s="562"/>
      <c r="K59" s="562"/>
      <c r="L59" s="562"/>
      <c r="M59" s="562"/>
      <c r="N59" s="562"/>
      <c r="O59" s="562"/>
      <c r="P59" s="562"/>
      <c r="Q59" s="562"/>
      <c r="R59" s="562"/>
      <c r="S59" s="562"/>
      <c r="T59" s="562"/>
      <c r="U59" s="562"/>
    </row>
    <row r="60" spans="1:21" s="210" customFormat="1" x14ac:dyDescent="0.2">
      <c r="A60" s="592"/>
      <c r="B60" s="592"/>
      <c r="C60" s="592"/>
      <c r="D60" s="592"/>
      <c r="E60" s="588"/>
      <c r="F60" s="588"/>
      <c r="G60" s="562"/>
      <c r="H60" s="562"/>
      <c r="I60" s="562"/>
      <c r="J60" s="562"/>
      <c r="K60" s="562"/>
      <c r="L60" s="562"/>
      <c r="M60" s="562"/>
      <c r="N60" s="562"/>
      <c r="O60" s="562"/>
      <c r="P60" s="562"/>
      <c r="Q60" s="562"/>
      <c r="R60" s="562"/>
      <c r="S60" s="562"/>
      <c r="T60" s="562"/>
      <c r="U60" s="562"/>
    </row>
    <row r="61" spans="1:21" s="210" customFormat="1" x14ac:dyDescent="0.2">
      <c r="A61" s="731" t="s">
        <v>178</v>
      </c>
      <c r="B61" s="731"/>
      <c r="C61" s="731"/>
      <c r="D61" s="731"/>
      <c r="E61" s="588"/>
      <c r="F61" s="588" t="s">
        <v>179</v>
      </c>
      <c r="G61" s="729"/>
      <c r="H61" s="729"/>
      <c r="I61" s="729"/>
      <c r="J61" s="729"/>
      <c r="K61" s="562"/>
      <c r="L61" s="562"/>
      <c r="M61" s="562"/>
      <c r="N61" s="562"/>
      <c r="O61" s="562"/>
      <c r="P61" s="562"/>
      <c r="Q61" s="562"/>
      <c r="R61" s="562"/>
      <c r="S61" s="562"/>
      <c r="T61" s="562"/>
      <c r="U61" s="562"/>
    </row>
    <row r="63" spans="1:21" ht="19" x14ac:dyDescent="0.25">
      <c r="A63" s="724" t="s">
        <v>180</v>
      </c>
      <c r="B63" s="724"/>
      <c r="C63" s="724"/>
      <c r="D63" s="724"/>
      <c r="E63" s="724"/>
      <c r="F63" s="724"/>
      <c r="G63" s="724"/>
      <c r="H63" s="724"/>
      <c r="I63" s="724"/>
      <c r="J63" s="724"/>
      <c r="K63" s="724"/>
      <c r="L63" s="724"/>
      <c r="M63" s="724"/>
      <c r="N63" s="724"/>
      <c r="O63" s="724"/>
      <c r="P63" s="724"/>
      <c r="Q63" s="724"/>
      <c r="R63" s="724"/>
      <c r="S63" s="724"/>
      <c r="T63" s="724"/>
      <c r="U63" s="724"/>
    </row>
  </sheetData>
  <sheetProtection algorithmName="SHA-512" hashValue="tu1QFZKPcw3LU38zUp3xtT20L7ax6tGtzsCEkjo4H7VEL5qhJad6mzhRpLjvNJTfsspCJFzOK583OzlWtS8vWg==" saltValue="z4VFI4y5BN711sOEj+9kKw==" spinCount="100000" sheet="1" objects="1" scenarios="1" selectLockedCells="1"/>
  <mergeCells count="81">
    <mergeCell ref="A63:U63"/>
    <mergeCell ref="A1:C5"/>
    <mergeCell ref="D1:U5"/>
    <mergeCell ref="A17:D17"/>
    <mergeCell ref="G9:J9"/>
    <mergeCell ref="G16:H16"/>
    <mergeCell ref="A8:D8"/>
    <mergeCell ref="A9:D9"/>
    <mergeCell ref="A10:D10"/>
    <mergeCell ref="A11:D11"/>
    <mergeCell ref="A12:D12"/>
    <mergeCell ref="A13:D13"/>
    <mergeCell ref="A14:D14"/>
    <mergeCell ref="L8:M8"/>
    <mergeCell ref="A34:D34"/>
    <mergeCell ref="A38:D38"/>
    <mergeCell ref="G61:J61"/>
    <mergeCell ref="A61:D61"/>
    <mergeCell ref="A23:D23"/>
    <mergeCell ref="A46:D46"/>
    <mergeCell ref="G36:I36"/>
    <mergeCell ref="G37:I37"/>
    <mergeCell ref="G38:H38"/>
    <mergeCell ref="G28:J28"/>
    <mergeCell ref="G30:I30"/>
    <mergeCell ref="G31:I31"/>
    <mergeCell ref="G32:I32"/>
    <mergeCell ref="G33:I33"/>
    <mergeCell ref="G45:I45"/>
    <mergeCell ref="G58:H58"/>
    <mergeCell ref="H40:I43"/>
    <mergeCell ref="G44:H44"/>
    <mergeCell ref="I21:N22"/>
    <mergeCell ref="G8:J8"/>
    <mergeCell ref="G10:J10"/>
    <mergeCell ref="G11:J11"/>
    <mergeCell ref="G12:J12"/>
    <mergeCell ref="G13:J13"/>
    <mergeCell ref="A20:D20"/>
    <mergeCell ref="A44:D44"/>
    <mergeCell ref="A45:D45"/>
    <mergeCell ref="A40:D40"/>
    <mergeCell ref="A41:D41"/>
    <mergeCell ref="A42:D42"/>
    <mergeCell ref="A43:D43"/>
    <mergeCell ref="A22:D22"/>
    <mergeCell ref="A30:D30"/>
    <mergeCell ref="A31:D31"/>
    <mergeCell ref="A32:D32"/>
    <mergeCell ref="A33:D33"/>
    <mergeCell ref="G34:I34"/>
    <mergeCell ref="A36:D36"/>
    <mergeCell ref="A37:D37"/>
    <mergeCell ref="G35:I35"/>
    <mergeCell ref="A15:D15"/>
    <mergeCell ref="G25:N26"/>
    <mergeCell ref="A35:D35"/>
    <mergeCell ref="G18:J18"/>
    <mergeCell ref="A16:D16"/>
    <mergeCell ref="A25:D25"/>
    <mergeCell ref="A27:D27"/>
    <mergeCell ref="A28:D28"/>
    <mergeCell ref="A18:D18"/>
    <mergeCell ref="A21:D21"/>
    <mergeCell ref="A24:D24"/>
    <mergeCell ref="A19:D19"/>
    <mergeCell ref="G59:H59"/>
    <mergeCell ref="G46:H46"/>
    <mergeCell ref="A54:D54"/>
    <mergeCell ref="A55:D55"/>
    <mergeCell ref="A59:D59"/>
    <mergeCell ref="A57:D57"/>
    <mergeCell ref="A49:D49"/>
    <mergeCell ref="A53:D53"/>
    <mergeCell ref="A56:D56"/>
    <mergeCell ref="A58:D58"/>
    <mergeCell ref="A50:C50"/>
    <mergeCell ref="A51:D51"/>
    <mergeCell ref="A52:D52"/>
    <mergeCell ref="A47:D47"/>
    <mergeCell ref="A48:D48"/>
  </mergeCells>
  <conditionalFormatting sqref="G16:H16">
    <cfRule type="expression" dxfId="3299" priority="43">
      <formula>LEN(TRIM($G$16:$H$16))&gt;0</formula>
    </cfRule>
  </conditionalFormatting>
  <conditionalFormatting sqref="G28">
    <cfRule type="expression" dxfId="3298" priority="42">
      <formula>LEN(TRIM($G$28:$I$28))&gt;0</formula>
    </cfRule>
  </conditionalFormatting>
  <conditionalFormatting sqref="G30">
    <cfRule type="expression" dxfId="3297" priority="41">
      <formula>LEN(TRIM($G$30:$H$30))&gt;0</formula>
    </cfRule>
  </conditionalFormatting>
  <conditionalFormatting sqref="G31">
    <cfRule type="expression" dxfId="3296" priority="40">
      <formula>LEN(TRIM($G$31:$H$31))&gt;0</formula>
    </cfRule>
  </conditionalFormatting>
  <conditionalFormatting sqref="G28:J28">
    <cfRule type="expression" dxfId="3295" priority="39">
      <formula>LEN(TRIM($G$28:$J$28))&gt;0</formula>
    </cfRule>
  </conditionalFormatting>
  <conditionalFormatting sqref="G30:I30">
    <cfRule type="expression" dxfId="3294" priority="38">
      <formula>LEN(TRIM($G$30:$I$30))&gt;0</formula>
    </cfRule>
  </conditionalFormatting>
  <conditionalFormatting sqref="G31:I31">
    <cfRule type="expression" dxfId="3293" priority="37">
      <formula>LEN(TRIM($G$31:$I$31))&gt;0</formula>
    </cfRule>
  </conditionalFormatting>
  <conditionalFormatting sqref="G32:I32">
    <cfRule type="expression" dxfId="3292" priority="36">
      <formula>LEN(TRIM($G$32:$I$32))&gt;0</formula>
    </cfRule>
  </conditionalFormatting>
  <conditionalFormatting sqref="G33:H33">
    <cfRule type="expression" dxfId="3291" priority="35">
      <formula>LEN(TRIM($G$33:$H$33))&gt;0</formula>
    </cfRule>
  </conditionalFormatting>
  <conditionalFormatting sqref="G44:H44">
    <cfRule type="expression" dxfId="3290" priority="34">
      <formula>LEN(TRIM($G$44:$H$44))&gt;0</formula>
    </cfRule>
  </conditionalFormatting>
  <conditionalFormatting sqref="G45">
    <cfRule type="expression" dxfId="3289" priority="33">
      <formula>LEN(TRIM($G$45:$H$45))&gt;0</formula>
    </cfRule>
  </conditionalFormatting>
  <conditionalFormatting sqref="G45:I45">
    <cfRule type="expression" dxfId="3288" priority="32">
      <formula>LEN(TRIM($G$45:$I$45))&gt;0</formula>
    </cfRule>
  </conditionalFormatting>
  <conditionalFormatting sqref="G46:H46">
    <cfRule type="expression" dxfId="3287" priority="31">
      <formula>LEN(TRIM($G$46:$H$46))&gt;0</formula>
    </cfRule>
  </conditionalFormatting>
  <conditionalFormatting sqref="G47">
    <cfRule type="expression" dxfId="3286" priority="30">
      <formula>LEN(TRIM($G$47))&gt;0</formula>
    </cfRule>
  </conditionalFormatting>
  <conditionalFormatting sqref="G48">
    <cfRule type="expression" dxfId="3285" priority="29">
      <formula>LEN(TRIM($G$48))&gt;0</formula>
    </cfRule>
  </conditionalFormatting>
  <conditionalFormatting sqref="G52">
    <cfRule type="expression" dxfId="3284" priority="27">
      <formula>LEN(TRIM($G$52))&gt;0</formula>
    </cfRule>
  </conditionalFormatting>
  <conditionalFormatting sqref="G53">
    <cfRule type="expression" dxfId="3283" priority="26">
      <formula>LEN(TRIM($G$53))&gt;0</formula>
    </cfRule>
  </conditionalFormatting>
  <conditionalFormatting sqref="G54">
    <cfRule type="expression" dxfId="3282" priority="25">
      <formula>LEN(TRIM($G$54))&gt;0</formula>
    </cfRule>
  </conditionalFormatting>
  <conditionalFormatting sqref="G55">
    <cfRule type="expression" dxfId="3281" priority="24">
      <formula>LEN(TRIM($G$55))&gt;0</formula>
    </cfRule>
  </conditionalFormatting>
  <conditionalFormatting sqref="G56">
    <cfRule type="expression" dxfId="3280" priority="23">
      <formula>LEN(TRIM($G$56))&gt;0</formula>
    </cfRule>
  </conditionalFormatting>
  <conditionalFormatting sqref="G58:H58">
    <cfRule type="expression" dxfId="3279" priority="22">
      <formula>LEN(TRIM($G$58:$H$58))&gt;0</formula>
    </cfRule>
  </conditionalFormatting>
  <conditionalFormatting sqref="G59:H59">
    <cfRule type="expression" dxfId="3278" priority="21">
      <formula>LEN(TRIM($G$59:$H$59))&gt;0</formula>
    </cfRule>
  </conditionalFormatting>
  <conditionalFormatting sqref="G59:H59">
    <cfRule type="expression" dxfId="3277" priority="20">
      <formula>LEN(TRIM($G$59:$H$59))&gt;0</formula>
    </cfRule>
  </conditionalFormatting>
  <conditionalFormatting sqref="G51">
    <cfRule type="expression" dxfId="3276" priority="19">
      <formula>LEN(TRIM($G$51))&gt;0</formula>
    </cfRule>
  </conditionalFormatting>
  <conditionalFormatting sqref="G17">
    <cfRule type="expression" dxfId="3275" priority="13">
      <formula>AND($G$16&lt;&gt;INDEX(INDIRECT($E$16),2),LEN(TRIM($G$17))&gt;0)</formula>
    </cfRule>
  </conditionalFormatting>
  <conditionalFormatting sqref="G14 G16:G18 G21:G23 G25 G51:G56 G58:G59 G8:J11 G44:G48 G27:G28 G30:G37">
    <cfRule type="notContainsBlanks" dxfId="3274" priority="17">
      <formula>LEN(TRIM(G8))&gt;0</formula>
    </cfRule>
  </conditionalFormatting>
  <conditionalFormatting sqref="G18:J18">
    <cfRule type="expression" dxfId="3273" priority="16">
      <formula>AND($G$16&lt;&gt;INDEX(INDIRECT($E$16),2),LEN(TRIM($G$18))&gt;0)</formula>
    </cfRule>
  </conditionalFormatting>
  <conditionalFormatting sqref="G13:J13">
    <cfRule type="expression" dxfId="3272" priority="15">
      <formula>$M$13&lt;&gt;"!!"</formula>
    </cfRule>
  </conditionalFormatting>
  <conditionalFormatting sqref="G61:J61">
    <cfRule type="notContainsBlanks" dxfId="3271" priority="12">
      <formula>LEN(TRIM(G61))&gt;0</formula>
    </cfRule>
  </conditionalFormatting>
  <conditionalFormatting sqref="G38">
    <cfRule type="expression" dxfId="3270" priority="11">
      <formula>LEN(TRIM($G$33:$H$33))&gt;0</formula>
    </cfRule>
  </conditionalFormatting>
  <conditionalFormatting sqref="G38">
    <cfRule type="notContainsBlanks" dxfId="3269" priority="10">
      <formula>LEN(TRIM(G38))&gt;0</formula>
    </cfRule>
  </conditionalFormatting>
  <conditionalFormatting sqref="G38:H38">
    <cfRule type="expression" dxfId="3268" priority="9">
      <formula>OR(AND(G38=INDEX(INDIRECT(E38),3),OR(AND(NOT(ISBLANK(G35)),NOT(G35=INDEX(INDIRECT(E35),6))),AND(NOT(ISBLANK(G36)),NOT(G36=INDEX(INDIRECT(E36),6))),AND(NOT(ISBLANK(G37)),NOT(G37=INDEX(INDIRECT(E37),6))))),AND(OR(G38=INDEX(INDIRECT(E38),1),G38=INDEX(INDIRECT(E38),2)),AND(OR(ISBLANK(G35),G35=INDEX(INDIRECT(E35),6)),OR(ISBLANK(G36),G36=INDEX(INDIRECT(E36),6)),OR(ISBLANK(G37),G37=INDEX(INDIRECT(E37),6)))))</formula>
    </cfRule>
  </conditionalFormatting>
  <conditionalFormatting sqref="G34:I34">
    <cfRule type="expression" dxfId="3267" priority="8">
      <formula>OR(AND(G34=INDEX(INDIRECT(E34),3),OR(AND(NOT(ISBLANK(G30)),NOT(G30=INDEX(INDIRECT(E30),8))),AND(NOT(ISBLANK(G31)),NOT(G31=INDEX(INDIRECT(E31),8))),AND(NOT(ISBLANK(G32)),NOT(G32=INDEX(INDIRECT(E32),8))))),AND(OR(G34=INDEX(INDIRECT(E34),1),G34=INDEX(INDIRECT(E34),2)),AND(OR(ISBLANK(G30),G30=INDEX(INDIRECT(E30),8)),OR(ISBLANK(G31),G31=INDEX(INDIRECT(E31),8)),OR(ISBLANK(G32),G32=INDEX(INDIRECT(E32),8)))))</formula>
    </cfRule>
  </conditionalFormatting>
  <conditionalFormatting sqref="G40">
    <cfRule type="notContainsBlanks" dxfId="3266" priority="7">
      <formula>LEN(TRIM(G40))&gt;0</formula>
    </cfRule>
  </conditionalFormatting>
  <conditionalFormatting sqref="G41">
    <cfRule type="notContainsBlanks" dxfId="3265" priority="6">
      <formula>LEN(TRIM(G41))&gt;0</formula>
    </cfRule>
  </conditionalFormatting>
  <conditionalFormatting sqref="G42">
    <cfRule type="notContainsBlanks" dxfId="3264" priority="5">
      <formula>LEN(TRIM(G42))&gt;0</formula>
    </cfRule>
  </conditionalFormatting>
  <conditionalFormatting sqref="G43">
    <cfRule type="notContainsBlanks" dxfId="3263" priority="3">
      <formula>LEN(TRIM(G43))&gt;0</formula>
    </cfRule>
  </conditionalFormatting>
  <conditionalFormatting sqref="G17 G18">
    <cfRule type="expression" dxfId="3262" priority="18">
      <formula>IF($G$16=INDEX(ddSingleOrMulti,2),TRUE,FALSE)</formula>
    </cfRule>
  </conditionalFormatting>
  <conditionalFormatting sqref="A17:D17">
    <cfRule type="expression" dxfId="3261" priority="61">
      <formula>IF($G$16=INDEX(ddSingleOrMulti,2),TRUE,FALSE)</formula>
    </cfRule>
  </conditionalFormatting>
  <conditionalFormatting sqref="A18:D18">
    <cfRule type="expression" dxfId="3260" priority="60">
      <formula>IF($G$16=INDEX(ddSingleOrMulti,2),TRUE,FALSE)</formula>
    </cfRule>
  </conditionalFormatting>
  <conditionalFormatting sqref="G17">
    <cfRule type="expression" dxfId="3259" priority="58">
      <formula>NOT($G$16=INDEX(ddSingleOrMulti,2))</formula>
    </cfRule>
  </conditionalFormatting>
  <conditionalFormatting sqref="G18">
    <cfRule type="expression" dxfId="3258" priority="57">
      <formula>NOT($G$16=INDEX(ddSingleOrMulti,2))</formula>
    </cfRule>
  </conditionalFormatting>
  <conditionalFormatting sqref="G20">
    <cfRule type="notContainsBlanks" dxfId="3257" priority="1">
      <formula>LEN(TRIM(G20))&gt;0</formula>
    </cfRule>
  </conditionalFormatting>
  <dataValidations count="27">
    <dataValidation type="list" allowBlank="1" showInputMessage="1" showErrorMessage="1" error="Please use the dropdown." sqref="G16:H16" xr:uid="{00000000-0002-0000-0100-000000000000}">
      <formula1>INDIRECT($E$16)</formula1>
    </dataValidation>
    <dataValidation type="list" allowBlank="1" showInputMessage="1" showErrorMessage="1" error="Please use the dropdown." sqref="G28:J28" xr:uid="{00000000-0002-0000-0100-000001000000}">
      <formula1>INDIRECT($E$28)</formula1>
    </dataValidation>
    <dataValidation type="list" allowBlank="1" showInputMessage="1" showErrorMessage="1" error="Please use the dropdown." sqref="G30:I30" xr:uid="{00000000-0002-0000-0100-000002000000}">
      <formula1>INDIRECT($E$30)</formula1>
    </dataValidation>
    <dataValidation type="list" allowBlank="1" showInputMessage="1" showErrorMessage="1" error="Please use the dropdown." sqref="G31:I31" xr:uid="{00000000-0002-0000-0100-000003000000}">
      <formula1>INDIRECT($E$31)</formula1>
    </dataValidation>
    <dataValidation type="list" allowBlank="1" showInputMessage="1" showErrorMessage="1" error="Please use the dropdown." sqref="G32:I32" xr:uid="{00000000-0002-0000-0100-000004000000}">
      <formula1>INDIRECT($E$32)</formula1>
    </dataValidation>
    <dataValidation type="list" allowBlank="1" showInputMessage="1" showErrorMessage="1" error="Please use the dropdown." sqref="G33:I33" xr:uid="{00000000-0002-0000-0100-000005000000}">
      <formula1>INDIRECT($E$33)</formula1>
    </dataValidation>
    <dataValidation type="list" allowBlank="1" showInputMessage="1" showErrorMessage="1" error="Please use the dropdown." sqref="G44:H44" xr:uid="{00000000-0002-0000-0100-000006000000}">
      <formula1>INDIRECT($E$44)</formula1>
    </dataValidation>
    <dataValidation type="list" allowBlank="1" showInputMessage="1" showErrorMessage="1" error="Please use the dropdown." sqref="G45:I45" xr:uid="{00000000-0002-0000-0100-000007000000}">
      <formula1>INDIRECT($E$45)</formula1>
    </dataValidation>
    <dataValidation type="list" allowBlank="1" showInputMessage="1" showErrorMessage="1" error="Please use the dropdown." sqref="G46:H46" xr:uid="{00000000-0002-0000-0100-000008000000}">
      <formula1>INDIRECT($E$46)</formula1>
    </dataValidation>
    <dataValidation type="list" allowBlank="1" showInputMessage="1" showErrorMessage="1" error="Please use the dropdown." sqref="G47" xr:uid="{00000000-0002-0000-0100-000009000000}">
      <formula1>INDIRECT($E$47)</formula1>
    </dataValidation>
    <dataValidation type="list" allowBlank="1" showInputMessage="1" showErrorMessage="1" error="Please use the dropdown." sqref="G48" xr:uid="{00000000-0002-0000-0100-00000A000000}">
      <formula1>INDIRECT($E$48)</formula1>
    </dataValidation>
    <dataValidation type="list" allowBlank="1" showInputMessage="1" showErrorMessage="1" error="Please use the dropdown." sqref="G52" xr:uid="{00000000-0002-0000-0100-00000B000000}">
      <formula1>INDIRECT($E$52)</formula1>
    </dataValidation>
    <dataValidation type="list" allowBlank="1" showInputMessage="1" showErrorMessage="1" error="Please use the dropdown." sqref="G53" xr:uid="{00000000-0002-0000-0100-00000C000000}">
      <formula1>INDIRECT($E$53)</formula1>
    </dataValidation>
    <dataValidation type="list" allowBlank="1" showInputMessage="1" showErrorMessage="1" error="Please use the dropdown." sqref="G54" xr:uid="{00000000-0002-0000-0100-00000D000000}">
      <formula1>INDIRECT($E$54)</formula1>
    </dataValidation>
    <dataValidation type="list" allowBlank="1" showInputMessage="1" showErrorMessage="1" error="Please use the dropdown." sqref="G55" xr:uid="{00000000-0002-0000-0100-00000E000000}">
      <formula1>INDIRECT($E$55)</formula1>
    </dataValidation>
    <dataValidation type="list" allowBlank="1" showInputMessage="1" showErrorMessage="1" error="Please use the dropdown." sqref="G56" xr:uid="{00000000-0002-0000-0100-00000F000000}">
      <formula1>INDIRECT($E$56)</formula1>
    </dataValidation>
    <dataValidation type="list" allowBlank="1" showInputMessage="1" showErrorMessage="1" error="Please use the dropdown." sqref="G58:H58" xr:uid="{00000000-0002-0000-0100-000010000000}">
      <formula1>INDIRECT($E$58)</formula1>
    </dataValidation>
    <dataValidation type="list" allowBlank="1" showInputMessage="1" showErrorMessage="1" error="Please use the dropdown." sqref="G59:H59" xr:uid="{00000000-0002-0000-0100-000011000000}">
      <formula1>INDIRECT($E$59)</formula1>
    </dataValidation>
    <dataValidation type="list" allowBlank="1" showInputMessage="1" showErrorMessage="1" error="Please use the dropdown." sqref="G51" xr:uid="{00000000-0002-0000-0100-000012000000}">
      <formula1>INDIRECT($E$51)</formula1>
    </dataValidation>
    <dataValidation type="whole" allowBlank="1" showInputMessage="1" showErrorMessage="1" error="Must enter a whole number." sqref="G17" xr:uid="{00000000-0002-0000-0100-000013000000}">
      <formula1>0</formula1>
      <formula2>100000000000</formula2>
    </dataValidation>
    <dataValidation type="whole" allowBlank="1" showInputMessage="1" showErrorMessage="1" error="Enter a whole number between 1 and 1000." prompt="Enter the number of stories above grade." sqref="G23" xr:uid="{00000000-0002-0000-0100-000014000000}">
      <formula1>1</formula1>
      <formula2>1000</formula2>
    </dataValidation>
    <dataValidation type="list" allowBlank="1" showInputMessage="1" showErrorMessage="1" error="Please use the dropdown." sqref="G34:I34 G38:H38" xr:uid="{00000000-0002-0000-0100-000015000000}">
      <formula1>INDIRECT(E34)</formula1>
    </dataValidation>
    <dataValidation type="decimal" allowBlank="1" showInputMessage="1" showErrorMessage="1" error="Enter a decimal between 0 and 1." prompt="Enter the SHGC value." sqref="G40:G41" xr:uid="{00000000-0002-0000-0100-000016000000}">
      <formula1>0</formula1>
      <formula2>1</formula2>
    </dataValidation>
    <dataValidation type="decimal" allowBlank="1" showInputMessage="1" showErrorMessage="1" error="Enter a decimal between 0 and 1." prompt="Enter the U-value." sqref="G42:G43" xr:uid="{00000000-0002-0000-0100-000017000000}">
      <formula1>0</formula1>
      <formula2>1</formula2>
    </dataValidation>
    <dataValidation type="list" allowBlank="1" showInputMessage="1" showErrorMessage="1" error="Please use the dropdown." sqref="G35:I35" xr:uid="{00000000-0002-0000-0100-000018000000}">
      <formula1>INDIRECT($E$35)</formula1>
    </dataValidation>
    <dataValidation type="list" allowBlank="1" showInputMessage="1" showErrorMessage="1" error="Please use the dropdown." sqref="G36:I36" xr:uid="{00000000-0002-0000-0100-000019000000}">
      <formula1>INDIRECT($E$36)</formula1>
    </dataValidation>
    <dataValidation type="list" allowBlank="1" showInputMessage="1" showErrorMessage="1" error="Please use the dropdown." sqref="G37:I37" xr:uid="{00000000-0002-0000-0100-00001A000000}">
      <formula1>INDIRECT($E$37)</formula1>
    </dataValidation>
  </dataValidations>
  <hyperlinks>
    <hyperlink ref="A63:G63" location="'Ch5'!A1" display="CLICK TO PROCEED TO CHAPTER 5 &gt;&gt;" xr:uid="{00000000-0004-0000-0100-000000000000}"/>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 id="{BF6E4F97-0E9D-4B17-BFCE-97D9EE33CD91}">
            <xm:f>NOT(ISERROR(MATCH(G12,Geography!$J$2:$J$57,0)))</xm:f>
            <x14:dxf>
              <fill>
                <patternFill>
                  <bgColor rgb="FF92D050"/>
                </patternFill>
              </fill>
            </x14:dxf>
          </x14:cfRule>
          <xm:sqref>G12:J12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G12:J12</xm:sqref>
        </x14:dataValidation>
        <x14:dataValidation type="list" allowBlank="1" showInputMessage="1" showErrorMessage="1" xr:uid="{00000000-0002-0000-0100-00001C000000}">
          <x14:formula1>
            <xm:f>OFFSET(Geography!$C$2,MATCH($G$12,Geography!$A$2:$A$3146,0)-1,0,COUNTIF(Geography!$A$2:$A$3146,$G$12),1)</xm:f>
          </x14:formula1>
          <xm:sqref>G13:J13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202" hidden="1" customWidth="1"/>
    <col min="9" max="10" width="0" hidden="1" customWidth="1"/>
    <col min="13" max="13" width="18.6640625" customWidth="1"/>
    <col min="14" max="14" width="19" bestFit="1" customWidth="1"/>
  </cols>
  <sheetData>
    <row r="1" spans="1:10" x14ac:dyDescent="0.2">
      <c r="A1" s="562" t="s">
        <v>67</v>
      </c>
      <c r="B1" s="562" t="s">
        <v>181</v>
      </c>
      <c r="C1" s="562" t="s">
        <v>68</v>
      </c>
      <c r="D1" s="562" t="s">
        <v>182</v>
      </c>
      <c r="E1" s="562" t="s">
        <v>183</v>
      </c>
      <c r="F1" s="562" t="s">
        <v>184</v>
      </c>
      <c r="G1" s="562" t="s">
        <v>185</v>
      </c>
      <c r="H1" s="562" t="s">
        <v>186</v>
      </c>
      <c r="I1" s="562"/>
      <c r="J1" s="562" t="s">
        <v>67</v>
      </c>
    </row>
    <row r="2" spans="1:10" x14ac:dyDescent="0.2">
      <c r="A2" s="562" t="s">
        <v>187</v>
      </c>
      <c r="B2" s="562" t="s">
        <v>188</v>
      </c>
      <c r="C2" s="562" t="s">
        <v>189</v>
      </c>
      <c r="D2" s="562">
        <v>2</v>
      </c>
      <c r="E2" s="562">
        <v>3</v>
      </c>
      <c r="F2" s="562" t="s">
        <v>184</v>
      </c>
      <c r="G2" s="562" t="s">
        <v>190</v>
      </c>
      <c r="H2" s="562" t="s">
        <v>191</v>
      </c>
      <c r="I2" s="562"/>
      <c r="J2" s="562" t="s">
        <v>187</v>
      </c>
    </row>
    <row r="3" spans="1:10" x14ac:dyDescent="0.2">
      <c r="A3" s="562" t="s">
        <v>187</v>
      </c>
      <c r="B3" s="562" t="s">
        <v>188</v>
      </c>
      <c r="C3" s="562" t="s">
        <v>192</v>
      </c>
      <c r="D3" s="562">
        <v>3</v>
      </c>
      <c r="E3" s="562">
        <v>2</v>
      </c>
      <c r="F3" s="562" t="s">
        <v>184</v>
      </c>
      <c r="G3" s="562" t="s">
        <v>190</v>
      </c>
      <c r="H3" s="562" t="s">
        <v>191</v>
      </c>
      <c r="I3" s="562"/>
      <c r="J3" s="562" t="s">
        <v>193</v>
      </c>
    </row>
    <row r="4" spans="1:10" x14ac:dyDescent="0.2">
      <c r="A4" s="562" t="s">
        <v>187</v>
      </c>
      <c r="B4" s="562" t="s">
        <v>188</v>
      </c>
      <c r="C4" s="562" t="s">
        <v>194</v>
      </c>
      <c r="D4" s="562">
        <v>2</v>
      </c>
      <c r="E4" s="562">
        <v>3</v>
      </c>
      <c r="F4" s="562" t="s">
        <v>184</v>
      </c>
      <c r="G4" s="562" t="s">
        <v>190</v>
      </c>
      <c r="H4" s="562" t="s">
        <v>191</v>
      </c>
      <c r="I4" s="562"/>
      <c r="J4" s="562" t="s">
        <v>195</v>
      </c>
    </row>
    <row r="5" spans="1:10" x14ac:dyDescent="0.2">
      <c r="A5" s="562" t="s">
        <v>187</v>
      </c>
      <c r="B5" s="562" t="s">
        <v>188</v>
      </c>
      <c r="C5" s="562" t="s">
        <v>196</v>
      </c>
      <c r="D5" s="562">
        <v>2</v>
      </c>
      <c r="E5" s="562">
        <v>3</v>
      </c>
      <c r="F5" s="562" t="s">
        <v>184</v>
      </c>
      <c r="G5" s="562" t="s">
        <v>191</v>
      </c>
      <c r="H5" s="562" t="s">
        <v>191</v>
      </c>
      <c r="I5" s="562"/>
      <c r="J5" s="562" t="s">
        <v>197</v>
      </c>
    </row>
    <row r="6" spans="1:10" x14ac:dyDescent="0.2">
      <c r="A6" s="562" t="s">
        <v>187</v>
      </c>
      <c r="B6" s="562" t="s">
        <v>188</v>
      </c>
      <c r="C6" s="562" t="s">
        <v>198</v>
      </c>
      <c r="D6" s="562">
        <v>2</v>
      </c>
      <c r="E6" s="562">
        <v>3</v>
      </c>
      <c r="F6" s="562" t="s">
        <v>184</v>
      </c>
      <c r="G6" s="562" t="s">
        <v>191</v>
      </c>
      <c r="H6" s="562" t="s">
        <v>191</v>
      </c>
      <c r="I6" s="562"/>
      <c r="J6" s="562" t="s">
        <v>199</v>
      </c>
    </row>
    <row r="7" spans="1:10" x14ac:dyDescent="0.2">
      <c r="A7" s="562" t="s">
        <v>187</v>
      </c>
      <c r="B7" s="562" t="s">
        <v>188</v>
      </c>
      <c r="C7" s="562" t="s">
        <v>200</v>
      </c>
      <c r="D7" s="562">
        <v>2</v>
      </c>
      <c r="E7" s="562">
        <v>3</v>
      </c>
      <c r="F7" s="562" t="s">
        <v>184</v>
      </c>
      <c r="G7" s="562" t="s">
        <v>190</v>
      </c>
      <c r="H7" s="562" t="s">
        <v>191</v>
      </c>
      <c r="I7" s="562"/>
      <c r="J7" s="562" t="s">
        <v>201</v>
      </c>
    </row>
    <row r="8" spans="1:10" x14ac:dyDescent="0.2">
      <c r="A8" s="562" t="s">
        <v>187</v>
      </c>
      <c r="B8" s="562" t="s">
        <v>188</v>
      </c>
      <c r="C8" s="562" t="s">
        <v>202</v>
      </c>
      <c r="D8" s="562">
        <v>3</v>
      </c>
      <c r="E8" s="562">
        <v>3</v>
      </c>
      <c r="F8" s="562" t="s">
        <v>184</v>
      </c>
      <c r="G8" s="562" t="s">
        <v>190</v>
      </c>
      <c r="H8" s="562" t="s">
        <v>191</v>
      </c>
      <c r="I8" s="562"/>
      <c r="J8" s="562" t="s">
        <v>203</v>
      </c>
    </row>
    <row r="9" spans="1:10" x14ac:dyDescent="0.2">
      <c r="A9" s="562" t="s">
        <v>187</v>
      </c>
      <c r="B9" s="562" t="s">
        <v>188</v>
      </c>
      <c r="C9" s="562" t="s">
        <v>204</v>
      </c>
      <c r="D9" s="562">
        <v>1</v>
      </c>
      <c r="E9" s="562">
        <v>3</v>
      </c>
      <c r="F9" s="562" t="s">
        <v>184</v>
      </c>
      <c r="G9" s="562" t="s">
        <v>191</v>
      </c>
      <c r="H9" s="562" t="s">
        <v>191</v>
      </c>
      <c r="I9" s="562"/>
      <c r="J9" s="562" t="s">
        <v>205</v>
      </c>
    </row>
    <row r="10" spans="1:10" x14ac:dyDescent="0.2">
      <c r="A10" s="562" t="s">
        <v>187</v>
      </c>
      <c r="B10" s="562" t="s">
        <v>188</v>
      </c>
      <c r="C10" s="562" t="s">
        <v>206</v>
      </c>
      <c r="D10" s="562">
        <v>3</v>
      </c>
      <c r="E10" s="562">
        <v>3</v>
      </c>
      <c r="F10" s="562" t="s">
        <v>184</v>
      </c>
      <c r="G10" s="562" t="s">
        <v>191</v>
      </c>
      <c r="H10" s="562" t="s">
        <v>191</v>
      </c>
      <c r="I10" s="562"/>
      <c r="J10" s="562" t="s">
        <v>207</v>
      </c>
    </row>
    <row r="11" spans="1:10" x14ac:dyDescent="0.2">
      <c r="A11" s="562" t="s">
        <v>187</v>
      </c>
      <c r="B11" s="562" t="s">
        <v>188</v>
      </c>
      <c r="C11" s="562" t="s">
        <v>208</v>
      </c>
      <c r="D11" s="562">
        <v>2</v>
      </c>
      <c r="E11" s="562">
        <v>3</v>
      </c>
      <c r="F11" s="562" t="s">
        <v>184</v>
      </c>
      <c r="G11" s="562" t="s">
        <v>191</v>
      </c>
      <c r="H11" s="562" t="s">
        <v>191</v>
      </c>
      <c r="I11" s="562"/>
      <c r="J11" s="562" t="s">
        <v>209</v>
      </c>
    </row>
    <row r="12" spans="1:10" x14ac:dyDescent="0.2">
      <c r="A12" s="562" t="s">
        <v>187</v>
      </c>
      <c r="B12" s="562" t="s">
        <v>188</v>
      </c>
      <c r="C12" s="562" t="s">
        <v>210</v>
      </c>
      <c r="D12" s="562">
        <v>2</v>
      </c>
      <c r="E12" s="562">
        <v>3</v>
      </c>
      <c r="F12" s="562" t="s">
        <v>184</v>
      </c>
      <c r="G12" s="562" t="s">
        <v>191</v>
      </c>
      <c r="H12" s="562" t="s">
        <v>191</v>
      </c>
      <c r="I12" s="562"/>
      <c r="J12" s="562" t="s">
        <v>211</v>
      </c>
    </row>
    <row r="13" spans="1:10" x14ac:dyDescent="0.2">
      <c r="A13" s="562" t="s">
        <v>187</v>
      </c>
      <c r="B13" s="562" t="s">
        <v>188</v>
      </c>
      <c r="C13" s="562" t="s">
        <v>212</v>
      </c>
      <c r="D13" s="562">
        <v>3</v>
      </c>
      <c r="E13" s="562">
        <v>3</v>
      </c>
      <c r="F13" s="562" t="s">
        <v>184</v>
      </c>
      <c r="G13" s="562" t="s">
        <v>190</v>
      </c>
      <c r="H13" s="562" t="s">
        <v>191</v>
      </c>
      <c r="I13" s="562"/>
      <c r="J13" s="562" t="s">
        <v>213</v>
      </c>
    </row>
    <row r="14" spans="1:10" x14ac:dyDescent="0.2">
      <c r="A14" s="562" t="s">
        <v>187</v>
      </c>
      <c r="B14" s="562" t="s">
        <v>188</v>
      </c>
      <c r="C14" s="562" t="s">
        <v>214</v>
      </c>
      <c r="D14" s="562">
        <v>3</v>
      </c>
      <c r="E14" s="562">
        <v>3</v>
      </c>
      <c r="F14" s="562" t="s">
        <v>184</v>
      </c>
      <c r="G14" s="562" t="s">
        <v>190</v>
      </c>
      <c r="H14" s="562" t="s">
        <v>191</v>
      </c>
      <c r="I14" s="562"/>
      <c r="J14" s="562" t="s">
        <v>215</v>
      </c>
    </row>
    <row r="15" spans="1:10" x14ac:dyDescent="0.2">
      <c r="A15" s="562" t="s">
        <v>187</v>
      </c>
      <c r="B15" s="562" t="s">
        <v>188</v>
      </c>
      <c r="C15" s="562" t="s">
        <v>216</v>
      </c>
      <c r="D15" s="562">
        <v>1</v>
      </c>
      <c r="E15" s="562">
        <v>3</v>
      </c>
      <c r="F15" s="562" t="s">
        <v>184</v>
      </c>
      <c r="G15" s="562" t="s">
        <v>191</v>
      </c>
      <c r="H15" s="562" t="s">
        <v>191</v>
      </c>
      <c r="I15" s="562"/>
      <c r="J15" s="562" t="s">
        <v>217</v>
      </c>
    </row>
    <row r="16" spans="1:10" x14ac:dyDescent="0.2">
      <c r="A16" s="562" t="s">
        <v>187</v>
      </c>
      <c r="B16" s="562" t="s">
        <v>188</v>
      </c>
      <c r="C16" s="562" t="s">
        <v>218</v>
      </c>
      <c r="D16" s="562">
        <v>1</v>
      </c>
      <c r="E16" s="562">
        <v>3</v>
      </c>
      <c r="F16" s="562" t="s">
        <v>184</v>
      </c>
      <c r="G16" s="562" t="s">
        <v>191</v>
      </c>
      <c r="H16" s="562" t="s">
        <v>191</v>
      </c>
      <c r="I16" s="562"/>
      <c r="J16" s="562" t="s">
        <v>219</v>
      </c>
    </row>
    <row r="17" spans="1:10" x14ac:dyDescent="0.2">
      <c r="A17" s="562" t="s">
        <v>187</v>
      </c>
      <c r="B17" s="562" t="s">
        <v>188</v>
      </c>
      <c r="C17" s="562" t="s">
        <v>220</v>
      </c>
      <c r="D17" s="562">
        <v>3</v>
      </c>
      <c r="E17" s="562">
        <v>3</v>
      </c>
      <c r="F17" s="562" t="s">
        <v>184</v>
      </c>
      <c r="G17" s="562" t="s">
        <v>190</v>
      </c>
      <c r="H17" s="562" t="s">
        <v>191</v>
      </c>
      <c r="I17" s="562"/>
      <c r="J17" s="562" t="s">
        <v>221</v>
      </c>
    </row>
    <row r="18" spans="1:10" x14ac:dyDescent="0.2">
      <c r="A18" s="562" t="s">
        <v>187</v>
      </c>
      <c r="B18" s="562" t="s">
        <v>188</v>
      </c>
      <c r="C18" s="562" t="s">
        <v>222</v>
      </c>
      <c r="D18" s="562">
        <v>1</v>
      </c>
      <c r="E18" s="562">
        <v>3</v>
      </c>
      <c r="F18" s="562" t="s">
        <v>184</v>
      </c>
      <c r="G18" s="562" t="s">
        <v>191</v>
      </c>
      <c r="H18" s="562" t="s">
        <v>191</v>
      </c>
      <c r="I18" s="562"/>
      <c r="J18" s="562" t="s">
        <v>223</v>
      </c>
    </row>
    <row r="19" spans="1:10" x14ac:dyDescent="0.2">
      <c r="A19" s="562" t="s">
        <v>187</v>
      </c>
      <c r="B19" s="562" t="s">
        <v>188</v>
      </c>
      <c r="C19" s="562" t="s">
        <v>224</v>
      </c>
      <c r="D19" s="562">
        <v>3</v>
      </c>
      <c r="E19" s="562">
        <v>3</v>
      </c>
      <c r="F19" s="562" t="s">
        <v>184</v>
      </c>
      <c r="G19" s="562" t="s">
        <v>190</v>
      </c>
      <c r="H19" s="562" t="s">
        <v>191</v>
      </c>
      <c r="I19" s="562"/>
      <c r="J19" s="562" t="s">
        <v>225</v>
      </c>
    </row>
    <row r="20" spans="1:10" x14ac:dyDescent="0.2">
      <c r="A20" s="562" t="s">
        <v>187</v>
      </c>
      <c r="B20" s="562" t="s">
        <v>188</v>
      </c>
      <c r="C20" s="562" t="s">
        <v>226</v>
      </c>
      <c r="D20" s="562">
        <v>1</v>
      </c>
      <c r="E20" s="562">
        <v>3</v>
      </c>
      <c r="F20" s="562" t="s">
        <v>184</v>
      </c>
      <c r="G20" s="562" t="s">
        <v>191</v>
      </c>
      <c r="H20" s="562" t="s">
        <v>191</v>
      </c>
      <c r="I20" s="562"/>
      <c r="J20" s="562" t="s">
        <v>227</v>
      </c>
    </row>
    <row r="21" spans="1:10" x14ac:dyDescent="0.2">
      <c r="A21" s="562" t="s">
        <v>187</v>
      </c>
      <c r="B21" s="562" t="s">
        <v>188</v>
      </c>
      <c r="C21" s="562" t="s">
        <v>228</v>
      </c>
      <c r="D21" s="562">
        <v>3</v>
      </c>
      <c r="E21" s="562">
        <v>3</v>
      </c>
      <c r="F21" s="562" t="s">
        <v>184</v>
      </c>
      <c r="G21" s="562" t="s">
        <v>190</v>
      </c>
      <c r="H21" s="562" t="s">
        <v>191</v>
      </c>
      <c r="I21" s="562"/>
      <c r="J21" s="562" t="s">
        <v>229</v>
      </c>
    </row>
    <row r="22" spans="1:10" x14ac:dyDescent="0.2">
      <c r="A22" s="562" t="s">
        <v>187</v>
      </c>
      <c r="B22" s="562" t="s">
        <v>188</v>
      </c>
      <c r="C22" s="562" t="s">
        <v>230</v>
      </c>
      <c r="D22" s="562">
        <v>3</v>
      </c>
      <c r="E22" s="562">
        <v>3</v>
      </c>
      <c r="F22" s="562" t="s">
        <v>184</v>
      </c>
      <c r="G22" s="562" t="s">
        <v>190</v>
      </c>
      <c r="H22" s="562" t="s">
        <v>191</v>
      </c>
      <c r="I22" s="562"/>
      <c r="J22" s="562" t="s">
        <v>231</v>
      </c>
    </row>
    <row r="23" spans="1:10" x14ac:dyDescent="0.2">
      <c r="A23" s="562" t="s">
        <v>187</v>
      </c>
      <c r="B23" s="562" t="s">
        <v>188</v>
      </c>
      <c r="C23" s="562" t="s">
        <v>232</v>
      </c>
      <c r="D23" s="562">
        <v>2</v>
      </c>
      <c r="E23" s="562">
        <v>3</v>
      </c>
      <c r="F23" s="562" t="s">
        <v>184</v>
      </c>
      <c r="G23" s="562" t="s">
        <v>191</v>
      </c>
      <c r="H23" s="562" t="s">
        <v>191</v>
      </c>
      <c r="I23" s="562"/>
      <c r="J23" s="562" t="s">
        <v>233</v>
      </c>
    </row>
    <row r="24" spans="1:10" x14ac:dyDescent="0.2">
      <c r="A24" s="562" t="s">
        <v>187</v>
      </c>
      <c r="B24" s="562" t="s">
        <v>188</v>
      </c>
      <c r="C24" s="562" t="s">
        <v>234</v>
      </c>
      <c r="D24" s="562">
        <v>3</v>
      </c>
      <c r="E24" s="562">
        <v>3</v>
      </c>
      <c r="F24" s="562" t="s">
        <v>184</v>
      </c>
      <c r="G24" s="562" t="s">
        <v>190</v>
      </c>
      <c r="H24" s="562" t="s">
        <v>191</v>
      </c>
      <c r="I24" s="562"/>
      <c r="J24" s="562" t="s">
        <v>235</v>
      </c>
    </row>
    <row r="25" spans="1:10" x14ac:dyDescent="0.2">
      <c r="A25" s="562" t="s">
        <v>187</v>
      </c>
      <c r="B25" s="562" t="s">
        <v>188</v>
      </c>
      <c r="C25" s="562" t="s">
        <v>236</v>
      </c>
      <c r="D25" s="562">
        <v>2</v>
      </c>
      <c r="E25" s="562">
        <v>3</v>
      </c>
      <c r="F25" s="562" t="s">
        <v>184</v>
      </c>
      <c r="G25" s="562" t="s">
        <v>190</v>
      </c>
      <c r="H25" s="562" t="s">
        <v>191</v>
      </c>
      <c r="I25" s="562"/>
      <c r="J25" s="562" t="s">
        <v>237</v>
      </c>
    </row>
    <row r="26" spans="1:10" x14ac:dyDescent="0.2">
      <c r="A26" s="562" t="s">
        <v>187</v>
      </c>
      <c r="B26" s="562" t="s">
        <v>188</v>
      </c>
      <c r="C26" s="562" t="s">
        <v>238</v>
      </c>
      <c r="D26" s="562">
        <v>2</v>
      </c>
      <c r="E26" s="562">
        <v>3</v>
      </c>
      <c r="F26" s="562" t="s">
        <v>184</v>
      </c>
      <c r="G26" s="562" t="s">
        <v>191</v>
      </c>
      <c r="H26" s="562" t="s">
        <v>191</v>
      </c>
      <c r="I26" s="562"/>
      <c r="J26" s="562" t="s">
        <v>239</v>
      </c>
    </row>
    <row r="27" spans="1:10" x14ac:dyDescent="0.2">
      <c r="A27" s="562" t="s">
        <v>187</v>
      </c>
      <c r="B27" s="562" t="s">
        <v>188</v>
      </c>
      <c r="C27" s="562" t="s">
        <v>240</v>
      </c>
      <c r="D27" s="562">
        <v>2</v>
      </c>
      <c r="E27" s="562">
        <v>3</v>
      </c>
      <c r="F27" s="562" t="s">
        <v>184</v>
      </c>
      <c r="G27" s="562" t="s">
        <v>190</v>
      </c>
      <c r="H27" s="562" t="s">
        <v>191</v>
      </c>
      <c r="I27" s="562"/>
      <c r="J27" s="562" t="s">
        <v>241</v>
      </c>
    </row>
    <row r="28" spans="1:10" x14ac:dyDescent="0.2">
      <c r="A28" s="562" t="s">
        <v>187</v>
      </c>
      <c r="B28" s="562" t="s">
        <v>188</v>
      </c>
      <c r="C28" s="562" t="s">
        <v>242</v>
      </c>
      <c r="D28" s="562">
        <v>3</v>
      </c>
      <c r="E28" s="562">
        <v>3</v>
      </c>
      <c r="F28" s="562" t="s">
        <v>184</v>
      </c>
      <c r="G28" s="562" t="s">
        <v>190</v>
      </c>
      <c r="H28" s="562" t="s">
        <v>191</v>
      </c>
      <c r="I28" s="562"/>
      <c r="J28" s="562" t="s">
        <v>243</v>
      </c>
    </row>
    <row r="29" spans="1:10" x14ac:dyDescent="0.2">
      <c r="A29" s="562" t="s">
        <v>187</v>
      </c>
      <c r="B29" s="562" t="s">
        <v>188</v>
      </c>
      <c r="C29" s="562" t="s">
        <v>244</v>
      </c>
      <c r="D29" s="562">
        <v>2</v>
      </c>
      <c r="E29" s="562">
        <v>3</v>
      </c>
      <c r="F29" s="562" t="s">
        <v>184</v>
      </c>
      <c r="G29" s="562" t="s">
        <v>191</v>
      </c>
      <c r="H29" s="562" t="s">
        <v>191</v>
      </c>
      <c r="I29" s="562"/>
      <c r="J29" s="562" t="s">
        <v>245</v>
      </c>
    </row>
    <row r="30" spans="1:10" x14ac:dyDescent="0.2">
      <c r="A30" s="562" t="s">
        <v>187</v>
      </c>
      <c r="B30" s="562" t="s">
        <v>188</v>
      </c>
      <c r="C30" s="562" t="s">
        <v>246</v>
      </c>
      <c r="D30" s="562">
        <v>2</v>
      </c>
      <c r="E30" s="562">
        <v>3</v>
      </c>
      <c r="F30" s="562" t="s">
        <v>184</v>
      </c>
      <c r="G30" s="562" t="s">
        <v>191</v>
      </c>
      <c r="H30" s="562" t="s">
        <v>191</v>
      </c>
      <c r="I30" s="562"/>
      <c r="J30" s="562" t="s">
        <v>247</v>
      </c>
    </row>
    <row r="31" spans="1:10" x14ac:dyDescent="0.2">
      <c r="A31" s="562" t="s">
        <v>187</v>
      </c>
      <c r="B31" s="562" t="s">
        <v>188</v>
      </c>
      <c r="C31" s="562" t="s">
        <v>248</v>
      </c>
      <c r="D31" s="562">
        <v>1</v>
      </c>
      <c r="E31" s="562">
        <v>3</v>
      </c>
      <c r="F31" s="562" t="s">
        <v>184</v>
      </c>
      <c r="G31" s="562" t="s">
        <v>191</v>
      </c>
      <c r="H31" s="562" t="s">
        <v>191</v>
      </c>
      <c r="I31" s="562"/>
      <c r="J31" s="562" t="s">
        <v>249</v>
      </c>
    </row>
    <row r="32" spans="1:10" x14ac:dyDescent="0.2">
      <c r="A32" s="562" t="s">
        <v>187</v>
      </c>
      <c r="B32" s="562" t="s">
        <v>188</v>
      </c>
      <c r="C32" s="562" t="s">
        <v>250</v>
      </c>
      <c r="D32" s="562">
        <v>3</v>
      </c>
      <c r="E32" s="562">
        <v>3</v>
      </c>
      <c r="F32" s="562" t="s">
        <v>184</v>
      </c>
      <c r="G32" s="562" t="s">
        <v>190</v>
      </c>
      <c r="H32" s="562" t="s">
        <v>191</v>
      </c>
      <c r="I32" s="562"/>
      <c r="J32" s="562" t="s">
        <v>251</v>
      </c>
    </row>
    <row r="33" spans="1:10" x14ac:dyDescent="0.2">
      <c r="A33" s="562" t="s">
        <v>187</v>
      </c>
      <c r="B33" s="562" t="s">
        <v>188</v>
      </c>
      <c r="C33" s="562" t="s">
        <v>252</v>
      </c>
      <c r="D33" s="562">
        <v>2</v>
      </c>
      <c r="E33" s="562">
        <v>3</v>
      </c>
      <c r="F33" s="562" t="s">
        <v>184</v>
      </c>
      <c r="G33" s="562" t="s">
        <v>191</v>
      </c>
      <c r="H33" s="562" t="s">
        <v>191</v>
      </c>
      <c r="I33" s="562"/>
      <c r="J33" s="562" t="s">
        <v>253</v>
      </c>
    </row>
    <row r="34" spans="1:10" x14ac:dyDescent="0.2">
      <c r="A34" s="562" t="s">
        <v>187</v>
      </c>
      <c r="B34" s="562" t="s">
        <v>188</v>
      </c>
      <c r="C34" s="562" t="s">
        <v>254</v>
      </c>
      <c r="D34" s="562">
        <v>2</v>
      </c>
      <c r="E34" s="562">
        <v>3</v>
      </c>
      <c r="F34" s="562" t="s">
        <v>184</v>
      </c>
      <c r="G34" s="562" t="s">
        <v>191</v>
      </c>
      <c r="H34" s="562" t="s">
        <v>191</v>
      </c>
      <c r="I34" s="562"/>
      <c r="J34" s="562" t="s">
        <v>255</v>
      </c>
    </row>
    <row r="35" spans="1:10" x14ac:dyDescent="0.2">
      <c r="A35" s="562" t="s">
        <v>187</v>
      </c>
      <c r="B35" s="562" t="s">
        <v>188</v>
      </c>
      <c r="C35" s="562" t="s">
        <v>256</v>
      </c>
      <c r="D35" s="562">
        <v>3</v>
      </c>
      <c r="E35" s="562">
        <v>3</v>
      </c>
      <c r="F35" s="562" t="s">
        <v>184</v>
      </c>
      <c r="G35" s="562" t="s">
        <v>190</v>
      </c>
      <c r="H35" s="562" t="s">
        <v>191</v>
      </c>
      <c r="I35" s="562"/>
      <c r="J35" s="562" t="s">
        <v>66</v>
      </c>
    </row>
    <row r="36" spans="1:10" x14ac:dyDescent="0.2">
      <c r="A36" s="562" t="s">
        <v>187</v>
      </c>
      <c r="B36" s="562" t="s">
        <v>188</v>
      </c>
      <c r="C36" s="562" t="s">
        <v>257</v>
      </c>
      <c r="D36" s="562">
        <v>3</v>
      </c>
      <c r="E36" s="562">
        <v>3</v>
      </c>
      <c r="F36" s="562" t="s">
        <v>184</v>
      </c>
      <c r="G36" s="562" t="s">
        <v>190</v>
      </c>
      <c r="H36" s="562" t="s">
        <v>191</v>
      </c>
      <c r="I36" s="562"/>
      <c r="J36" s="562" t="s">
        <v>258</v>
      </c>
    </row>
    <row r="37" spans="1:10" x14ac:dyDescent="0.2">
      <c r="A37" s="562" t="s">
        <v>187</v>
      </c>
      <c r="B37" s="562" t="s">
        <v>188</v>
      </c>
      <c r="C37" s="562" t="s">
        <v>259</v>
      </c>
      <c r="D37" s="562">
        <v>1</v>
      </c>
      <c r="E37" s="562">
        <v>3</v>
      </c>
      <c r="F37" s="562" t="s">
        <v>184</v>
      </c>
      <c r="G37" s="562" t="s">
        <v>191</v>
      </c>
      <c r="H37" s="562" t="s">
        <v>191</v>
      </c>
      <c r="I37" s="562"/>
      <c r="J37" s="562" t="s">
        <v>260</v>
      </c>
    </row>
    <row r="38" spans="1:10" x14ac:dyDescent="0.2">
      <c r="A38" s="562" t="s">
        <v>187</v>
      </c>
      <c r="B38" s="562" t="s">
        <v>188</v>
      </c>
      <c r="C38" s="562" t="s">
        <v>261</v>
      </c>
      <c r="D38" s="562">
        <v>2</v>
      </c>
      <c r="E38" s="562">
        <v>3</v>
      </c>
      <c r="F38" s="562" t="s">
        <v>184</v>
      </c>
      <c r="G38" s="562" t="s">
        <v>191</v>
      </c>
      <c r="H38" s="562" t="s">
        <v>191</v>
      </c>
      <c r="I38" s="562"/>
      <c r="J38" s="562" t="s">
        <v>262</v>
      </c>
    </row>
    <row r="39" spans="1:10" x14ac:dyDescent="0.2">
      <c r="A39" s="562" t="s">
        <v>187</v>
      </c>
      <c r="B39" s="562" t="s">
        <v>188</v>
      </c>
      <c r="C39" s="562" t="s">
        <v>263</v>
      </c>
      <c r="D39" s="562">
        <v>2</v>
      </c>
      <c r="E39" s="562">
        <v>3</v>
      </c>
      <c r="F39" s="562" t="s">
        <v>184</v>
      </c>
      <c r="G39" s="562" t="s">
        <v>191</v>
      </c>
      <c r="H39" s="562" t="s">
        <v>191</v>
      </c>
      <c r="I39" s="562"/>
      <c r="J39" s="562" t="s">
        <v>264</v>
      </c>
    </row>
    <row r="40" spans="1:10" x14ac:dyDescent="0.2">
      <c r="A40" s="562" t="s">
        <v>187</v>
      </c>
      <c r="B40" s="562" t="s">
        <v>188</v>
      </c>
      <c r="C40" s="562" t="s">
        <v>265</v>
      </c>
      <c r="D40" s="562">
        <v>1</v>
      </c>
      <c r="E40" s="562">
        <v>3</v>
      </c>
      <c r="F40" s="562" t="s">
        <v>184</v>
      </c>
      <c r="G40" s="562" t="s">
        <v>191</v>
      </c>
      <c r="H40" s="562" t="s">
        <v>191</v>
      </c>
      <c r="I40" s="562"/>
      <c r="J40" s="562" t="s">
        <v>266</v>
      </c>
    </row>
    <row r="41" spans="1:10" x14ac:dyDescent="0.2">
      <c r="A41" s="562" t="s">
        <v>187</v>
      </c>
      <c r="B41" s="562" t="s">
        <v>188</v>
      </c>
      <c r="C41" s="562" t="s">
        <v>267</v>
      </c>
      <c r="D41" s="562">
        <v>1</v>
      </c>
      <c r="E41" s="562">
        <v>3</v>
      </c>
      <c r="F41" s="562" t="s">
        <v>184</v>
      </c>
      <c r="G41" s="562" t="s">
        <v>191</v>
      </c>
      <c r="H41" s="562" t="s">
        <v>191</v>
      </c>
      <c r="I41" s="562"/>
      <c r="J41" s="562" t="s">
        <v>268</v>
      </c>
    </row>
    <row r="42" spans="1:10" x14ac:dyDescent="0.2">
      <c r="A42" s="562" t="s">
        <v>187</v>
      </c>
      <c r="B42" s="562" t="s">
        <v>188</v>
      </c>
      <c r="C42" s="562" t="s">
        <v>269</v>
      </c>
      <c r="D42" s="562">
        <v>2</v>
      </c>
      <c r="E42" s="562">
        <v>3</v>
      </c>
      <c r="F42" s="562" t="s">
        <v>184</v>
      </c>
      <c r="G42" s="562" t="s">
        <v>191</v>
      </c>
      <c r="H42" s="562" t="s">
        <v>191</v>
      </c>
      <c r="I42" s="562"/>
      <c r="J42" s="562" t="s">
        <v>270</v>
      </c>
    </row>
    <row r="43" spans="1:10" x14ac:dyDescent="0.2">
      <c r="A43" s="562" t="s">
        <v>187</v>
      </c>
      <c r="B43" s="562" t="s">
        <v>188</v>
      </c>
      <c r="C43" s="562" t="s">
        <v>271</v>
      </c>
      <c r="D43" s="562">
        <v>1</v>
      </c>
      <c r="E43" s="562">
        <v>3</v>
      </c>
      <c r="F43" s="562" t="s">
        <v>184</v>
      </c>
      <c r="G43" s="562" t="s">
        <v>191</v>
      </c>
      <c r="H43" s="562" t="s">
        <v>191</v>
      </c>
      <c r="I43" s="562"/>
      <c r="J43" s="562" t="s">
        <v>272</v>
      </c>
    </row>
    <row r="44" spans="1:10" x14ac:dyDescent="0.2">
      <c r="A44" s="562" t="s">
        <v>187</v>
      </c>
      <c r="B44" s="562" t="s">
        <v>188</v>
      </c>
      <c r="C44" s="562" t="s">
        <v>273</v>
      </c>
      <c r="D44" s="562">
        <v>2</v>
      </c>
      <c r="E44" s="562">
        <v>3</v>
      </c>
      <c r="F44" s="562" t="s">
        <v>184</v>
      </c>
      <c r="G44" s="562" t="s">
        <v>190</v>
      </c>
      <c r="H44" s="562" t="s">
        <v>191</v>
      </c>
      <c r="I44" s="562"/>
      <c r="J44" s="562" t="s">
        <v>274</v>
      </c>
    </row>
    <row r="45" spans="1:10" x14ac:dyDescent="0.2">
      <c r="A45" s="562" t="s">
        <v>187</v>
      </c>
      <c r="B45" s="562" t="s">
        <v>188</v>
      </c>
      <c r="C45" s="562" t="s">
        <v>275</v>
      </c>
      <c r="D45" s="562">
        <v>2</v>
      </c>
      <c r="E45" s="562">
        <v>3</v>
      </c>
      <c r="F45" s="562" t="s">
        <v>184</v>
      </c>
      <c r="G45" s="562" t="s">
        <v>190</v>
      </c>
      <c r="H45" s="562" t="s">
        <v>191</v>
      </c>
      <c r="I45" s="562"/>
      <c r="J45" s="562" t="s">
        <v>276</v>
      </c>
    </row>
    <row r="46" spans="1:10" x14ac:dyDescent="0.2">
      <c r="A46" s="562" t="s">
        <v>187</v>
      </c>
      <c r="B46" s="562" t="s">
        <v>188</v>
      </c>
      <c r="C46" s="562" t="s">
        <v>277</v>
      </c>
      <c r="D46" s="562">
        <v>1</v>
      </c>
      <c r="E46" s="562">
        <v>3</v>
      </c>
      <c r="F46" s="562" t="s">
        <v>184</v>
      </c>
      <c r="G46" s="562" t="s">
        <v>191</v>
      </c>
      <c r="H46" s="562" t="s">
        <v>191</v>
      </c>
      <c r="I46" s="562"/>
      <c r="J46" s="562" t="s">
        <v>278</v>
      </c>
    </row>
    <row r="47" spans="1:10" x14ac:dyDescent="0.2">
      <c r="A47" s="562" t="s">
        <v>187</v>
      </c>
      <c r="B47" s="562" t="s">
        <v>188</v>
      </c>
      <c r="C47" s="562" t="s">
        <v>279</v>
      </c>
      <c r="D47" s="562">
        <v>3</v>
      </c>
      <c r="E47" s="562">
        <v>3</v>
      </c>
      <c r="F47" s="562" t="s">
        <v>184</v>
      </c>
      <c r="G47" s="562" t="s">
        <v>190</v>
      </c>
      <c r="H47" s="562" t="s">
        <v>191</v>
      </c>
      <c r="I47" s="562"/>
      <c r="J47" s="562" t="s">
        <v>280</v>
      </c>
    </row>
    <row r="48" spans="1:10" x14ac:dyDescent="0.2">
      <c r="A48" s="562" t="s">
        <v>187</v>
      </c>
      <c r="B48" s="562" t="s">
        <v>188</v>
      </c>
      <c r="C48" s="562" t="s">
        <v>281</v>
      </c>
      <c r="D48" s="562">
        <v>2</v>
      </c>
      <c r="E48" s="562">
        <v>3</v>
      </c>
      <c r="F48" s="562" t="s">
        <v>184</v>
      </c>
      <c r="G48" s="562" t="s">
        <v>191</v>
      </c>
      <c r="H48" s="562" t="s">
        <v>191</v>
      </c>
      <c r="I48" s="562"/>
      <c r="J48" s="562" t="s">
        <v>282</v>
      </c>
    </row>
    <row r="49" spans="1:10" x14ac:dyDescent="0.2">
      <c r="A49" s="562" t="s">
        <v>187</v>
      </c>
      <c r="B49" s="562" t="s">
        <v>188</v>
      </c>
      <c r="C49" s="562" t="s">
        <v>283</v>
      </c>
      <c r="D49" s="562">
        <v>2</v>
      </c>
      <c r="E49" s="562">
        <v>3</v>
      </c>
      <c r="F49" s="562" t="s">
        <v>184</v>
      </c>
      <c r="G49" s="562" t="s">
        <v>191</v>
      </c>
      <c r="H49" s="562" t="s">
        <v>191</v>
      </c>
      <c r="I49" s="562"/>
      <c r="J49" s="562" t="s">
        <v>284</v>
      </c>
    </row>
    <row r="50" spans="1:10" x14ac:dyDescent="0.2">
      <c r="A50" s="562" t="s">
        <v>187</v>
      </c>
      <c r="B50" s="562" t="s">
        <v>188</v>
      </c>
      <c r="C50" s="562" t="s">
        <v>285</v>
      </c>
      <c r="D50" s="562">
        <v>3</v>
      </c>
      <c r="E50" s="562">
        <v>2</v>
      </c>
      <c r="F50" s="562" t="s">
        <v>184</v>
      </c>
      <c r="G50" s="562" t="s">
        <v>190</v>
      </c>
      <c r="H50" s="562" t="s">
        <v>191</v>
      </c>
      <c r="I50" s="562"/>
      <c r="J50" s="562" t="s">
        <v>286</v>
      </c>
    </row>
    <row r="51" spans="1:10" x14ac:dyDescent="0.2">
      <c r="A51" s="562" t="s">
        <v>187</v>
      </c>
      <c r="B51" s="562" t="s">
        <v>188</v>
      </c>
      <c r="C51" s="562" t="s">
        <v>287</v>
      </c>
      <c r="D51" s="562">
        <v>3</v>
      </c>
      <c r="E51" s="562">
        <v>3</v>
      </c>
      <c r="F51" s="562" t="s">
        <v>184</v>
      </c>
      <c r="G51" s="562" t="s">
        <v>190</v>
      </c>
      <c r="H51" s="562" t="s">
        <v>191</v>
      </c>
      <c r="I51" s="562"/>
      <c r="J51" s="562" t="s">
        <v>288</v>
      </c>
    </row>
    <row r="52" spans="1:10" x14ac:dyDescent="0.2">
      <c r="A52" s="562" t="s">
        <v>187</v>
      </c>
      <c r="B52" s="562" t="s">
        <v>188</v>
      </c>
      <c r="C52" s="562" t="s">
        <v>289</v>
      </c>
      <c r="D52" s="562">
        <v>2</v>
      </c>
      <c r="E52" s="562">
        <v>3</v>
      </c>
      <c r="F52" s="562" t="s">
        <v>184</v>
      </c>
      <c r="G52" s="562" t="s">
        <v>190</v>
      </c>
      <c r="H52" s="562" t="s">
        <v>191</v>
      </c>
      <c r="I52" s="562"/>
      <c r="J52" s="562" t="s">
        <v>290</v>
      </c>
    </row>
    <row r="53" spans="1:10" x14ac:dyDescent="0.2">
      <c r="A53" s="562" t="s">
        <v>187</v>
      </c>
      <c r="B53" s="562" t="s">
        <v>188</v>
      </c>
      <c r="C53" s="562" t="s">
        <v>291</v>
      </c>
      <c r="D53" s="562">
        <v>1</v>
      </c>
      <c r="E53" s="562">
        <v>3</v>
      </c>
      <c r="F53" s="562" t="s">
        <v>184</v>
      </c>
      <c r="G53" s="562" t="s">
        <v>191</v>
      </c>
      <c r="H53" s="562" t="s">
        <v>191</v>
      </c>
      <c r="I53" s="562"/>
      <c r="J53" s="562" t="s">
        <v>292</v>
      </c>
    </row>
    <row r="54" spans="1:10" x14ac:dyDescent="0.2">
      <c r="A54" s="562" t="s">
        <v>187</v>
      </c>
      <c r="B54" s="562" t="s">
        <v>188</v>
      </c>
      <c r="C54" s="562" t="s">
        <v>293</v>
      </c>
      <c r="D54" s="562">
        <v>2</v>
      </c>
      <c r="E54" s="562">
        <v>3</v>
      </c>
      <c r="F54" s="562" t="s">
        <v>184</v>
      </c>
      <c r="G54" s="562" t="s">
        <v>190</v>
      </c>
      <c r="H54" s="562" t="s">
        <v>191</v>
      </c>
      <c r="I54" s="562"/>
      <c r="J54" s="562" t="s">
        <v>294</v>
      </c>
    </row>
    <row r="55" spans="1:10" x14ac:dyDescent="0.2">
      <c r="A55" s="562" t="s">
        <v>187</v>
      </c>
      <c r="B55" s="562" t="s">
        <v>188</v>
      </c>
      <c r="C55" s="562" t="s">
        <v>295</v>
      </c>
      <c r="D55" s="562">
        <v>2</v>
      </c>
      <c r="E55" s="562">
        <v>3</v>
      </c>
      <c r="F55" s="562" t="s">
        <v>184</v>
      </c>
      <c r="G55" s="562" t="s">
        <v>191</v>
      </c>
      <c r="H55" s="562" t="s">
        <v>191</v>
      </c>
      <c r="I55" s="562"/>
      <c r="J55" s="562" t="s">
        <v>296</v>
      </c>
    </row>
    <row r="56" spans="1:10" x14ac:dyDescent="0.2">
      <c r="A56" s="562" t="s">
        <v>187</v>
      </c>
      <c r="B56" s="562" t="s">
        <v>188</v>
      </c>
      <c r="C56" s="562" t="s">
        <v>297</v>
      </c>
      <c r="D56" s="562">
        <v>3</v>
      </c>
      <c r="E56" s="562">
        <v>3</v>
      </c>
      <c r="F56" s="562" t="s">
        <v>184</v>
      </c>
      <c r="G56" s="562" t="s">
        <v>190</v>
      </c>
      <c r="H56" s="562" t="s">
        <v>191</v>
      </c>
      <c r="I56" s="562"/>
      <c r="J56" s="562" t="s">
        <v>298</v>
      </c>
    </row>
    <row r="57" spans="1:10" x14ac:dyDescent="0.2">
      <c r="A57" s="562" t="s">
        <v>187</v>
      </c>
      <c r="B57" s="562" t="s">
        <v>188</v>
      </c>
      <c r="C57" s="562" t="s">
        <v>299</v>
      </c>
      <c r="D57" s="562">
        <v>2</v>
      </c>
      <c r="E57" s="562">
        <v>3</v>
      </c>
      <c r="F57" s="562" t="s">
        <v>184</v>
      </c>
      <c r="G57" s="562" t="s">
        <v>191</v>
      </c>
      <c r="H57" s="562" t="s">
        <v>191</v>
      </c>
      <c r="I57" s="562"/>
      <c r="J57" s="562" t="s">
        <v>300</v>
      </c>
    </row>
    <row r="58" spans="1:10" x14ac:dyDescent="0.2">
      <c r="A58" s="562" t="s">
        <v>187</v>
      </c>
      <c r="B58" s="562" t="s">
        <v>188</v>
      </c>
      <c r="C58" s="562" t="s">
        <v>301</v>
      </c>
      <c r="D58" s="562">
        <v>2</v>
      </c>
      <c r="E58" s="562">
        <v>3</v>
      </c>
      <c r="F58" s="562" t="s">
        <v>184</v>
      </c>
      <c r="G58" s="562" t="s">
        <v>190</v>
      </c>
      <c r="H58" s="562" t="s">
        <v>191</v>
      </c>
      <c r="I58" s="562"/>
      <c r="J58" s="562"/>
    </row>
    <row r="59" spans="1:10" x14ac:dyDescent="0.2">
      <c r="A59" s="562" t="s">
        <v>187</v>
      </c>
      <c r="B59" s="562" t="s">
        <v>188</v>
      </c>
      <c r="C59" s="562" t="s">
        <v>302</v>
      </c>
      <c r="D59" s="562">
        <v>2</v>
      </c>
      <c r="E59" s="562">
        <v>3</v>
      </c>
      <c r="F59" s="562" t="s">
        <v>184</v>
      </c>
      <c r="G59" s="562" t="s">
        <v>191</v>
      </c>
      <c r="H59" s="562" t="s">
        <v>191</v>
      </c>
      <c r="I59" s="562"/>
      <c r="J59" s="562"/>
    </row>
    <row r="60" spans="1:10" x14ac:dyDescent="0.2">
      <c r="A60" s="562" t="s">
        <v>187</v>
      </c>
      <c r="B60" s="562" t="s">
        <v>188</v>
      </c>
      <c r="C60" s="562" t="s">
        <v>303</v>
      </c>
      <c r="D60" s="562">
        <v>2</v>
      </c>
      <c r="E60" s="562">
        <v>3</v>
      </c>
      <c r="F60" s="562" t="s">
        <v>184</v>
      </c>
      <c r="G60" s="562" t="s">
        <v>191</v>
      </c>
      <c r="H60" s="562" t="s">
        <v>191</v>
      </c>
      <c r="I60" s="562"/>
      <c r="J60" s="562"/>
    </row>
    <row r="61" spans="1:10" x14ac:dyDescent="0.2">
      <c r="A61" s="562" t="s">
        <v>187</v>
      </c>
      <c r="B61" s="562" t="s">
        <v>188</v>
      </c>
      <c r="C61" s="562" t="s">
        <v>304</v>
      </c>
      <c r="D61" s="562">
        <v>2</v>
      </c>
      <c r="E61" s="562">
        <v>3</v>
      </c>
      <c r="F61" s="562" t="s">
        <v>184</v>
      </c>
      <c r="G61" s="562" t="s">
        <v>191</v>
      </c>
      <c r="H61" s="562" t="s">
        <v>191</v>
      </c>
      <c r="I61" s="562"/>
      <c r="J61" s="562"/>
    </row>
    <row r="62" spans="1:10" x14ac:dyDescent="0.2">
      <c r="A62" s="562" t="s">
        <v>187</v>
      </c>
      <c r="B62" s="562" t="s">
        <v>188</v>
      </c>
      <c r="C62" s="562" t="s">
        <v>305</v>
      </c>
      <c r="D62" s="562">
        <v>1</v>
      </c>
      <c r="E62" s="562">
        <v>3</v>
      </c>
      <c r="F62" s="562" t="s">
        <v>184</v>
      </c>
      <c r="G62" s="562" t="s">
        <v>191</v>
      </c>
      <c r="H62" s="562" t="s">
        <v>191</v>
      </c>
      <c r="I62" s="562"/>
      <c r="J62" s="562"/>
    </row>
    <row r="63" spans="1:10" x14ac:dyDescent="0.2">
      <c r="A63" s="562" t="s">
        <v>187</v>
      </c>
      <c r="B63" s="562" t="s">
        <v>188</v>
      </c>
      <c r="C63" s="562" t="s">
        <v>306</v>
      </c>
      <c r="D63" s="562">
        <v>3</v>
      </c>
      <c r="E63" s="562">
        <v>3</v>
      </c>
      <c r="F63" s="562" t="s">
        <v>184</v>
      </c>
      <c r="G63" s="562" t="s">
        <v>191</v>
      </c>
      <c r="H63" s="562" t="s">
        <v>191</v>
      </c>
      <c r="I63" s="562"/>
      <c r="J63" s="562"/>
    </row>
    <row r="64" spans="1:10" x14ac:dyDescent="0.2">
      <c r="A64" s="562" t="s">
        <v>187</v>
      </c>
      <c r="B64" s="562" t="s">
        <v>188</v>
      </c>
      <c r="C64" s="562" t="s">
        <v>307</v>
      </c>
      <c r="D64" s="562">
        <v>2</v>
      </c>
      <c r="E64" s="562">
        <v>3</v>
      </c>
      <c r="F64" s="562" t="s">
        <v>184</v>
      </c>
      <c r="G64" s="562" t="s">
        <v>191</v>
      </c>
      <c r="H64" s="562" t="s">
        <v>191</v>
      </c>
      <c r="I64" s="562"/>
      <c r="J64" s="562"/>
    </row>
    <row r="65" spans="1:8" x14ac:dyDescent="0.2">
      <c r="A65" s="562" t="s">
        <v>187</v>
      </c>
      <c r="B65" s="562" t="s">
        <v>188</v>
      </c>
      <c r="C65" s="562" t="s">
        <v>308</v>
      </c>
      <c r="D65" s="562">
        <v>2</v>
      </c>
      <c r="E65" s="562">
        <v>3</v>
      </c>
      <c r="F65" s="562" t="s">
        <v>184</v>
      </c>
      <c r="G65" s="562" t="s">
        <v>191</v>
      </c>
      <c r="H65" s="562" t="s">
        <v>191</v>
      </c>
    </row>
    <row r="66" spans="1:8" x14ac:dyDescent="0.2">
      <c r="A66" s="562" t="s">
        <v>187</v>
      </c>
      <c r="B66" s="562" t="s">
        <v>188</v>
      </c>
      <c r="C66" s="562" t="s">
        <v>309</v>
      </c>
      <c r="D66" s="562">
        <v>3</v>
      </c>
      <c r="E66" s="562">
        <v>3</v>
      </c>
      <c r="F66" s="562" t="s">
        <v>184</v>
      </c>
      <c r="G66" s="562" t="s">
        <v>190</v>
      </c>
      <c r="H66" s="562" t="s">
        <v>191</v>
      </c>
    </row>
    <row r="67" spans="1:8" x14ac:dyDescent="0.2">
      <c r="A67" s="562" t="s">
        <v>187</v>
      </c>
      <c r="B67" s="562" t="s">
        <v>188</v>
      </c>
      <c r="C67" s="562" t="s">
        <v>310</v>
      </c>
      <c r="D67" s="562">
        <v>3</v>
      </c>
      <c r="E67" s="562">
        <v>3</v>
      </c>
      <c r="F67" s="562" t="s">
        <v>184</v>
      </c>
      <c r="G67" s="562" t="s">
        <v>190</v>
      </c>
      <c r="H67" s="562" t="s">
        <v>191</v>
      </c>
    </row>
    <row r="68" spans="1:8" x14ac:dyDescent="0.2">
      <c r="A68" s="562" t="s">
        <v>187</v>
      </c>
      <c r="B68" s="562" t="s">
        <v>188</v>
      </c>
      <c r="C68" s="562" t="s">
        <v>311</v>
      </c>
      <c r="D68" s="562">
        <v>2</v>
      </c>
      <c r="E68" s="562">
        <v>3</v>
      </c>
      <c r="F68" s="562" t="s">
        <v>184</v>
      </c>
      <c r="G68" s="562" t="s">
        <v>191</v>
      </c>
      <c r="H68" s="562" t="s">
        <v>191</v>
      </c>
    </row>
    <row r="69" spans="1:8" x14ac:dyDescent="0.2">
      <c r="A69" s="562" t="s">
        <v>193</v>
      </c>
      <c r="B69" s="562" t="s">
        <v>312</v>
      </c>
      <c r="C69" s="562" t="s">
        <v>313</v>
      </c>
      <c r="D69" s="562">
        <v>3</v>
      </c>
      <c r="E69" s="562">
        <v>7</v>
      </c>
      <c r="F69" s="562" t="s">
        <v>191</v>
      </c>
      <c r="G69" s="562" t="s">
        <v>191</v>
      </c>
      <c r="H69" s="562" t="s">
        <v>191</v>
      </c>
    </row>
    <row r="70" spans="1:8" x14ac:dyDescent="0.2">
      <c r="A70" s="562" t="s">
        <v>193</v>
      </c>
      <c r="B70" s="562" t="s">
        <v>312</v>
      </c>
      <c r="C70" s="562" t="s">
        <v>314</v>
      </c>
      <c r="D70" s="562">
        <v>3</v>
      </c>
      <c r="E70" s="562">
        <v>7</v>
      </c>
      <c r="F70" s="562" t="s">
        <v>191</v>
      </c>
      <c r="G70" s="562" t="s">
        <v>191</v>
      </c>
      <c r="H70" s="562" t="s">
        <v>191</v>
      </c>
    </row>
    <row r="71" spans="1:8" x14ac:dyDescent="0.2">
      <c r="A71" s="562" t="s">
        <v>193</v>
      </c>
      <c r="B71" s="562" t="s">
        <v>312</v>
      </c>
      <c r="C71" s="562" t="s">
        <v>315</v>
      </c>
      <c r="D71" s="562">
        <v>2</v>
      </c>
      <c r="E71" s="562">
        <v>7</v>
      </c>
      <c r="F71" s="562" t="s">
        <v>191</v>
      </c>
      <c r="G71" s="562" t="s">
        <v>191</v>
      </c>
      <c r="H71" s="562" t="s">
        <v>191</v>
      </c>
    </row>
    <row r="72" spans="1:8" x14ac:dyDescent="0.2">
      <c r="A72" s="562" t="s">
        <v>193</v>
      </c>
      <c r="B72" s="562" t="s">
        <v>312</v>
      </c>
      <c r="C72" s="562" t="s">
        <v>316</v>
      </c>
      <c r="D72" s="562">
        <v>3</v>
      </c>
      <c r="E72" s="562">
        <v>8</v>
      </c>
      <c r="F72" s="562" t="s">
        <v>191</v>
      </c>
      <c r="G72" s="562" t="s">
        <v>191</v>
      </c>
      <c r="H72" s="562" t="s">
        <v>191</v>
      </c>
    </row>
    <row r="73" spans="1:8" x14ac:dyDescent="0.2">
      <c r="A73" s="562" t="s">
        <v>193</v>
      </c>
      <c r="B73" s="562" t="s">
        <v>312</v>
      </c>
      <c r="C73" s="562" t="s">
        <v>317</v>
      </c>
      <c r="D73" s="562">
        <v>3</v>
      </c>
      <c r="E73" s="562">
        <v>7</v>
      </c>
      <c r="F73" s="562" t="s">
        <v>191</v>
      </c>
      <c r="G73" s="562" t="s">
        <v>191</v>
      </c>
      <c r="H73" s="562" t="s">
        <v>191</v>
      </c>
    </row>
    <row r="74" spans="1:8" x14ac:dyDescent="0.2">
      <c r="A74" s="562" t="s">
        <v>193</v>
      </c>
      <c r="B74" s="562" t="s">
        <v>312</v>
      </c>
      <c r="C74" s="562" t="s">
        <v>318</v>
      </c>
      <c r="D74" s="562">
        <v>3</v>
      </c>
      <c r="E74" s="562">
        <v>7</v>
      </c>
      <c r="F74" s="562" t="s">
        <v>191</v>
      </c>
      <c r="G74" s="562" t="s">
        <v>191</v>
      </c>
      <c r="H74" s="562" t="s">
        <v>191</v>
      </c>
    </row>
    <row r="75" spans="1:8" x14ac:dyDescent="0.2">
      <c r="A75" s="562" t="s">
        <v>193</v>
      </c>
      <c r="B75" s="562" t="s">
        <v>312</v>
      </c>
      <c r="C75" s="562" t="s">
        <v>319</v>
      </c>
      <c r="D75" s="562">
        <v>3</v>
      </c>
      <c r="E75" s="562">
        <v>8</v>
      </c>
      <c r="F75" s="562" t="s">
        <v>191</v>
      </c>
      <c r="G75" s="562" t="s">
        <v>191</v>
      </c>
      <c r="H75" s="562" t="s">
        <v>191</v>
      </c>
    </row>
    <row r="76" spans="1:8" x14ac:dyDescent="0.2">
      <c r="A76" s="562" t="s">
        <v>193</v>
      </c>
      <c r="B76" s="562" t="s">
        <v>312</v>
      </c>
      <c r="C76" s="562" t="s">
        <v>320</v>
      </c>
      <c r="D76" s="562">
        <v>2</v>
      </c>
      <c r="E76" s="562">
        <v>8</v>
      </c>
      <c r="F76" s="562" t="s">
        <v>191</v>
      </c>
      <c r="G76" s="562" t="s">
        <v>191</v>
      </c>
      <c r="H76" s="562" t="s">
        <v>191</v>
      </c>
    </row>
    <row r="77" spans="1:8" x14ac:dyDescent="0.2">
      <c r="A77" s="562" t="s">
        <v>193</v>
      </c>
      <c r="B77" s="562" t="s">
        <v>312</v>
      </c>
      <c r="C77" s="562" t="s">
        <v>321</v>
      </c>
      <c r="D77" s="562">
        <v>3</v>
      </c>
      <c r="E77" s="562">
        <v>7</v>
      </c>
      <c r="F77" s="562" t="s">
        <v>191</v>
      </c>
      <c r="G77" s="562" t="s">
        <v>191</v>
      </c>
      <c r="H77" s="562" t="s">
        <v>191</v>
      </c>
    </row>
    <row r="78" spans="1:8" x14ac:dyDescent="0.2">
      <c r="A78" s="562" t="s">
        <v>193</v>
      </c>
      <c r="B78" s="562" t="s">
        <v>312</v>
      </c>
      <c r="C78" s="562" t="s">
        <v>322</v>
      </c>
      <c r="D78" s="562">
        <v>3</v>
      </c>
      <c r="E78" s="562">
        <v>7</v>
      </c>
      <c r="F78" s="562" t="s">
        <v>191</v>
      </c>
      <c r="G78" s="562" t="s">
        <v>191</v>
      </c>
      <c r="H78" s="562" t="s">
        <v>191</v>
      </c>
    </row>
    <row r="79" spans="1:8" x14ac:dyDescent="0.2">
      <c r="A79" s="562" t="s">
        <v>193</v>
      </c>
      <c r="B79" s="562" t="s">
        <v>312</v>
      </c>
      <c r="C79" s="562" t="s">
        <v>323</v>
      </c>
      <c r="D79" s="562">
        <v>3</v>
      </c>
      <c r="E79" s="562">
        <v>7</v>
      </c>
      <c r="F79" s="562" t="s">
        <v>191</v>
      </c>
      <c r="G79" s="562" t="s">
        <v>191</v>
      </c>
      <c r="H79" s="562" t="s">
        <v>191</v>
      </c>
    </row>
    <row r="80" spans="1:8" x14ac:dyDescent="0.2">
      <c r="A80" s="562" t="s">
        <v>193</v>
      </c>
      <c r="B80" s="562" t="s">
        <v>312</v>
      </c>
      <c r="C80" s="562" t="s">
        <v>324</v>
      </c>
      <c r="D80" s="562">
        <v>2</v>
      </c>
      <c r="E80" s="562">
        <v>7</v>
      </c>
      <c r="F80" s="562" t="s">
        <v>191</v>
      </c>
      <c r="G80" s="562" t="s">
        <v>191</v>
      </c>
      <c r="H80" s="562" t="s">
        <v>191</v>
      </c>
    </row>
    <row r="81" spans="1:8" x14ac:dyDescent="0.2">
      <c r="A81" s="562" t="s">
        <v>193</v>
      </c>
      <c r="B81" s="562" t="s">
        <v>312</v>
      </c>
      <c r="C81" s="562" t="s">
        <v>325</v>
      </c>
      <c r="D81" s="562">
        <v>3</v>
      </c>
      <c r="E81" s="562">
        <v>7</v>
      </c>
      <c r="F81" s="562" t="s">
        <v>191</v>
      </c>
      <c r="G81" s="562" t="s">
        <v>191</v>
      </c>
      <c r="H81" s="562" t="s">
        <v>191</v>
      </c>
    </row>
    <row r="82" spans="1:8" x14ac:dyDescent="0.2">
      <c r="A82" s="562" t="s">
        <v>193</v>
      </c>
      <c r="B82" s="562" t="s">
        <v>312</v>
      </c>
      <c r="C82" s="562" t="s">
        <v>326</v>
      </c>
      <c r="D82" s="562">
        <v>3</v>
      </c>
      <c r="E82" s="562">
        <v>7</v>
      </c>
      <c r="F82" s="562" t="s">
        <v>191</v>
      </c>
      <c r="G82" s="562" t="s">
        <v>191</v>
      </c>
      <c r="H82" s="562" t="s">
        <v>191</v>
      </c>
    </row>
    <row r="83" spans="1:8" x14ac:dyDescent="0.2">
      <c r="A83" s="562" t="s">
        <v>193</v>
      </c>
      <c r="B83" s="562" t="s">
        <v>312</v>
      </c>
      <c r="C83" s="562" t="s">
        <v>327</v>
      </c>
      <c r="D83" s="562">
        <v>3</v>
      </c>
      <c r="E83" s="562">
        <v>7</v>
      </c>
      <c r="F83" s="562" t="s">
        <v>191</v>
      </c>
      <c r="G83" s="562" t="s">
        <v>191</v>
      </c>
      <c r="H83" s="562" t="s">
        <v>191</v>
      </c>
    </row>
    <row r="84" spans="1:8" x14ac:dyDescent="0.2">
      <c r="A84" s="562" t="s">
        <v>193</v>
      </c>
      <c r="B84" s="562" t="s">
        <v>312</v>
      </c>
      <c r="C84" s="562" t="s">
        <v>328</v>
      </c>
      <c r="D84" s="562">
        <v>2</v>
      </c>
      <c r="E84" s="562">
        <v>7</v>
      </c>
      <c r="F84" s="562" t="s">
        <v>191</v>
      </c>
      <c r="G84" s="562" t="s">
        <v>191</v>
      </c>
      <c r="H84" s="562" t="s">
        <v>191</v>
      </c>
    </row>
    <row r="85" spans="1:8" x14ac:dyDescent="0.2">
      <c r="A85" s="562" t="s">
        <v>193</v>
      </c>
      <c r="B85" s="562" t="s">
        <v>312</v>
      </c>
      <c r="C85" s="562" t="s">
        <v>329</v>
      </c>
      <c r="D85" s="562">
        <v>3</v>
      </c>
      <c r="E85" s="562">
        <v>8</v>
      </c>
      <c r="F85" s="562" t="s">
        <v>191</v>
      </c>
      <c r="G85" s="562" t="s">
        <v>191</v>
      </c>
      <c r="H85" s="562" t="s">
        <v>191</v>
      </c>
    </row>
    <row r="86" spans="1:8" x14ac:dyDescent="0.2">
      <c r="A86" s="562" t="s">
        <v>193</v>
      </c>
      <c r="B86" s="562" t="s">
        <v>312</v>
      </c>
      <c r="C86" s="562" t="s">
        <v>330</v>
      </c>
      <c r="D86" s="562">
        <v>3</v>
      </c>
      <c r="E86" s="562">
        <v>8</v>
      </c>
      <c r="F86" s="562" t="s">
        <v>191</v>
      </c>
      <c r="G86" s="562" t="s">
        <v>191</v>
      </c>
      <c r="H86" s="562" t="s">
        <v>191</v>
      </c>
    </row>
    <row r="87" spans="1:8" x14ac:dyDescent="0.2">
      <c r="A87" s="562" t="s">
        <v>193</v>
      </c>
      <c r="B87" s="562" t="s">
        <v>312</v>
      </c>
      <c r="C87" s="562" t="s">
        <v>331</v>
      </c>
      <c r="D87" s="562">
        <v>3</v>
      </c>
      <c r="E87" s="562">
        <v>8</v>
      </c>
      <c r="F87" s="562" t="s">
        <v>191</v>
      </c>
      <c r="G87" s="562" t="s">
        <v>191</v>
      </c>
      <c r="H87" s="562" t="s">
        <v>191</v>
      </c>
    </row>
    <row r="88" spans="1:8" x14ac:dyDescent="0.2">
      <c r="A88" s="562" t="s">
        <v>193</v>
      </c>
      <c r="B88" s="562" t="s">
        <v>312</v>
      </c>
      <c r="C88" s="562" t="s">
        <v>332</v>
      </c>
      <c r="D88" s="562">
        <v>3</v>
      </c>
      <c r="E88" s="562">
        <v>7</v>
      </c>
      <c r="F88" s="562" t="s">
        <v>191</v>
      </c>
      <c r="G88" s="562" t="s">
        <v>191</v>
      </c>
      <c r="H88" s="562" t="s">
        <v>191</v>
      </c>
    </row>
    <row r="89" spans="1:8" x14ac:dyDescent="0.2">
      <c r="A89" s="562" t="s">
        <v>193</v>
      </c>
      <c r="B89" s="562" t="s">
        <v>312</v>
      </c>
      <c r="C89" s="562" t="s">
        <v>333</v>
      </c>
      <c r="D89" s="562">
        <v>3</v>
      </c>
      <c r="E89" s="562">
        <v>7</v>
      </c>
      <c r="F89" s="562" t="s">
        <v>191</v>
      </c>
      <c r="G89" s="562" t="s">
        <v>191</v>
      </c>
      <c r="H89" s="562" t="s">
        <v>191</v>
      </c>
    </row>
    <row r="90" spans="1:8" x14ac:dyDescent="0.2">
      <c r="A90" s="562" t="s">
        <v>193</v>
      </c>
      <c r="B90" s="562" t="s">
        <v>312</v>
      </c>
      <c r="C90" s="562" t="s">
        <v>334</v>
      </c>
      <c r="D90" s="562">
        <v>3</v>
      </c>
      <c r="E90" s="562">
        <v>7</v>
      </c>
      <c r="F90" s="562" t="s">
        <v>191</v>
      </c>
      <c r="G90" s="562" t="s">
        <v>191</v>
      </c>
      <c r="H90" s="562" t="s">
        <v>191</v>
      </c>
    </row>
    <row r="91" spans="1:8" x14ac:dyDescent="0.2">
      <c r="A91" s="562" t="s">
        <v>193</v>
      </c>
      <c r="B91" s="562" t="s">
        <v>312</v>
      </c>
      <c r="C91" s="562" t="s">
        <v>335</v>
      </c>
      <c r="D91" s="562">
        <v>3</v>
      </c>
      <c r="E91" s="562">
        <v>7</v>
      </c>
      <c r="F91" s="562" t="s">
        <v>191</v>
      </c>
      <c r="G91" s="562" t="s">
        <v>191</v>
      </c>
      <c r="H91" s="562" t="s">
        <v>191</v>
      </c>
    </row>
    <row r="92" spans="1:8" x14ac:dyDescent="0.2">
      <c r="A92" s="562" t="s">
        <v>193</v>
      </c>
      <c r="B92" s="562" t="s">
        <v>312</v>
      </c>
      <c r="C92" s="562" t="s">
        <v>336</v>
      </c>
      <c r="D92" s="562">
        <v>2</v>
      </c>
      <c r="E92" s="562">
        <v>8</v>
      </c>
      <c r="F92" s="562" t="s">
        <v>191</v>
      </c>
      <c r="G92" s="562" t="s">
        <v>191</v>
      </c>
      <c r="H92" s="562" t="s">
        <v>191</v>
      </c>
    </row>
    <row r="93" spans="1:8" x14ac:dyDescent="0.2">
      <c r="A93" s="562" t="s">
        <v>193</v>
      </c>
      <c r="B93" s="562" t="s">
        <v>312</v>
      </c>
      <c r="C93" s="562" t="s">
        <v>337</v>
      </c>
      <c r="D93" s="562">
        <v>3</v>
      </c>
      <c r="E93" s="562">
        <v>7</v>
      </c>
      <c r="F93" s="562" t="s">
        <v>191</v>
      </c>
      <c r="G93" s="562" t="s">
        <v>191</v>
      </c>
      <c r="H93" s="562" t="s">
        <v>191</v>
      </c>
    </row>
    <row r="94" spans="1:8" x14ac:dyDescent="0.2">
      <c r="A94" s="562" t="s">
        <v>193</v>
      </c>
      <c r="B94" s="562" t="s">
        <v>312</v>
      </c>
      <c r="C94" s="562" t="s">
        <v>338</v>
      </c>
      <c r="D94" s="562">
        <v>3</v>
      </c>
      <c r="E94" s="562">
        <v>8</v>
      </c>
      <c r="F94" s="562" t="s">
        <v>191</v>
      </c>
      <c r="G94" s="562" t="s">
        <v>191</v>
      </c>
      <c r="H94" s="562" t="s">
        <v>191</v>
      </c>
    </row>
    <row r="95" spans="1:8" x14ac:dyDescent="0.2">
      <c r="A95" s="562" t="s">
        <v>193</v>
      </c>
      <c r="B95" s="562" t="s">
        <v>312</v>
      </c>
      <c r="C95" s="562" t="s">
        <v>339</v>
      </c>
      <c r="D95" s="562">
        <v>3</v>
      </c>
      <c r="E95" s="562">
        <v>7</v>
      </c>
      <c r="F95" s="562" t="s">
        <v>191</v>
      </c>
      <c r="G95" s="562" t="s">
        <v>191</v>
      </c>
      <c r="H95" s="562" t="s">
        <v>191</v>
      </c>
    </row>
    <row r="96" spans="1:8" x14ac:dyDescent="0.2">
      <c r="A96" s="562" t="s">
        <v>193</v>
      </c>
      <c r="B96" s="562" t="s">
        <v>312</v>
      </c>
      <c r="C96" s="562" t="s">
        <v>340</v>
      </c>
      <c r="D96" s="562">
        <v>3</v>
      </c>
      <c r="E96" s="562">
        <v>7</v>
      </c>
      <c r="F96" s="562" t="s">
        <v>191</v>
      </c>
      <c r="G96" s="562" t="s">
        <v>191</v>
      </c>
      <c r="H96" s="562" t="s">
        <v>191</v>
      </c>
    </row>
    <row r="97" spans="1:8" x14ac:dyDescent="0.2">
      <c r="A97" s="562" t="s">
        <v>193</v>
      </c>
      <c r="B97" s="562" t="s">
        <v>312</v>
      </c>
      <c r="C97" s="562" t="s">
        <v>341</v>
      </c>
      <c r="D97" s="562">
        <v>3</v>
      </c>
      <c r="E97" s="562">
        <v>8</v>
      </c>
      <c r="F97" s="562" t="s">
        <v>191</v>
      </c>
      <c r="G97" s="562" t="s">
        <v>191</v>
      </c>
      <c r="H97" s="562" t="s">
        <v>191</v>
      </c>
    </row>
    <row r="98" spans="1:8" x14ac:dyDescent="0.2">
      <c r="A98" s="562" t="s">
        <v>292</v>
      </c>
      <c r="B98" s="562"/>
      <c r="C98" s="562" t="s">
        <v>342</v>
      </c>
      <c r="D98" s="562" t="s">
        <v>191</v>
      </c>
      <c r="E98" s="562">
        <v>1</v>
      </c>
      <c r="F98" s="562" t="s">
        <v>184</v>
      </c>
      <c r="G98" s="562" t="s">
        <v>190</v>
      </c>
      <c r="H98" s="562" t="s">
        <v>186</v>
      </c>
    </row>
    <row r="99" spans="1:8" x14ac:dyDescent="0.2">
      <c r="A99" s="562" t="s">
        <v>195</v>
      </c>
      <c r="B99" s="562" t="s">
        <v>343</v>
      </c>
      <c r="C99" s="562" t="s">
        <v>344</v>
      </c>
      <c r="D99" s="562">
        <v>2</v>
      </c>
      <c r="E99" s="562">
        <v>5</v>
      </c>
      <c r="F99" s="562" t="s">
        <v>345</v>
      </c>
      <c r="G99" s="562" t="s">
        <v>191</v>
      </c>
      <c r="H99" s="562" t="s">
        <v>191</v>
      </c>
    </row>
    <row r="100" spans="1:8" x14ac:dyDescent="0.2">
      <c r="A100" s="562" t="s">
        <v>195</v>
      </c>
      <c r="B100" s="562" t="s">
        <v>343</v>
      </c>
      <c r="C100" s="562" t="s">
        <v>346</v>
      </c>
      <c r="D100" s="562">
        <v>2</v>
      </c>
      <c r="E100" s="562">
        <v>3</v>
      </c>
      <c r="F100" s="562" t="s">
        <v>345</v>
      </c>
      <c r="G100" s="562" t="s">
        <v>191</v>
      </c>
      <c r="H100" s="562" t="s">
        <v>191</v>
      </c>
    </row>
    <row r="101" spans="1:8" x14ac:dyDescent="0.2">
      <c r="A101" s="562" t="s">
        <v>195</v>
      </c>
      <c r="B101" s="562" t="s">
        <v>343</v>
      </c>
      <c r="C101" s="562" t="s">
        <v>347</v>
      </c>
      <c r="D101" s="562">
        <v>2</v>
      </c>
      <c r="E101" s="562">
        <v>5</v>
      </c>
      <c r="F101" s="562" t="s">
        <v>345</v>
      </c>
      <c r="G101" s="562" t="s">
        <v>191</v>
      </c>
      <c r="H101" s="562" t="s">
        <v>191</v>
      </c>
    </row>
    <row r="102" spans="1:8" x14ac:dyDescent="0.2">
      <c r="A102" s="562" t="s">
        <v>195</v>
      </c>
      <c r="B102" s="562" t="s">
        <v>343</v>
      </c>
      <c r="C102" s="562" t="s">
        <v>348</v>
      </c>
      <c r="D102" s="562">
        <v>2</v>
      </c>
      <c r="E102" s="562">
        <v>4</v>
      </c>
      <c r="F102" s="562" t="s">
        <v>345</v>
      </c>
      <c r="G102" s="562" t="s">
        <v>191</v>
      </c>
      <c r="H102" s="562" t="s">
        <v>191</v>
      </c>
    </row>
    <row r="103" spans="1:8" x14ac:dyDescent="0.2">
      <c r="A103" s="562" t="s">
        <v>195</v>
      </c>
      <c r="B103" s="562" t="s">
        <v>343</v>
      </c>
      <c r="C103" s="562" t="s">
        <v>349</v>
      </c>
      <c r="D103" s="562">
        <v>2</v>
      </c>
      <c r="E103" s="562">
        <v>3</v>
      </c>
      <c r="F103" s="562" t="s">
        <v>345</v>
      </c>
      <c r="G103" s="562" t="s">
        <v>191</v>
      </c>
      <c r="H103" s="562" t="s">
        <v>191</v>
      </c>
    </row>
    <row r="104" spans="1:8" x14ac:dyDescent="0.2">
      <c r="A104" s="562" t="s">
        <v>195</v>
      </c>
      <c r="B104" s="562" t="s">
        <v>343</v>
      </c>
      <c r="C104" s="562" t="s">
        <v>350</v>
      </c>
      <c r="D104" s="562">
        <v>2</v>
      </c>
      <c r="E104" s="562">
        <v>3</v>
      </c>
      <c r="F104" s="562" t="s">
        <v>345</v>
      </c>
      <c r="G104" s="562" t="s">
        <v>191</v>
      </c>
      <c r="H104" s="562" t="s">
        <v>191</v>
      </c>
    </row>
    <row r="105" spans="1:8" x14ac:dyDescent="0.2">
      <c r="A105" s="562" t="s">
        <v>195</v>
      </c>
      <c r="B105" s="562" t="s">
        <v>343</v>
      </c>
      <c r="C105" s="562" t="s">
        <v>351</v>
      </c>
      <c r="D105" s="562">
        <v>2</v>
      </c>
      <c r="E105" s="562">
        <v>2</v>
      </c>
      <c r="F105" s="562" t="s">
        <v>345</v>
      </c>
      <c r="G105" s="562" t="s">
        <v>191</v>
      </c>
      <c r="H105" s="562" t="s">
        <v>191</v>
      </c>
    </row>
    <row r="106" spans="1:8" x14ac:dyDescent="0.2">
      <c r="A106" s="562" t="s">
        <v>195</v>
      </c>
      <c r="B106" s="562" t="s">
        <v>343</v>
      </c>
      <c r="C106" s="562" t="s">
        <v>352</v>
      </c>
      <c r="D106" s="562">
        <v>2</v>
      </c>
      <c r="E106" s="562">
        <v>2</v>
      </c>
      <c r="F106" s="562" t="s">
        <v>345</v>
      </c>
      <c r="G106" s="562" t="s">
        <v>191</v>
      </c>
      <c r="H106" s="562" t="s">
        <v>191</v>
      </c>
    </row>
    <row r="107" spans="1:8" x14ac:dyDescent="0.2">
      <c r="A107" s="562" t="s">
        <v>195</v>
      </c>
      <c r="B107" s="562" t="s">
        <v>343</v>
      </c>
      <c r="C107" s="562" t="s">
        <v>353</v>
      </c>
      <c r="D107" s="562">
        <v>2</v>
      </c>
      <c r="E107" s="562">
        <v>3</v>
      </c>
      <c r="F107" s="562" t="s">
        <v>345</v>
      </c>
      <c r="G107" s="562" t="s">
        <v>191</v>
      </c>
      <c r="H107" s="562" t="s">
        <v>191</v>
      </c>
    </row>
    <row r="108" spans="1:8" x14ac:dyDescent="0.2">
      <c r="A108" s="562" t="s">
        <v>195</v>
      </c>
      <c r="B108" s="562" t="s">
        <v>343</v>
      </c>
      <c r="C108" s="562" t="s">
        <v>354</v>
      </c>
      <c r="D108" s="562">
        <v>2</v>
      </c>
      <c r="E108" s="562">
        <v>5</v>
      </c>
      <c r="F108" s="562" t="s">
        <v>345</v>
      </c>
      <c r="G108" s="562" t="s">
        <v>191</v>
      </c>
      <c r="H108" s="562" t="s">
        <v>191</v>
      </c>
    </row>
    <row r="109" spans="1:8" x14ac:dyDescent="0.2">
      <c r="A109" s="562" t="s">
        <v>195</v>
      </c>
      <c r="B109" s="562" t="s">
        <v>343</v>
      </c>
      <c r="C109" s="562" t="s">
        <v>355</v>
      </c>
      <c r="D109" s="562">
        <v>2</v>
      </c>
      <c r="E109" s="562">
        <v>2</v>
      </c>
      <c r="F109" s="562" t="s">
        <v>345</v>
      </c>
      <c r="G109" s="562" t="s">
        <v>191</v>
      </c>
      <c r="H109" s="562" t="s">
        <v>191</v>
      </c>
    </row>
    <row r="110" spans="1:8" x14ac:dyDescent="0.2">
      <c r="A110" s="562" t="s">
        <v>195</v>
      </c>
      <c r="B110" s="562" t="s">
        <v>343</v>
      </c>
      <c r="C110" s="562" t="s">
        <v>356</v>
      </c>
      <c r="D110" s="562">
        <v>2</v>
      </c>
      <c r="E110" s="562">
        <v>2</v>
      </c>
      <c r="F110" s="562" t="s">
        <v>345</v>
      </c>
      <c r="G110" s="562" t="s">
        <v>191</v>
      </c>
      <c r="H110" s="562" t="s">
        <v>191</v>
      </c>
    </row>
    <row r="111" spans="1:8" x14ac:dyDescent="0.2">
      <c r="A111" s="562" t="s">
        <v>195</v>
      </c>
      <c r="B111" s="562" t="s">
        <v>343</v>
      </c>
      <c r="C111" s="562" t="s">
        <v>357</v>
      </c>
      <c r="D111" s="562">
        <v>2</v>
      </c>
      <c r="E111" s="562">
        <v>3</v>
      </c>
      <c r="F111" s="562" t="s">
        <v>345</v>
      </c>
      <c r="G111" s="562" t="s">
        <v>191</v>
      </c>
      <c r="H111" s="562" t="s">
        <v>191</v>
      </c>
    </row>
    <row r="112" spans="1:8" x14ac:dyDescent="0.2">
      <c r="A112" s="562" t="s">
        <v>195</v>
      </c>
      <c r="B112" s="562" t="s">
        <v>343</v>
      </c>
      <c r="C112" s="562" t="s">
        <v>358</v>
      </c>
      <c r="D112" s="562">
        <v>2</v>
      </c>
      <c r="E112" s="562">
        <v>4</v>
      </c>
      <c r="F112" s="562" t="s">
        <v>345</v>
      </c>
      <c r="G112" s="562" t="s">
        <v>191</v>
      </c>
      <c r="H112" s="562" t="s">
        <v>191</v>
      </c>
    </row>
    <row r="113" spans="1:8" x14ac:dyDescent="0.2">
      <c r="A113" s="562" t="s">
        <v>195</v>
      </c>
      <c r="B113" s="562" t="s">
        <v>343</v>
      </c>
      <c r="C113" s="562" t="s">
        <v>359</v>
      </c>
      <c r="D113" s="562">
        <v>2</v>
      </c>
      <c r="E113" s="562">
        <v>2</v>
      </c>
      <c r="F113" s="562" t="s">
        <v>345</v>
      </c>
      <c r="G113" s="562" t="s">
        <v>191</v>
      </c>
      <c r="H113" s="562" t="s">
        <v>191</v>
      </c>
    </row>
    <row r="114" spans="1:8" x14ac:dyDescent="0.2">
      <c r="A114" s="562" t="s">
        <v>197</v>
      </c>
      <c r="B114" s="562" t="s">
        <v>360</v>
      </c>
      <c r="C114" s="562" t="s">
        <v>361</v>
      </c>
      <c r="D114" s="562">
        <v>3</v>
      </c>
      <c r="E114" s="562">
        <v>3</v>
      </c>
      <c r="F114" s="562" t="s">
        <v>184</v>
      </c>
      <c r="G114" s="562" t="s">
        <v>191</v>
      </c>
      <c r="H114" s="562" t="s">
        <v>191</v>
      </c>
    </row>
    <row r="115" spans="1:8" x14ac:dyDescent="0.2">
      <c r="A115" s="562" t="s">
        <v>197</v>
      </c>
      <c r="B115" s="562" t="s">
        <v>360</v>
      </c>
      <c r="C115" s="562" t="s">
        <v>362</v>
      </c>
      <c r="D115" s="562">
        <v>3</v>
      </c>
      <c r="E115" s="562">
        <v>3</v>
      </c>
      <c r="F115" s="562" t="s">
        <v>184</v>
      </c>
      <c r="G115" s="562" t="s">
        <v>191</v>
      </c>
      <c r="H115" s="562" t="s">
        <v>191</v>
      </c>
    </row>
    <row r="116" spans="1:8" x14ac:dyDescent="0.2">
      <c r="A116" s="562" t="s">
        <v>197</v>
      </c>
      <c r="B116" s="562" t="s">
        <v>360</v>
      </c>
      <c r="C116" s="562" t="s">
        <v>363</v>
      </c>
      <c r="D116" s="562">
        <v>2</v>
      </c>
      <c r="E116" s="562">
        <v>4</v>
      </c>
      <c r="F116" s="562" t="s">
        <v>184</v>
      </c>
      <c r="G116" s="562" t="s">
        <v>191</v>
      </c>
      <c r="H116" s="562" t="s">
        <v>191</v>
      </c>
    </row>
    <row r="117" spans="1:8" x14ac:dyDescent="0.2">
      <c r="A117" s="562" t="s">
        <v>197</v>
      </c>
      <c r="B117" s="562" t="s">
        <v>360</v>
      </c>
      <c r="C117" s="562" t="s">
        <v>364</v>
      </c>
      <c r="D117" s="562">
        <v>2</v>
      </c>
      <c r="E117" s="562">
        <v>4</v>
      </c>
      <c r="F117" s="562" t="s">
        <v>184</v>
      </c>
      <c r="G117" s="562" t="s">
        <v>191</v>
      </c>
      <c r="H117" s="562" t="s">
        <v>191</v>
      </c>
    </row>
    <row r="118" spans="1:8" x14ac:dyDescent="0.2">
      <c r="A118" s="562" t="s">
        <v>197</v>
      </c>
      <c r="B118" s="562" t="s">
        <v>360</v>
      </c>
      <c r="C118" s="562" t="s">
        <v>365</v>
      </c>
      <c r="D118" s="562">
        <v>2</v>
      </c>
      <c r="E118" s="562">
        <v>4</v>
      </c>
      <c r="F118" s="562" t="s">
        <v>184</v>
      </c>
      <c r="G118" s="562" t="s">
        <v>191</v>
      </c>
      <c r="H118" s="562" t="s">
        <v>191</v>
      </c>
    </row>
    <row r="119" spans="1:8" x14ac:dyDescent="0.2">
      <c r="A119" s="562" t="s">
        <v>197</v>
      </c>
      <c r="B119" s="562" t="s">
        <v>360</v>
      </c>
      <c r="C119" s="562" t="s">
        <v>366</v>
      </c>
      <c r="D119" s="562">
        <v>3</v>
      </c>
      <c r="E119" s="562">
        <v>3</v>
      </c>
      <c r="F119" s="562" t="s">
        <v>184</v>
      </c>
      <c r="G119" s="562" t="s">
        <v>191</v>
      </c>
      <c r="H119" s="562" t="s">
        <v>191</v>
      </c>
    </row>
    <row r="120" spans="1:8" x14ac:dyDescent="0.2">
      <c r="A120" s="562" t="s">
        <v>197</v>
      </c>
      <c r="B120" s="562" t="s">
        <v>360</v>
      </c>
      <c r="C120" s="562" t="s">
        <v>204</v>
      </c>
      <c r="D120" s="562">
        <v>3</v>
      </c>
      <c r="E120" s="562">
        <v>3</v>
      </c>
      <c r="F120" s="562" t="s">
        <v>184</v>
      </c>
      <c r="G120" s="562" t="s">
        <v>191</v>
      </c>
      <c r="H120" s="562" t="s">
        <v>191</v>
      </c>
    </row>
    <row r="121" spans="1:8" x14ac:dyDescent="0.2">
      <c r="A121" s="562" t="s">
        <v>197</v>
      </c>
      <c r="B121" s="562" t="s">
        <v>360</v>
      </c>
      <c r="C121" s="562" t="s">
        <v>367</v>
      </c>
      <c r="D121" s="562">
        <v>2</v>
      </c>
      <c r="E121" s="562">
        <v>4</v>
      </c>
      <c r="F121" s="562" t="s">
        <v>184</v>
      </c>
      <c r="G121" s="562" t="s">
        <v>191</v>
      </c>
      <c r="H121" s="562" t="s">
        <v>191</v>
      </c>
    </row>
    <row r="122" spans="1:8" x14ac:dyDescent="0.2">
      <c r="A122" s="562" t="s">
        <v>197</v>
      </c>
      <c r="B122" s="562" t="s">
        <v>360</v>
      </c>
      <c r="C122" s="562" t="s">
        <v>368</v>
      </c>
      <c r="D122" s="562">
        <v>3</v>
      </c>
      <c r="E122" s="562">
        <v>3</v>
      </c>
      <c r="F122" s="562" t="s">
        <v>184</v>
      </c>
      <c r="G122" s="562" t="s">
        <v>191</v>
      </c>
      <c r="H122" s="562" t="s">
        <v>191</v>
      </c>
    </row>
    <row r="123" spans="1:8" x14ac:dyDescent="0.2">
      <c r="A123" s="562" t="s">
        <v>197</v>
      </c>
      <c r="B123" s="562" t="s">
        <v>360</v>
      </c>
      <c r="C123" s="562" t="s">
        <v>369</v>
      </c>
      <c r="D123" s="562">
        <v>3</v>
      </c>
      <c r="E123" s="562">
        <v>3</v>
      </c>
      <c r="F123" s="562" t="s">
        <v>184</v>
      </c>
      <c r="G123" s="562" t="s">
        <v>191</v>
      </c>
      <c r="H123" s="562" t="s">
        <v>191</v>
      </c>
    </row>
    <row r="124" spans="1:8" x14ac:dyDescent="0.2">
      <c r="A124" s="562" t="s">
        <v>197</v>
      </c>
      <c r="B124" s="562" t="s">
        <v>360</v>
      </c>
      <c r="C124" s="562" t="s">
        <v>216</v>
      </c>
      <c r="D124" s="562">
        <v>3</v>
      </c>
      <c r="E124" s="562">
        <v>3</v>
      </c>
      <c r="F124" s="562" t="s">
        <v>184</v>
      </c>
      <c r="G124" s="562" t="s">
        <v>191</v>
      </c>
      <c r="H124" s="562" t="s">
        <v>191</v>
      </c>
    </row>
    <row r="125" spans="1:8" x14ac:dyDescent="0.2">
      <c r="A125" s="562" t="s">
        <v>197</v>
      </c>
      <c r="B125" s="562" t="s">
        <v>360</v>
      </c>
      <c r="C125" s="562" t="s">
        <v>218</v>
      </c>
      <c r="D125" s="562">
        <v>3</v>
      </c>
      <c r="E125" s="562">
        <v>3</v>
      </c>
      <c r="F125" s="562" t="s">
        <v>184</v>
      </c>
      <c r="G125" s="562" t="s">
        <v>191</v>
      </c>
      <c r="H125" s="562" t="s">
        <v>191</v>
      </c>
    </row>
    <row r="126" spans="1:8" x14ac:dyDescent="0.2">
      <c r="A126" s="562" t="s">
        <v>197</v>
      </c>
      <c r="B126" s="562" t="s">
        <v>360</v>
      </c>
      <c r="C126" s="562" t="s">
        <v>370</v>
      </c>
      <c r="D126" s="562">
        <v>3</v>
      </c>
      <c r="E126" s="562">
        <v>3</v>
      </c>
      <c r="F126" s="562" t="s">
        <v>184</v>
      </c>
      <c r="G126" s="562" t="s">
        <v>191</v>
      </c>
      <c r="H126" s="562" t="s">
        <v>191</v>
      </c>
    </row>
    <row r="127" spans="1:8" x14ac:dyDescent="0.2">
      <c r="A127" s="562" t="s">
        <v>197</v>
      </c>
      <c r="B127" s="562" t="s">
        <v>360</v>
      </c>
      <c r="C127" s="562" t="s">
        <v>371</v>
      </c>
      <c r="D127" s="562">
        <v>3</v>
      </c>
      <c r="E127" s="562">
        <v>3</v>
      </c>
      <c r="F127" s="562" t="s">
        <v>184</v>
      </c>
      <c r="G127" s="562" t="s">
        <v>190</v>
      </c>
      <c r="H127" s="562" t="s">
        <v>191</v>
      </c>
    </row>
    <row r="128" spans="1:8" x14ac:dyDescent="0.2">
      <c r="A128" s="562" t="s">
        <v>197</v>
      </c>
      <c r="B128" s="562" t="s">
        <v>360</v>
      </c>
      <c r="C128" s="562" t="s">
        <v>372</v>
      </c>
      <c r="D128" s="562">
        <v>3</v>
      </c>
      <c r="E128" s="562">
        <v>3</v>
      </c>
      <c r="F128" s="562" t="s">
        <v>184</v>
      </c>
      <c r="G128" s="562" t="s">
        <v>191</v>
      </c>
      <c r="H128" s="562" t="s">
        <v>191</v>
      </c>
    </row>
    <row r="129" spans="1:8" x14ac:dyDescent="0.2">
      <c r="A129" s="562" t="s">
        <v>197</v>
      </c>
      <c r="B129" s="562" t="s">
        <v>360</v>
      </c>
      <c r="C129" s="562" t="s">
        <v>373</v>
      </c>
      <c r="D129" s="562">
        <v>3</v>
      </c>
      <c r="E129" s="562">
        <v>3</v>
      </c>
      <c r="F129" s="562" t="s">
        <v>184</v>
      </c>
      <c r="G129" s="562" t="s">
        <v>191</v>
      </c>
      <c r="H129" s="562" t="s">
        <v>191</v>
      </c>
    </row>
    <row r="130" spans="1:8" x14ac:dyDescent="0.2">
      <c r="A130" s="562" t="s">
        <v>197</v>
      </c>
      <c r="B130" s="562" t="s">
        <v>360</v>
      </c>
      <c r="C130" s="562" t="s">
        <v>374</v>
      </c>
      <c r="D130" s="562">
        <v>3</v>
      </c>
      <c r="E130" s="562">
        <v>3</v>
      </c>
      <c r="F130" s="562" t="s">
        <v>184</v>
      </c>
      <c r="G130" s="562" t="s">
        <v>191</v>
      </c>
      <c r="H130" s="562" t="s">
        <v>191</v>
      </c>
    </row>
    <row r="131" spans="1:8" x14ac:dyDescent="0.2">
      <c r="A131" s="562" t="s">
        <v>197</v>
      </c>
      <c r="B131" s="562" t="s">
        <v>360</v>
      </c>
      <c r="C131" s="562" t="s">
        <v>375</v>
      </c>
      <c r="D131" s="562">
        <v>3</v>
      </c>
      <c r="E131" s="562">
        <v>3</v>
      </c>
      <c r="F131" s="562" t="s">
        <v>184</v>
      </c>
      <c r="G131" s="562" t="s">
        <v>191</v>
      </c>
      <c r="H131" s="562" t="s">
        <v>191</v>
      </c>
    </row>
    <row r="132" spans="1:8" x14ac:dyDescent="0.2">
      <c r="A132" s="562" t="s">
        <v>197</v>
      </c>
      <c r="B132" s="562" t="s">
        <v>360</v>
      </c>
      <c r="C132" s="562" t="s">
        <v>376</v>
      </c>
      <c r="D132" s="562">
        <v>3</v>
      </c>
      <c r="E132" s="562">
        <v>3</v>
      </c>
      <c r="F132" s="562" t="s">
        <v>184</v>
      </c>
      <c r="G132" s="562" t="s">
        <v>191</v>
      </c>
      <c r="H132" s="562" t="s">
        <v>191</v>
      </c>
    </row>
    <row r="133" spans="1:8" x14ac:dyDescent="0.2">
      <c r="A133" s="562" t="s">
        <v>197</v>
      </c>
      <c r="B133" s="562" t="s">
        <v>360</v>
      </c>
      <c r="C133" s="562" t="s">
        <v>236</v>
      </c>
      <c r="D133" s="562">
        <v>3</v>
      </c>
      <c r="E133" s="562">
        <v>3</v>
      </c>
      <c r="F133" s="562" t="s">
        <v>184</v>
      </c>
      <c r="G133" s="562" t="s">
        <v>191</v>
      </c>
      <c r="H133" s="562" t="s">
        <v>191</v>
      </c>
    </row>
    <row r="134" spans="1:8" x14ac:dyDescent="0.2">
      <c r="A134" s="562" t="s">
        <v>197</v>
      </c>
      <c r="B134" s="562" t="s">
        <v>360</v>
      </c>
      <c r="C134" s="562" t="s">
        <v>377</v>
      </c>
      <c r="D134" s="562">
        <v>3</v>
      </c>
      <c r="E134" s="562">
        <v>3</v>
      </c>
      <c r="F134" s="562" t="s">
        <v>184</v>
      </c>
      <c r="G134" s="562" t="s">
        <v>191</v>
      </c>
      <c r="H134" s="562" t="s">
        <v>191</v>
      </c>
    </row>
    <row r="135" spans="1:8" x14ac:dyDescent="0.2">
      <c r="A135" s="562" t="s">
        <v>197</v>
      </c>
      <c r="B135" s="562" t="s">
        <v>360</v>
      </c>
      <c r="C135" s="562" t="s">
        <v>378</v>
      </c>
      <c r="D135" s="562">
        <v>3</v>
      </c>
      <c r="E135" s="562">
        <v>3</v>
      </c>
      <c r="F135" s="562" t="s">
        <v>184</v>
      </c>
      <c r="G135" s="562" t="s">
        <v>191</v>
      </c>
      <c r="H135" s="562" t="s">
        <v>191</v>
      </c>
    </row>
    <row r="136" spans="1:8" x14ac:dyDescent="0.2">
      <c r="A136" s="562" t="s">
        <v>197</v>
      </c>
      <c r="B136" s="562" t="s">
        <v>360</v>
      </c>
      <c r="C136" s="562" t="s">
        <v>379</v>
      </c>
      <c r="D136" s="562">
        <v>3</v>
      </c>
      <c r="E136" s="562">
        <v>3</v>
      </c>
      <c r="F136" s="562" t="s">
        <v>184</v>
      </c>
      <c r="G136" s="562" t="s">
        <v>191</v>
      </c>
      <c r="H136" s="562" t="s">
        <v>191</v>
      </c>
    </row>
    <row r="137" spans="1:8" x14ac:dyDescent="0.2">
      <c r="A137" s="562" t="s">
        <v>197</v>
      </c>
      <c r="B137" s="562" t="s">
        <v>360</v>
      </c>
      <c r="C137" s="562" t="s">
        <v>248</v>
      </c>
      <c r="D137" s="562">
        <v>3</v>
      </c>
      <c r="E137" s="562">
        <v>3</v>
      </c>
      <c r="F137" s="562" t="s">
        <v>184</v>
      </c>
      <c r="G137" s="562" t="s">
        <v>191</v>
      </c>
      <c r="H137" s="562" t="s">
        <v>191</v>
      </c>
    </row>
    <row r="138" spans="1:8" x14ac:dyDescent="0.2">
      <c r="A138" s="562" t="s">
        <v>197</v>
      </c>
      <c r="B138" s="562" t="s">
        <v>360</v>
      </c>
      <c r="C138" s="562" t="s">
        <v>380</v>
      </c>
      <c r="D138" s="562">
        <v>2</v>
      </c>
      <c r="E138" s="562">
        <v>4</v>
      </c>
      <c r="F138" s="562" t="s">
        <v>184</v>
      </c>
      <c r="G138" s="562" t="s">
        <v>191</v>
      </c>
      <c r="H138" s="562" t="s">
        <v>191</v>
      </c>
    </row>
    <row r="139" spans="1:8" x14ac:dyDescent="0.2">
      <c r="A139" s="562" t="s">
        <v>197</v>
      </c>
      <c r="B139" s="562" t="s">
        <v>360</v>
      </c>
      <c r="C139" s="562" t="s">
        <v>381</v>
      </c>
      <c r="D139" s="562">
        <v>2</v>
      </c>
      <c r="E139" s="562">
        <v>3</v>
      </c>
      <c r="F139" s="562" t="s">
        <v>184</v>
      </c>
      <c r="G139" s="562" t="s">
        <v>191</v>
      </c>
      <c r="H139" s="562" t="s">
        <v>191</v>
      </c>
    </row>
    <row r="140" spans="1:8" x14ac:dyDescent="0.2">
      <c r="A140" s="562" t="s">
        <v>197</v>
      </c>
      <c r="B140" s="562" t="s">
        <v>360</v>
      </c>
      <c r="C140" s="562" t="s">
        <v>382</v>
      </c>
      <c r="D140" s="562">
        <v>3</v>
      </c>
      <c r="E140" s="562">
        <v>3</v>
      </c>
      <c r="F140" s="562" t="s">
        <v>184</v>
      </c>
      <c r="G140" s="562" t="s">
        <v>191</v>
      </c>
      <c r="H140" s="562" t="s">
        <v>191</v>
      </c>
    </row>
    <row r="141" spans="1:8" x14ac:dyDescent="0.2">
      <c r="A141" s="562" t="s">
        <v>197</v>
      </c>
      <c r="B141" s="562" t="s">
        <v>360</v>
      </c>
      <c r="C141" s="562" t="s">
        <v>252</v>
      </c>
      <c r="D141" s="562">
        <v>3</v>
      </c>
      <c r="E141" s="562">
        <v>3</v>
      </c>
      <c r="F141" s="562" t="s">
        <v>184</v>
      </c>
      <c r="G141" s="562" t="s">
        <v>191</v>
      </c>
      <c r="H141" s="562" t="s">
        <v>191</v>
      </c>
    </row>
    <row r="142" spans="1:8" x14ac:dyDescent="0.2">
      <c r="A142" s="562" t="s">
        <v>197</v>
      </c>
      <c r="B142" s="562" t="s">
        <v>360</v>
      </c>
      <c r="C142" s="562" t="s">
        <v>383</v>
      </c>
      <c r="D142" s="562">
        <v>3</v>
      </c>
      <c r="E142" s="562">
        <v>3</v>
      </c>
      <c r="F142" s="562" t="s">
        <v>184</v>
      </c>
      <c r="G142" s="562" t="s">
        <v>190</v>
      </c>
      <c r="H142" s="562" t="s">
        <v>191</v>
      </c>
    </row>
    <row r="143" spans="1:8" x14ac:dyDescent="0.2">
      <c r="A143" s="562" t="s">
        <v>197</v>
      </c>
      <c r="B143" s="562" t="s">
        <v>360</v>
      </c>
      <c r="C143" s="562" t="s">
        <v>384</v>
      </c>
      <c r="D143" s="562">
        <v>3</v>
      </c>
      <c r="E143" s="562">
        <v>3</v>
      </c>
      <c r="F143" s="562" t="s">
        <v>184</v>
      </c>
      <c r="G143" s="562" t="s">
        <v>191</v>
      </c>
      <c r="H143" s="562" t="s">
        <v>191</v>
      </c>
    </row>
    <row r="144" spans="1:8" x14ac:dyDescent="0.2">
      <c r="A144" s="562" t="s">
        <v>197</v>
      </c>
      <c r="B144" s="562" t="s">
        <v>360</v>
      </c>
      <c r="C144" s="562" t="s">
        <v>385</v>
      </c>
      <c r="D144" s="562">
        <v>3</v>
      </c>
      <c r="E144" s="562">
        <v>3</v>
      </c>
      <c r="F144" s="562" t="s">
        <v>184</v>
      </c>
      <c r="G144" s="562" t="s">
        <v>191</v>
      </c>
      <c r="H144" s="562" t="s">
        <v>191</v>
      </c>
    </row>
    <row r="145" spans="1:8" x14ac:dyDescent="0.2">
      <c r="A145" s="562" t="s">
        <v>197</v>
      </c>
      <c r="B145" s="562" t="s">
        <v>360</v>
      </c>
      <c r="C145" s="562" t="s">
        <v>386</v>
      </c>
      <c r="D145" s="562">
        <v>2</v>
      </c>
      <c r="E145" s="562">
        <v>3</v>
      </c>
      <c r="F145" s="562" t="s">
        <v>184</v>
      </c>
      <c r="G145" s="562" t="s">
        <v>191</v>
      </c>
      <c r="H145" s="562" t="s">
        <v>191</v>
      </c>
    </row>
    <row r="146" spans="1:8" x14ac:dyDescent="0.2">
      <c r="A146" s="562" t="s">
        <v>197</v>
      </c>
      <c r="B146" s="562" t="s">
        <v>360</v>
      </c>
      <c r="C146" s="562" t="s">
        <v>387</v>
      </c>
      <c r="D146" s="562">
        <v>2</v>
      </c>
      <c r="E146" s="562">
        <v>4</v>
      </c>
      <c r="F146" s="562" t="s">
        <v>184</v>
      </c>
      <c r="G146" s="562" t="s">
        <v>191</v>
      </c>
      <c r="H146" s="562" t="s">
        <v>191</v>
      </c>
    </row>
    <row r="147" spans="1:8" x14ac:dyDescent="0.2">
      <c r="A147" s="562" t="s">
        <v>197</v>
      </c>
      <c r="B147" s="562" t="s">
        <v>360</v>
      </c>
      <c r="C147" s="562" t="s">
        <v>259</v>
      </c>
      <c r="D147" s="562">
        <v>3</v>
      </c>
      <c r="E147" s="562">
        <v>3</v>
      </c>
      <c r="F147" s="562" t="s">
        <v>184</v>
      </c>
      <c r="G147" s="562" t="s">
        <v>191</v>
      </c>
      <c r="H147" s="562" t="s">
        <v>191</v>
      </c>
    </row>
    <row r="148" spans="1:8" x14ac:dyDescent="0.2">
      <c r="A148" s="562" t="s">
        <v>197</v>
      </c>
      <c r="B148" s="562" t="s">
        <v>360</v>
      </c>
      <c r="C148" s="562" t="s">
        <v>261</v>
      </c>
      <c r="D148" s="562">
        <v>3</v>
      </c>
      <c r="E148" s="562">
        <v>3</v>
      </c>
      <c r="F148" s="562" t="s">
        <v>184</v>
      </c>
      <c r="G148" s="562" t="s">
        <v>191</v>
      </c>
      <c r="H148" s="562" t="s">
        <v>191</v>
      </c>
    </row>
    <row r="149" spans="1:8" x14ac:dyDescent="0.2">
      <c r="A149" s="562" t="s">
        <v>197</v>
      </c>
      <c r="B149" s="562" t="s">
        <v>360</v>
      </c>
      <c r="C149" s="562" t="s">
        <v>388</v>
      </c>
      <c r="D149" s="562">
        <v>3</v>
      </c>
      <c r="E149" s="562">
        <v>3</v>
      </c>
      <c r="F149" s="562" t="s">
        <v>184</v>
      </c>
      <c r="G149" s="562" t="s">
        <v>191</v>
      </c>
      <c r="H149" s="562" t="s">
        <v>191</v>
      </c>
    </row>
    <row r="150" spans="1:8" x14ac:dyDescent="0.2">
      <c r="A150" s="562" t="s">
        <v>197</v>
      </c>
      <c r="B150" s="562" t="s">
        <v>360</v>
      </c>
      <c r="C150" s="562" t="s">
        <v>389</v>
      </c>
      <c r="D150" s="562">
        <v>3</v>
      </c>
      <c r="E150" s="562">
        <v>3</v>
      </c>
      <c r="F150" s="562" t="s">
        <v>184</v>
      </c>
      <c r="G150" s="562" t="s">
        <v>190</v>
      </c>
      <c r="H150" s="562" t="s">
        <v>191</v>
      </c>
    </row>
    <row r="151" spans="1:8" x14ac:dyDescent="0.2">
      <c r="A151" s="562" t="s">
        <v>197</v>
      </c>
      <c r="B151" s="562" t="s">
        <v>360</v>
      </c>
      <c r="C151" s="562" t="s">
        <v>267</v>
      </c>
      <c r="D151" s="562">
        <v>3</v>
      </c>
      <c r="E151" s="562">
        <v>3</v>
      </c>
      <c r="F151" s="562" t="s">
        <v>184</v>
      </c>
      <c r="G151" s="562" t="s">
        <v>191</v>
      </c>
      <c r="H151" s="562" t="s">
        <v>191</v>
      </c>
    </row>
    <row r="152" spans="1:8" x14ac:dyDescent="0.2">
      <c r="A152" s="562" t="s">
        <v>197</v>
      </c>
      <c r="B152" s="562" t="s">
        <v>360</v>
      </c>
      <c r="C152" s="562" t="s">
        <v>269</v>
      </c>
      <c r="D152" s="562">
        <v>3</v>
      </c>
      <c r="E152" s="562">
        <v>3</v>
      </c>
      <c r="F152" s="562" t="s">
        <v>184</v>
      </c>
      <c r="G152" s="562" t="s">
        <v>191</v>
      </c>
      <c r="H152" s="562" t="s">
        <v>191</v>
      </c>
    </row>
    <row r="153" spans="1:8" x14ac:dyDescent="0.2">
      <c r="A153" s="562" t="s">
        <v>197</v>
      </c>
      <c r="B153" s="562" t="s">
        <v>360</v>
      </c>
      <c r="C153" s="562" t="s">
        <v>390</v>
      </c>
      <c r="D153" s="562">
        <v>3</v>
      </c>
      <c r="E153" s="562">
        <v>3</v>
      </c>
      <c r="F153" s="562" t="s">
        <v>184</v>
      </c>
      <c r="G153" s="562" t="s">
        <v>191</v>
      </c>
      <c r="H153" s="562" t="s">
        <v>191</v>
      </c>
    </row>
    <row r="154" spans="1:8" x14ac:dyDescent="0.2">
      <c r="A154" s="562" t="s">
        <v>197</v>
      </c>
      <c r="B154" s="562" t="s">
        <v>360</v>
      </c>
      <c r="C154" s="562" t="s">
        <v>391</v>
      </c>
      <c r="D154" s="562">
        <v>3</v>
      </c>
      <c r="E154" s="562">
        <v>3</v>
      </c>
      <c r="F154" s="562" t="s">
        <v>184</v>
      </c>
      <c r="G154" s="562" t="s">
        <v>190</v>
      </c>
      <c r="H154" s="562" t="s">
        <v>191</v>
      </c>
    </row>
    <row r="155" spans="1:8" x14ac:dyDescent="0.2">
      <c r="A155" s="562" t="s">
        <v>197</v>
      </c>
      <c r="B155" s="562" t="s">
        <v>360</v>
      </c>
      <c r="C155" s="562" t="s">
        <v>392</v>
      </c>
      <c r="D155" s="562">
        <v>3</v>
      </c>
      <c r="E155" s="562">
        <v>3</v>
      </c>
      <c r="F155" s="562" t="s">
        <v>184</v>
      </c>
      <c r="G155" s="562" t="s">
        <v>191</v>
      </c>
      <c r="H155" s="562" t="s">
        <v>191</v>
      </c>
    </row>
    <row r="156" spans="1:8" x14ac:dyDescent="0.2">
      <c r="A156" s="562" t="s">
        <v>197</v>
      </c>
      <c r="B156" s="562" t="s">
        <v>360</v>
      </c>
      <c r="C156" s="562" t="s">
        <v>393</v>
      </c>
      <c r="D156" s="562">
        <v>3</v>
      </c>
      <c r="E156" s="562">
        <v>3</v>
      </c>
      <c r="F156" s="562" t="s">
        <v>184</v>
      </c>
      <c r="G156" s="562" t="s">
        <v>191</v>
      </c>
      <c r="H156" s="562" t="s">
        <v>191</v>
      </c>
    </row>
    <row r="157" spans="1:8" x14ac:dyDescent="0.2">
      <c r="A157" s="562" t="s">
        <v>197</v>
      </c>
      <c r="B157" s="562" t="s">
        <v>360</v>
      </c>
      <c r="C157" s="562" t="s">
        <v>277</v>
      </c>
      <c r="D157" s="562">
        <v>3</v>
      </c>
      <c r="E157" s="562">
        <v>4</v>
      </c>
      <c r="F157" s="562" t="s">
        <v>184</v>
      </c>
      <c r="G157" s="562" t="s">
        <v>191</v>
      </c>
      <c r="H157" s="562" t="s">
        <v>191</v>
      </c>
    </row>
    <row r="158" spans="1:8" x14ac:dyDescent="0.2">
      <c r="A158" s="562" t="s">
        <v>197</v>
      </c>
      <c r="B158" s="562" t="s">
        <v>360</v>
      </c>
      <c r="C158" s="562" t="s">
        <v>281</v>
      </c>
      <c r="D158" s="562">
        <v>2</v>
      </c>
      <c r="E158" s="562">
        <v>4</v>
      </c>
      <c r="F158" s="562" t="s">
        <v>184</v>
      </c>
      <c r="G158" s="562" t="s">
        <v>191</v>
      </c>
      <c r="H158" s="562" t="s">
        <v>191</v>
      </c>
    </row>
    <row r="159" spans="1:8" x14ac:dyDescent="0.2">
      <c r="A159" s="562" t="s">
        <v>197</v>
      </c>
      <c r="B159" s="562" t="s">
        <v>360</v>
      </c>
      <c r="C159" s="562" t="s">
        <v>394</v>
      </c>
      <c r="D159" s="562">
        <v>3</v>
      </c>
      <c r="E159" s="562">
        <v>3</v>
      </c>
      <c r="F159" s="562" t="s">
        <v>184</v>
      </c>
      <c r="G159" s="562" t="s">
        <v>190</v>
      </c>
      <c r="H159" s="562" t="s">
        <v>191</v>
      </c>
    </row>
    <row r="160" spans="1:8" x14ac:dyDescent="0.2">
      <c r="A160" s="562" t="s">
        <v>197</v>
      </c>
      <c r="B160" s="562" t="s">
        <v>360</v>
      </c>
      <c r="C160" s="562" t="s">
        <v>395</v>
      </c>
      <c r="D160" s="562">
        <v>3</v>
      </c>
      <c r="E160" s="562">
        <v>3</v>
      </c>
      <c r="F160" s="562" t="s">
        <v>184</v>
      </c>
      <c r="G160" s="562" t="s">
        <v>191</v>
      </c>
      <c r="H160" s="562" t="s">
        <v>191</v>
      </c>
    </row>
    <row r="161" spans="1:8" x14ac:dyDescent="0.2">
      <c r="A161" s="562" t="s">
        <v>197</v>
      </c>
      <c r="B161" s="562" t="s">
        <v>360</v>
      </c>
      <c r="C161" s="562" t="s">
        <v>287</v>
      </c>
      <c r="D161" s="562">
        <v>3</v>
      </c>
      <c r="E161" s="562">
        <v>3</v>
      </c>
      <c r="F161" s="562" t="s">
        <v>184</v>
      </c>
      <c r="G161" s="562" t="s">
        <v>191</v>
      </c>
      <c r="H161" s="562" t="s">
        <v>191</v>
      </c>
    </row>
    <row r="162" spans="1:8" x14ac:dyDescent="0.2">
      <c r="A162" s="562" t="s">
        <v>197</v>
      </c>
      <c r="B162" s="562" t="s">
        <v>360</v>
      </c>
      <c r="C162" s="562" t="s">
        <v>289</v>
      </c>
      <c r="D162" s="562">
        <v>2</v>
      </c>
      <c r="E162" s="562">
        <v>3</v>
      </c>
      <c r="F162" s="562" t="s">
        <v>184</v>
      </c>
      <c r="G162" s="562" t="s">
        <v>191</v>
      </c>
      <c r="H162" s="562" t="s">
        <v>191</v>
      </c>
    </row>
    <row r="163" spans="1:8" x14ac:dyDescent="0.2">
      <c r="A163" s="562" t="s">
        <v>197</v>
      </c>
      <c r="B163" s="562" t="s">
        <v>360</v>
      </c>
      <c r="C163" s="562" t="s">
        <v>396</v>
      </c>
      <c r="D163" s="562">
        <v>3</v>
      </c>
      <c r="E163" s="562">
        <v>3</v>
      </c>
      <c r="F163" s="562" t="s">
        <v>184</v>
      </c>
      <c r="G163" s="562" t="s">
        <v>191</v>
      </c>
      <c r="H163" s="562" t="s">
        <v>191</v>
      </c>
    </row>
    <row r="164" spans="1:8" x14ac:dyDescent="0.2">
      <c r="A164" s="562" t="s">
        <v>197</v>
      </c>
      <c r="B164" s="562" t="s">
        <v>360</v>
      </c>
      <c r="C164" s="562" t="s">
        <v>397</v>
      </c>
      <c r="D164" s="562">
        <v>3</v>
      </c>
      <c r="E164" s="562">
        <v>4</v>
      </c>
      <c r="F164" s="562" t="s">
        <v>184</v>
      </c>
      <c r="G164" s="562" t="s">
        <v>191</v>
      </c>
      <c r="H164" s="562" t="s">
        <v>191</v>
      </c>
    </row>
    <row r="165" spans="1:8" x14ac:dyDescent="0.2">
      <c r="A165" s="562" t="s">
        <v>197</v>
      </c>
      <c r="B165" s="562" t="s">
        <v>360</v>
      </c>
      <c r="C165" s="562" t="s">
        <v>398</v>
      </c>
      <c r="D165" s="562">
        <v>3</v>
      </c>
      <c r="E165" s="562">
        <v>3</v>
      </c>
      <c r="F165" s="562" t="s">
        <v>184</v>
      </c>
      <c r="G165" s="562" t="s">
        <v>191</v>
      </c>
      <c r="H165" s="562" t="s">
        <v>191</v>
      </c>
    </row>
    <row r="166" spans="1:8" x14ac:dyDescent="0.2">
      <c r="A166" s="562" t="s">
        <v>197</v>
      </c>
      <c r="B166" s="562" t="s">
        <v>360</v>
      </c>
      <c r="C166" s="562" t="s">
        <v>293</v>
      </c>
      <c r="D166" s="562">
        <v>3</v>
      </c>
      <c r="E166" s="562">
        <v>3</v>
      </c>
      <c r="F166" s="562" t="s">
        <v>184</v>
      </c>
      <c r="G166" s="562" t="s">
        <v>191</v>
      </c>
      <c r="H166" s="562" t="s">
        <v>191</v>
      </c>
    </row>
    <row r="167" spans="1:8" x14ac:dyDescent="0.2">
      <c r="A167" s="562" t="s">
        <v>197</v>
      </c>
      <c r="B167" s="562" t="s">
        <v>360</v>
      </c>
      <c r="C167" s="562" t="s">
        <v>399</v>
      </c>
      <c r="D167" s="562">
        <v>3</v>
      </c>
      <c r="E167" s="562">
        <v>3</v>
      </c>
      <c r="F167" s="562" t="s">
        <v>184</v>
      </c>
      <c r="G167" s="562" t="s">
        <v>191</v>
      </c>
      <c r="H167" s="562" t="s">
        <v>191</v>
      </c>
    </row>
    <row r="168" spans="1:8" x14ac:dyDescent="0.2">
      <c r="A168" s="562" t="s">
        <v>197</v>
      </c>
      <c r="B168" s="562" t="s">
        <v>360</v>
      </c>
      <c r="C168" s="562" t="s">
        <v>297</v>
      </c>
      <c r="D168" s="562">
        <v>3</v>
      </c>
      <c r="E168" s="562">
        <v>3</v>
      </c>
      <c r="F168" s="562" t="s">
        <v>184</v>
      </c>
      <c r="G168" s="562" t="s">
        <v>191</v>
      </c>
      <c r="H168" s="562" t="s">
        <v>191</v>
      </c>
    </row>
    <row r="169" spans="1:8" x14ac:dyDescent="0.2">
      <c r="A169" s="562" t="s">
        <v>197</v>
      </c>
      <c r="B169" s="562" t="s">
        <v>360</v>
      </c>
      <c r="C169" s="562" t="s">
        <v>400</v>
      </c>
      <c r="D169" s="562">
        <v>3</v>
      </c>
      <c r="E169" s="562">
        <v>3</v>
      </c>
      <c r="F169" s="562" t="s">
        <v>184</v>
      </c>
      <c r="G169" s="562" t="s">
        <v>191</v>
      </c>
      <c r="H169" s="562" t="s">
        <v>191</v>
      </c>
    </row>
    <row r="170" spans="1:8" x14ac:dyDescent="0.2">
      <c r="A170" s="562" t="s">
        <v>197</v>
      </c>
      <c r="B170" s="562" t="s">
        <v>360</v>
      </c>
      <c r="C170" s="562" t="s">
        <v>401</v>
      </c>
      <c r="D170" s="562">
        <v>3</v>
      </c>
      <c r="E170" s="562">
        <v>3</v>
      </c>
      <c r="F170" s="562" t="s">
        <v>184</v>
      </c>
      <c r="G170" s="562" t="s">
        <v>191</v>
      </c>
      <c r="H170" s="562" t="s">
        <v>191</v>
      </c>
    </row>
    <row r="171" spans="1:8" x14ac:dyDescent="0.2">
      <c r="A171" s="562" t="s">
        <v>197</v>
      </c>
      <c r="B171" s="562" t="s">
        <v>360</v>
      </c>
      <c r="C171" s="562" t="s">
        <v>402</v>
      </c>
      <c r="D171" s="562">
        <v>3</v>
      </c>
      <c r="E171" s="562">
        <v>3</v>
      </c>
      <c r="F171" s="562" t="s">
        <v>184</v>
      </c>
      <c r="G171" s="562" t="s">
        <v>191</v>
      </c>
      <c r="H171" s="562" t="s">
        <v>191</v>
      </c>
    </row>
    <row r="172" spans="1:8" x14ac:dyDescent="0.2">
      <c r="A172" s="562" t="s">
        <v>197</v>
      </c>
      <c r="B172" s="562" t="s">
        <v>360</v>
      </c>
      <c r="C172" s="562" t="s">
        <v>403</v>
      </c>
      <c r="D172" s="562">
        <v>3</v>
      </c>
      <c r="E172" s="562">
        <v>3</v>
      </c>
      <c r="F172" s="562" t="s">
        <v>184</v>
      </c>
      <c r="G172" s="562" t="s">
        <v>191</v>
      </c>
      <c r="H172" s="562" t="s">
        <v>191</v>
      </c>
    </row>
    <row r="173" spans="1:8" x14ac:dyDescent="0.2">
      <c r="A173" s="562" t="s">
        <v>197</v>
      </c>
      <c r="B173" s="562" t="s">
        <v>360</v>
      </c>
      <c r="C173" s="562" t="s">
        <v>404</v>
      </c>
      <c r="D173" s="562">
        <v>3</v>
      </c>
      <c r="E173" s="562">
        <v>3</v>
      </c>
      <c r="F173" s="562" t="s">
        <v>184</v>
      </c>
      <c r="G173" s="562" t="s">
        <v>191</v>
      </c>
      <c r="H173" s="562" t="s">
        <v>191</v>
      </c>
    </row>
    <row r="174" spans="1:8" x14ac:dyDescent="0.2">
      <c r="A174" s="562" t="s">
        <v>197</v>
      </c>
      <c r="B174" s="562" t="s">
        <v>360</v>
      </c>
      <c r="C174" s="562" t="s">
        <v>299</v>
      </c>
      <c r="D174" s="562">
        <v>2</v>
      </c>
      <c r="E174" s="562">
        <v>3</v>
      </c>
      <c r="F174" s="562" t="s">
        <v>184</v>
      </c>
      <c r="G174" s="562" t="s">
        <v>191</v>
      </c>
      <c r="H174" s="562" t="s">
        <v>191</v>
      </c>
    </row>
    <row r="175" spans="1:8" x14ac:dyDescent="0.2">
      <c r="A175" s="562" t="s">
        <v>197</v>
      </c>
      <c r="B175" s="562" t="s">
        <v>360</v>
      </c>
      <c r="C175" s="562" t="s">
        <v>405</v>
      </c>
      <c r="D175" s="562">
        <v>3</v>
      </c>
      <c r="E175" s="562">
        <v>3</v>
      </c>
      <c r="F175" s="562" t="s">
        <v>184</v>
      </c>
      <c r="G175" s="562" t="s">
        <v>191</v>
      </c>
      <c r="H175" s="562" t="s">
        <v>191</v>
      </c>
    </row>
    <row r="176" spans="1:8" x14ac:dyDescent="0.2">
      <c r="A176" s="562" t="s">
        <v>197</v>
      </c>
      <c r="B176" s="562" t="s">
        <v>360</v>
      </c>
      <c r="C176" s="562" t="s">
        <v>406</v>
      </c>
      <c r="D176" s="562">
        <v>3</v>
      </c>
      <c r="E176" s="562">
        <v>3</v>
      </c>
      <c r="F176" s="562" t="s">
        <v>184</v>
      </c>
      <c r="G176" s="562" t="s">
        <v>191</v>
      </c>
      <c r="H176" s="562" t="s">
        <v>191</v>
      </c>
    </row>
    <row r="177" spans="1:8" x14ac:dyDescent="0.2">
      <c r="A177" s="562" t="s">
        <v>197</v>
      </c>
      <c r="B177" s="562" t="s">
        <v>360</v>
      </c>
      <c r="C177" s="562" t="s">
        <v>407</v>
      </c>
      <c r="D177" s="562">
        <v>3</v>
      </c>
      <c r="E177" s="562">
        <v>3</v>
      </c>
      <c r="F177" s="562" t="s">
        <v>184</v>
      </c>
      <c r="G177" s="562" t="s">
        <v>191</v>
      </c>
      <c r="H177" s="562" t="s">
        <v>191</v>
      </c>
    </row>
    <row r="178" spans="1:8" x14ac:dyDescent="0.2">
      <c r="A178" s="562" t="s">
        <v>197</v>
      </c>
      <c r="B178" s="562" t="s">
        <v>360</v>
      </c>
      <c r="C178" s="562" t="s">
        <v>408</v>
      </c>
      <c r="D178" s="562">
        <v>2</v>
      </c>
      <c r="E178" s="562">
        <v>4</v>
      </c>
      <c r="F178" s="562" t="s">
        <v>184</v>
      </c>
      <c r="G178" s="562" t="s">
        <v>191</v>
      </c>
      <c r="H178" s="562" t="s">
        <v>191</v>
      </c>
    </row>
    <row r="179" spans="1:8" x14ac:dyDescent="0.2">
      <c r="A179" s="562" t="s">
        <v>197</v>
      </c>
      <c r="B179" s="562" t="s">
        <v>360</v>
      </c>
      <c r="C179" s="562" t="s">
        <v>409</v>
      </c>
      <c r="D179" s="562">
        <v>3</v>
      </c>
      <c r="E179" s="562">
        <v>3</v>
      </c>
      <c r="F179" s="562" t="s">
        <v>184</v>
      </c>
      <c r="G179" s="562" t="s">
        <v>191</v>
      </c>
      <c r="H179" s="562" t="s">
        <v>191</v>
      </c>
    </row>
    <row r="180" spans="1:8" x14ac:dyDescent="0.2">
      <c r="A180" s="562" t="s">
        <v>197</v>
      </c>
      <c r="B180" s="562" t="s">
        <v>360</v>
      </c>
      <c r="C180" s="562" t="s">
        <v>410</v>
      </c>
      <c r="D180" s="562">
        <v>3</v>
      </c>
      <c r="E180" s="562">
        <v>3</v>
      </c>
      <c r="F180" s="562" t="s">
        <v>184</v>
      </c>
      <c r="G180" s="562" t="s">
        <v>190</v>
      </c>
      <c r="H180" s="562" t="s">
        <v>191</v>
      </c>
    </row>
    <row r="181" spans="1:8" x14ac:dyDescent="0.2">
      <c r="A181" s="562" t="s">
        <v>197</v>
      </c>
      <c r="B181" s="562" t="s">
        <v>360</v>
      </c>
      <c r="C181" s="562" t="s">
        <v>411</v>
      </c>
      <c r="D181" s="562">
        <v>2</v>
      </c>
      <c r="E181" s="562">
        <v>3</v>
      </c>
      <c r="F181" s="562" t="s">
        <v>184</v>
      </c>
      <c r="G181" s="562" t="s">
        <v>191</v>
      </c>
      <c r="H181" s="562" t="s">
        <v>191</v>
      </c>
    </row>
    <row r="182" spans="1:8" x14ac:dyDescent="0.2">
      <c r="A182" s="562" t="s">
        <v>197</v>
      </c>
      <c r="B182" s="562" t="s">
        <v>360</v>
      </c>
      <c r="C182" s="562" t="s">
        <v>412</v>
      </c>
      <c r="D182" s="562">
        <v>2</v>
      </c>
      <c r="E182" s="562">
        <v>4</v>
      </c>
      <c r="F182" s="562" t="s">
        <v>184</v>
      </c>
      <c r="G182" s="562" t="s">
        <v>191</v>
      </c>
      <c r="H182" s="562" t="s">
        <v>191</v>
      </c>
    </row>
    <row r="183" spans="1:8" x14ac:dyDescent="0.2">
      <c r="A183" s="562" t="s">
        <v>197</v>
      </c>
      <c r="B183" s="562" t="s">
        <v>360</v>
      </c>
      <c r="C183" s="562" t="s">
        <v>413</v>
      </c>
      <c r="D183" s="562">
        <v>3</v>
      </c>
      <c r="E183" s="562">
        <v>3</v>
      </c>
      <c r="F183" s="562" t="s">
        <v>184</v>
      </c>
      <c r="G183" s="562" t="s">
        <v>190</v>
      </c>
      <c r="H183" s="562" t="s">
        <v>191</v>
      </c>
    </row>
    <row r="184" spans="1:8" x14ac:dyDescent="0.2">
      <c r="A184" s="562" t="s">
        <v>197</v>
      </c>
      <c r="B184" s="562" t="s">
        <v>360</v>
      </c>
      <c r="C184" s="562" t="s">
        <v>414</v>
      </c>
      <c r="D184" s="562">
        <v>3</v>
      </c>
      <c r="E184" s="562">
        <v>3</v>
      </c>
      <c r="F184" s="562" t="s">
        <v>184</v>
      </c>
      <c r="G184" s="562" t="s">
        <v>191</v>
      </c>
      <c r="H184" s="562" t="s">
        <v>191</v>
      </c>
    </row>
    <row r="185" spans="1:8" x14ac:dyDescent="0.2">
      <c r="A185" s="562" t="s">
        <v>197</v>
      </c>
      <c r="B185" s="562" t="s">
        <v>360</v>
      </c>
      <c r="C185" s="562" t="s">
        <v>309</v>
      </c>
      <c r="D185" s="562">
        <v>3</v>
      </c>
      <c r="E185" s="562">
        <v>4</v>
      </c>
      <c r="F185" s="562" t="s">
        <v>184</v>
      </c>
      <c r="G185" s="562" t="s">
        <v>191</v>
      </c>
      <c r="H185" s="562" t="s">
        <v>191</v>
      </c>
    </row>
    <row r="186" spans="1:8" x14ac:dyDescent="0.2">
      <c r="A186" s="562" t="s">
        <v>197</v>
      </c>
      <c r="B186" s="562" t="s">
        <v>360</v>
      </c>
      <c r="C186" s="562" t="s">
        <v>415</v>
      </c>
      <c r="D186" s="562">
        <v>3</v>
      </c>
      <c r="E186" s="562">
        <v>3</v>
      </c>
      <c r="F186" s="562" t="s">
        <v>184</v>
      </c>
      <c r="G186" s="562" t="s">
        <v>191</v>
      </c>
      <c r="H186" s="562" t="s">
        <v>191</v>
      </c>
    </row>
    <row r="187" spans="1:8" x14ac:dyDescent="0.2">
      <c r="A187" s="562" t="s">
        <v>197</v>
      </c>
      <c r="B187" s="562" t="s">
        <v>360</v>
      </c>
      <c r="C187" s="562" t="s">
        <v>416</v>
      </c>
      <c r="D187" s="562">
        <v>3</v>
      </c>
      <c r="E187" s="562">
        <v>3</v>
      </c>
      <c r="F187" s="562" t="s">
        <v>184</v>
      </c>
      <c r="G187" s="562" t="s">
        <v>191</v>
      </c>
      <c r="H187" s="562" t="s">
        <v>191</v>
      </c>
    </row>
    <row r="188" spans="1:8" x14ac:dyDescent="0.2">
      <c r="A188" s="562" t="s">
        <v>197</v>
      </c>
      <c r="B188" s="562" t="s">
        <v>360</v>
      </c>
      <c r="C188" s="562" t="s">
        <v>417</v>
      </c>
      <c r="D188" s="562">
        <v>3</v>
      </c>
      <c r="E188" s="562">
        <v>3</v>
      </c>
      <c r="F188" s="562" t="s">
        <v>184</v>
      </c>
      <c r="G188" s="562" t="s">
        <v>191</v>
      </c>
      <c r="H188" s="562" t="s">
        <v>191</v>
      </c>
    </row>
    <row r="189" spans="1:8" x14ac:dyDescent="0.2">
      <c r="A189" s="562" t="s">
        <v>199</v>
      </c>
      <c r="B189" s="562" t="s">
        <v>418</v>
      </c>
      <c r="C189" s="562" t="s">
        <v>419</v>
      </c>
      <c r="D189" s="562">
        <v>2</v>
      </c>
      <c r="E189" s="562">
        <v>3</v>
      </c>
      <c r="F189" s="562" t="s">
        <v>420</v>
      </c>
      <c r="G189" s="562" t="s">
        <v>191</v>
      </c>
      <c r="H189" s="562" t="s">
        <v>191</v>
      </c>
    </row>
    <row r="190" spans="1:8" x14ac:dyDescent="0.2">
      <c r="A190" s="562" t="s">
        <v>199</v>
      </c>
      <c r="B190" s="562" t="s">
        <v>418</v>
      </c>
      <c r="C190" s="562" t="s">
        <v>421</v>
      </c>
      <c r="D190" s="562">
        <v>2</v>
      </c>
      <c r="E190" s="562">
        <v>6</v>
      </c>
      <c r="F190" s="562" t="s">
        <v>345</v>
      </c>
      <c r="G190" s="562" t="s">
        <v>191</v>
      </c>
      <c r="H190" s="562" t="s">
        <v>191</v>
      </c>
    </row>
    <row r="191" spans="1:8" x14ac:dyDescent="0.2">
      <c r="A191" s="562" t="s">
        <v>199</v>
      </c>
      <c r="B191" s="562" t="s">
        <v>418</v>
      </c>
      <c r="C191" s="562" t="s">
        <v>422</v>
      </c>
      <c r="D191" s="562">
        <v>2</v>
      </c>
      <c r="E191" s="562">
        <v>4</v>
      </c>
      <c r="F191" s="562" t="s">
        <v>345</v>
      </c>
      <c r="G191" s="562" t="s">
        <v>191</v>
      </c>
      <c r="H191" s="562" t="s">
        <v>191</v>
      </c>
    </row>
    <row r="192" spans="1:8" x14ac:dyDescent="0.2">
      <c r="A192" s="562" t="s">
        <v>199</v>
      </c>
      <c r="B192" s="562" t="s">
        <v>418</v>
      </c>
      <c r="C192" s="562" t="s">
        <v>423</v>
      </c>
      <c r="D192" s="562">
        <v>3</v>
      </c>
      <c r="E192" s="562">
        <v>3</v>
      </c>
      <c r="F192" s="562" t="s">
        <v>345</v>
      </c>
      <c r="G192" s="562" t="s">
        <v>191</v>
      </c>
      <c r="H192" s="562" t="s">
        <v>191</v>
      </c>
    </row>
    <row r="193" spans="1:8" x14ac:dyDescent="0.2">
      <c r="A193" s="562" t="s">
        <v>199</v>
      </c>
      <c r="B193" s="562" t="s">
        <v>418</v>
      </c>
      <c r="C193" s="562" t="s">
        <v>424</v>
      </c>
      <c r="D193" s="562">
        <v>2</v>
      </c>
      <c r="E193" s="562">
        <v>4</v>
      </c>
      <c r="F193" s="562" t="s">
        <v>345</v>
      </c>
      <c r="G193" s="562" t="s">
        <v>191</v>
      </c>
      <c r="H193" s="562" t="s">
        <v>191</v>
      </c>
    </row>
    <row r="194" spans="1:8" x14ac:dyDescent="0.2">
      <c r="A194" s="562" t="s">
        <v>199</v>
      </c>
      <c r="B194" s="562" t="s">
        <v>418</v>
      </c>
      <c r="C194" s="562" t="s">
        <v>425</v>
      </c>
      <c r="D194" s="562">
        <v>3</v>
      </c>
      <c r="E194" s="562">
        <v>3</v>
      </c>
      <c r="F194" s="562" t="s">
        <v>345</v>
      </c>
      <c r="G194" s="562" t="s">
        <v>191</v>
      </c>
      <c r="H194" s="562" t="s">
        <v>191</v>
      </c>
    </row>
    <row r="195" spans="1:8" x14ac:dyDescent="0.2">
      <c r="A195" s="562" t="s">
        <v>199</v>
      </c>
      <c r="B195" s="562" t="s">
        <v>418</v>
      </c>
      <c r="C195" s="562" t="s">
        <v>426</v>
      </c>
      <c r="D195" s="562">
        <v>2</v>
      </c>
      <c r="E195" s="562">
        <v>3</v>
      </c>
      <c r="F195" s="562" t="s">
        <v>345</v>
      </c>
      <c r="G195" s="562" t="s">
        <v>191</v>
      </c>
      <c r="H195" s="562" t="s">
        <v>191</v>
      </c>
    </row>
    <row r="196" spans="1:8" x14ac:dyDescent="0.2">
      <c r="A196" s="562" t="s">
        <v>199</v>
      </c>
      <c r="B196" s="562" t="s">
        <v>418</v>
      </c>
      <c r="C196" s="562" t="s">
        <v>427</v>
      </c>
      <c r="D196" s="562">
        <v>3</v>
      </c>
      <c r="E196" s="562">
        <v>4</v>
      </c>
      <c r="F196" s="562" t="s">
        <v>420</v>
      </c>
      <c r="G196" s="562" t="s">
        <v>191</v>
      </c>
      <c r="H196" s="562" t="s">
        <v>191</v>
      </c>
    </row>
    <row r="197" spans="1:8" x14ac:dyDescent="0.2">
      <c r="A197" s="562" t="s">
        <v>199</v>
      </c>
      <c r="B197" s="562" t="s">
        <v>418</v>
      </c>
      <c r="C197" s="562" t="s">
        <v>428</v>
      </c>
      <c r="D197" s="562">
        <v>2</v>
      </c>
      <c r="E197" s="562">
        <v>4</v>
      </c>
      <c r="F197" s="562" t="s">
        <v>345</v>
      </c>
      <c r="G197" s="562" t="s">
        <v>191</v>
      </c>
      <c r="H197" s="562" t="s">
        <v>191</v>
      </c>
    </row>
    <row r="198" spans="1:8" x14ac:dyDescent="0.2">
      <c r="A198" s="562" t="s">
        <v>199</v>
      </c>
      <c r="B198" s="562" t="s">
        <v>418</v>
      </c>
      <c r="C198" s="562" t="s">
        <v>429</v>
      </c>
      <c r="D198" s="562">
        <v>2</v>
      </c>
      <c r="E198" s="562">
        <v>3</v>
      </c>
      <c r="F198" s="562" t="s">
        <v>345</v>
      </c>
      <c r="G198" s="562" t="s">
        <v>191</v>
      </c>
      <c r="H198" s="562" t="s">
        <v>191</v>
      </c>
    </row>
    <row r="199" spans="1:8" x14ac:dyDescent="0.2">
      <c r="A199" s="562" t="s">
        <v>199</v>
      </c>
      <c r="B199" s="562" t="s">
        <v>418</v>
      </c>
      <c r="C199" s="562" t="s">
        <v>430</v>
      </c>
      <c r="D199" s="562">
        <v>3</v>
      </c>
      <c r="E199" s="562">
        <v>3</v>
      </c>
      <c r="F199" s="562" t="s">
        <v>345</v>
      </c>
      <c r="G199" s="562" t="s">
        <v>191</v>
      </c>
      <c r="H199" s="562" t="s">
        <v>191</v>
      </c>
    </row>
    <row r="200" spans="1:8" x14ac:dyDescent="0.2">
      <c r="A200" s="562" t="s">
        <v>199</v>
      </c>
      <c r="B200" s="562" t="s">
        <v>418</v>
      </c>
      <c r="C200" s="562" t="s">
        <v>431</v>
      </c>
      <c r="D200" s="562">
        <v>3</v>
      </c>
      <c r="E200" s="562">
        <v>4</v>
      </c>
      <c r="F200" s="562" t="s">
        <v>420</v>
      </c>
      <c r="G200" s="562" t="s">
        <v>191</v>
      </c>
      <c r="H200" s="562" t="s">
        <v>191</v>
      </c>
    </row>
    <row r="201" spans="1:8" x14ac:dyDescent="0.2">
      <c r="A201" s="562" t="s">
        <v>199</v>
      </c>
      <c r="B201" s="562" t="s">
        <v>418</v>
      </c>
      <c r="C201" s="562" t="s">
        <v>432</v>
      </c>
      <c r="D201" s="562">
        <v>3</v>
      </c>
      <c r="E201" s="562">
        <v>2</v>
      </c>
      <c r="F201" s="562" t="s">
        <v>345</v>
      </c>
      <c r="G201" s="562" t="s">
        <v>191</v>
      </c>
      <c r="H201" s="562" t="s">
        <v>191</v>
      </c>
    </row>
    <row r="202" spans="1:8" x14ac:dyDescent="0.2">
      <c r="A202" s="562" t="s">
        <v>199</v>
      </c>
      <c r="B202" s="562" t="s">
        <v>418</v>
      </c>
      <c r="C202" s="562" t="s">
        <v>433</v>
      </c>
      <c r="D202" s="562">
        <v>2</v>
      </c>
      <c r="E202" s="562">
        <v>4</v>
      </c>
      <c r="F202" s="562" t="s">
        <v>345</v>
      </c>
      <c r="G202" s="562" t="s">
        <v>191</v>
      </c>
      <c r="H202" s="562" t="s">
        <v>191</v>
      </c>
    </row>
    <row r="203" spans="1:8" x14ac:dyDescent="0.2">
      <c r="A203" s="562" t="s">
        <v>199</v>
      </c>
      <c r="B203" s="562" t="s">
        <v>418</v>
      </c>
      <c r="C203" s="562" t="s">
        <v>434</v>
      </c>
      <c r="D203" s="562">
        <v>2</v>
      </c>
      <c r="E203" s="562">
        <v>3</v>
      </c>
      <c r="F203" s="562" t="s">
        <v>345</v>
      </c>
      <c r="G203" s="562" t="s">
        <v>191</v>
      </c>
      <c r="H203" s="562" t="s">
        <v>191</v>
      </c>
    </row>
    <row r="204" spans="1:8" x14ac:dyDescent="0.2">
      <c r="A204" s="562" t="s">
        <v>199</v>
      </c>
      <c r="B204" s="562" t="s">
        <v>418</v>
      </c>
      <c r="C204" s="562" t="s">
        <v>435</v>
      </c>
      <c r="D204" s="562">
        <v>3</v>
      </c>
      <c r="E204" s="562">
        <v>3</v>
      </c>
      <c r="F204" s="562" t="s">
        <v>345</v>
      </c>
      <c r="G204" s="562" t="s">
        <v>191</v>
      </c>
      <c r="H204" s="562" t="s">
        <v>191</v>
      </c>
    </row>
    <row r="205" spans="1:8" x14ac:dyDescent="0.2">
      <c r="A205" s="562" t="s">
        <v>199</v>
      </c>
      <c r="B205" s="562" t="s">
        <v>418</v>
      </c>
      <c r="C205" s="562" t="s">
        <v>436</v>
      </c>
      <c r="D205" s="562">
        <v>3</v>
      </c>
      <c r="E205" s="562">
        <v>4</v>
      </c>
      <c r="F205" s="562" t="s">
        <v>345</v>
      </c>
      <c r="G205" s="562" t="s">
        <v>191</v>
      </c>
      <c r="H205" s="562" t="s">
        <v>191</v>
      </c>
    </row>
    <row r="206" spans="1:8" x14ac:dyDescent="0.2">
      <c r="A206" s="562" t="s">
        <v>199</v>
      </c>
      <c r="B206" s="562" t="s">
        <v>418</v>
      </c>
      <c r="C206" s="562" t="s">
        <v>437</v>
      </c>
      <c r="D206" s="562">
        <v>3</v>
      </c>
      <c r="E206" s="562">
        <v>5</v>
      </c>
      <c r="F206" s="562" t="s">
        <v>345</v>
      </c>
      <c r="G206" s="562" t="s">
        <v>191</v>
      </c>
      <c r="H206" s="562" t="s">
        <v>191</v>
      </c>
    </row>
    <row r="207" spans="1:8" x14ac:dyDescent="0.2">
      <c r="A207" s="562" t="s">
        <v>199</v>
      </c>
      <c r="B207" s="562" t="s">
        <v>418</v>
      </c>
      <c r="C207" s="562" t="s">
        <v>438</v>
      </c>
      <c r="D207" s="562">
        <v>2</v>
      </c>
      <c r="E207" s="562">
        <v>3</v>
      </c>
      <c r="F207" s="562" t="s">
        <v>345</v>
      </c>
      <c r="G207" s="562" t="s">
        <v>191</v>
      </c>
      <c r="H207" s="562" t="s">
        <v>191</v>
      </c>
    </row>
    <row r="208" spans="1:8" x14ac:dyDescent="0.2">
      <c r="A208" s="562" t="s">
        <v>199</v>
      </c>
      <c r="B208" s="562" t="s">
        <v>418</v>
      </c>
      <c r="C208" s="562" t="s">
        <v>439</v>
      </c>
      <c r="D208" s="562">
        <v>2</v>
      </c>
      <c r="E208" s="562">
        <v>3</v>
      </c>
      <c r="F208" s="562" t="s">
        <v>345</v>
      </c>
      <c r="G208" s="562" t="s">
        <v>191</v>
      </c>
      <c r="H208" s="562" t="s">
        <v>191</v>
      </c>
    </row>
    <row r="209" spans="1:8" x14ac:dyDescent="0.2">
      <c r="A209" s="562" t="s">
        <v>199</v>
      </c>
      <c r="B209" s="562" t="s">
        <v>418</v>
      </c>
      <c r="C209" s="562" t="s">
        <v>440</v>
      </c>
      <c r="D209" s="562">
        <v>3</v>
      </c>
      <c r="E209" s="562">
        <v>3</v>
      </c>
      <c r="F209" s="562" t="s">
        <v>420</v>
      </c>
      <c r="G209" s="562" t="s">
        <v>191</v>
      </c>
      <c r="H209" s="562" t="s">
        <v>191</v>
      </c>
    </row>
    <row r="210" spans="1:8" x14ac:dyDescent="0.2">
      <c r="A210" s="562" t="s">
        <v>199</v>
      </c>
      <c r="B210" s="562" t="s">
        <v>418</v>
      </c>
      <c r="C210" s="562" t="s">
        <v>441</v>
      </c>
      <c r="D210" s="562">
        <v>2</v>
      </c>
      <c r="E210" s="562">
        <v>4</v>
      </c>
      <c r="F210" s="562" t="s">
        <v>345</v>
      </c>
      <c r="G210" s="562" t="s">
        <v>191</v>
      </c>
      <c r="H210" s="562" t="s">
        <v>191</v>
      </c>
    </row>
    <row r="211" spans="1:8" x14ac:dyDescent="0.2">
      <c r="A211" s="562" t="s">
        <v>199</v>
      </c>
      <c r="B211" s="562" t="s">
        <v>418</v>
      </c>
      <c r="C211" s="562" t="s">
        <v>442</v>
      </c>
      <c r="D211" s="562">
        <v>3</v>
      </c>
      <c r="E211" s="562">
        <v>3</v>
      </c>
      <c r="F211" s="562" t="s">
        <v>420</v>
      </c>
      <c r="G211" s="562" t="s">
        <v>191</v>
      </c>
      <c r="H211" s="562" t="s">
        <v>191</v>
      </c>
    </row>
    <row r="212" spans="1:8" x14ac:dyDescent="0.2">
      <c r="A212" s="562" t="s">
        <v>199</v>
      </c>
      <c r="B212" s="562" t="s">
        <v>418</v>
      </c>
      <c r="C212" s="562" t="s">
        <v>443</v>
      </c>
      <c r="D212" s="562">
        <v>3</v>
      </c>
      <c r="E212" s="562">
        <v>3</v>
      </c>
      <c r="F212" s="562" t="s">
        <v>345</v>
      </c>
      <c r="G212" s="562" t="s">
        <v>191</v>
      </c>
      <c r="H212" s="562" t="s">
        <v>191</v>
      </c>
    </row>
    <row r="213" spans="1:8" x14ac:dyDescent="0.2">
      <c r="A213" s="562" t="s">
        <v>199</v>
      </c>
      <c r="B213" s="562" t="s">
        <v>418</v>
      </c>
      <c r="C213" s="562" t="s">
        <v>444</v>
      </c>
      <c r="D213" s="562">
        <v>3</v>
      </c>
      <c r="E213" s="562">
        <v>5</v>
      </c>
      <c r="F213" s="562" t="s">
        <v>345</v>
      </c>
      <c r="G213" s="562" t="s">
        <v>191</v>
      </c>
      <c r="H213" s="562" t="s">
        <v>191</v>
      </c>
    </row>
    <row r="214" spans="1:8" x14ac:dyDescent="0.2">
      <c r="A214" s="562" t="s">
        <v>199</v>
      </c>
      <c r="B214" s="562" t="s">
        <v>418</v>
      </c>
      <c r="C214" s="562" t="s">
        <v>445</v>
      </c>
      <c r="D214" s="562">
        <v>2</v>
      </c>
      <c r="E214" s="562">
        <v>6</v>
      </c>
      <c r="F214" s="562" t="s">
        <v>345</v>
      </c>
      <c r="G214" s="562" t="s">
        <v>191</v>
      </c>
      <c r="H214" s="562" t="s">
        <v>191</v>
      </c>
    </row>
    <row r="215" spans="1:8" x14ac:dyDescent="0.2">
      <c r="A215" s="562" t="s">
        <v>199</v>
      </c>
      <c r="B215" s="562" t="s">
        <v>418</v>
      </c>
      <c r="C215" s="562" t="s">
        <v>446</v>
      </c>
      <c r="D215" s="562">
        <v>2</v>
      </c>
      <c r="E215" s="562">
        <v>3</v>
      </c>
      <c r="F215" s="562" t="s">
        <v>420</v>
      </c>
      <c r="G215" s="562" t="s">
        <v>191</v>
      </c>
      <c r="H215" s="562" t="s">
        <v>191</v>
      </c>
    </row>
    <row r="216" spans="1:8" x14ac:dyDescent="0.2">
      <c r="A216" s="562" t="s">
        <v>199</v>
      </c>
      <c r="B216" s="562" t="s">
        <v>418</v>
      </c>
      <c r="C216" s="562" t="s">
        <v>447</v>
      </c>
      <c r="D216" s="562">
        <v>3</v>
      </c>
      <c r="E216" s="562">
        <v>3</v>
      </c>
      <c r="F216" s="562" t="s">
        <v>420</v>
      </c>
      <c r="G216" s="562" t="s">
        <v>191</v>
      </c>
      <c r="H216" s="562" t="s">
        <v>191</v>
      </c>
    </row>
    <row r="217" spans="1:8" x14ac:dyDescent="0.2">
      <c r="A217" s="562" t="s">
        <v>199</v>
      </c>
      <c r="B217" s="562" t="s">
        <v>418</v>
      </c>
      <c r="C217" s="562" t="s">
        <v>396</v>
      </c>
      <c r="D217" s="562">
        <v>2</v>
      </c>
      <c r="E217" s="562">
        <v>5</v>
      </c>
      <c r="F217" s="562" t="s">
        <v>345</v>
      </c>
      <c r="G217" s="562" t="s">
        <v>191</v>
      </c>
      <c r="H217" s="562" t="s">
        <v>191</v>
      </c>
    </row>
    <row r="218" spans="1:8" x14ac:dyDescent="0.2">
      <c r="A218" s="562" t="s">
        <v>199</v>
      </c>
      <c r="B218" s="562" t="s">
        <v>418</v>
      </c>
      <c r="C218" s="562" t="s">
        <v>448</v>
      </c>
      <c r="D218" s="562">
        <v>3</v>
      </c>
      <c r="E218" s="562">
        <v>3</v>
      </c>
      <c r="F218" s="562" t="s">
        <v>345</v>
      </c>
      <c r="G218" s="562" t="s">
        <v>191</v>
      </c>
      <c r="H218" s="562" t="s">
        <v>191</v>
      </c>
    </row>
    <row r="219" spans="1:8" x14ac:dyDescent="0.2">
      <c r="A219" s="562" t="s">
        <v>199</v>
      </c>
      <c r="B219" s="562" t="s">
        <v>418</v>
      </c>
      <c r="C219" s="562" t="s">
        <v>449</v>
      </c>
      <c r="D219" s="562">
        <v>2</v>
      </c>
      <c r="E219" s="562">
        <v>3</v>
      </c>
      <c r="F219" s="562" t="s">
        <v>345</v>
      </c>
      <c r="G219" s="562" t="s">
        <v>191</v>
      </c>
      <c r="H219" s="562" t="s">
        <v>191</v>
      </c>
    </row>
    <row r="220" spans="1:8" x14ac:dyDescent="0.2">
      <c r="A220" s="562" t="s">
        <v>199</v>
      </c>
      <c r="B220" s="562" t="s">
        <v>418</v>
      </c>
      <c r="C220" s="562" t="s">
        <v>450</v>
      </c>
      <c r="D220" s="562">
        <v>2</v>
      </c>
      <c r="E220" s="562">
        <v>5</v>
      </c>
      <c r="F220" s="562" t="s">
        <v>345</v>
      </c>
      <c r="G220" s="562" t="s">
        <v>191</v>
      </c>
      <c r="H220" s="562" t="s">
        <v>191</v>
      </c>
    </row>
    <row r="221" spans="1:8" x14ac:dyDescent="0.2">
      <c r="A221" s="562" t="s">
        <v>199</v>
      </c>
      <c r="B221" s="562" t="s">
        <v>418</v>
      </c>
      <c r="C221" s="562" t="s">
        <v>451</v>
      </c>
      <c r="D221" s="562">
        <v>2</v>
      </c>
      <c r="E221" s="562">
        <v>3</v>
      </c>
      <c r="F221" s="562" t="s">
        <v>345</v>
      </c>
      <c r="G221" s="562" t="s">
        <v>191</v>
      </c>
      <c r="H221" s="562" t="s">
        <v>191</v>
      </c>
    </row>
    <row r="222" spans="1:8" x14ac:dyDescent="0.2">
      <c r="A222" s="562" t="s">
        <v>199</v>
      </c>
      <c r="B222" s="562" t="s">
        <v>418</v>
      </c>
      <c r="C222" s="562" t="s">
        <v>452</v>
      </c>
      <c r="D222" s="562">
        <v>3</v>
      </c>
      <c r="E222" s="562">
        <v>3</v>
      </c>
      <c r="F222" s="562" t="s">
        <v>345</v>
      </c>
      <c r="G222" s="562" t="s">
        <v>191</v>
      </c>
      <c r="H222" s="562" t="s">
        <v>191</v>
      </c>
    </row>
    <row r="223" spans="1:8" x14ac:dyDescent="0.2">
      <c r="A223" s="562" t="s">
        <v>199</v>
      </c>
      <c r="B223" s="562" t="s">
        <v>418</v>
      </c>
      <c r="C223" s="562" t="s">
        <v>453</v>
      </c>
      <c r="D223" s="562">
        <v>2</v>
      </c>
      <c r="E223" s="562">
        <v>3</v>
      </c>
      <c r="F223" s="562" t="s">
        <v>420</v>
      </c>
      <c r="G223" s="562" t="s">
        <v>191</v>
      </c>
      <c r="H223" s="562" t="s">
        <v>191</v>
      </c>
    </row>
    <row r="224" spans="1:8" x14ac:dyDescent="0.2">
      <c r="A224" s="562" t="s">
        <v>199</v>
      </c>
      <c r="B224" s="562" t="s">
        <v>418</v>
      </c>
      <c r="C224" s="562" t="s">
        <v>454</v>
      </c>
      <c r="D224" s="562">
        <v>2</v>
      </c>
      <c r="E224" s="562">
        <v>3</v>
      </c>
      <c r="F224" s="562" t="s">
        <v>345</v>
      </c>
      <c r="G224" s="562" t="s">
        <v>191</v>
      </c>
      <c r="H224" s="562" t="s">
        <v>191</v>
      </c>
    </row>
    <row r="225" spans="1:8" x14ac:dyDescent="0.2">
      <c r="A225" s="562" t="s">
        <v>199</v>
      </c>
      <c r="B225" s="562" t="s">
        <v>418</v>
      </c>
      <c r="C225" s="562" t="s">
        <v>455</v>
      </c>
      <c r="D225" s="562">
        <v>3</v>
      </c>
      <c r="E225" s="562">
        <v>3</v>
      </c>
      <c r="F225" s="562" t="s">
        <v>345</v>
      </c>
      <c r="G225" s="562" t="s">
        <v>191</v>
      </c>
      <c r="H225" s="562" t="s">
        <v>191</v>
      </c>
    </row>
    <row r="226" spans="1:8" x14ac:dyDescent="0.2">
      <c r="A226" s="562" t="s">
        <v>199</v>
      </c>
      <c r="B226" s="562" t="s">
        <v>418</v>
      </c>
      <c r="C226" s="562" t="s">
        <v>456</v>
      </c>
      <c r="D226" s="562">
        <v>2</v>
      </c>
      <c r="E226" s="562">
        <v>3</v>
      </c>
      <c r="F226" s="562" t="s">
        <v>420</v>
      </c>
      <c r="G226" s="562" t="s">
        <v>191</v>
      </c>
      <c r="H226" s="562" t="s">
        <v>191</v>
      </c>
    </row>
    <row r="227" spans="1:8" x14ac:dyDescent="0.2">
      <c r="A227" s="562" t="s">
        <v>199</v>
      </c>
      <c r="B227" s="562" t="s">
        <v>418</v>
      </c>
      <c r="C227" s="562" t="s">
        <v>457</v>
      </c>
      <c r="D227" s="562">
        <v>3</v>
      </c>
      <c r="E227" s="562">
        <v>3</v>
      </c>
      <c r="F227" s="562" t="s">
        <v>345</v>
      </c>
      <c r="G227" s="562" t="s">
        <v>191</v>
      </c>
      <c r="H227" s="562" t="s">
        <v>191</v>
      </c>
    </row>
    <row r="228" spans="1:8" x14ac:dyDescent="0.2">
      <c r="A228" s="562" t="s">
        <v>199</v>
      </c>
      <c r="B228" s="562" t="s">
        <v>418</v>
      </c>
      <c r="C228" s="562" t="s">
        <v>458</v>
      </c>
      <c r="D228" s="562">
        <v>2</v>
      </c>
      <c r="E228" s="562">
        <v>3</v>
      </c>
      <c r="F228" s="562" t="s">
        <v>420</v>
      </c>
      <c r="G228" s="562" t="s">
        <v>191</v>
      </c>
      <c r="H228" s="562" t="s">
        <v>191</v>
      </c>
    </row>
    <row r="229" spans="1:8" x14ac:dyDescent="0.2">
      <c r="A229" s="562" t="s">
        <v>199</v>
      </c>
      <c r="B229" s="562" t="s">
        <v>418</v>
      </c>
      <c r="C229" s="562" t="s">
        <v>459</v>
      </c>
      <c r="D229" s="562">
        <v>2</v>
      </c>
      <c r="E229" s="562">
        <v>3</v>
      </c>
      <c r="F229" s="562" t="s">
        <v>420</v>
      </c>
      <c r="G229" s="562" t="s">
        <v>191</v>
      </c>
      <c r="H229" s="562" t="s">
        <v>191</v>
      </c>
    </row>
    <row r="230" spans="1:8" x14ac:dyDescent="0.2">
      <c r="A230" s="562" t="s">
        <v>199</v>
      </c>
      <c r="B230" s="562" t="s">
        <v>418</v>
      </c>
      <c r="C230" s="562" t="s">
        <v>460</v>
      </c>
      <c r="D230" s="562">
        <v>1</v>
      </c>
      <c r="E230" s="562">
        <v>3</v>
      </c>
      <c r="F230" s="562" t="s">
        <v>420</v>
      </c>
      <c r="G230" s="562" t="s">
        <v>191</v>
      </c>
      <c r="H230" s="562" t="s">
        <v>191</v>
      </c>
    </row>
    <row r="231" spans="1:8" x14ac:dyDescent="0.2">
      <c r="A231" s="562" t="s">
        <v>199</v>
      </c>
      <c r="B231" s="562" t="s">
        <v>418</v>
      </c>
      <c r="C231" s="562" t="s">
        <v>461</v>
      </c>
      <c r="D231" s="562">
        <v>2</v>
      </c>
      <c r="E231" s="562">
        <v>3</v>
      </c>
      <c r="F231" s="562" t="s">
        <v>420</v>
      </c>
      <c r="G231" s="562" t="s">
        <v>191</v>
      </c>
      <c r="H231" s="562" t="s">
        <v>191</v>
      </c>
    </row>
    <row r="232" spans="1:8" x14ac:dyDescent="0.2">
      <c r="A232" s="562" t="s">
        <v>199</v>
      </c>
      <c r="B232" s="562" t="s">
        <v>418</v>
      </c>
      <c r="C232" s="562" t="s">
        <v>357</v>
      </c>
      <c r="D232" s="562">
        <v>2</v>
      </c>
      <c r="E232" s="562">
        <v>3</v>
      </c>
      <c r="F232" s="562" t="s">
        <v>420</v>
      </c>
      <c r="G232" s="562" t="s">
        <v>191</v>
      </c>
      <c r="H232" s="562" t="s">
        <v>191</v>
      </c>
    </row>
    <row r="233" spans="1:8" x14ac:dyDescent="0.2">
      <c r="A233" s="562" t="s">
        <v>199</v>
      </c>
      <c r="B233" s="562" t="s">
        <v>418</v>
      </c>
      <c r="C233" s="562" t="s">
        <v>462</v>
      </c>
      <c r="D233" s="562">
        <v>3</v>
      </c>
      <c r="E233" s="562">
        <v>3</v>
      </c>
      <c r="F233" s="562" t="s">
        <v>345</v>
      </c>
      <c r="G233" s="562" t="s">
        <v>191</v>
      </c>
      <c r="H233" s="562" t="s">
        <v>191</v>
      </c>
    </row>
    <row r="234" spans="1:8" x14ac:dyDescent="0.2">
      <c r="A234" s="562" t="s">
        <v>199</v>
      </c>
      <c r="B234" s="562" t="s">
        <v>418</v>
      </c>
      <c r="C234" s="562" t="s">
        <v>463</v>
      </c>
      <c r="D234" s="562">
        <v>2</v>
      </c>
      <c r="E234" s="562">
        <v>5</v>
      </c>
      <c r="F234" s="562" t="s">
        <v>345</v>
      </c>
      <c r="G234" s="562" t="s">
        <v>191</v>
      </c>
      <c r="H234" s="562" t="s">
        <v>191</v>
      </c>
    </row>
    <row r="235" spans="1:8" x14ac:dyDescent="0.2">
      <c r="A235" s="562" t="s">
        <v>199</v>
      </c>
      <c r="B235" s="562" t="s">
        <v>418</v>
      </c>
      <c r="C235" s="562" t="s">
        <v>464</v>
      </c>
      <c r="D235" s="562">
        <v>3</v>
      </c>
      <c r="E235" s="562">
        <v>5</v>
      </c>
      <c r="F235" s="562" t="s">
        <v>345</v>
      </c>
      <c r="G235" s="562" t="s">
        <v>191</v>
      </c>
      <c r="H235" s="562" t="s">
        <v>191</v>
      </c>
    </row>
    <row r="236" spans="1:8" x14ac:dyDescent="0.2">
      <c r="A236" s="562" t="s">
        <v>199</v>
      </c>
      <c r="B236" s="562" t="s">
        <v>418</v>
      </c>
      <c r="C236" s="562" t="s">
        <v>465</v>
      </c>
      <c r="D236" s="562">
        <v>3</v>
      </c>
      <c r="E236" s="562">
        <v>3</v>
      </c>
      <c r="F236" s="562" t="s">
        <v>345</v>
      </c>
      <c r="G236" s="562" t="s">
        <v>191</v>
      </c>
      <c r="H236" s="562" t="s">
        <v>191</v>
      </c>
    </row>
    <row r="237" spans="1:8" x14ac:dyDescent="0.2">
      <c r="A237" s="562" t="s">
        <v>199</v>
      </c>
      <c r="B237" s="562" t="s">
        <v>418</v>
      </c>
      <c r="C237" s="562" t="s">
        <v>466</v>
      </c>
      <c r="D237" s="562">
        <v>3</v>
      </c>
      <c r="E237" s="562">
        <v>3</v>
      </c>
      <c r="F237" s="562" t="s">
        <v>420</v>
      </c>
      <c r="G237" s="562" t="s">
        <v>191</v>
      </c>
      <c r="H237" s="562" t="s">
        <v>191</v>
      </c>
    </row>
    <row r="238" spans="1:8" x14ac:dyDescent="0.2">
      <c r="A238" s="562" t="s">
        <v>199</v>
      </c>
      <c r="B238" s="562" t="s">
        <v>418</v>
      </c>
      <c r="C238" s="562" t="s">
        <v>467</v>
      </c>
      <c r="D238" s="562">
        <v>3</v>
      </c>
      <c r="E238" s="562">
        <v>3</v>
      </c>
      <c r="F238" s="562" t="s">
        <v>345</v>
      </c>
      <c r="G238" s="562" t="s">
        <v>191</v>
      </c>
      <c r="H238" s="562" t="s">
        <v>191</v>
      </c>
    </row>
    <row r="239" spans="1:8" x14ac:dyDescent="0.2">
      <c r="A239" s="562" t="s">
        <v>199</v>
      </c>
      <c r="B239" s="562" t="s">
        <v>418</v>
      </c>
      <c r="C239" s="562" t="s">
        <v>468</v>
      </c>
      <c r="D239" s="562">
        <v>3</v>
      </c>
      <c r="E239" s="562">
        <v>3</v>
      </c>
      <c r="F239" s="562" t="s">
        <v>345</v>
      </c>
      <c r="G239" s="562" t="s">
        <v>191</v>
      </c>
      <c r="H239" s="562" t="s">
        <v>191</v>
      </c>
    </row>
    <row r="240" spans="1:8" x14ac:dyDescent="0.2">
      <c r="A240" s="562" t="s">
        <v>199</v>
      </c>
      <c r="B240" s="562" t="s">
        <v>418</v>
      </c>
      <c r="C240" s="562" t="s">
        <v>469</v>
      </c>
      <c r="D240" s="562">
        <v>3</v>
      </c>
      <c r="E240" s="562">
        <v>3</v>
      </c>
      <c r="F240" s="562" t="s">
        <v>345</v>
      </c>
      <c r="G240" s="562" t="s">
        <v>191</v>
      </c>
      <c r="H240" s="562" t="s">
        <v>191</v>
      </c>
    </row>
    <row r="241" spans="1:8" x14ac:dyDescent="0.2">
      <c r="A241" s="562" t="s">
        <v>199</v>
      </c>
      <c r="B241" s="562" t="s">
        <v>418</v>
      </c>
      <c r="C241" s="562" t="s">
        <v>470</v>
      </c>
      <c r="D241" s="562">
        <v>3</v>
      </c>
      <c r="E241" s="562">
        <v>4</v>
      </c>
      <c r="F241" s="562" t="s">
        <v>345</v>
      </c>
      <c r="G241" s="562" t="s">
        <v>191</v>
      </c>
      <c r="H241" s="562" t="s">
        <v>191</v>
      </c>
    </row>
    <row r="242" spans="1:8" x14ac:dyDescent="0.2">
      <c r="A242" s="562" t="s">
        <v>199</v>
      </c>
      <c r="B242" s="562" t="s">
        <v>418</v>
      </c>
      <c r="C242" s="562" t="s">
        <v>471</v>
      </c>
      <c r="D242" s="562">
        <v>2</v>
      </c>
      <c r="E242" s="562">
        <v>3</v>
      </c>
      <c r="F242" s="562" t="s">
        <v>345</v>
      </c>
      <c r="G242" s="562" t="s">
        <v>191</v>
      </c>
      <c r="H242" s="562" t="s">
        <v>191</v>
      </c>
    </row>
    <row r="243" spans="1:8" x14ac:dyDescent="0.2">
      <c r="A243" s="562" t="s">
        <v>199</v>
      </c>
      <c r="B243" s="562" t="s">
        <v>418</v>
      </c>
      <c r="C243" s="562" t="s">
        <v>472</v>
      </c>
      <c r="D243" s="562">
        <v>2</v>
      </c>
      <c r="E243" s="562">
        <v>4</v>
      </c>
      <c r="F243" s="562" t="s">
        <v>345</v>
      </c>
      <c r="G243" s="562" t="s">
        <v>191</v>
      </c>
      <c r="H243" s="562" t="s">
        <v>191</v>
      </c>
    </row>
    <row r="244" spans="1:8" x14ac:dyDescent="0.2">
      <c r="A244" s="562" t="s">
        <v>199</v>
      </c>
      <c r="B244" s="562" t="s">
        <v>418</v>
      </c>
      <c r="C244" s="562" t="s">
        <v>473</v>
      </c>
      <c r="D244" s="562">
        <v>1</v>
      </c>
      <c r="E244" s="562">
        <v>3</v>
      </c>
      <c r="F244" s="562" t="s">
        <v>420</v>
      </c>
      <c r="G244" s="562" t="s">
        <v>191</v>
      </c>
      <c r="H244" s="562" t="s">
        <v>191</v>
      </c>
    </row>
    <row r="245" spans="1:8" x14ac:dyDescent="0.2">
      <c r="A245" s="562" t="s">
        <v>199</v>
      </c>
      <c r="B245" s="562" t="s">
        <v>418</v>
      </c>
      <c r="C245" s="562" t="s">
        <v>474</v>
      </c>
      <c r="D245" s="562">
        <v>3</v>
      </c>
      <c r="E245" s="562">
        <v>3</v>
      </c>
      <c r="F245" s="562" t="s">
        <v>345</v>
      </c>
      <c r="G245" s="562" t="s">
        <v>191</v>
      </c>
      <c r="H245" s="562" t="s">
        <v>191</v>
      </c>
    </row>
    <row r="246" spans="1:8" x14ac:dyDescent="0.2">
      <c r="A246" s="562" t="s">
        <v>199</v>
      </c>
      <c r="B246" s="562" t="s">
        <v>418</v>
      </c>
      <c r="C246" s="562" t="s">
        <v>475</v>
      </c>
      <c r="D246" s="562">
        <v>2</v>
      </c>
      <c r="E246" s="562">
        <v>3</v>
      </c>
      <c r="F246" s="562" t="s">
        <v>345</v>
      </c>
      <c r="G246" s="562" t="s">
        <v>191</v>
      </c>
      <c r="H246" s="562" t="s">
        <v>191</v>
      </c>
    </row>
    <row r="247" spans="1:8" x14ac:dyDescent="0.2">
      <c r="A247" s="562" t="s">
        <v>201</v>
      </c>
      <c r="B247" s="562" t="s">
        <v>476</v>
      </c>
      <c r="C247" s="562" t="s">
        <v>477</v>
      </c>
      <c r="D247" s="562">
        <v>1</v>
      </c>
      <c r="E247" s="562">
        <v>5</v>
      </c>
      <c r="F247" s="562" t="s">
        <v>345</v>
      </c>
      <c r="G247" s="562" t="s">
        <v>191</v>
      </c>
      <c r="H247" s="562" t="s">
        <v>191</v>
      </c>
    </row>
    <row r="248" spans="1:8" x14ac:dyDescent="0.2">
      <c r="A248" s="562" t="s">
        <v>201</v>
      </c>
      <c r="B248" s="562" t="s">
        <v>476</v>
      </c>
      <c r="C248" s="562" t="s">
        <v>478</v>
      </c>
      <c r="D248" s="562">
        <v>2</v>
      </c>
      <c r="E248" s="562">
        <v>6</v>
      </c>
      <c r="F248" s="562" t="s">
        <v>345</v>
      </c>
      <c r="G248" s="562" t="s">
        <v>191</v>
      </c>
      <c r="H248" s="562" t="s">
        <v>191</v>
      </c>
    </row>
    <row r="249" spans="1:8" x14ac:dyDescent="0.2">
      <c r="A249" s="562" t="s">
        <v>201</v>
      </c>
      <c r="B249" s="562" t="s">
        <v>476</v>
      </c>
      <c r="C249" s="562" t="s">
        <v>479</v>
      </c>
      <c r="D249" s="562">
        <v>1</v>
      </c>
      <c r="E249" s="562">
        <v>5</v>
      </c>
      <c r="F249" s="562" t="s">
        <v>345</v>
      </c>
      <c r="G249" s="562" t="s">
        <v>191</v>
      </c>
      <c r="H249" s="562" t="s">
        <v>191</v>
      </c>
    </row>
    <row r="250" spans="1:8" x14ac:dyDescent="0.2">
      <c r="A250" s="562" t="s">
        <v>201</v>
      </c>
      <c r="B250" s="562" t="s">
        <v>476</v>
      </c>
      <c r="C250" s="562" t="s">
        <v>480</v>
      </c>
      <c r="D250" s="562">
        <v>2</v>
      </c>
      <c r="E250" s="562">
        <v>6</v>
      </c>
      <c r="F250" s="562" t="s">
        <v>345</v>
      </c>
      <c r="G250" s="562" t="s">
        <v>191</v>
      </c>
      <c r="H250" s="562" t="s">
        <v>191</v>
      </c>
    </row>
    <row r="251" spans="1:8" x14ac:dyDescent="0.2">
      <c r="A251" s="562" t="s">
        <v>201</v>
      </c>
      <c r="B251" s="562" t="s">
        <v>476</v>
      </c>
      <c r="C251" s="562" t="s">
        <v>481</v>
      </c>
      <c r="D251" s="562">
        <v>1</v>
      </c>
      <c r="E251" s="562">
        <v>4</v>
      </c>
      <c r="F251" s="562" t="s">
        <v>345</v>
      </c>
      <c r="G251" s="562" t="s">
        <v>191</v>
      </c>
      <c r="H251" s="562" t="s">
        <v>191</v>
      </c>
    </row>
    <row r="252" spans="1:8" x14ac:dyDescent="0.2">
      <c r="A252" s="562" t="s">
        <v>201</v>
      </c>
      <c r="B252" s="562" t="s">
        <v>476</v>
      </c>
      <c r="C252" s="562" t="s">
        <v>482</v>
      </c>
      <c r="D252" s="562">
        <v>1</v>
      </c>
      <c r="E252" s="562">
        <v>5</v>
      </c>
      <c r="F252" s="562" t="s">
        <v>345</v>
      </c>
      <c r="G252" s="562" t="s">
        <v>191</v>
      </c>
      <c r="H252" s="562" t="s">
        <v>191</v>
      </c>
    </row>
    <row r="253" spans="1:8" x14ac:dyDescent="0.2">
      <c r="A253" s="562" t="s">
        <v>201</v>
      </c>
      <c r="B253" s="562" t="s">
        <v>476</v>
      </c>
      <c r="C253" s="562" t="s">
        <v>483</v>
      </c>
      <c r="D253" s="562">
        <v>1</v>
      </c>
      <c r="E253" s="562">
        <v>5</v>
      </c>
      <c r="F253" s="562" t="s">
        <v>345</v>
      </c>
      <c r="G253" s="562" t="s">
        <v>191</v>
      </c>
      <c r="H253" s="562" t="s">
        <v>191</v>
      </c>
    </row>
    <row r="254" spans="1:8" x14ac:dyDescent="0.2">
      <c r="A254" s="562" t="s">
        <v>201</v>
      </c>
      <c r="B254" s="562" t="s">
        <v>476</v>
      </c>
      <c r="C254" s="562" t="s">
        <v>484</v>
      </c>
      <c r="D254" s="562">
        <v>1</v>
      </c>
      <c r="E254" s="562">
        <v>5</v>
      </c>
      <c r="F254" s="562" t="s">
        <v>345</v>
      </c>
      <c r="G254" s="562" t="s">
        <v>191</v>
      </c>
      <c r="H254" s="562" t="s">
        <v>191</v>
      </c>
    </row>
    <row r="255" spans="1:8" x14ac:dyDescent="0.2">
      <c r="A255" s="562" t="s">
        <v>201</v>
      </c>
      <c r="B255" s="562" t="s">
        <v>476</v>
      </c>
      <c r="C255" s="562" t="s">
        <v>485</v>
      </c>
      <c r="D255" s="562">
        <v>1</v>
      </c>
      <c r="E255" s="562">
        <v>6</v>
      </c>
      <c r="F255" s="562" t="s">
        <v>345</v>
      </c>
      <c r="G255" s="562" t="s">
        <v>191</v>
      </c>
      <c r="H255" s="562" t="s">
        <v>191</v>
      </c>
    </row>
    <row r="256" spans="1:8" x14ac:dyDescent="0.2">
      <c r="A256" s="562" t="s">
        <v>201</v>
      </c>
      <c r="B256" s="562" t="s">
        <v>476</v>
      </c>
      <c r="C256" s="562" t="s">
        <v>486</v>
      </c>
      <c r="D256" s="562">
        <v>1</v>
      </c>
      <c r="E256" s="562">
        <v>5</v>
      </c>
      <c r="F256" s="562" t="s">
        <v>345</v>
      </c>
      <c r="G256" s="562" t="s">
        <v>191</v>
      </c>
      <c r="H256" s="562" t="s">
        <v>191</v>
      </c>
    </row>
    <row r="257" spans="1:8" x14ac:dyDescent="0.2">
      <c r="A257" s="562" t="s">
        <v>201</v>
      </c>
      <c r="B257" s="562" t="s">
        <v>476</v>
      </c>
      <c r="C257" s="562" t="s">
        <v>487</v>
      </c>
      <c r="D257" s="562">
        <v>1</v>
      </c>
      <c r="E257" s="562">
        <v>7</v>
      </c>
      <c r="F257" s="562" t="s">
        <v>191</v>
      </c>
      <c r="G257" s="562" t="s">
        <v>191</v>
      </c>
      <c r="H257" s="562" t="s">
        <v>191</v>
      </c>
    </row>
    <row r="258" spans="1:8" x14ac:dyDescent="0.2">
      <c r="A258" s="562" t="s">
        <v>201</v>
      </c>
      <c r="B258" s="562" t="s">
        <v>476</v>
      </c>
      <c r="C258" s="562" t="s">
        <v>488</v>
      </c>
      <c r="D258" s="562">
        <v>2</v>
      </c>
      <c r="E258" s="562">
        <v>6</v>
      </c>
      <c r="F258" s="562" t="s">
        <v>345</v>
      </c>
      <c r="G258" s="562" t="s">
        <v>191</v>
      </c>
      <c r="H258" s="562" t="s">
        <v>191</v>
      </c>
    </row>
    <row r="259" spans="1:8" x14ac:dyDescent="0.2">
      <c r="A259" s="562" t="s">
        <v>201</v>
      </c>
      <c r="B259" s="562" t="s">
        <v>476</v>
      </c>
      <c r="C259" s="562" t="s">
        <v>489</v>
      </c>
      <c r="D259" s="562">
        <v>2</v>
      </c>
      <c r="E259" s="562">
        <v>6</v>
      </c>
      <c r="F259" s="562" t="s">
        <v>345</v>
      </c>
      <c r="G259" s="562" t="s">
        <v>191</v>
      </c>
      <c r="H259" s="562" t="s">
        <v>191</v>
      </c>
    </row>
    <row r="260" spans="1:8" x14ac:dyDescent="0.2">
      <c r="A260" s="562" t="s">
        <v>201</v>
      </c>
      <c r="B260" s="562" t="s">
        <v>476</v>
      </c>
      <c r="C260" s="562" t="s">
        <v>490</v>
      </c>
      <c r="D260" s="562">
        <v>1</v>
      </c>
      <c r="E260" s="562">
        <v>5</v>
      </c>
      <c r="F260" s="562" t="s">
        <v>345</v>
      </c>
      <c r="G260" s="562" t="s">
        <v>191</v>
      </c>
      <c r="H260" s="562" t="s">
        <v>191</v>
      </c>
    </row>
    <row r="261" spans="1:8" x14ac:dyDescent="0.2">
      <c r="A261" s="562" t="s">
        <v>201</v>
      </c>
      <c r="B261" s="562" t="s">
        <v>476</v>
      </c>
      <c r="C261" s="562" t="s">
        <v>491</v>
      </c>
      <c r="D261" s="562">
        <v>1</v>
      </c>
      <c r="E261" s="562">
        <v>6</v>
      </c>
      <c r="F261" s="562" t="s">
        <v>345</v>
      </c>
      <c r="G261" s="562" t="s">
        <v>191</v>
      </c>
      <c r="H261" s="562" t="s">
        <v>191</v>
      </c>
    </row>
    <row r="262" spans="1:8" x14ac:dyDescent="0.2">
      <c r="A262" s="562" t="s">
        <v>201</v>
      </c>
      <c r="B262" s="562" t="s">
        <v>476</v>
      </c>
      <c r="C262" s="562" t="s">
        <v>492</v>
      </c>
      <c r="D262" s="562">
        <v>1</v>
      </c>
      <c r="E262" s="562">
        <v>5</v>
      </c>
      <c r="F262" s="562" t="s">
        <v>345</v>
      </c>
      <c r="G262" s="562" t="s">
        <v>191</v>
      </c>
      <c r="H262" s="562" t="s">
        <v>191</v>
      </c>
    </row>
    <row r="263" spans="1:8" x14ac:dyDescent="0.2">
      <c r="A263" s="562" t="s">
        <v>201</v>
      </c>
      <c r="B263" s="562" t="s">
        <v>476</v>
      </c>
      <c r="C263" s="562" t="s">
        <v>493</v>
      </c>
      <c r="D263" s="562">
        <v>1</v>
      </c>
      <c r="E263" s="562">
        <v>5</v>
      </c>
      <c r="F263" s="562" t="s">
        <v>345</v>
      </c>
      <c r="G263" s="562" t="s">
        <v>191</v>
      </c>
      <c r="H263" s="562" t="s">
        <v>191</v>
      </c>
    </row>
    <row r="264" spans="1:8" x14ac:dyDescent="0.2">
      <c r="A264" s="562" t="s">
        <v>201</v>
      </c>
      <c r="B264" s="562" t="s">
        <v>476</v>
      </c>
      <c r="C264" s="562" t="s">
        <v>494</v>
      </c>
      <c r="D264" s="562">
        <v>1</v>
      </c>
      <c r="E264" s="562">
        <v>6</v>
      </c>
      <c r="F264" s="562" t="s">
        <v>345</v>
      </c>
      <c r="G264" s="562" t="s">
        <v>191</v>
      </c>
      <c r="H264" s="562" t="s">
        <v>191</v>
      </c>
    </row>
    <row r="265" spans="1:8" x14ac:dyDescent="0.2">
      <c r="A265" s="562" t="s">
        <v>201</v>
      </c>
      <c r="B265" s="562" t="s">
        <v>476</v>
      </c>
      <c r="C265" s="562" t="s">
        <v>495</v>
      </c>
      <c r="D265" s="562">
        <v>1</v>
      </c>
      <c r="E265" s="562">
        <v>5</v>
      </c>
      <c r="F265" s="562" t="s">
        <v>345</v>
      </c>
      <c r="G265" s="562" t="s">
        <v>191</v>
      </c>
      <c r="H265" s="562" t="s">
        <v>191</v>
      </c>
    </row>
    <row r="266" spans="1:8" x14ac:dyDescent="0.2">
      <c r="A266" s="562" t="s">
        <v>201</v>
      </c>
      <c r="B266" s="562" t="s">
        <v>476</v>
      </c>
      <c r="C266" s="562" t="s">
        <v>496</v>
      </c>
      <c r="D266" s="562">
        <v>2</v>
      </c>
      <c r="E266" s="562">
        <v>6</v>
      </c>
      <c r="F266" s="562" t="s">
        <v>345</v>
      </c>
      <c r="G266" s="562" t="s">
        <v>191</v>
      </c>
      <c r="H266" s="562" t="s">
        <v>191</v>
      </c>
    </row>
    <row r="267" spans="1:8" x14ac:dyDescent="0.2">
      <c r="A267" s="562" t="s">
        <v>201</v>
      </c>
      <c r="B267" s="562" t="s">
        <v>476</v>
      </c>
      <c r="C267" s="562" t="s">
        <v>497</v>
      </c>
      <c r="D267" s="562">
        <v>1</v>
      </c>
      <c r="E267" s="562">
        <v>5</v>
      </c>
      <c r="F267" s="562" t="s">
        <v>345</v>
      </c>
      <c r="G267" s="562" t="s">
        <v>191</v>
      </c>
      <c r="H267" s="562" t="s">
        <v>191</v>
      </c>
    </row>
    <row r="268" spans="1:8" x14ac:dyDescent="0.2">
      <c r="A268" s="562" t="s">
        <v>201</v>
      </c>
      <c r="B268" s="562" t="s">
        <v>476</v>
      </c>
      <c r="C268" s="562" t="s">
        <v>498</v>
      </c>
      <c r="D268" s="562">
        <v>1</v>
      </c>
      <c r="E268" s="562">
        <v>5</v>
      </c>
      <c r="F268" s="562" t="s">
        <v>345</v>
      </c>
      <c r="G268" s="562" t="s">
        <v>191</v>
      </c>
      <c r="H268" s="562" t="s">
        <v>191</v>
      </c>
    </row>
    <row r="269" spans="1:8" x14ac:dyDescent="0.2">
      <c r="A269" s="562" t="s">
        <v>201</v>
      </c>
      <c r="B269" s="562" t="s">
        <v>476</v>
      </c>
      <c r="C269" s="562" t="s">
        <v>499</v>
      </c>
      <c r="D269" s="562">
        <v>1</v>
      </c>
      <c r="E269" s="562">
        <v>5</v>
      </c>
      <c r="F269" s="562" t="s">
        <v>345</v>
      </c>
      <c r="G269" s="562" t="s">
        <v>191</v>
      </c>
      <c r="H269" s="562" t="s">
        <v>191</v>
      </c>
    </row>
    <row r="270" spans="1:8" x14ac:dyDescent="0.2">
      <c r="A270" s="562" t="s">
        <v>201</v>
      </c>
      <c r="B270" s="562" t="s">
        <v>476</v>
      </c>
      <c r="C270" s="562" t="s">
        <v>500</v>
      </c>
      <c r="D270" s="562">
        <v>1</v>
      </c>
      <c r="E270" s="562">
        <v>5</v>
      </c>
      <c r="F270" s="562" t="s">
        <v>345</v>
      </c>
      <c r="G270" s="562" t="s">
        <v>191</v>
      </c>
      <c r="H270" s="562" t="s">
        <v>191</v>
      </c>
    </row>
    <row r="271" spans="1:8" x14ac:dyDescent="0.2">
      <c r="A271" s="562" t="s">
        <v>201</v>
      </c>
      <c r="B271" s="562" t="s">
        <v>476</v>
      </c>
      <c r="C271" s="562" t="s">
        <v>501</v>
      </c>
      <c r="D271" s="562">
        <v>1</v>
      </c>
      <c r="E271" s="562">
        <v>5</v>
      </c>
      <c r="F271" s="562" t="s">
        <v>345</v>
      </c>
      <c r="G271" s="562" t="s">
        <v>191</v>
      </c>
      <c r="H271" s="562" t="s">
        <v>191</v>
      </c>
    </row>
    <row r="272" spans="1:8" x14ac:dyDescent="0.2">
      <c r="A272" s="562" t="s">
        <v>201</v>
      </c>
      <c r="B272" s="562" t="s">
        <v>476</v>
      </c>
      <c r="C272" s="562" t="s">
        <v>502</v>
      </c>
      <c r="D272" s="562">
        <v>1</v>
      </c>
      <c r="E272" s="562">
        <v>7</v>
      </c>
      <c r="F272" s="562" t="s">
        <v>191</v>
      </c>
      <c r="G272" s="562" t="s">
        <v>191</v>
      </c>
      <c r="H272" s="562" t="s">
        <v>191</v>
      </c>
    </row>
    <row r="273" spans="1:8" x14ac:dyDescent="0.2">
      <c r="A273" s="562" t="s">
        <v>201</v>
      </c>
      <c r="B273" s="562" t="s">
        <v>476</v>
      </c>
      <c r="C273" s="562" t="s">
        <v>503</v>
      </c>
      <c r="D273" s="562">
        <v>1</v>
      </c>
      <c r="E273" s="562">
        <v>7</v>
      </c>
      <c r="F273" s="562" t="s">
        <v>191</v>
      </c>
      <c r="G273" s="562" t="s">
        <v>191</v>
      </c>
      <c r="H273" s="562" t="s">
        <v>191</v>
      </c>
    </row>
    <row r="274" spans="1:8" x14ac:dyDescent="0.2">
      <c r="A274" s="562" t="s">
        <v>201</v>
      </c>
      <c r="B274" s="562" t="s">
        <v>476</v>
      </c>
      <c r="C274" s="562" t="s">
        <v>504</v>
      </c>
      <c r="D274" s="562">
        <v>2</v>
      </c>
      <c r="E274" s="562">
        <v>7</v>
      </c>
      <c r="F274" s="562" t="s">
        <v>191</v>
      </c>
      <c r="G274" s="562" t="s">
        <v>191</v>
      </c>
      <c r="H274" s="562" t="s">
        <v>191</v>
      </c>
    </row>
    <row r="275" spans="1:8" x14ac:dyDescent="0.2">
      <c r="A275" s="562" t="s">
        <v>201</v>
      </c>
      <c r="B275" s="562" t="s">
        <v>476</v>
      </c>
      <c r="C275" s="562" t="s">
        <v>505</v>
      </c>
      <c r="D275" s="562">
        <v>1</v>
      </c>
      <c r="E275" s="562">
        <v>5</v>
      </c>
      <c r="F275" s="562" t="s">
        <v>345</v>
      </c>
      <c r="G275" s="562" t="s">
        <v>191</v>
      </c>
      <c r="H275" s="562" t="s">
        <v>191</v>
      </c>
    </row>
    <row r="276" spans="1:8" x14ac:dyDescent="0.2">
      <c r="A276" s="562" t="s">
        <v>201</v>
      </c>
      <c r="B276" s="562" t="s">
        <v>476</v>
      </c>
      <c r="C276" s="562" t="s">
        <v>259</v>
      </c>
      <c r="D276" s="562">
        <v>1</v>
      </c>
      <c r="E276" s="562">
        <v>7</v>
      </c>
      <c r="F276" s="562" t="s">
        <v>191</v>
      </c>
      <c r="G276" s="562" t="s">
        <v>191</v>
      </c>
      <c r="H276" s="562" t="s">
        <v>191</v>
      </c>
    </row>
    <row r="277" spans="1:8" x14ac:dyDescent="0.2">
      <c r="A277" s="562" t="s">
        <v>201</v>
      </c>
      <c r="B277" s="562" t="s">
        <v>476</v>
      </c>
      <c r="C277" s="562" t="s">
        <v>261</v>
      </c>
      <c r="D277" s="562">
        <v>1</v>
      </c>
      <c r="E277" s="562">
        <v>5</v>
      </c>
      <c r="F277" s="562" t="s">
        <v>345</v>
      </c>
      <c r="G277" s="562" t="s">
        <v>191</v>
      </c>
      <c r="H277" s="562" t="s">
        <v>191</v>
      </c>
    </row>
    <row r="278" spans="1:8" x14ac:dyDescent="0.2">
      <c r="A278" s="562" t="s">
        <v>201</v>
      </c>
      <c r="B278" s="562" t="s">
        <v>476</v>
      </c>
      <c r="C278" s="562" t="s">
        <v>506</v>
      </c>
      <c r="D278" s="562">
        <v>1</v>
      </c>
      <c r="E278" s="562">
        <v>5</v>
      </c>
      <c r="F278" s="562" t="s">
        <v>345</v>
      </c>
      <c r="G278" s="562" t="s">
        <v>191</v>
      </c>
      <c r="H278" s="562" t="s">
        <v>191</v>
      </c>
    </row>
    <row r="279" spans="1:8" x14ac:dyDescent="0.2">
      <c r="A279" s="562" t="s">
        <v>201</v>
      </c>
      <c r="B279" s="562" t="s">
        <v>476</v>
      </c>
      <c r="C279" s="562" t="s">
        <v>507</v>
      </c>
      <c r="D279" s="562">
        <v>1</v>
      </c>
      <c r="E279" s="562">
        <v>5</v>
      </c>
      <c r="F279" s="562" t="s">
        <v>345</v>
      </c>
      <c r="G279" s="562" t="s">
        <v>191</v>
      </c>
      <c r="H279" s="562" t="s">
        <v>191</v>
      </c>
    </row>
    <row r="280" spans="1:8" x14ac:dyDescent="0.2">
      <c r="A280" s="562" t="s">
        <v>201</v>
      </c>
      <c r="B280" s="562" t="s">
        <v>476</v>
      </c>
      <c r="C280" s="562" t="s">
        <v>508</v>
      </c>
      <c r="D280" s="562">
        <v>2</v>
      </c>
      <c r="E280" s="562">
        <v>5</v>
      </c>
      <c r="F280" s="562" t="s">
        <v>345</v>
      </c>
      <c r="G280" s="562" t="s">
        <v>191</v>
      </c>
      <c r="H280" s="562" t="s">
        <v>191</v>
      </c>
    </row>
    <row r="281" spans="1:8" x14ac:dyDescent="0.2">
      <c r="A281" s="562" t="s">
        <v>201</v>
      </c>
      <c r="B281" s="562" t="s">
        <v>476</v>
      </c>
      <c r="C281" s="562" t="s">
        <v>436</v>
      </c>
      <c r="D281" s="562">
        <v>1</v>
      </c>
      <c r="E281" s="562">
        <v>7</v>
      </c>
      <c r="F281" s="562" t="s">
        <v>191</v>
      </c>
      <c r="G281" s="562" t="s">
        <v>191</v>
      </c>
      <c r="H281" s="562" t="s">
        <v>191</v>
      </c>
    </row>
    <row r="282" spans="1:8" x14ac:dyDescent="0.2">
      <c r="A282" s="562" t="s">
        <v>201</v>
      </c>
      <c r="B282" s="562" t="s">
        <v>476</v>
      </c>
      <c r="C282" s="562" t="s">
        <v>509</v>
      </c>
      <c r="D282" s="562">
        <v>1</v>
      </c>
      <c r="E282" s="562">
        <v>5</v>
      </c>
      <c r="F282" s="562" t="s">
        <v>345</v>
      </c>
      <c r="G282" s="562" t="s">
        <v>191</v>
      </c>
      <c r="H282" s="562" t="s">
        <v>191</v>
      </c>
    </row>
    <row r="283" spans="1:8" x14ac:dyDescent="0.2">
      <c r="A283" s="562" t="s">
        <v>201</v>
      </c>
      <c r="B283" s="562" t="s">
        <v>476</v>
      </c>
      <c r="C283" s="562" t="s">
        <v>510</v>
      </c>
      <c r="D283" s="562">
        <v>1</v>
      </c>
      <c r="E283" s="562">
        <v>4</v>
      </c>
      <c r="F283" s="562" t="s">
        <v>345</v>
      </c>
      <c r="G283" s="562" t="s">
        <v>191</v>
      </c>
      <c r="H283" s="562" t="s">
        <v>191</v>
      </c>
    </row>
    <row r="284" spans="1:8" x14ac:dyDescent="0.2">
      <c r="A284" s="562" t="s">
        <v>201</v>
      </c>
      <c r="B284" s="562" t="s">
        <v>476</v>
      </c>
      <c r="C284" s="562" t="s">
        <v>390</v>
      </c>
      <c r="D284" s="562">
        <v>1</v>
      </c>
      <c r="E284" s="562">
        <v>5</v>
      </c>
      <c r="F284" s="562" t="s">
        <v>345</v>
      </c>
      <c r="G284" s="562" t="s">
        <v>191</v>
      </c>
      <c r="H284" s="562" t="s">
        <v>191</v>
      </c>
    </row>
    <row r="285" spans="1:8" x14ac:dyDescent="0.2">
      <c r="A285" s="562" t="s">
        <v>201</v>
      </c>
      <c r="B285" s="562" t="s">
        <v>476</v>
      </c>
      <c r="C285" s="562" t="s">
        <v>392</v>
      </c>
      <c r="D285" s="562">
        <v>1</v>
      </c>
      <c r="E285" s="562">
        <v>5</v>
      </c>
      <c r="F285" s="562" t="s">
        <v>345</v>
      </c>
      <c r="G285" s="562" t="s">
        <v>191</v>
      </c>
      <c r="H285" s="562" t="s">
        <v>191</v>
      </c>
    </row>
    <row r="286" spans="1:8" x14ac:dyDescent="0.2">
      <c r="A286" s="562" t="s">
        <v>201</v>
      </c>
      <c r="B286" s="562" t="s">
        <v>476</v>
      </c>
      <c r="C286" s="562" t="s">
        <v>511</v>
      </c>
      <c r="D286" s="562">
        <v>1</v>
      </c>
      <c r="E286" s="562">
        <v>5</v>
      </c>
      <c r="F286" s="562" t="s">
        <v>345</v>
      </c>
      <c r="G286" s="562" t="s">
        <v>191</v>
      </c>
      <c r="H286" s="562" t="s">
        <v>191</v>
      </c>
    </row>
    <row r="287" spans="1:8" x14ac:dyDescent="0.2">
      <c r="A287" s="562" t="s">
        <v>201</v>
      </c>
      <c r="B287" s="562" t="s">
        <v>476</v>
      </c>
      <c r="C287" s="562" t="s">
        <v>512</v>
      </c>
      <c r="D287" s="562">
        <v>2</v>
      </c>
      <c r="E287" s="562">
        <v>7</v>
      </c>
      <c r="F287" s="562" t="s">
        <v>191</v>
      </c>
      <c r="G287" s="562" t="s">
        <v>191</v>
      </c>
      <c r="H287" s="562" t="s">
        <v>191</v>
      </c>
    </row>
    <row r="288" spans="1:8" x14ac:dyDescent="0.2">
      <c r="A288" s="562" t="s">
        <v>201</v>
      </c>
      <c r="B288" s="562" t="s">
        <v>476</v>
      </c>
      <c r="C288" s="562" t="s">
        <v>513</v>
      </c>
      <c r="D288" s="562">
        <v>1</v>
      </c>
      <c r="E288" s="562">
        <v>6</v>
      </c>
      <c r="F288" s="562" t="s">
        <v>345</v>
      </c>
      <c r="G288" s="562" t="s">
        <v>191</v>
      </c>
      <c r="H288" s="562" t="s">
        <v>191</v>
      </c>
    </row>
    <row r="289" spans="1:8" x14ac:dyDescent="0.2">
      <c r="A289" s="562" t="s">
        <v>201</v>
      </c>
      <c r="B289" s="562" t="s">
        <v>476</v>
      </c>
      <c r="C289" s="562" t="s">
        <v>514</v>
      </c>
      <c r="D289" s="562">
        <v>1</v>
      </c>
      <c r="E289" s="562">
        <v>5</v>
      </c>
      <c r="F289" s="562" t="s">
        <v>345</v>
      </c>
      <c r="G289" s="562" t="s">
        <v>191</v>
      </c>
      <c r="H289" s="562" t="s">
        <v>191</v>
      </c>
    </row>
    <row r="290" spans="1:8" x14ac:dyDescent="0.2">
      <c r="A290" s="562" t="s">
        <v>201</v>
      </c>
      <c r="B290" s="562" t="s">
        <v>476</v>
      </c>
      <c r="C290" s="562" t="s">
        <v>515</v>
      </c>
      <c r="D290" s="562">
        <v>1</v>
      </c>
      <c r="E290" s="562">
        <v>5</v>
      </c>
      <c r="F290" s="562" t="s">
        <v>345</v>
      </c>
      <c r="G290" s="562" t="s">
        <v>191</v>
      </c>
      <c r="H290" s="562" t="s">
        <v>191</v>
      </c>
    </row>
    <row r="291" spans="1:8" x14ac:dyDescent="0.2">
      <c r="A291" s="562" t="s">
        <v>201</v>
      </c>
      <c r="B291" s="562" t="s">
        <v>476</v>
      </c>
      <c r="C291" s="562" t="s">
        <v>291</v>
      </c>
      <c r="D291" s="562">
        <v>1</v>
      </c>
      <c r="E291" s="562">
        <v>5</v>
      </c>
      <c r="F291" s="562" t="s">
        <v>345</v>
      </c>
      <c r="G291" s="562" t="s">
        <v>191</v>
      </c>
      <c r="H291" s="562" t="s">
        <v>191</v>
      </c>
    </row>
    <row r="292" spans="1:8" x14ac:dyDescent="0.2">
      <c r="A292" s="562" t="s">
        <v>201</v>
      </c>
      <c r="B292" s="562" t="s">
        <v>476</v>
      </c>
      <c r="C292" s="562" t="s">
        <v>516</v>
      </c>
      <c r="D292" s="562">
        <v>1</v>
      </c>
      <c r="E292" s="562">
        <v>4</v>
      </c>
      <c r="F292" s="562" t="s">
        <v>345</v>
      </c>
      <c r="G292" s="562" t="s">
        <v>191</v>
      </c>
      <c r="H292" s="562" t="s">
        <v>191</v>
      </c>
    </row>
    <row r="293" spans="1:8" x14ac:dyDescent="0.2">
      <c r="A293" s="562" t="s">
        <v>201</v>
      </c>
      <c r="B293" s="562" t="s">
        <v>476</v>
      </c>
      <c r="C293" s="562" t="s">
        <v>517</v>
      </c>
      <c r="D293" s="562">
        <v>1</v>
      </c>
      <c r="E293" s="562">
        <v>6</v>
      </c>
      <c r="F293" s="562" t="s">
        <v>345</v>
      </c>
      <c r="G293" s="562" t="s">
        <v>191</v>
      </c>
      <c r="H293" s="562" t="s">
        <v>191</v>
      </c>
    </row>
    <row r="294" spans="1:8" x14ac:dyDescent="0.2">
      <c r="A294" s="562" t="s">
        <v>201</v>
      </c>
      <c r="B294" s="562" t="s">
        <v>476</v>
      </c>
      <c r="C294" s="562" t="s">
        <v>518</v>
      </c>
      <c r="D294" s="562">
        <v>1</v>
      </c>
      <c r="E294" s="562">
        <v>7</v>
      </c>
      <c r="F294" s="562" t="s">
        <v>191</v>
      </c>
      <c r="G294" s="562" t="s">
        <v>191</v>
      </c>
      <c r="H294" s="562" t="s">
        <v>191</v>
      </c>
    </row>
    <row r="295" spans="1:8" x14ac:dyDescent="0.2">
      <c r="A295" s="562" t="s">
        <v>201</v>
      </c>
      <c r="B295" s="562" t="s">
        <v>476</v>
      </c>
      <c r="C295" s="562" t="s">
        <v>399</v>
      </c>
      <c r="D295" s="562">
        <v>1</v>
      </c>
      <c r="E295" s="562">
        <v>5</v>
      </c>
      <c r="F295" s="562" t="s">
        <v>345</v>
      </c>
      <c r="G295" s="562" t="s">
        <v>191</v>
      </c>
      <c r="H295" s="562" t="s">
        <v>191</v>
      </c>
    </row>
    <row r="296" spans="1:8" x14ac:dyDescent="0.2">
      <c r="A296" s="562" t="s">
        <v>201</v>
      </c>
      <c r="B296" s="562" t="s">
        <v>476</v>
      </c>
      <c r="C296" s="562" t="s">
        <v>519</v>
      </c>
      <c r="D296" s="562">
        <v>1</v>
      </c>
      <c r="E296" s="562">
        <v>7</v>
      </c>
      <c r="F296" s="562" t="s">
        <v>191</v>
      </c>
      <c r="G296" s="562" t="s">
        <v>191</v>
      </c>
      <c r="H296" s="562" t="s">
        <v>191</v>
      </c>
    </row>
    <row r="297" spans="1:8" x14ac:dyDescent="0.2">
      <c r="A297" s="562" t="s">
        <v>201</v>
      </c>
      <c r="B297" s="562" t="s">
        <v>476</v>
      </c>
      <c r="C297" s="562" t="s">
        <v>520</v>
      </c>
      <c r="D297" s="562">
        <v>1</v>
      </c>
      <c r="E297" s="562">
        <v>5</v>
      </c>
      <c r="F297" s="562" t="s">
        <v>345</v>
      </c>
      <c r="G297" s="562" t="s">
        <v>191</v>
      </c>
      <c r="H297" s="562" t="s">
        <v>191</v>
      </c>
    </row>
    <row r="298" spans="1:8" x14ac:dyDescent="0.2">
      <c r="A298" s="562" t="s">
        <v>201</v>
      </c>
      <c r="B298" s="562" t="s">
        <v>476</v>
      </c>
      <c r="C298" s="562" t="s">
        <v>521</v>
      </c>
      <c r="D298" s="562">
        <v>1</v>
      </c>
      <c r="E298" s="562">
        <v>5</v>
      </c>
      <c r="F298" s="562" t="s">
        <v>345</v>
      </c>
      <c r="G298" s="562" t="s">
        <v>191</v>
      </c>
      <c r="H298" s="562" t="s">
        <v>191</v>
      </c>
    </row>
    <row r="299" spans="1:8" x14ac:dyDescent="0.2">
      <c r="A299" s="562" t="s">
        <v>201</v>
      </c>
      <c r="B299" s="562" t="s">
        <v>476</v>
      </c>
      <c r="C299" s="562" t="s">
        <v>522</v>
      </c>
      <c r="D299" s="562">
        <v>1</v>
      </c>
      <c r="E299" s="562">
        <v>6</v>
      </c>
      <c r="F299" s="562" t="s">
        <v>345</v>
      </c>
      <c r="G299" s="562" t="s">
        <v>191</v>
      </c>
      <c r="H299" s="562" t="s">
        <v>191</v>
      </c>
    </row>
    <row r="300" spans="1:8" x14ac:dyDescent="0.2">
      <c r="A300" s="562" t="s">
        <v>201</v>
      </c>
      <c r="B300" s="562" t="s">
        <v>476</v>
      </c>
      <c r="C300" s="562" t="s">
        <v>523</v>
      </c>
      <c r="D300" s="562">
        <v>2</v>
      </c>
      <c r="E300" s="562">
        <v>7</v>
      </c>
      <c r="F300" s="562" t="s">
        <v>191</v>
      </c>
      <c r="G300" s="562" t="s">
        <v>191</v>
      </c>
      <c r="H300" s="562" t="s">
        <v>191</v>
      </c>
    </row>
    <row r="301" spans="1:8" x14ac:dyDescent="0.2">
      <c r="A301" s="562" t="s">
        <v>201</v>
      </c>
      <c r="B301" s="562" t="s">
        <v>476</v>
      </c>
      <c r="C301" s="562" t="s">
        <v>524</v>
      </c>
      <c r="D301" s="562">
        <v>2</v>
      </c>
      <c r="E301" s="562">
        <v>7</v>
      </c>
      <c r="F301" s="562" t="s">
        <v>191</v>
      </c>
      <c r="G301" s="562" t="s">
        <v>191</v>
      </c>
      <c r="H301" s="562" t="s">
        <v>191</v>
      </c>
    </row>
    <row r="302" spans="1:8" x14ac:dyDescent="0.2">
      <c r="A302" s="562" t="s">
        <v>201</v>
      </c>
      <c r="B302" s="562" t="s">
        <v>476</v>
      </c>
      <c r="C302" s="562" t="s">
        <v>525</v>
      </c>
      <c r="D302" s="562">
        <v>2</v>
      </c>
      <c r="E302" s="562">
        <v>6</v>
      </c>
      <c r="F302" s="562" t="s">
        <v>345</v>
      </c>
      <c r="G302" s="562" t="s">
        <v>191</v>
      </c>
      <c r="H302" s="562" t="s">
        <v>191</v>
      </c>
    </row>
    <row r="303" spans="1:8" x14ac:dyDescent="0.2">
      <c r="A303" s="562" t="s">
        <v>201</v>
      </c>
      <c r="B303" s="562" t="s">
        <v>476</v>
      </c>
      <c r="C303" s="562" t="s">
        <v>526</v>
      </c>
      <c r="D303" s="562">
        <v>2</v>
      </c>
      <c r="E303" s="562">
        <v>7</v>
      </c>
      <c r="F303" s="562" t="s">
        <v>191</v>
      </c>
      <c r="G303" s="562" t="s">
        <v>191</v>
      </c>
      <c r="H303" s="562" t="s">
        <v>191</v>
      </c>
    </row>
    <row r="304" spans="1:8" x14ac:dyDescent="0.2">
      <c r="A304" s="562" t="s">
        <v>201</v>
      </c>
      <c r="B304" s="562" t="s">
        <v>476</v>
      </c>
      <c r="C304" s="562" t="s">
        <v>527</v>
      </c>
      <c r="D304" s="562">
        <v>1</v>
      </c>
      <c r="E304" s="562">
        <v>6</v>
      </c>
      <c r="F304" s="562" t="s">
        <v>345</v>
      </c>
      <c r="G304" s="562" t="s">
        <v>191</v>
      </c>
      <c r="H304" s="562" t="s">
        <v>191</v>
      </c>
    </row>
    <row r="305" spans="1:8" x14ac:dyDescent="0.2">
      <c r="A305" s="562" t="s">
        <v>201</v>
      </c>
      <c r="B305" s="562" t="s">
        <v>476</v>
      </c>
      <c r="C305" s="562" t="s">
        <v>528</v>
      </c>
      <c r="D305" s="562">
        <v>1</v>
      </c>
      <c r="E305" s="562">
        <v>5</v>
      </c>
      <c r="F305" s="562" t="s">
        <v>345</v>
      </c>
      <c r="G305" s="562" t="s">
        <v>191</v>
      </c>
      <c r="H305" s="562" t="s">
        <v>191</v>
      </c>
    </row>
    <row r="306" spans="1:8" x14ac:dyDescent="0.2">
      <c r="A306" s="562" t="s">
        <v>201</v>
      </c>
      <c r="B306" s="562" t="s">
        <v>476</v>
      </c>
      <c r="C306" s="562" t="s">
        <v>529</v>
      </c>
      <c r="D306" s="562">
        <v>1</v>
      </c>
      <c r="E306" s="562">
        <v>7</v>
      </c>
      <c r="F306" s="562" t="s">
        <v>191</v>
      </c>
      <c r="G306" s="562" t="s">
        <v>191</v>
      </c>
      <c r="H306" s="562" t="s">
        <v>191</v>
      </c>
    </row>
    <row r="307" spans="1:8" x14ac:dyDescent="0.2">
      <c r="A307" s="562" t="s">
        <v>201</v>
      </c>
      <c r="B307" s="562" t="s">
        <v>476</v>
      </c>
      <c r="C307" s="562" t="s">
        <v>530</v>
      </c>
      <c r="D307" s="562">
        <v>1</v>
      </c>
      <c r="E307" s="562">
        <v>5</v>
      </c>
      <c r="F307" s="562" t="s">
        <v>345</v>
      </c>
      <c r="G307" s="562" t="s">
        <v>191</v>
      </c>
      <c r="H307" s="562" t="s">
        <v>191</v>
      </c>
    </row>
    <row r="308" spans="1:8" x14ac:dyDescent="0.2">
      <c r="A308" s="562" t="s">
        <v>201</v>
      </c>
      <c r="B308" s="562" t="s">
        <v>476</v>
      </c>
      <c r="C308" s="562" t="s">
        <v>309</v>
      </c>
      <c r="D308" s="562">
        <v>1</v>
      </c>
      <c r="E308" s="562">
        <v>5</v>
      </c>
      <c r="F308" s="562" t="s">
        <v>345</v>
      </c>
      <c r="G308" s="562" t="s">
        <v>191</v>
      </c>
      <c r="H308" s="562" t="s">
        <v>191</v>
      </c>
    </row>
    <row r="309" spans="1:8" x14ac:dyDescent="0.2">
      <c r="A309" s="562" t="s">
        <v>201</v>
      </c>
      <c r="B309" s="562" t="s">
        <v>476</v>
      </c>
      <c r="C309" s="562" t="s">
        <v>531</v>
      </c>
      <c r="D309" s="562">
        <v>1</v>
      </c>
      <c r="E309" s="562">
        <v>5</v>
      </c>
      <c r="F309" s="562" t="s">
        <v>345</v>
      </c>
      <c r="G309" s="562" t="s">
        <v>191</v>
      </c>
      <c r="H309" s="562" t="s">
        <v>191</v>
      </c>
    </row>
    <row r="310" spans="1:8" x14ac:dyDescent="0.2">
      <c r="A310" s="562" t="s">
        <v>201</v>
      </c>
      <c r="B310" s="562" t="s">
        <v>476</v>
      </c>
      <c r="C310" s="562" t="s">
        <v>359</v>
      </c>
      <c r="D310" s="562">
        <v>1</v>
      </c>
      <c r="E310" s="562">
        <v>5</v>
      </c>
      <c r="F310" s="562" t="s">
        <v>345</v>
      </c>
      <c r="G310" s="562" t="s">
        <v>191</v>
      </c>
      <c r="H310" s="562" t="s">
        <v>191</v>
      </c>
    </row>
    <row r="311" spans="1:8" x14ac:dyDescent="0.2">
      <c r="A311" s="562" t="s">
        <v>203</v>
      </c>
      <c r="B311" s="562" t="s">
        <v>532</v>
      </c>
      <c r="C311" s="562" t="s">
        <v>533</v>
      </c>
      <c r="D311" s="562">
        <v>1</v>
      </c>
      <c r="E311" s="562">
        <v>5</v>
      </c>
      <c r="F311" s="562" t="s">
        <v>184</v>
      </c>
      <c r="G311" s="562" t="s">
        <v>191</v>
      </c>
      <c r="H311" s="562" t="s">
        <v>191</v>
      </c>
    </row>
    <row r="312" spans="1:8" x14ac:dyDescent="0.2">
      <c r="A312" s="562" t="s">
        <v>203</v>
      </c>
      <c r="B312" s="562" t="s">
        <v>532</v>
      </c>
      <c r="C312" s="562" t="s">
        <v>534</v>
      </c>
      <c r="D312" s="562">
        <v>3</v>
      </c>
      <c r="E312" s="562">
        <v>5</v>
      </c>
      <c r="F312" s="562" t="s">
        <v>184</v>
      </c>
      <c r="G312" s="562" t="s">
        <v>191</v>
      </c>
      <c r="H312" s="562" t="s">
        <v>191</v>
      </c>
    </row>
    <row r="313" spans="1:8" x14ac:dyDescent="0.2">
      <c r="A313" s="562" t="s">
        <v>203</v>
      </c>
      <c r="B313" s="562" t="s">
        <v>532</v>
      </c>
      <c r="C313" s="562" t="s">
        <v>535</v>
      </c>
      <c r="D313" s="562">
        <v>2</v>
      </c>
      <c r="E313" s="562">
        <v>5</v>
      </c>
      <c r="F313" s="562" t="s">
        <v>184</v>
      </c>
      <c r="G313" s="562" t="s">
        <v>191</v>
      </c>
      <c r="H313" s="562" t="s">
        <v>191</v>
      </c>
    </row>
    <row r="314" spans="1:8" x14ac:dyDescent="0.2">
      <c r="A314" s="562" t="s">
        <v>203</v>
      </c>
      <c r="B314" s="562" t="s">
        <v>532</v>
      </c>
      <c r="C314" s="562" t="s">
        <v>536</v>
      </c>
      <c r="D314" s="562">
        <v>1</v>
      </c>
      <c r="E314" s="562">
        <v>5</v>
      </c>
      <c r="F314" s="562" t="s">
        <v>184</v>
      </c>
      <c r="G314" s="562" t="s">
        <v>191</v>
      </c>
      <c r="H314" s="562" t="s">
        <v>191</v>
      </c>
    </row>
    <row r="315" spans="1:8" x14ac:dyDescent="0.2">
      <c r="A315" s="562" t="s">
        <v>203</v>
      </c>
      <c r="B315" s="562" t="s">
        <v>532</v>
      </c>
      <c r="C315" s="562" t="s">
        <v>537</v>
      </c>
      <c r="D315" s="562">
        <v>1</v>
      </c>
      <c r="E315" s="562">
        <v>5</v>
      </c>
      <c r="F315" s="562" t="s">
        <v>184</v>
      </c>
      <c r="G315" s="562" t="s">
        <v>191</v>
      </c>
      <c r="H315" s="562" t="s">
        <v>191</v>
      </c>
    </row>
    <row r="316" spans="1:8" x14ac:dyDescent="0.2">
      <c r="A316" s="562" t="s">
        <v>203</v>
      </c>
      <c r="B316" s="562" t="s">
        <v>532</v>
      </c>
      <c r="C316" s="562" t="s">
        <v>538</v>
      </c>
      <c r="D316" s="562">
        <v>1</v>
      </c>
      <c r="E316" s="562">
        <v>5</v>
      </c>
      <c r="F316" s="562" t="s">
        <v>184</v>
      </c>
      <c r="G316" s="562" t="s">
        <v>191</v>
      </c>
      <c r="H316" s="562" t="s">
        <v>191</v>
      </c>
    </row>
    <row r="317" spans="1:8" x14ac:dyDescent="0.2">
      <c r="A317" s="562" t="s">
        <v>203</v>
      </c>
      <c r="B317" s="562" t="s">
        <v>532</v>
      </c>
      <c r="C317" s="562" t="s">
        <v>539</v>
      </c>
      <c r="D317" s="562">
        <v>2</v>
      </c>
      <c r="E317" s="562">
        <v>5</v>
      </c>
      <c r="F317" s="562" t="s">
        <v>184</v>
      </c>
      <c r="G317" s="562" t="s">
        <v>191</v>
      </c>
      <c r="H317" s="562" t="s">
        <v>191</v>
      </c>
    </row>
    <row r="318" spans="1:8" x14ac:dyDescent="0.2">
      <c r="A318" s="562" t="s">
        <v>203</v>
      </c>
      <c r="B318" s="562" t="s">
        <v>532</v>
      </c>
      <c r="C318" s="562" t="s">
        <v>540</v>
      </c>
      <c r="D318" s="562">
        <v>2</v>
      </c>
      <c r="E318" s="562">
        <v>5</v>
      </c>
      <c r="F318" s="562" t="s">
        <v>184</v>
      </c>
      <c r="G318" s="562" t="s">
        <v>191</v>
      </c>
      <c r="H318" s="562" t="s">
        <v>191</v>
      </c>
    </row>
    <row r="319" spans="1:8" x14ac:dyDescent="0.2">
      <c r="A319" s="562" t="s">
        <v>205</v>
      </c>
      <c r="B319" s="562" t="s">
        <v>541</v>
      </c>
      <c r="C319" s="562" t="s">
        <v>542</v>
      </c>
      <c r="D319" s="562">
        <v>3</v>
      </c>
      <c r="E319" s="562">
        <v>4</v>
      </c>
      <c r="F319" s="562" t="s">
        <v>184</v>
      </c>
      <c r="G319" s="562" t="s">
        <v>191</v>
      </c>
      <c r="H319" s="562" t="s">
        <v>191</v>
      </c>
    </row>
    <row r="320" spans="1:8" x14ac:dyDescent="0.2">
      <c r="A320" s="562" t="s">
        <v>205</v>
      </c>
      <c r="B320" s="562" t="s">
        <v>541</v>
      </c>
      <c r="C320" s="562" t="s">
        <v>543</v>
      </c>
      <c r="D320" s="562">
        <v>2</v>
      </c>
      <c r="E320" s="562">
        <v>4</v>
      </c>
      <c r="F320" s="562" t="s">
        <v>184</v>
      </c>
      <c r="G320" s="562" t="s">
        <v>191</v>
      </c>
      <c r="H320" s="562" t="s">
        <v>191</v>
      </c>
    </row>
    <row r="321" spans="1:8" x14ac:dyDescent="0.2">
      <c r="A321" s="562" t="s">
        <v>205</v>
      </c>
      <c r="B321" s="562" t="s">
        <v>541</v>
      </c>
      <c r="C321" s="562" t="s">
        <v>544</v>
      </c>
      <c r="D321" s="562">
        <v>3</v>
      </c>
      <c r="E321" s="562">
        <v>4</v>
      </c>
      <c r="F321" s="562" t="s">
        <v>184</v>
      </c>
      <c r="G321" s="562" t="s">
        <v>191</v>
      </c>
      <c r="H321" s="562" t="s">
        <v>191</v>
      </c>
    </row>
    <row r="322" spans="1:8" x14ac:dyDescent="0.2">
      <c r="A322" s="562" t="s">
        <v>207</v>
      </c>
      <c r="B322" s="562" t="s">
        <v>545</v>
      </c>
      <c r="C322" s="562" t="s">
        <v>546</v>
      </c>
      <c r="D322" s="562">
        <v>3</v>
      </c>
      <c r="E322" s="562">
        <v>4</v>
      </c>
      <c r="F322" s="562" t="s">
        <v>184</v>
      </c>
      <c r="G322" s="562" t="s">
        <v>191</v>
      </c>
      <c r="H322" s="562" t="s">
        <v>191</v>
      </c>
    </row>
    <row r="323" spans="1:8" x14ac:dyDescent="0.2">
      <c r="A323" s="562" t="s">
        <v>209</v>
      </c>
      <c r="B323" s="562" t="s">
        <v>547</v>
      </c>
      <c r="C323" s="562" t="s">
        <v>548</v>
      </c>
      <c r="D323" s="562">
        <v>2</v>
      </c>
      <c r="E323" s="562">
        <v>2</v>
      </c>
      <c r="F323" s="562" t="s">
        <v>184</v>
      </c>
      <c r="G323" s="562" t="s">
        <v>190</v>
      </c>
      <c r="H323" s="562" t="s">
        <v>191</v>
      </c>
    </row>
    <row r="324" spans="1:8" x14ac:dyDescent="0.2">
      <c r="A324" s="562" t="s">
        <v>209</v>
      </c>
      <c r="B324" s="562" t="s">
        <v>547</v>
      </c>
      <c r="C324" s="562" t="s">
        <v>549</v>
      </c>
      <c r="D324" s="562">
        <v>3</v>
      </c>
      <c r="E324" s="562">
        <v>2</v>
      </c>
      <c r="F324" s="562" t="s">
        <v>184</v>
      </c>
      <c r="G324" s="562" t="s">
        <v>190</v>
      </c>
      <c r="H324" s="562" t="s">
        <v>191</v>
      </c>
    </row>
    <row r="325" spans="1:8" x14ac:dyDescent="0.2">
      <c r="A325" s="562" t="s">
        <v>209</v>
      </c>
      <c r="B325" s="562" t="s">
        <v>547</v>
      </c>
      <c r="C325" s="562" t="s">
        <v>550</v>
      </c>
      <c r="D325" s="562">
        <v>3</v>
      </c>
      <c r="E325" s="562">
        <v>2</v>
      </c>
      <c r="F325" s="562" t="s">
        <v>184</v>
      </c>
      <c r="G325" s="562" t="s">
        <v>190</v>
      </c>
      <c r="H325" s="562" t="s">
        <v>191</v>
      </c>
    </row>
    <row r="326" spans="1:8" x14ac:dyDescent="0.2">
      <c r="A326" s="562" t="s">
        <v>209</v>
      </c>
      <c r="B326" s="562" t="s">
        <v>547</v>
      </c>
      <c r="C326" s="562" t="s">
        <v>551</v>
      </c>
      <c r="D326" s="562">
        <v>3</v>
      </c>
      <c r="E326" s="562">
        <v>2</v>
      </c>
      <c r="F326" s="562" t="s">
        <v>184</v>
      </c>
      <c r="G326" s="562" t="s">
        <v>190</v>
      </c>
      <c r="H326" s="562" t="s">
        <v>191</v>
      </c>
    </row>
    <row r="327" spans="1:8" x14ac:dyDescent="0.2">
      <c r="A327" s="562" t="s">
        <v>209</v>
      </c>
      <c r="B327" s="562" t="s">
        <v>547</v>
      </c>
      <c r="C327" s="562" t="s">
        <v>552</v>
      </c>
      <c r="D327" s="562">
        <v>3</v>
      </c>
      <c r="E327" s="562">
        <v>2</v>
      </c>
      <c r="F327" s="562" t="s">
        <v>184</v>
      </c>
      <c r="G327" s="562" t="s">
        <v>190</v>
      </c>
      <c r="H327" s="562" t="s">
        <v>191</v>
      </c>
    </row>
    <row r="328" spans="1:8" x14ac:dyDescent="0.2">
      <c r="A328" s="562" t="s">
        <v>209</v>
      </c>
      <c r="B328" s="562" t="s">
        <v>547</v>
      </c>
      <c r="C328" s="562" t="s">
        <v>553</v>
      </c>
      <c r="D328" s="562">
        <v>3</v>
      </c>
      <c r="E328" s="562">
        <v>1</v>
      </c>
      <c r="F328" s="562" t="s">
        <v>184</v>
      </c>
      <c r="G328" s="562" t="s">
        <v>190</v>
      </c>
      <c r="H328" s="562" t="s">
        <v>191</v>
      </c>
    </row>
    <row r="329" spans="1:8" x14ac:dyDescent="0.2">
      <c r="A329" s="562" t="s">
        <v>209</v>
      </c>
      <c r="B329" s="562" t="s">
        <v>547</v>
      </c>
      <c r="C329" s="562" t="s">
        <v>204</v>
      </c>
      <c r="D329" s="562">
        <v>3</v>
      </c>
      <c r="E329" s="562">
        <v>2</v>
      </c>
      <c r="F329" s="562" t="s">
        <v>184</v>
      </c>
      <c r="G329" s="562" t="s">
        <v>190</v>
      </c>
      <c r="H329" s="562" t="s">
        <v>191</v>
      </c>
    </row>
    <row r="330" spans="1:8" x14ac:dyDescent="0.2">
      <c r="A330" s="562" t="s">
        <v>209</v>
      </c>
      <c r="B330" s="562" t="s">
        <v>547</v>
      </c>
      <c r="C330" s="562" t="s">
        <v>554</v>
      </c>
      <c r="D330" s="562">
        <v>3</v>
      </c>
      <c r="E330" s="562">
        <v>2</v>
      </c>
      <c r="F330" s="562" t="s">
        <v>184</v>
      </c>
      <c r="G330" s="562" t="s">
        <v>190</v>
      </c>
      <c r="H330" s="562" t="s">
        <v>191</v>
      </c>
    </row>
    <row r="331" spans="1:8" x14ac:dyDescent="0.2">
      <c r="A331" s="562" t="s">
        <v>209</v>
      </c>
      <c r="B331" s="562" t="s">
        <v>547</v>
      </c>
      <c r="C331" s="562" t="s">
        <v>555</v>
      </c>
      <c r="D331" s="562">
        <v>2</v>
      </c>
      <c r="E331" s="562">
        <v>2</v>
      </c>
      <c r="F331" s="562" t="s">
        <v>184</v>
      </c>
      <c r="G331" s="562" t="s">
        <v>190</v>
      </c>
      <c r="H331" s="562" t="s">
        <v>191</v>
      </c>
    </row>
    <row r="332" spans="1:8" x14ac:dyDescent="0.2">
      <c r="A332" s="562" t="s">
        <v>209</v>
      </c>
      <c r="B332" s="562" t="s">
        <v>547</v>
      </c>
      <c r="C332" s="562" t="s">
        <v>216</v>
      </c>
      <c r="D332" s="562">
        <v>3</v>
      </c>
      <c r="E332" s="562">
        <v>2</v>
      </c>
      <c r="F332" s="562" t="s">
        <v>184</v>
      </c>
      <c r="G332" s="562" t="s">
        <v>190</v>
      </c>
      <c r="H332" s="562" t="s">
        <v>191</v>
      </c>
    </row>
    <row r="333" spans="1:8" x14ac:dyDescent="0.2">
      <c r="A333" s="562" t="s">
        <v>209</v>
      </c>
      <c r="B333" s="562" t="s">
        <v>547</v>
      </c>
      <c r="C333" s="562" t="s">
        <v>556</v>
      </c>
      <c r="D333" s="562">
        <v>3</v>
      </c>
      <c r="E333" s="562">
        <v>2</v>
      </c>
      <c r="F333" s="562" t="s">
        <v>184</v>
      </c>
      <c r="G333" s="562" t="s">
        <v>190</v>
      </c>
      <c r="H333" s="562" t="s">
        <v>191</v>
      </c>
    </row>
    <row r="334" spans="1:8" x14ac:dyDescent="0.2">
      <c r="A334" s="562" t="s">
        <v>209</v>
      </c>
      <c r="B334" s="562" t="s">
        <v>547</v>
      </c>
      <c r="C334" s="562" t="s">
        <v>371</v>
      </c>
      <c r="D334" s="562">
        <v>2</v>
      </c>
      <c r="E334" s="562">
        <v>2</v>
      </c>
      <c r="F334" s="562" t="s">
        <v>184</v>
      </c>
      <c r="G334" s="562" t="s">
        <v>190</v>
      </c>
      <c r="H334" s="562" t="s">
        <v>191</v>
      </c>
    </row>
    <row r="335" spans="1:8" x14ac:dyDescent="0.2">
      <c r="A335" s="562" t="s">
        <v>209</v>
      </c>
      <c r="B335" s="562" t="s">
        <v>547</v>
      </c>
      <c r="C335" s="562" t="s">
        <v>557</v>
      </c>
      <c r="D335" s="562">
        <v>3</v>
      </c>
      <c r="E335" s="562">
        <v>2</v>
      </c>
      <c r="F335" s="562" t="s">
        <v>184</v>
      </c>
      <c r="G335" s="562" t="s">
        <v>190</v>
      </c>
      <c r="H335" s="562" t="s">
        <v>191</v>
      </c>
    </row>
    <row r="336" spans="1:8" x14ac:dyDescent="0.2">
      <c r="A336" s="562" t="s">
        <v>209</v>
      </c>
      <c r="B336" s="562" t="s">
        <v>547</v>
      </c>
      <c r="C336" s="562" t="s">
        <v>558</v>
      </c>
      <c r="D336" s="562">
        <v>3</v>
      </c>
      <c r="E336" s="562">
        <v>2</v>
      </c>
      <c r="F336" s="562" t="s">
        <v>184</v>
      </c>
      <c r="G336" s="562" t="s">
        <v>190</v>
      </c>
      <c r="H336" s="562" t="s">
        <v>191</v>
      </c>
    </row>
    <row r="337" spans="1:8" x14ac:dyDescent="0.2">
      <c r="A337" s="562" t="s">
        <v>209</v>
      </c>
      <c r="B337" s="562" t="s">
        <v>547</v>
      </c>
      <c r="C337" s="562" t="s">
        <v>559</v>
      </c>
      <c r="D337" s="562">
        <v>3</v>
      </c>
      <c r="E337" s="562">
        <v>2</v>
      </c>
      <c r="F337" s="562" t="s">
        <v>184</v>
      </c>
      <c r="G337" s="562" t="s">
        <v>190</v>
      </c>
      <c r="H337" s="562" t="s">
        <v>191</v>
      </c>
    </row>
    <row r="338" spans="1:8" x14ac:dyDescent="0.2">
      <c r="A338" s="562" t="s">
        <v>209</v>
      </c>
      <c r="B338" s="562" t="s">
        <v>547</v>
      </c>
      <c r="C338" s="562" t="s">
        <v>242</v>
      </c>
      <c r="D338" s="562">
        <v>3</v>
      </c>
      <c r="E338" s="562">
        <v>2</v>
      </c>
      <c r="F338" s="562" t="s">
        <v>184</v>
      </c>
      <c r="G338" s="562" t="s">
        <v>190</v>
      </c>
      <c r="H338" s="562" t="s">
        <v>191</v>
      </c>
    </row>
    <row r="339" spans="1:8" x14ac:dyDescent="0.2">
      <c r="A339" s="562" t="s">
        <v>209</v>
      </c>
      <c r="B339" s="562" t="s">
        <v>547</v>
      </c>
      <c r="C339" s="562" t="s">
        <v>560</v>
      </c>
      <c r="D339" s="562">
        <v>3</v>
      </c>
      <c r="E339" s="562">
        <v>2</v>
      </c>
      <c r="F339" s="562" t="s">
        <v>184</v>
      </c>
      <c r="G339" s="562" t="s">
        <v>190</v>
      </c>
      <c r="H339" s="562" t="s">
        <v>191</v>
      </c>
    </row>
    <row r="340" spans="1:8" x14ac:dyDescent="0.2">
      <c r="A340" s="562" t="s">
        <v>209</v>
      </c>
      <c r="B340" s="562" t="s">
        <v>547</v>
      </c>
      <c r="C340" s="562" t="s">
        <v>248</v>
      </c>
      <c r="D340" s="562">
        <v>3</v>
      </c>
      <c r="E340" s="562">
        <v>2</v>
      </c>
      <c r="F340" s="562" t="s">
        <v>184</v>
      </c>
      <c r="G340" s="562" t="s">
        <v>190</v>
      </c>
      <c r="H340" s="562" t="s">
        <v>191</v>
      </c>
    </row>
    <row r="341" spans="1:8" x14ac:dyDescent="0.2">
      <c r="A341" s="562" t="s">
        <v>209</v>
      </c>
      <c r="B341" s="562" t="s">
        <v>547</v>
      </c>
      <c r="C341" s="562" t="s">
        <v>561</v>
      </c>
      <c r="D341" s="562">
        <v>3</v>
      </c>
      <c r="E341" s="562">
        <v>2</v>
      </c>
      <c r="F341" s="562" t="s">
        <v>184</v>
      </c>
      <c r="G341" s="562" t="s">
        <v>190</v>
      </c>
      <c r="H341" s="562" t="s">
        <v>191</v>
      </c>
    </row>
    <row r="342" spans="1:8" x14ac:dyDescent="0.2">
      <c r="A342" s="562" t="s">
        <v>209</v>
      </c>
      <c r="B342" s="562" t="s">
        <v>547</v>
      </c>
      <c r="C342" s="562" t="s">
        <v>562</v>
      </c>
      <c r="D342" s="562">
        <v>3</v>
      </c>
      <c r="E342" s="562">
        <v>2</v>
      </c>
      <c r="F342" s="562" t="s">
        <v>184</v>
      </c>
      <c r="G342" s="562" t="s">
        <v>190</v>
      </c>
      <c r="H342" s="562" t="s">
        <v>191</v>
      </c>
    </row>
    <row r="343" spans="1:8" x14ac:dyDescent="0.2">
      <c r="A343" s="562" t="s">
        <v>209</v>
      </c>
      <c r="B343" s="562" t="s">
        <v>547</v>
      </c>
      <c r="C343" s="562" t="s">
        <v>563</v>
      </c>
      <c r="D343" s="562">
        <v>3</v>
      </c>
      <c r="E343" s="562">
        <v>2</v>
      </c>
      <c r="F343" s="562" t="s">
        <v>184</v>
      </c>
      <c r="G343" s="562" t="s">
        <v>190</v>
      </c>
      <c r="H343" s="562" t="s">
        <v>191</v>
      </c>
    </row>
    <row r="344" spans="1:8" x14ac:dyDescent="0.2">
      <c r="A344" s="562" t="s">
        <v>209</v>
      </c>
      <c r="B344" s="562" t="s">
        <v>547</v>
      </c>
      <c r="C344" s="562" t="s">
        <v>564</v>
      </c>
      <c r="D344" s="562">
        <v>3</v>
      </c>
      <c r="E344" s="562">
        <v>2</v>
      </c>
      <c r="F344" s="562" t="s">
        <v>184</v>
      </c>
      <c r="G344" s="562" t="s">
        <v>190</v>
      </c>
      <c r="H344" s="562" t="s">
        <v>191</v>
      </c>
    </row>
    <row r="345" spans="1:8" x14ac:dyDescent="0.2">
      <c r="A345" s="562" t="s">
        <v>209</v>
      </c>
      <c r="B345" s="562" t="s">
        <v>547</v>
      </c>
      <c r="C345" s="562" t="s">
        <v>565</v>
      </c>
      <c r="D345" s="562">
        <v>3</v>
      </c>
      <c r="E345" s="562">
        <v>2</v>
      </c>
      <c r="F345" s="562" t="s">
        <v>184</v>
      </c>
      <c r="G345" s="562" t="s">
        <v>190</v>
      </c>
      <c r="H345" s="562" t="s">
        <v>191</v>
      </c>
    </row>
    <row r="346" spans="1:8" x14ac:dyDescent="0.2">
      <c r="A346" s="562" t="s">
        <v>209</v>
      </c>
      <c r="B346" s="562" t="s">
        <v>547</v>
      </c>
      <c r="C346" s="562" t="s">
        <v>566</v>
      </c>
      <c r="D346" s="562">
        <v>3</v>
      </c>
      <c r="E346" s="562">
        <v>2</v>
      </c>
      <c r="F346" s="562" t="s">
        <v>184</v>
      </c>
      <c r="G346" s="562" t="s">
        <v>190</v>
      </c>
      <c r="H346" s="562" t="s">
        <v>191</v>
      </c>
    </row>
    <row r="347" spans="1:8" x14ac:dyDescent="0.2">
      <c r="A347" s="562" t="s">
        <v>209</v>
      </c>
      <c r="B347" s="562" t="s">
        <v>547</v>
      </c>
      <c r="C347" s="562" t="s">
        <v>567</v>
      </c>
      <c r="D347" s="562">
        <v>3</v>
      </c>
      <c r="E347" s="562">
        <v>2</v>
      </c>
      <c r="F347" s="562" t="s">
        <v>184</v>
      </c>
      <c r="G347" s="562" t="s">
        <v>190</v>
      </c>
      <c r="H347" s="562" t="s">
        <v>191</v>
      </c>
    </row>
    <row r="348" spans="1:8" x14ac:dyDescent="0.2">
      <c r="A348" s="562" t="s">
        <v>209</v>
      </c>
      <c r="B348" s="562" t="s">
        <v>547</v>
      </c>
      <c r="C348" s="562" t="s">
        <v>568</v>
      </c>
      <c r="D348" s="562">
        <v>3</v>
      </c>
      <c r="E348" s="562">
        <v>2</v>
      </c>
      <c r="F348" s="562" t="s">
        <v>184</v>
      </c>
      <c r="G348" s="562" t="s">
        <v>190</v>
      </c>
      <c r="H348" s="562" t="s">
        <v>191</v>
      </c>
    </row>
    <row r="349" spans="1:8" x14ac:dyDescent="0.2">
      <c r="A349" s="562" t="s">
        <v>209</v>
      </c>
      <c r="B349" s="562" t="s">
        <v>547</v>
      </c>
      <c r="C349" s="562" t="s">
        <v>569</v>
      </c>
      <c r="D349" s="562">
        <v>3</v>
      </c>
      <c r="E349" s="562">
        <v>2</v>
      </c>
      <c r="F349" s="562" t="s">
        <v>184</v>
      </c>
      <c r="G349" s="562" t="s">
        <v>190</v>
      </c>
      <c r="H349" s="562" t="s">
        <v>191</v>
      </c>
    </row>
    <row r="350" spans="1:8" x14ac:dyDescent="0.2">
      <c r="A350" s="562" t="s">
        <v>209</v>
      </c>
      <c r="B350" s="562" t="s">
        <v>547</v>
      </c>
      <c r="C350" s="562" t="s">
        <v>570</v>
      </c>
      <c r="D350" s="562">
        <v>2</v>
      </c>
      <c r="E350" s="562">
        <v>2</v>
      </c>
      <c r="F350" s="562" t="s">
        <v>184</v>
      </c>
      <c r="G350" s="562" t="s">
        <v>190</v>
      </c>
      <c r="H350" s="562" t="s">
        <v>191</v>
      </c>
    </row>
    <row r="351" spans="1:8" x14ac:dyDescent="0.2">
      <c r="A351" s="562" t="s">
        <v>209</v>
      </c>
      <c r="B351" s="562" t="s">
        <v>547</v>
      </c>
      <c r="C351" s="562" t="s">
        <v>571</v>
      </c>
      <c r="D351" s="562">
        <v>3</v>
      </c>
      <c r="E351" s="562">
        <v>2</v>
      </c>
      <c r="F351" s="562" t="s">
        <v>184</v>
      </c>
      <c r="G351" s="562" t="s">
        <v>190</v>
      </c>
      <c r="H351" s="562" t="s">
        <v>191</v>
      </c>
    </row>
    <row r="352" spans="1:8" x14ac:dyDescent="0.2">
      <c r="A352" s="562" t="s">
        <v>209</v>
      </c>
      <c r="B352" s="562" t="s">
        <v>547</v>
      </c>
      <c r="C352" s="562" t="s">
        <v>572</v>
      </c>
      <c r="D352" s="562">
        <v>3</v>
      </c>
      <c r="E352" s="562">
        <v>2</v>
      </c>
      <c r="F352" s="562" t="s">
        <v>184</v>
      </c>
      <c r="G352" s="562" t="s">
        <v>190</v>
      </c>
      <c r="H352" s="562" t="s">
        <v>191</v>
      </c>
    </row>
    <row r="353" spans="1:8" x14ac:dyDescent="0.2">
      <c r="A353" s="562" t="s">
        <v>209</v>
      </c>
      <c r="B353" s="562" t="s">
        <v>547</v>
      </c>
      <c r="C353" s="562" t="s">
        <v>259</v>
      </c>
      <c r="D353" s="562">
        <v>3</v>
      </c>
      <c r="E353" s="562">
        <v>2</v>
      </c>
      <c r="F353" s="562" t="s">
        <v>184</v>
      </c>
      <c r="G353" s="562" t="s">
        <v>190</v>
      </c>
      <c r="H353" s="562" t="s">
        <v>191</v>
      </c>
    </row>
    <row r="354" spans="1:8" x14ac:dyDescent="0.2">
      <c r="A354" s="562" t="s">
        <v>209</v>
      </c>
      <c r="B354" s="562" t="s">
        <v>547</v>
      </c>
      <c r="C354" s="562" t="s">
        <v>261</v>
      </c>
      <c r="D354" s="562">
        <v>3</v>
      </c>
      <c r="E354" s="562">
        <v>2</v>
      </c>
      <c r="F354" s="562" t="s">
        <v>184</v>
      </c>
      <c r="G354" s="562" t="s">
        <v>190</v>
      </c>
      <c r="H354" s="562" t="s">
        <v>191</v>
      </c>
    </row>
    <row r="355" spans="1:8" x14ac:dyDescent="0.2">
      <c r="A355" s="562" t="s">
        <v>209</v>
      </c>
      <c r="B355" s="562" t="s">
        <v>547</v>
      </c>
      <c r="C355" s="562" t="s">
        <v>389</v>
      </c>
      <c r="D355" s="562">
        <v>3</v>
      </c>
      <c r="E355" s="562">
        <v>2</v>
      </c>
      <c r="F355" s="562" t="s">
        <v>184</v>
      </c>
      <c r="G355" s="562" t="s">
        <v>190</v>
      </c>
      <c r="H355" s="562" t="s">
        <v>191</v>
      </c>
    </row>
    <row r="356" spans="1:8" x14ac:dyDescent="0.2">
      <c r="A356" s="562" t="s">
        <v>209</v>
      </c>
      <c r="B356" s="562" t="s">
        <v>547</v>
      </c>
      <c r="C356" s="562" t="s">
        <v>436</v>
      </c>
      <c r="D356" s="562">
        <v>3</v>
      </c>
      <c r="E356" s="562">
        <v>2</v>
      </c>
      <c r="F356" s="562" t="s">
        <v>184</v>
      </c>
      <c r="G356" s="562" t="s">
        <v>190</v>
      </c>
      <c r="H356" s="562" t="s">
        <v>191</v>
      </c>
    </row>
    <row r="357" spans="1:8" x14ac:dyDescent="0.2">
      <c r="A357" s="562" t="s">
        <v>209</v>
      </c>
      <c r="B357" s="562" t="s">
        <v>547</v>
      </c>
      <c r="C357" s="562" t="s">
        <v>269</v>
      </c>
      <c r="D357" s="562">
        <v>3</v>
      </c>
      <c r="E357" s="562">
        <v>2</v>
      </c>
      <c r="F357" s="562" t="s">
        <v>184</v>
      </c>
      <c r="G357" s="562" t="s">
        <v>190</v>
      </c>
      <c r="H357" s="562" t="s">
        <v>191</v>
      </c>
    </row>
    <row r="358" spans="1:8" x14ac:dyDescent="0.2">
      <c r="A358" s="562" t="s">
        <v>209</v>
      </c>
      <c r="B358" s="562" t="s">
        <v>547</v>
      </c>
      <c r="C358" s="562" t="s">
        <v>573</v>
      </c>
      <c r="D358" s="562">
        <v>2</v>
      </c>
      <c r="E358" s="562">
        <v>2</v>
      </c>
      <c r="F358" s="562" t="s">
        <v>184</v>
      </c>
      <c r="G358" s="562" t="s">
        <v>190</v>
      </c>
      <c r="H358" s="562" t="s">
        <v>191</v>
      </c>
    </row>
    <row r="359" spans="1:8" x14ac:dyDescent="0.2">
      <c r="A359" s="562" t="s">
        <v>209</v>
      </c>
      <c r="B359" s="562" t="s">
        <v>547</v>
      </c>
      <c r="C359" s="562" t="s">
        <v>574</v>
      </c>
      <c r="D359" s="562">
        <v>3</v>
      </c>
      <c r="E359" s="562">
        <v>2</v>
      </c>
      <c r="F359" s="562" t="s">
        <v>184</v>
      </c>
      <c r="G359" s="562" t="s">
        <v>190</v>
      </c>
      <c r="H359" s="562" t="s">
        <v>191</v>
      </c>
    </row>
    <row r="360" spans="1:8" x14ac:dyDescent="0.2">
      <c r="A360" s="562" t="s">
        <v>209</v>
      </c>
      <c r="B360" s="562" t="s">
        <v>547</v>
      </c>
      <c r="C360" s="562" t="s">
        <v>575</v>
      </c>
      <c r="D360" s="562">
        <v>3</v>
      </c>
      <c r="E360" s="562">
        <v>2</v>
      </c>
      <c r="F360" s="562" t="s">
        <v>184</v>
      </c>
      <c r="G360" s="562" t="s">
        <v>190</v>
      </c>
      <c r="H360" s="562" t="s">
        <v>191</v>
      </c>
    </row>
    <row r="361" spans="1:8" x14ac:dyDescent="0.2">
      <c r="A361" s="562" t="s">
        <v>209</v>
      </c>
      <c r="B361" s="562" t="s">
        <v>547</v>
      </c>
      <c r="C361" s="562" t="s">
        <v>277</v>
      </c>
      <c r="D361" s="562">
        <v>3</v>
      </c>
      <c r="E361" s="562">
        <v>2</v>
      </c>
      <c r="F361" s="562" t="s">
        <v>184</v>
      </c>
      <c r="G361" s="562" t="s">
        <v>190</v>
      </c>
      <c r="H361" s="562" t="s">
        <v>191</v>
      </c>
    </row>
    <row r="362" spans="1:8" x14ac:dyDescent="0.2">
      <c r="A362" s="562" t="s">
        <v>209</v>
      </c>
      <c r="B362" s="562" t="s">
        <v>547</v>
      </c>
      <c r="C362" s="562" t="s">
        <v>576</v>
      </c>
      <c r="D362" s="562">
        <v>3</v>
      </c>
      <c r="E362" s="562">
        <v>2</v>
      </c>
      <c r="F362" s="562" t="s">
        <v>184</v>
      </c>
      <c r="G362" s="562" t="s">
        <v>190</v>
      </c>
      <c r="H362" s="562" t="s">
        <v>191</v>
      </c>
    </row>
    <row r="363" spans="1:8" x14ac:dyDescent="0.2">
      <c r="A363" s="562" t="s">
        <v>209</v>
      </c>
      <c r="B363" s="562" t="s">
        <v>547</v>
      </c>
      <c r="C363" s="562" t="s">
        <v>281</v>
      </c>
      <c r="D363" s="562">
        <v>2</v>
      </c>
      <c r="E363" s="562">
        <v>2</v>
      </c>
      <c r="F363" s="562" t="s">
        <v>184</v>
      </c>
      <c r="G363" s="562" t="s">
        <v>190</v>
      </c>
      <c r="H363" s="562" t="s">
        <v>191</v>
      </c>
    </row>
    <row r="364" spans="1:8" x14ac:dyDescent="0.2">
      <c r="A364" s="562" t="s">
        <v>209</v>
      </c>
      <c r="B364" s="562" t="s">
        <v>547</v>
      </c>
      <c r="C364" s="562" t="s">
        <v>577</v>
      </c>
      <c r="D364" s="562">
        <v>3</v>
      </c>
      <c r="E364" s="562">
        <v>2</v>
      </c>
      <c r="F364" s="562" t="s">
        <v>184</v>
      </c>
      <c r="G364" s="562" t="s">
        <v>190</v>
      </c>
      <c r="H364" s="562" t="s">
        <v>191</v>
      </c>
    </row>
    <row r="365" spans="1:8" x14ac:dyDescent="0.2">
      <c r="A365" s="562" t="s">
        <v>209</v>
      </c>
      <c r="B365" s="562" t="s">
        <v>547</v>
      </c>
      <c r="C365" s="562" t="s">
        <v>578</v>
      </c>
      <c r="D365" s="562">
        <v>2</v>
      </c>
      <c r="E365" s="562">
        <v>1</v>
      </c>
      <c r="F365" s="562" t="s">
        <v>184</v>
      </c>
      <c r="G365" s="562" t="s">
        <v>190</v>
      </c>
      <c r="H365" s="562" t="s">
        <v>191</v>
      </c>
    </row>
    <row r="366" spans="1:8" x14ac:dyDescent="0.2">
      <c r="A366" s="562" t="s">
        <v>209</v>
      </c>
      <c r="B366" s="562" t="s">
        <v>547</v>
      </c>
      <c r="C366" s="562" t="s">
        <v>287</v>
      </c>
      <c r="D366" s="562">
        <v>3</v>
      </c>
      <c r="E366" s="562">
        <v>1</v>
      </c>
      <c r="F366" s="562" t="s">
        <v>184</v>
      </c>
      <c r="G366" s="562" t="s">
        <v>190</v>
      </c>
      <c r="H366" s="562" t="s">
        <v>191</v>
      </c>
    </row>
    <row r="367" spans="1:8" x14ac:dyDescent="0.2">
      <c r="A367" s="562" t="s">
        <v>209</v>
      </c>
      <c r="B367" s="562" t="s">
        <v>547</v>
      </c>
      <c r="C367" s="562" t="s">
        <v>579</v>
      </c>
      <c r="D367" s="562">
        <v>3</v>
      </c>
      <c r="E367" s="562">
        <v>2</v>
      </c>
      <c r="F367" s="562" t="s">
        <v>184</v>
      </c>
      <c r="G367" s="562" t="s">
        <v>190</v>
      </c>
      <c r="H367" s="562" t="s">
        <v>191</v>
      </c>
    </row>
    <row r="368" spans="1:8" x14ac:dyDescent="0.2">
      <c r="A368" s="562" t="s">
        <v>209</v>
      </c>
      <c r="B368" s="562" t="s">
        <v>547</v>
      </c>
      <c r="C368" s="562" t="s">
        <v>580</v>
      </c>
      <c r="D368" s="562">
        <v>3</v>
      </c>
      <c r="E368" s="562">
        <v>2</v>
      </c>
      <c r="F368" s="562" t="s">
        <v>184</v>
      </c>
      <c r="G368" s="562" t="s">
        <v>190</v>
      </c>
      <c r="H368" s="562" t="s">
        <v>191</v>
      </c>
    </row>
    <row r="369" spans="1:8" x14ac:dyDescent="0.2">
      <c r="A369" s="562" t="s">
        <v>209</v>
      </c>
      <c r="B369" s="562" t="s">
        <v>547</v>
      </c>
      <c r="C369" s="562" t="s">
        <v>581</v>
      </c>
      <c r="D369" s="562">
        <v>3</v>
      </c>
      <c r="E369" s="562">
        <v>2</v>
      </c>
      <c r="F369" s="562" t="s">
        <v>184</v>
      </c>
      <c r="G369" s="562" t="s">
        <v>190</v>
      </c>
      <c r="H369" s="562" t="s">
        <v>191</v>
      </c>
    </row>
    <row r="370" spans="1:8" x14ac:dyDescent="0.2">
      <c r="A370" s="562" t="s">
        <v>209</v>
      </c>
      <c r="B370" s="562" t="s">
        <v>547</v>
      </c>
      <c r="C370" s="562" t="s">
        <v>448</v>
      </c>
      <c r="D370" s="562">
        <v>3</v>
      </c>
      <c r="E370" s="562">
        <v>2</v>
      </c>
      <c r="F370" s="562" t="s">
        <v>184</v>
      </c>
      <c r="G370" s="562" t="s">
        <v>190</v>
      </c>
      <c r="H370" s="562" t="s">
        <v>191</v>
      </c>
    </row>
    <row r="371" spans="1:8" x14ac:dyDescent="0.2">
      <c r="A371" s="562" t="s">
        <v>209</v>
      </c>
      <c r="B371" s="562" t="s">
        <v>547</v>
      </c>
      <c r="C371" s="562" t="s">
        <v>582</v>
      </c>
      <c r="D371" s="562">
        <v>3</v>
      </c>
      <c r="E371" s="562">
        <v>2</v>
      </c>
      <c r="F371" s="562" t="s">
        <v>184</v>
      </c>
      <c r="G371" s="562" t="s">
        <v>190</v>
      </c>
      <c r="H371" s="562" t="s">
        <v>191</v>
      </c>
    </row>
    <row r="372" spans="1:8" x14ac:dyDescent="0.2">
      <c r="A372" s="562" t="s">
        <v>209</v>
      </c>
      <c r="B372" s="562" t="s">
        <v>547</v>
      </c>
      <c r="C372" s="562" t="s">
        <v>583</v>
      </c>
      <c r="D372" s="562">
        <v>3</v>
      </c>
      <c r="E372" s="562">
        <v>2</v>
      </c>
      <c r="F372" s="562" t="s">
        <v>184</v>
      </c>
      <c r="G372" s="562" t="s">
        <v>190</v>
      </c>
      <c r="H372" s="562" t="s">
        <v>191</v>
      </c>
    </row>
    <row r="373" spans="1:8" x14ac:dyDescent="0.2">
      <c r="A373" s="562" t="s">
        <v>209</v>
      </c>
      <c r="B373" s="562" t="s">
        <v>547</v>
      </c>
      <c r="C373" s="562" t="s">
        <v>584</v>
      </c>
      <c r="D373" s="562">
        <v>3</v>
      </c>
      <c r="E373" s="562">
        <v>2</v>
      </c>
      <c r="F373" s="562" t="s">
        <v>184</v>
      </c>
      <c r="G373" s="562" t="s">
        <v>190</v>
      </c>
      <c r="H373" s="562" t="s">
        <v>191</v>
      </c>
    </row>
    <row r="374" spans="1:8" x14ac:dyDescent="0.2">
      <c r="A374" s="562" t="s">
        <v>209</v>
      </c>
      <c r="B374" s="562" t="s">
        <v>547</v>
      </c>
      <c r="C374" s="562" t="s">
        <v>585</v>
      </c>
      <c r="D374" s="562">
        <v>2</v>
      </c>
      <c r="E374" s="562">
        <v>2</v>
      </c>
      <c r="F374" s="562" t="s">
        <v>184</v>
      </c>
      <c r="G374" s="562" t="s">
        <v>190</v>
      </c>
      <c r="H374" s="562" t="s">
        <v>191</v>
      </c>
    </row>
    <row r="375" spans="1:8" x14ac:dyDescent="0.2">
      <c r="A375" s="562" t="s">
        <v>209</v>
      </c>
      <c r="B375" s="562" t="s">
        <v>547</v>
      </c>
      <c r="C375" s="562" t="s">
        <v>401</v>
      </c>
      <c r="D375" s="562">
        <v>2</v>
      </c>
      <c r="E375" s="562">
        <v>2</v>
      </c>
      <c r="F375" s="562" t="s">
        <v>184</v>
      </c>
      <c r="G375" s="562" t="s">
        <v>190</v>
      </c>
      <c r="H375" s="562" t="s">
        <v>191</v>
      </c>
    </row>
    <row r="376" spans="1:8" x14ac:dyDescent="0.2">
      <c r="A376" s="562" t="s">
        <v>209</v>
      </c>
      <c r="B376" s="562" t="s">
        <v>547</v>
      </c>
      <c r="C376" s="562" t="s">
        <v>586</v>
      </c>
      <c r="D376" s="562">
        <v>3</v>
      </c>
      <c r="E376" s="562">
        <v>2</v>
      </c>
      <c r="F376" s="562" t="s">
        <v>184</v>
      </c>
      <c r="G376" s="562" t="s">
        <v>190</v>
      </c>
      <c r="H376" s="562" t="s">
        <v>191</v>
      </c>
    </row>
    <row r="377" spans="1:8" x14ac:dyDescent="0.2">
      <c r="A377" s="562" t="s">
        <v>209</v>
      </c>
      <c r="B377" s="562" t="s">
        <v>547</v>
      </c>
      <c r="C377" s="562" t="s">
        <v>587</v>
      </c>
      <c r="D377" s="562">
        <v>3</v>
      </c>
      <c r="E377" s="562">
        <v>2</v>
      </c>
      <c r="F377" s="562" t="s">
        <v>184</v>
      </c>
      <c r="G377" s="562" t="s">
        <v>190</v>
      </c>
      <c r="H377" s="562" t="s">
        <v>191</v>
      </c>
    </row>
    <row r="378" spans="1:8" x14ac:dyDescent="0.2">
      <c r="A378" s="562" t="s">
        <v>209</v>
      </c>
      <c r="B378" s="562" t="s">
        <v>547</v>
      </c>
      <c r="C378" s="562" t="s">
        <v>588</v>
      </c>
      <c r="D378" s="562">
        <v>3</v>
      </c>
      <c r="E378" s="562">
        <v>2</v>
      </c>
      <c r="F378" s="562" t="s">
        <v>184</v>
      </c>
      <c r="G378" s="562" t="s">
        <v>190</v>
      </c>
      <c r="H378" s="562" t="s">
        <v>191</v>
      </c>
    </row>
    <row r="379" spans="1:8" x14ac:dyDescent="0.2">
      <c r="A379" s="562" t="s">
        <v>209</v>
      </c>
      <c r="B379" s="562" t="s">
        <v>547</v>
      </c>
      <c r="C379" s="562" t="s">
        <v>589</v>
      </c>
      <c r="D379" s="562">
        <v>3</v>
      </c>
      <c r="E379" s="562">
        <v>2</v>
      </c>
      <c r="F379" s="562" t="s">
        <v>184</v>
      </c>
      <c r="G379" s="562" t="s">
        <v>190</v>
      </c>
      <c r="H379" s="562" t="s">
        <v>191</v>
      </c>
    </row>
    <row r="380" spans="1:8" x14ac:dyDescent="0.2">
      <c r="A380" s="562" t="s">
        <v>209</v>
      </c>
      <c r="B380" s="562" t="s">
        <v>547</v>
      </c>
      <c r="C380" s="562" t="s">
        <v>590</v>
      </c>
      <c r="D380" s="562">
        <v>3</v>
      </c>
      <c r="E380" s="562">
        <v>2</v>
      </c>
      <c r="F380" s="562" t="s">
        <v>184</v>
      </c>
      <c r="G380" s="562" t="s">
        <v>190</v>
      </c>
      <c r="H380" s="562" t="s">
        <v>191</v>
      </c>
    </row>
    <row r="381" spans="1:8" x14ac:dyDescent="0.2">
      <c r="A381" s="562" t="s">
        <v>209</v>
      </c>
      <c r="B381" s="562" t="s">
        <v>547</v>
      </c>
      <c r="C381" s="562" t="s">
        <v>591</v>
      </c>
      <c r="D381" s="562">
        <v>3</v>
      </c>
      <c r="E381" s="562">
        <v>2</v>
      </c>
      <c r="F381" s="562" t="s">
        <v>184</v>
      </c>
      <c r="G381" s="562" t="s">
        <v>190</v>
      </c>
      <c r="H381" s="562" t="s">
        <v>191</v>
      </c>
    </row>
    <row r="382" spans="1:8" x14ac:dyDescent="0.2">
      <c r="A382" s="562" t="s">
        <v>209</v>
      </c>
      <c r="B382" s="562" t="s">
        <v>547</v>
      </c>
      <c r="C382" s="562" t="s">
        <v>304</v>
      </c>
      <c r="D382" s="562">
        <v>3</v>
      </c>
      <c r="E382" s="562">
        <v>2</v>
      </c>
      <c r="F382" s="562" t="s">
        <v>184</v>
      </c>
      <c r="G382" s="562" t="s">
        <v>190</v>
      </c>
      <c r="H382" s="562" t="s">
        <v>191</v>
      </c>
    </row>
    <row r="383" spans="1:8" x14ac:dyDescent="0.2">
      <c r="A383" s="562" t="s">
        <v>209</v>
      </c>
      <c r="B383" s="562" t="s">
        <v>547</v>
      </c>
      <c r="C383" s="562" t="s">
        <v>592</v>
      </c>
      <c r="D383" s="562">
        <v>3</v>
      </c>
      <c r="E383" s="562">
        <v>2</v>
      </c>
      <c r="F383" s="562" t="s">
        <v>184</v>
      </c>
      <c r="G383" s="562" t="s">
        <v>190</v>
      </c>
      <c r="H383" s="562" t="s">
        <v>191</v>
      </c>
    </row>
    <row r="384" spans="1:8" x14ac:dyDescent="0.2">
      <c r="A384" s="562" t="s">
        <v>209</v>
      </c>
      <c r="B384" s="562" t="s">
        <v>547</v>
      </c>
      <c r="C384" s="562" t="s">
        <v>593</v>
      </c>
      <c r="D384" s="562">
        <v>3</v>
      </c>
      <c r="E384" s="562">
        <v>2</v>
      </c>
      <c r="F384" s="562" t="s">
        <v>184</v>
      </c>
      <c r="G384" s="562" t="s">
        <v>190</v>
      </c>
      <c r="H384" s="562" t="s">
        <v>191</v>
      </c>
    </row>
    <row r="385" spans="1:8" x14ac:dyDescent="0.2">
      <c r="A385" s="562" t="s">
        <v>209</v>
      </c>
      <c r="B385" s="562" t="s">
        <v>547</v>
      </c>
      <c r="C385" s="562" t="s">
        <v>413</v>
      </c>
      <c r="D385" s="562">
        <v>2</v>
      </c>
      <c r="E385" s="562">
        <v>2</v>
      </c>
      <c r="F385" s="562" t="s">
        <v>184</v>
      </c>
      <c r="G385" s="562" t="s">
        <v>190</v>
      </c>
      <c r="H385" s="562" t="s">
        <v>191</v>
      </c>
    </row>
    <row r="386" spans="1:8" x14ac:dyDescent="0.2">
      <c r="A386" s="562" t="s">
        <v>209</v>
      </c>
      <c r="B386" s="562" t="s">
        <v>547</v>
      </c>
      <c r="C386" s="562" t="s">
        <v>594</v>
      </c>
      <c r="D386" s="562">
        <v>3</v>
      </c>
      <c r="E386" s="562">
        <v>2</v>
      </c>
      <c r="F386" s="562" t="s">
        <v>184</v>
      </c>
      <c r="G386" s="562" t="s">
        <v>190</v>
      </c>
      <c r="H386" s="562" t="s">
        <v>191</v>
      </c>
    </row>
    <row r="387" spans="1:8" x14ac:dyDescent="0.2">
      <c r="A387" s="562" t="s">
        <v>209</v>
      </c>
      <c r="B387" s="562" t="s">
        <v>547</v>
      </c>
      <c r="C387" s="562" t="s">
        <v>595</v>
      </c>
      <c r="D387" s="562">
        <v>3</v>
      </c>
      <c r="E387" s="562">
        <v>2</v>
      </c>
      <c r="F387" s="562" t="s">
        <v>184</v>
      </c>
      <c r="G387" s="562" t="s">
        <v>190</v>
      </c>
      <c r="H387" s="562" t="s">
        <v>191</v>
      </c>
    </row>
    <row r="388" spans="1:8" x14ac:dyDescent="0.2">
      <c r="A388" s="562" t="s">
        <v>209</v>
      </c>
      <c r="B388" s="562" t="s">
        <v>547</v>
      </c>
      <c r="C388" s="562" t="s">
        <v>596</v>
      </c>
      <c r="D388" s="562">
        <v>3</v>
      </c>
      <c r="E388" s="562">
        <v>2</v>
      </c>
      <c r="F388" s="562" t="s">
        <v>184</v>
      </c>
      <c r="G388" s="562" t="s">
        <v>190</v>
      </c>
      <c r="H388" s="562" t="s">
        <v>191</v>
      </c>
    </row>
    <row r="389" spans="1:8" x14ac:dyDescent="0.2">
      <c r="A389" s="562" t="s">
        <v>209</v>
      </c>
      <c r="B389" s="562" t="s">
        <v>547</v>
      </c>
      <c r="C389" s="562" t="s">
        <v>309</v>
      </c>
      <c r="D389" s="562">
        <v>3</v>
      </c>
      <c r="E389" s="562">
        <v>2</v>
      </c>
      <c r="F389" s="562" t="s">
        <v>184</v>
      </c>
      <c r="G389" s="562" t="s">
        <v>190</v>
      </c>
      <c r="H389" s="562" t="s">
        <v>191</v>
      </c>
    </row>
    <row r="390" spans="1:8" x14ac:dyDescent="0.2">
      <c r="A390" s="562" t="s">
        <v>211</v>
      </c>
      <c r="B390" s="562" t="s">
        <v>597</v>
      </c>
      <c r="C390" s="562" t="s">
        <v>598</v>
      </c>
      <c r="D390" s="562">
        <v>3</v>
      </c>
      <c r="E390" s="562">
        <v>2</v>
      </c>
      <c r="F390" s="562" t="s">
        <v>184</v>
      </c>
      <c r="G390" s="562" t="s">
        <v>190</v>
      </c>
      <c r="H390" s="562" t="s">
        <v>191</v>
      </c>
    </row>
    <row r="391" spans="1:8" x14ac:dyDescent="0.2">
      <c r="A391" s="562" t="s">
        <v>211</v>
      </c>
      <c r="B391" s="562" t="s">
        <v>597</v>
      </c>
      <c r="C391" s="562" t="s">
        <v>599</v>
      </c>
      <c r="D391" s="562">
        <v>3</v>
      </c>
      <c r="E391" s="562">
        <v>2</v>
      </c>
      <c r="F391" s="562" t="s">
        <v>184</v>
      </c>
      <c r="G391" s="562" t="s">
        <v>190</v>
      </c>
      <c r="H391" s="562" t="s">
        <v>191</v>
      </c>
    </row>
    <row r="392" spans="1:8" x14ac:dyDescent="0.2">
      <c r="A392" s="562" t="s">
        <v>211</v>
      </c>
      <c r="B392" s="562" t="s">
        <v>597</v>
      </c>
      <c r="C392" s="562" t="s">
        <v>600</v>
      </c>
      <c r="D392" s="562">
        <v>3</v>
      </c>
      <c r="E392" s="562">
        <v>2</v>
      </c>
      <c r="F392" s="562" t="s">
        <v>184</v>
      </c>
      <c r="G392" s="562" t="s">
        <v>190</v>
      </c>
      <c r="H392" s="562" t="s">
        <v>191</v>
      </c>
    </row>
    <row r="393" spans="1:8" x14ac:dyDescent="0.2">
      <c r="A393" s="562" t="s">
        <v>211</v>
      </c>
      <c r="B393" s="562" t="s">
        <v>597</v>
      </c>
      <c r="C393" s="562" t="s">
        <v>549</v>
      </c>
      <c r="D393" s="562">
        <v>3</v>
      </c>
      <c r="E393" s="562">
        <v>2</v>
      </c>
      <c r="F393" s="562" t="s">
        <v>184</v>
      </c>
      <c r="G393" s="562" t="s">
        <v>190</v>
      </c>
      <c r="H393" s="562" t="s">
        <v>191</v>
      </c>
    </row>
    <row r="394" spans="1:8" x14ac:dyDescent="0.2">
      <c r="A394" s="562" t="s">
        <v>211</v>
      </c>
      <c r="B394" s="562" t="s">
        <v>597</v>
      </c>
      <c r="C394" s="562" t="s">
        <v>192</v>
      </c>
      <c r="D394" s="562">
        <v>3</v>
      </c>
      <c r="E394" s="562">
        <v>3</v>
      </c>
      <c r="F394" s="562" t="s">
        <v>184</v>
      </c>
      <c r="G394" s="562" t="s">
        <v>191</v>
      </c>
      <c r="H394" s="562" t="s">
        <v>191</v>
      </c>
    </row>
    <row r="395" spans="1:8" x14ac:dyDescent="0.2">
      <c r="A395" s="562" t="s">
        <v>211</v>
      </c>
      <c r="B395" s="562" t="s">
        <v>597</v>
      </c>
      <c r="C395" s="562" t="s">
        <v>601</v>
      </c>
      <c r="D395" s="562">
        <v>2</v>
      </c>
      <c r="E395" s="562">
        <v>4</v>
      </c>
      <c r="F395" s="562" t="s">
        <v>184</v>
      </c>
      <c r="G395" s="562" t="s">
        <v>191</v>
      </c>
      <c r="H395" s="562" t="s">
        <v>191</v>
      </c>
    </row>
    <row r="396" spans="1:8" x14ac:dyDescent="0.2">
      <c r="A396" s="562" t="s">
        <v>211</v>
      </c>
      <c r="B396" s="562" t="s">
        <v>597</v>
      </c>
      <c r="C396" s="562" t="s">
        <v>602</v>
      </c>
      <c r="D396" s="562">
        <v>2</v>
      </c>
      <c r="E396" s="562">
        <v>3</v>
      </c>
      <c r="F396" s="562" t="s">
        <v>184</v>
      </c>
      <c r="G396" s="562" t="s">
        <v>191</v>
      </c>
      <c r="H396" s="562" t="s">
        <v>191</v>
      </c>
    </row>
    <row r="397" spans="1:8" x14ac:dyDescent="0.2">
      <c r="A397" s="562" t="s">
        <v>211</v>
      </c>
      <c r="B397" s="562" t="s">
        <v>597</v>
      </c>
      <c r="C397" s="562" t="s">
        <v>603</v>
      </c>
      <c r="D397" s="562">
        <v>2</v>
      </c>
      <c r="E397" s="562">
        <v>3</v>
      </c>
      <c r="F397" s="562" t="s">
        <v>184</v>
      </c>
      <c r="G397" s="562" t="s">
        <v>191</v>
      </c>
      <c r="H397" s="562" t="s">
        <v>191</v>
      </c>
    </row>
    <row r="398" spans="1:8" x14ac:dyDescent="0.2">
      <c r="A398" s="562" t="s">
        <v>211</v>
      </c>
      <c r="B398" s="562" t="s">
        <v>597</v>
      </c>
      <c r="C398" s="562" t="s">
        <v>604</v>
      </c>
      <c r="D398" s="562">
        <v>3</v>
      </c>
      <c r="E398" s="562">
        <v>3</v>
      </c>
      <c r="F398" s="562" t="s">
        <v>184</v>
      </c>
      <c r="G398" s="562" t="s">
        <v>190</v>
      </c>
      <c r="H398" s="562" t="s">
        <v>191</v>
      </c>
    </row>
    <row r="399" spans="1:8" x14ac:dyDescent="0.2">
      <c r="A399" s="562" t="s">
        <v>211</v>
      </c>
      <c r="B399" s="562" t="s">
        <v>597</v>
      </c>
      <c r="C399" s="562" t="s">
        <v>605</v>
      </c>
      <c r="D399" s="562">
        <v>3</v>
      </c>
      <c r="E399" s="562">
        <v>2</v>
      </c>
      <c r="F399" s="562" t="s">
        <v>184</v>
      </c>
      <c r="G399" s="562" t="s">
        <v>190</v>
      </c>
      <c r="H399" s="562" t="s">
        <v>191</v>
      </c>
    </row>
    <row r="400" spans="1:8" x14ac:dyDescent="0.2">
      <c r="A400" s="562" t="s">
        <v>211</v>
      </c>
      <c r="B400" s="562" t="s">
        <v>597</v>
      </c>
      <c r="C400" s="562" t="s">
        <v>196</v>
      </c>
      <c r="D400" s="562">
        <v>3</v>
      </c>
      <c r="E400" s="562">
        <v>3</v>
      </c>
      <c r="F400" s="562" t="s">
        <v>184</v>
      </c>
      <c r="G400" s="562" t="s">
        <v>191</v>
      </c>
      <c r="H400" s="562" t="s">
        <v>191</v>
      </c>
    </row>
    <row r="401" spans="1:8" x14ac:dyDescent="0.2">
      <c r="A401" s="562" t="s">
        <v>211</v>
      </c>
      <c r="B401" s="562" t="s">
        <v>597</v>
      </c>
      <c r="C401" s="562" t="s">
        <v>606</v>
      </c>
      <c r="D401" s="562">
        <v>3</v>
      </c>
      <c r="E401" s="562">
        <v>3</v>
      </c>
      <c r="F401" s="562" t="s">
        <v>184</v>
      </c>
      <c r="G401" s="562" t="s">
        <v>190</v>
      </c>
      <c r="H401" s="562" t="s">
        <v>191</v>
      </c>
    </row>
    <row r="402" spans="1:8" x14ac:dyDescent="0.2">
      <c r="A402" s="562" t="s">
        <v>211</v>
      </c>
      <c r="B402" s="562" t="s">
        <v>597</v>
      </c>
      <c r="C402" s="562" t="s">
        <v>607</v>
      </c>
      <c r="D402" s="562">
        <v>3</v>
      </c>
      <c r="E402" s="562">
        <v>2</v>
      </c>
      <c r="F402" s="562" t="s">
        <v>184</v>
      </c>
      <c r="G402" s="562" t="s">
        <v>190</v>
      </c>
      <c r="H402" s="562" t="s">
        <v>191</v>
      </c>
    </row>
    <row r="403" spans="1:8" x14ac:dyDescent="0.2">
      <c r="A403" s="562" t="s">
        <v>211</v>
      </c>
      <c r="B403" s="562" t="s">
        <v>597</v>
      </c>
      <c r="C403" s="562" t="s">
        <v>608</v>
      </c>
      <c r="D403" s="562">
        <v>3</v>
      </c>
      <c r="E403" s="562">
        <v>2</v>
      </c>
      <c r="F403" s="562" t="s">
        <v>184</v>
      </c>
      <c r="G403" s="562" t="s">
        <v>190</v>
      </c>
      <c r="H403" s="562" t="s">
        <v>191</v>
      </c>
    </row>
    <row r="404" spans="1:8" x14ac:dyDescent="0.2">
      <c r="A404" s="562" t="s">
        <v>211</v>
      </c>
      <c r="B404" s="562" t="s">
        <v>597</v>
      </c>
      <c r="C404" s="562" t="s">
        <v>609</v>
      </c>
      <c r="D404" s="562">
        <v>3</v>
      </c>
      <c r="E404" s="562">
        <v>2</v>
      </c>
      <c r="F404" s="562" t="s">
        <v>184</v>
      </c>
      <c r="G404" s="562" t="s">
        <v>190</v>
      </c>
      <c r="H404" s="562" t="s">
        <v>191</v>
      </c>
    </row>
    <row r="405" spans="1:8" x14ac:dyDescent="0.2">
      <c r="A405" s="562" t="s">
        <v>211</v>
      </c>
      <c r="B405" s="562" t="s">
        <v>597</v>
      </c>
      <c r="C405" s="562" t="s">
        <v>610</v>
      </c>
      <c r="D405" s="562">
        <v>3</v>
      </c>
      <c r="E405" s="562">
        <v>3</v>
      </c>
      <c r="F405" s="562" t="s">
        <v>184</v>
      </c>
      <c r="G405" s="562" t="s">
        <v>190</v>
      </c>
      <c r="H405" s="562" t="s">
        <v>191</v>
      </c>
    </row>
    <row r="406" spans="1:8" x14ac:dyDescent="0.2">
      <c r="A406" s="562" t="s">
        <v>211</v>
      </c>
      <c r="B406" s="562" t="s">
        <v>597</v>
      </c>
      <c r="C406" s="562" t="s">
        <v>611</v>
      </c>
      <c r="D406" s="562">
        <v>3</v>
      </c>
      <c r="E406" s="562">
        <v>3</v>
      </c>
      <c r="F406" s="562" t="s">
        <v>184</v>
      </c>
      <c r="G406" s="562" t="s">
        <v>191</v>
      </c>
      <c r="H406" s="562" t="s">
        <v>191</v>
      </c>
    </row>
    <row r="407" spans="1:8" x14ac:dyDescent="0.2">
      <c r="A407" s="562" t="s">
        <v>211</v>
      </c>
      <c r="B407" s="562" t="s">
        <v>597</v>
      </c>
      <c r="C407" s="562" t="s">
        <v>612</v>
      </c>
      <c r="D407" s="562">
        <v>2</v>
      </c>
      <c r="E407" s="562">
        <v>3</v>
      </c>
      <c r="F407" s="562" t="s">
        <v>184</v>
      </c>
      <c r="G407" s="562" t="s">
        <v>191</v>
      </c>
      <c r="H407" s="562" t="s">
        <v>191</v>
      </c>
    </row>
    <row r="408" spans="1:8" x14ac:dyDescent="0.2">
      <c r="A408" s="562" t="s">
        <v>211</v>
      </c>
      <c r="B408" s="562" t="s">
        <v>597</v>
      </c>
      <c r="C408" s="562" t="s">
        <v>204</v>
      </c>
      <c r="D408" s="562">
        <v>3</v>
      </c>
      <c r="E408" s="562">
        <v>3</v>
      </c>
      <c r="F408" s="562" t="s">
        <v>184</v>
      </c>
      <c r="G408" s="562" t="s">
        <v>190</v>
      </c>
      <c r="H408" s="562" t="s">
        <v>191</v>
      </c>
    </row>
    <row r="409" spans="1:8" x14ac:dyDescent="0.2">
      <c r="A409" s="562" t="s">
        <v>211</v>
      </c>
      <c r="B409" s="562" t="s">
        <v>597</v>
      </c>
      <c r="C409" s="562" t="s">
        <v>613</v>
      </c>
      <c r="D409" s="562">
        <v>3</v>
      </c>
      <c r="E409" s="562">
        <v>2</v>
      </c>
      <c r="F409" s="562" t="s">
        <v>184</v>
      </c>
      <c r="G409" s="562" t="s">
        <v>190</v>
      </c>
      <c r="H409" s="562" t="s">
        <v>191</v>
      </c>
    </row>
    <row r="410" spans="1:8" x14ac:dyDescent="0.2">
      <c r="A410" s="562" t="s">
        <v>211</v>
      </c>
      <c r="B410" s="562" t="s">
        <v>597</v>
      </c>
      <c r="C410" s="562" t="s">
        <v>614</v>
      </c>
      <c r="D410" s="562">
        <v>3</v>
      </c>
      <c r="E410" s="562">
        <v>3</v>
      </c>
      <c r="F410" s="562" t="s">
        <v>184</v>
      </c>
      <c r="G410" s="562" t="s">
        <v>190</v>
      </c>
      <c r="H410" s="562" t="s">
        <v>191</v>
      </c>
    </row>
    <row r="411" spans="1:8" x14ac:dyDescent="0.2">
      <c r="A411" s="562" t="s">
        <v>211</v>
      </c>
      <c r="B411" s="562" t="s">
        <v>597</v>
      </c>
      <c r="C411" s="562" t="s">
        <v>367</v>
      </c>
      <c r="D411" s="562">
        <v>2</v>
      </c>
      <c r="E411" s="562">
        <v>3</v>
      </c>
      <c r="F411" s="562" t="s">
        <v>184</v>
      </c>
      <c r="G411" s="562" t="s">
        <v>191</v>
      </c>
      <c r="H411" s="562" t="s">
        <v>191</v>
      </c>
    </row>
    <row r="412" spans="1:8" x14ac:dyDescent="0.2">
      <c r="A412" s="562" t="s">
        <v>211</v>
      </c>
      <c r="B412" s="562" t="s">
        <v>597</v>
      </c>
      <c r="C412" s="562" t="s">
        <v>615</v>
      </c>
      <c r="D412" s="562">
        <v>2</v>
      </c>
      <c r="E412" s="562">
        <v>4</v>
      </c>
      <c r="F412" s="562" t="s">
        <v>184</v>
      </c>
      <c r="G412" s="562" t="s">
        <v>191</v>
      </c>
      <c r="H412" s="562" t="s">
        <v>191</v>
      </c>
    </row>
    <row r="413" spans="1:8" x14ac:dyDescent="0.2">
      <c r="A413" s="562" t="s">
        <v>211</v>
      </c>
      <c r="B413" s="562" t="s">
        <v>597</v>
      </c>
      <c r="C413" s="562" t="s">
        <v>616</v>
      </c>
      <c r="D413" s="562">
        <v>3</v>
      </c>
      <c r="E413" s="562">
        <v>2</v>
      </c>
      <c r="F413" s="562" t="s">
        <v>184</v>
      </c>
      <c r="G413" s="562" t="s">
        <v>190</v>
      </c>
      <c r="H413" s="562" t="s">
        <v>191</v>
      </c>
    </row>
    <row r="414" spans="1:8" x14ac:dyDescent="0.2">
      <c r="A414" s="562" t="s">
        <v>211</v>
      </c>
      <c r="B414" s="562" t="s">
        <v>597</v>
      </c>
      <c r="C414" s="562" t="s">
        <v>617</v>
      </c>
      <c r="D414" s="562">
        <v>3</v>
      </c>
      <c r="E414" s="562">
        <v>2</v>
      </c>
      <c r="F414" s="562" t="s">
        <v>184</v>
      </c>
      <c r="G414" s="562" t="s">
        <v>190</v>
      </c>
      <c r="H414" s="562" t="s">
        <v>191</v>
      </c>
    </row>
    <row r="415" spans="1:8" x14ac:dyDescent="0.2">
      <c r="A415" s="562" t="s">
        <v>211</v>
      </c>
      <c r="B415" s="562" t="s">
        <v>597</v>
      </c>
      <c r="C415" s="562" t="s">
        <v>618</v>
      </c>
      <c r="D415" s="562">
        <v>3</v>
      </c>
      <c r="E415" s="562">
        <v>3</v>
      </c>
      <c r="F415" s="562" t="s">
        <v>184</v>
      </c>
      <c r="G415" s="562" t="s">
        <v>190</v>
      </c>
      <c r="H415" s="562" t="s">
        <v>191</v>
      </c>
    </row>
    <row r="416" spans="1:8" x14ac:dyDescent="0.2">
      <c r="A416" s="562" t="s">
        <v>211</v>
      </c>
      <c r="B416" s="562" t="s">
        <v>597</v>
      </c>
      <c r="C416" s="562" t="s">
        <v>619</v>
      </c>
      <c r="D416" s="562">
        <v>3</v>
      </c>
      <c r="E416" s="562">
        <v>4</v>
      </c>
      <c r="F416" s="562" t="s">
        <v>184</v>
      </c>
      <c r="G416" s="562" t="s">
        <v>191</v>
      </c>
      <c r="H416" s="562" t="s">
        <v>191</v>
      </c>
    </row>
    <row r="417" spans="1:8" x14ac:dyDescent="0.2">
      <c r="A417" s="562" t="s">
        <v>211</v>
      </c>
      <c r="B417" s="562" t="s">
        <v>597</v>
      </c>
      <c r="C417" s="562" t="s">
        <v>208</v>
      </c>
      <c r="D417" s="562">
        <v>2</v>
      </c>
      <c r="E417" s="562">
        <v>3</v>
      </c>
      <c r="F417" s="562" t="s">
        <v>184</v>
      </c>
      <c r="G417" s="562" t="s">
        <v>191</v>
      </c>
      <c r="H417" s="562" t="s">
        <v>191</v>
      </c>
    </row>
    <row r="418" spans="1:8" x14ac:dyDescent="0.2">
      <c r="A418" s="562" t="s">
        <v>211</v>
      </c>
      <c r="B418" s="562" t="s">
        <v>597</v>
      </c>
      <c r="C418" s="562" t="s">
        <v>214</v>
      </c>
      <c r="D418" s="562">
        <v>2</v>
      </c>
      <c r="E418" s="562">
        <v>3</v>
      </c>
      <c r="F418" s="562" t="s">
        <v>184</v>
      </c>
      <c r="G418" s="562" t="s">
        <v>191</v>
      </c>
      <c r="H418" s="562" t="s">
        <v>191</v>
      </c>
    </row>
    <row r="419" spans="1:8" x14ac:dyDescent="0.2">
      <c r="A419" s="562" t="s">
        <v>211</v>
      </c>
      <c r="B419" s="562" t="s">
        <v>597</v>
      </c>
      <c r="C419" s="562" t="s">
        <v>216</v>
      </c>
      <c r="D419" s="562">
        <v>3</v>
      </c>
      <c r="E419" s="562">
        <v>3</v>
      </c>
      <c r="F419" s="562" t="s">
        <v>184</v>
      </c>
      <c r="G419" s="562" t="s">
        <v>190</v>
      </c>
      <c r="H419" s="562" t="s">
        <v>191</v>
      </c>
    </row>
    <row r="420" spans="1:8" x14ac:dyDescent="0.2">
      <c r="A420" s="562" t="s">
        <v>211</v>
      </c>
      <c r="B420" s="562" t="s">
        <v>597</v>
      </c>
      <c r="C420" s="562" t="s">
        <v>620</v>
      </c>
      <c r="D420" s="562">
        <v>2</v>
      </c>
      <c r="E420" s="562">
        <v>3</v>
      </c>
      <c r="F420" s="562" t="s">
        <v>184</v>
      </c>
      <c r="G420" s="562" t="s">
        <v>191</v>
      </c>
      <c r="H420" s="562" t="s">
        <v>191</v>
      </c>
    </row>
    <row r="421" spans="1:8" x14ac:dyDescent="0.2">
      <c r="A421" s="562" t="s">
        <v>211</v>
      </c>
      <c r="B421" s="562" t="s">
        <v>597</v>
      </c>
      <c r="C421" s="562" t="s">
        <v>621</v>
      </c>
      <c r="D421" s="562">
        <v>3</v>
      </c>
      <c r="E421" s="562">
        <v>2</v>
      </c>
      <c r="F421" s="562" t="s">
        <v>184</v>
      </c>
      <c r="G421" s="562" t="s">
        <v>190</v>
      </c>
      <c r="H421" s="562" t="s">
        <v>191</v>
      </c>
    </row>
    <row r="422" spans="1:8" x14ac:dyDescent="0.2">
      <c r="A422" s="562" t="s">
        <v>211</v>
      </c>
      <c r="B422" s="562" t="s">
        <v>597</v>
      </c>
      <c r="C422" s="562" t="s">
        <v>622</v>
      </c>
      <c r="D422" s="562">
        <v>1</v>
      </c>
      <c r="E422" s="562">
        <v>3</v>
      </c>
      <c r="F422" s="562" t="s">
        <v>184</v>
      </c>
      <c r="G422" s="562" t="s">
        <v>191</v>
      </c>
      <c r="H422" s="562" t="s">
        <v>191</v>
      </c>
    </row>
    <row r="423" spans="1:8" x14ac:dyDescent="0.2">
      <c r="A423" s="562" t="s">
        <v>211</v>
      </c>
      <c r="B423" s="562" t="s">
        <v>597</v>
      </c>
      <c r="C423" s="562" t="s">
        <v>220</v>
      </c>
      <c r="D423" s="562">
        <v>3</v>
      </c>
      <c r="E423" s="562">
        <v>3</v>
      </c>
      <c r="F423" s="562" t="s">
        <v>184</v>
      </c>
      <c r="G423" s="562" t="s">
        <v>190</v>
      </c>
      <c r="H423" s="562" t="s">
        <v>191</v>
      </c>
    </row>
    <row r="424" spans="1:8" x14ac:dyDescent="0.2">
      <c r="A424" s="562" t="s">
        <v>211</v>
      </c>
      <c r="B424" s="562" t="s">
        <v>597</v>
      </c>
      <c r="C424" s="562" t="s">
        <v>623</v>
      </c>
      <c r="D424" s="562">
        <v>3</v>
      </c>
      <c r="E424" s="562">
        <v>2</v>
      </c>
      <c r="F424" s="562" t="s">
        <v>184</v>
      </c>
      <c r="G424" s="562" t="s">
        <v>190</v>
      </c>
      <c r="H424" s="562" t="s">
        <v>191</v>
      </c>
    </row>
    <row r="425" spans="1:8" x14ac:dyDescent="0.2">
      <c r="A425" s="562" t="s">
        <v>211</v>
      </c>
      <c r="B425" s="562" t="s">
        <v>597</v>
      </c>
      <c r="C425" s="562" t="s">
        <v>371</v>
      </c>
      <c r="D425" s="562">
        <v>3</v>
      </c>
      <c r="E425" s="562">
        <v>3</v>
      </c>
      <c r="F425" s="562" t="s">
        <v>184</v>
      </c>
      <c r="G425" s="562" t="s">
        <v>191</v>
      </c>
      <c r="H425" s="562" t="s">
        <v>191</v>
      </c>
    </row>
    <row r="426" spans="1:8" x14ac:dyDescent="0.2">
      <c r="A426" s="562" t="s">
        <v>211</v>
      </c>
      <c r="B426" s="562" t="s">
        <v>597</v>
      </c>
      <c r="C426" s="562" t="s">
        <v>624</v>
      </c>
      <c r="D426" s="562">
        <v>3</v>
      </c>
      <c r="E426" s="562">
        <v>2</v>
      </c>
      <c r="F426" s="562" t="s">
        <v>184</v>
      </c>
      <c r="G426" s="562" t="s">
        <v>190</v>
      </c>
      <c r="H426" s="562" t="s">
        <v>191</v>
      </c>
    </row>
    <row r="427" spans="1:8" x14ac:dyDescent="0.2">
      <c r="A427" s="562" t="s">
        <v>211</v>
      </c>
      <c r="B427" s="562" t="s">
        <v>597</v>
      </c>
      <c r="C427" s="562" t="s">
        <v>625</v>
      </c>
      <c r="D427" s="562">
        <v>2</v>
      </c>
      <c r="E427" s="562">
        <v>3</v>
      </c>
      <c r="F427" s="562" t="s">
        <v>184</v>
      </c>
      <c r="G427" s="562" t="s">
        <v>191</v>
      </c>
      <c r="H427" s="562" t="s">
        <v>191</v>
      </c>
    </row>
    <row r="428" spans="1:8" x14ac:dyDescent="0.2">
      <c r="A428" s="562" t="s">
        <v>211</v>
      </c>
      <c r="B428" s="562" t="s">
        <v>597</v>
      </c>
      <c r="C428" s="562" t="s">
        <v>374</v>
      </c>
      <c r="D428" s="562">
        <v>3</v>
      </c>
      <c r="E428" s="562">
        <v>3</v>
      </c>
      <c r="F428" s="562" t="s">
        <v>184</v>
      </c>
      <c r="G428" s="562" t="s">
        <v>191</v>
      </c>
      <c r="H428" s="562" t="s">
        <v>191</v>
      </c>
    </row>
    <row r="429" spans="1:8" x14ac:dyDescent="0.2">
      <c r="A429" s="562" t="s">
        <v>211</v>
      </c>
      <c r="B429" s="562" t="s">
        <v>597</v>
      </c>
      <c r="C429" s="562" t="s">
        <v>626</v>
      </c>
      <c r="D429" s="562">
        <v>3</v>
      </c>
      <c r="E429" s="562">
        <v>3</v>
      </c>
      <c r="F429" s="562" t="s">
        <v>184</v>
      </c>
      <c r="G429" s="562" t="s">
        <v>190</v>
      </c>
      <c r="H429" s="562" t="s">
        <v>191</v>
      </c>
    </row>
    <row r="430" spans="1:8" x14ac:dyDescent="0.2">
      <c r="A430" s="562" t="s">
        <v>211</v>
      </c>
      <c r="B430" s="562" t="s">
        <v>597</v>
      </c>
      <c r="C430" s="562" t="s">
        <v>627</v>
      </c>
      <c r="D430" s="562">
        <v>3</v>
      </c>
      <c r="E430" s="562">
        <v>4</v>
      </c>
      <c r="F430" s="562" t="s">
        <v>184</v>
      </c>
      <c r="G430" s="562" t="s">
        <v>191</v>
      </c>
      <c r="H430" s="562" t="s">
        <v>191</v>
      </c>
    </row>
    <row r="431" spans="1:8" x14ac:dyDescent="0.2">
      <c r="A431" s="562" t="s">
        <v>211</v>
      </c>
      <c r="B431" s="562" t="s">
        <v>597</v>
      </c>
      <c r="C431" s="562" t="s">
        <v>628</v>
      </c>
      <c r="D431" s="562">
        <v>2</v>
      </c>
      <c r="E431" s="562">
        <v>4</v>
      </c>
      <c r="F431" s="562" t="s">
        <v>184</v>
      </c>
      <c r="G431" s="562" t="s">
        <v>191</v>
      </c>
      <c r="H431" s="562" t="s">
        <v>191</v>
      </c>
    </row>
    <row r="432" spans="1:8" x14ac:dyDescent="0.2">
      <c r="A432" s="562" t="s">
        <v>211</v>
      </c>
      <c r="B432" s="562" t="s">
        <v>597</v>
      </c>
      <c r="C432" s="562" t="s">
        <v>629</v>
      </c>
      <c r="D432" s="562">
        <v>3</v>
      </c>
      <c r="E432" s="562">
        <v>2</v>
      </c>
      <c r="F432" s="562" t="s">
        <v>184</v>
      </c>
      <c r="G432" s="562" t="s">
        <v>190</v>
      </c>
      <c r="H432" s="562" t="s">
        <v>191</v>
      </c>
    </row>
    <row r="433" spans="1:8" x14ac:dyDescent="0.2">
      <c r="A433" s="562" t="s">
        <v>211</v>
      </c>
      <c r="B433" s="562" t="s">
        <v>597</v>
      </c>
      <c r="C433" s="562" t="s">
        <v>630</v>
      </c>
      <c r="D433" s="562">
        <v>1</v>
      </c>
      <c r="E433" s="562">
        <v>3</v>
      </c>
      <c r="F433" s="562" t="s">
        <v>184</v>
      </c>
      <c r="G433" s="562" t="s">
        <v>191</v>
      </c>
      <c r="H433" s="562" t="s">
        <v>191</v>
      </c>
    </row>
    <row r="434" spans="1:8" x14ac:dyDescent="0.2">
      <c r="A434" s="562" t="s">
        <v>211</v>
      </c>
      <c r="B434" s="562" t="s">
        <v>597</v>
      </c>
      <c r="C434" s="562" t="s">
        <v>631</v>
      </c>
      <c r="D434" s="562">
        <v>3</v>
      </c>
      <c r="E434" s="562">
        <v>3</v>
      </c>
      <c r="F434" s="562" t="s">
        <v>184</v>
      </c>
      <c r="G434" s="562" t="s">
        <v>190</v>
      </c>
      <c r="H434" s="562" t="s">
        <v>191</v>
      </c>
    </row>
    <row r="435" spans="1:8" x14ac:dyDescent="0.2">
      <c r="A435" s="562" t="s">
        <v>211</v>
      </c>
      <c r="B435" s="562" t="s">
        <v>597</v>
      </c>
      <c r="C435" s="562" t="s">
        <v>632</v>
      </c>
      <c r="D435" s="562">
        <v>3</v>
      </c>
      <c r="E435" s="562">
        <v>3</v>
      </c>
      <c r="F435" s="562" t="s">
        <v>184</v>
      </c>
      <c r="G435" s="562" t="s">
        <v>190</v>
      </c>
      <c r="H435" s="562" t="s">
        <v>191</v>
      </c>
    </row>
    <row r="436" spans="1:8" x14ac:dyDescent="0.2">
      <c r="A436" s="562" t="s">
        <v>211</v>
      </c>
      <c r="B436" s="562" t="s">
        <v>597</v>
      </c>
      <c r="C436" s="562" t="s">
        <v>633</v>
      </c>
      <c r="D436" s="562">
        <v>3</v>
      </c>
      <c r="E436" s="562">
        <v>3</v>
      </c>
      <c r="F436" s="562" t="s">
        <v>184</v>
      </c>
      <c r="G436" s="562" t="s">
        <v>190</v>
      </c>
      <c r="H436" s="562" t="s">
        <v>191</v>
      </c>
    </row>
    <row r="437" spans="1:8" x14ac:dyDescent="0.2">
      <c r="A437" s="562" t="s">
        <v>211</v>
      </c>
      <c r="B437" s="562" t="s">
        <v>597</v>
      </c>
      <c r="C437" s="562" t="s">
        <v>495</v>
      </c>
      <c r="D437" s="562">
        <v>2</v>
      </c>
      <c r="E437" s="562">
        <v>3</v>
      </c>
      <c r="F437" s="562" t="s">
        <v>184</v>
      </c>
      <c r="G437" s="562" t="s">
        <v>191</v>
      </c>
      <c r="H437" s="562" t="s">
        <v>191</v>
      </c>
    </row>
    <row r="438" spans="1:8" x14ac:dyDescent="0.2">
      <c r="A438" s="562" t="s">
        <v>211</v>
      </c>
      <c r="B438" s="562" t="s">
        <v>597</v>
      </c>
      <c r="C438" s="562" t="s">
        <v>634</v>
      </c>
      <c r="D438" s="562">
        <v>3</v>
      </c>
      <c r="E438" s="562">
        <v>3</v>
      </c>
      <c r="F438" s="562" t="s">
        <v>184</v>
      </c>
      <c r="G438" s="562" t="s">
        <v>190</v>
      </c>
      <c r="H438" s="562" t="s">
        <v>191</v>
      </c>
    </row>
    <row r="439" spans="1:8" x14ac:dyDescent="0.2">
      <c r="A439" s="562" t="s">
        <v>211</v>
      </c>
      <c r="B439" s="562" t="s">
        <v>597</v>
      </c>
      <c r="C439" s="562" t="s">
        <v>635</v>
      </c>
      <c r="D439" s="562">
        <v>3</v>
      </c>
      <c r="E439" s="562">
        <v>2</v>
      </c>
      <c r="F439" s="562" t="s">
        <v>184</v>
      </c>
      <c r="G439" s="562" t="s">
        <v>190</v>
      </c>
      <c r="H439" s="562" t="s">
        <v>191</v>
      </c>
    </row>
    <row r="440" spans="1:8" x14ac:dyDescent="0.2">
      <c r="A440" s="562" t="s">
        <v>211</v>
      </c>
      <c r="B440" s="562" t="s">
        <v>597</v>
      </c>
      <c r="C440" s="562" t="s">
        <v>636</v>
      </c>
      <c r="D440" s="562">
        <v>3</v>
      </c>
      <c r="E440" s="562">
        <v>2</v>
      </c>
      <c r="F440" s="562" t="s">
        <v>184</v>
      </c>
      <c r="G440" s="562" t="s">
        <v>190</v>
      </c>
      <c r="H440" s="562" t="s">
        <v>191</v>
      </c>
    </row>
    <row r="441" spans="1:8" x14ac:dyDescent="0.2">
      <c r="A441" s="562" t="s">
        <v>211</v>
      </c>
      <c r="B441" s="562" t="s">
        <v>597</v>
      </c>
      <c r="C441" s="562" t="s">
        <v>498</v>
      </c>
      <c r="D441" s="562">
        <v>2</v>
      </c>
      <c r="E441" s="562">
        <v>3</v>
      </c>
      <c r="F441" s="562" t="s">
        <v>184</v>
      </c>
      <c r="G441" s="562" t="s">
        <v>191</v>
      </c>
      <c r="H441" s="562" t="s">
        <v>191</v>
      </c>
    </row>
    <row r="442" spans="1:8" x14ac:dyDescent="0.2">
      <c r="A442" s="562" t="s">
        <v>211</v>
      </c>
      <c r="B442" s="562" t="s">
        <v>597</v>
      </c>
      <c r="C442" s="562" t="s">
        <v>637</v>
      </c>
      <c r="D442" s="562">
        <v>3</v>
      </c>
      <c r="E442" s="562">
        <v>3</v>
      </c>
      <c r="F442" s="562" t="s">
        <v>184</v>
      </c>
      <c r="G442" s="562" t="s">
        <v>190</v>
      </c>
      <c r="H442" s="562" t="s">
        <v>191</v>
      </c>
    </row>
    <row r="443" spans="1:8" x14ac:dyDescent="0.2">
      <c r="A443" s="562" t="s">
        <v>211</v>
      </c>
      <c r="B443" s="562" t="s">
        <v>597</v>
      </c>
      <c r="C443" s="562" t="s">
        <v>638</v>
      </c>
      <c r="D443" s="562">
        <v>3</v>
      </c>
      <c r="E443" s="562">
        <v>2</v>
      </c>
      <c r="F443" s="562" t="s">
        <v>184</v>
      </c>
      <c r="G443" s="562" t="s">
        <v>190</v>
      </c>
      <c r="H443" s="562" t="s">
        <v>191</v>
      </c>
    </row>
    <row r="444" spans="1:8" x14ac:dyDescent="0.2">
      <c r="A444" s="562" t="s">
        <v>211</v>
      </c>
      <c r="B444" s="562" t="s">
        <v>597</v>
      </c>
      <c r="C444" s="562" t="s">
        <v>639</v>
      </c>
      <c r="D444" s="562">
        <v>2</v>
      </c>
      <c r="E444" s="562">
        <v>4</v>
      </c>
      <c r="F444" s="562" t="s">
        <v>184</v>
      </c>
      <c r="G444" s="562" t="s">
        <v>191</v>
      </c>
      <c r="H444" s="562" t="s">
        <v>191</v>
      </c>
    </row>
    <row r="445" spans="1:8" x14ac:dyDescent="0.2">
      <c r="A445" s="562" t="s">
        <v>211</v>
      </c>
      <c r="B445" s="562" t="s">
        <v>597</v>
      </c>
      <c r="C445" s="562" t="s">
        <v>246</v>
      </c>
      <c r="D445" s="562">
        <v>2</v>
      </c>
      <c r="E445" s="562">
        <v>3</v>
      </c>
      <c r="F445" s="562" t="s">
        <v>184</v>
      </c>
      <c r="G445" s="562" t="s">
        <v>191</v>
      </c>
      <c r="H445" s="562" t="s">
        <v>191</v>
      </c>
    </row>
    <row r="446" spans="1:8" x14ac:dyDescent="0.2">
      <c r="A446" s="562" t="s">
        <v>211</v>
      </c>
      <c r="B446" s="562" t="s">
        <v>597</v>
      </c>
      <c r="C446" s="562" t="s">
        <v>640</v>
      </c>
      <c r="D446" s="562">
        <v>2</v>
      </c>
      <c r="E446" s="562">
        <v>4</v>
      </c>
      <c r="F446" s="562" t="s">
        <v>184</v>
      </c>
      <c r="G446" s="562" t="s">
        <v>191</v>
      </c>
      <c r="H446" s="562" t="s">
        <v>191</v>
      </c>
    </row>
    <row r="447" spans="1:8" x14ac:dyDescent="0.2">
      <c r="A447" s="562" t="s">
        <v>211</v>
      </c>
      <c r="B447" s="562" t="s">
        <v>597</v>
      </c>
      <c r="C447" s="562" t="s">
        <v>641</v>
      </c>
      <c r="D447" s="562">
        <v>2</v>
      </c>
      <c r="E447" s="562">
        <v>3</v>
      </c>
      <c r="F447" s="562" t="s">
        <v>184</v>
      </c>
      <c r="G447" s="562" t="s">
        <v>191</v>
      </c>
      <c r="H447" s="562" t="s">
        <v>191</v>
      </c>
    </row>
    <row r="448" spans="1:8" x14ac:dyDescent="0.2">
      <c r="A448" s="562" t="s">
        <v>211</v>
      </c>
      <c r="B448" s="562" t="s">
        <v>597</v>
      </c>
      <c r="C448" s="562" t="s">
        <v>248</v>
      </c>
      <c r="D448" s="562">
        <v>2</v>
      </c>
      <c r="E448" s="562">
        <v>4</v>
      </c>
      <c r="F448" s="562" t="s">
        <v>184</v>
      </c>
      <c r="G448" s="562" t="s">
        <v>191</v>
      </c>
      <c r="H448" s="562" t="s">
        <v>191</v>
      </c>
    </row>
    <row r="449" spans="1:8" x14ac:dyDescent="0.2">
      <c r="A449" s="562" t="s">
        <v>211</v>
      </c>
      <c r="B449" s="562" t="s">
        <v>597</v>
      </c>
      <c r="C449" s="562" t="s">
        <v>380</v>
      </c>
      <c r="D449" s="562">
        <v>1</v>
      </c>
      <c r="E449" s="562">
        <v>3</v>
      </c>
      <c r="F449" s="562" t="s">
        <v>184</v>
      </c>
      <c r="G449" s="562" t="s">
        <v>191</v>
      </c>
      <c r="H449" s="562" t="s">
        <v>191</v>
      </c>
    </row>
    <row r="450" spans="1:8" x14ac:dyDescent="0.2">
      <c r="A450" s="562" t="s">
        <v>211</v>
      </c>
      <c r="B450" s="562" t="s">
        <v>597</v>
      </c>
      <c r="C450" s="562" t="s">
        <v>642</v>
      </c>
      <c r="D450" s="562">
        <v>2</v>
      </c>
      <c r="E450" s="562">
        <v>4</v>
      </c>
      <c r="F450" s="562" t="s">
        <v>184</v>
      </c>
      <c r="G450" s="562" t="s">
        <v>191</v>
      </c>
      <c r="H450" s="562" t="s">
        <v>191</v>
      </c>
    </row>
    <row r="451" spans="1:8" x14ac:dyDescent="0.2">
      <c r="A451" s="562" t="s">
        <v>211</v>
      </c>
      <c r="B451" s="562" t="s">
        <v>597</v>
      </c>
      <c r="C451" s="562" t="s">
        <v>643</v>
      </c>
      <c r="D451" s="562">
        <v>3</v>
      </c>
      <c r="E451" s="562">
        <v>3</v>
      </c>
      <c r="F451" s="562" t="s">
        <v>184</v>
      </c>
      <c r="G451" s="562" t="s">
        <v>191</v>
      </c>
      <c r="H451" s="562" t="s">
        <v>191</v>
      </c>
    </row>
    <row r="452" spans="1:8" x14ac:dyDescent="0.2">
      <c r="A452" s="562" t="s">
        <v>211</v>
      </c>
      <c r="B452" s="562" t="s">
        <v>597</v>
      </c>
      <c r="C452" s="562" t="s">
        <v>644</v>
      </c>
      <c r="D452" s="562">
        <v>3</v>
      </c>
      <c r="E452" s="562">
        <v>2</v>
      </c>
      <c r="F452" s="562" t="s">
        <v>184</v>
      </c>
      <c r="G452" s="562" t="s">
        <v>190</v>
      </c>
      <c r="H452" s="562" t="s">
        <v>191</v>
      </c>
    </row>
    <row r="453" spans="1:8" x14ac:dyDescent="0.2">
      <c r="A453" s="562" t="s">
        <v>211</v>
      </c>
      <c r="B453" s="562" t="s">
        <v>597</v>
      </c>
      <c r="C453" s="562" t="s">
        <v>645</v>
      </c>
      <c r="D453" s="562">
        <v>3</v>
      </c>
      <c r="E453" s="562">
        <v>4</v>
      </c>
      <c r="F453" s="562" t="s">
        <v>184</v>
      </c>
      <c r="G453" s="562" t="s">
        <v>191</v>
      </c>
      <c r="H453" s="562" t="s">
        <v>191</v>
      </c>
    </row>
    <row r="454" spans="1:8" x14ac:dyDescent="0.2">
      <c r="A454" s="562" t="s">
        <v>211</v>
      </c>
      <c r="B454" s="562" t="s">
        <v>597</v>
      </c>
      <c r="C454" s="562" t="s">
        <v>646</v>
      </c>
      <c r="D454" s="562">
        <v>3</v>
      </c>
      <c r="E454" s="562">
        <v>2</v>
      </c>
      <c r="F454" s="562" t="s">
        <v>184</v>
      </c>
      <c r="G454" s="562" t="s">
        <v>190</v>
      </c>
      <c r="H454" s="562" t="s">
        <v>191</v>
      </c>
    </row>
    <row r="455" spans="1:8" x14ac:dyDescent="0.2">
      <c r="A455" s="562" t="s">
        <v>211</v>
      </c>
      <c r="B455" s="562" t="s">
        <v>597</v>
      </c>
      <c r="C455" s="562" t="s">
        <v>252</v>
      </c>
      <c r="D455" s="562">
        <v>2</v>
      </c>
      <c r="E455" s="562">
        <v>3</v>
      </c>
      <c r="F455" s="562" t="s">
        <v>184</v>
      </c>
      <c r="G455" s="562" t="s">
        <v>191</v>
      </c>
      <c r="H455" s="562" t="s">
        <v>191</v>
      </c>
    </row>
    <row r="456" spans="1:8" x14ac:dyDescent="0.2">
      <c r="A456" s="562" t="s">
        <v>211</v>
      </c>
      <c r="B456" s="562" t="s">
        <v>597</v>
      </c>
      <c r="C456" s="562" t="s">
        <v>647</v>
      </c>
      <c r="D456" s="562">
        <v>1</v>
      </c>
      <c r="E456" s="562">
        <v>3</v>
      </c>
      <c r="F456" s="562" t="s">
        <v>184</v>
      </c>
      <c r="G456" s="562" t="s">
        <v>191</v>
      </c>
      <c r="H456" s="562" t="s">
        <v>191</v>
      </c>
    </row>
    <row r="457" spans="1:8" x14ac:dyDescent="0.2">
      <c r="A457" s="562" t="s">
        <v>211</v>
      </c>
      <c r="B457" s="562" t="s">
        <v>597</v>
      </c>
      <c r="C457" s="562" t="s">
        <v>648</v>
      </c>
      <c r="D457" s="562">
        <v>2</v>
      </c>
      <c r="E457" s="562">
        <v>4</v>
      </c>
      <c r="F457" s="562" t="s">
        <v>184</v>
      </c>
      <c r="G457" s="562" t="s">
        <v>191</v>
      </c>
      <c r="H457" s="562" t="s">
        <v>191</v>
      </c>
    </row>
    <row r="458" spans="1:8" x14ac:dyDescent="0.2">
      <c r="A458" s="562" t="s">
        <v>211</v>
      </c>
      <c r="B458" s="562" t="s">
        <v>597</v>
      </c>
      <c r="C458" s="562" t="s">
        <v>649</v>
      </c>
      <c r="D458" s="562">
        <v>2</v>
      </c>
      <c r="E458" s="562">
        <v>4</v>
      </c>
      <c r="F458" s="562" t="s">
        <v>184</v>
      </c>
      <c r="G458" s="562" t="s">
        <v>191</v>
      </c>
      <c r="H458" s="562" t="s">
        <v>191</v>
      </c>
    </row>
    <row r="459" spans="1:8" x14ac:dyDescent="0.2">
      <c r="A459" s="562" t="s">
        <v>211</v>
      </c>
      <c r="B459" s="562" t="s">
        <v>597</v>
      </c>
      <c r="C459" s="562" t="s">
        <v>650</v>
      </c>
      <c r="D459" s="562">
        <v>3</v>
      </c>
      <c r="E459" s="562">
        <v>3</v>
      </c>
      <c r="F459" s="562" t="s">
        <v>184</v>
      </c>
      <c r="G459" s="562" t="s">
        <v>191</v>
      </c>
      <c r="H459" s="562" t="s">
        <v>191</v>
      </c>
    </row>
    <row r="460" spans="1:8" x14ac:dyDescent="0.2">
      <c r="A460" s="562" t="s">
        <v>211</v>
      </c>
      <c r="B460" s="562" t="s">
        <v>597</v>
      </c>
      <c r="C460" s="562" t="s">
        <v>651</v>
      </c>
      <c r="D460" s="562">
        <v>2</v>
      </c>
      <c r="E460" s="562">
        <v>3</v>
      </c>
      <c r="F460" s="562" t="s">
        <v>184</v>
      </c>
      <c r="G460" s="562" t="s">
        <v>191</v>
      </c>
      <c r="H460" s="562" t="s">
        <v>191</v>
      </c>
    </row>
    <row r="461" spans="1:8" x14ac:dyDescent="0.2">
      <c r="A461" s="562" t="s">
        <v>211</v>
      </c>
      <c r="B461" s="562" t="s">
        <v>597</v>
      </c>
      <c r="C461" s="562" t="s">
        <v>652</v>
      </c>
      <c r="D461" s="562">
        <v>2</v>
      </c>
      <c r="E461" s="562">
        <v>3</v>
      </c>
      <c r="F461" s="562" t="s">
        <v>184</v>
      </c>
      <c r="G461" s="562" t="s">
        <v>191</v>
      </c>
      <c r="H461" s="562" t="s">
        <v>191</v>
      </c>
    </row>
    <row r="462" spans="1:8" x14ac:dyDescent="0.2">
      <c r="A462" s="562" t="s">
        <v>211</v>
      </c>
      <c r="B462" s="562" t="s">
        <v>597</v>
      </c>
      <c r="C462" s="562" t="s">
        <v>653</v>
      </c>
      <c r="D462" s="562">
        <v>2</v>
      </c>
      <c r="E462" s="562">
        <v>3</v>
      </c>
      <c r="F462" s="562" t="s">
        <v>184</v>
      </c>
      <c r="G462" s="562" t="s">
        <v>191</v>
      </c>
      <c r="H462" s="562" t="s">
        <v>191</v>
      </c>
    </row>
    <row r="463" spans="1:8" x14ac:dyDescent="0.2">
      <c r="A463" s="562" t="s">
        <v>211</v>
      </c>
      <c r="B463" s="562" t="s">
        <v>597</v>
      </c>
      <c r="C463" s="562" t="s">
        <v>654</v>
      </c>
      <c r="D463" s="562">
        <v>2</v>
      </c>
      <c r="E463" s="562">
        <v>3</v>
      </c>
      <c r="F463" s="562" t="s">
        <v>184</v>
      </c>
      <c r="G463" s="562" t="s">
        <v>191</v>
      </c>
      <c r="H463" s="562" t="s">
        <v>191</v>
      </c>
    </row>
    <row r="464" spans="1:8" x14ac:dyDescent="0.2">
      <c r="A464" s="562" t="s">
        <v>211</v>
      </c>
      <c r="B464" s="562" t="s">
        <v>597</v>
      </c>
      <c r="C464" s="562" t="s">
        <v>256</v>
      </c>
      <c r="D464" s="562">
        <v>2</v>
      </c>
      <c r="E464" s="562">
        <v>3</v>
      </c>
      <c r="F464" s="562" t="s">
        <v>184</v>
      </c>
      <c r="G464" s="562" t="s">
        <v>191</v>
      </c>
      <c r="H464" s="562" t="s">
        <v>191</v>
      </c>
    </row>
    <row r="465" spans="1:8" x14ac:dyDescent="0.2">
      <c r="A465" s="562" t="s">
        <v>211</v>
      </c>
      <c r="B465" s="562" t="s">
        <v>597</v>
      </c>
      <c r="C465" s="562" t="s">
        <v>257</v>
      </c>
      <c r="D465" s="562">
        <v>3</v>
      </c>
      <c r="E465" s="562">
        <v>3</v>
      </c>
      <c r="F465" s="562" t="s">
        <v>184</v>
      </c>
      <c r="G465" s="562" t="s">
        <v>190</v>
      </c>
      <c r="H465" s="562" t="s">
        <v>191</v>
      </c>
    </row>
    <row r="466" spans="1:8" x14ac:dyDescent="0.2">
      <c r="A466" s="562" t="s">
        <v>211</v>
      </c>
      <c r="B466" s="562" t="s">
        <v>597</v>
      </c>
      <c r="C466" s="562" t="s">
        <v>655</v>
      </c>
      <c r="D466" s="562">
        <v>3</v>
      </c>
      <c r="E466" s="562">
        <v>3</v>
      </c>
      <c r="F466" s="562" t="s">
        <v>184</v>
      </c>
      <c r="G466" s="562" t="s">
        <v>190</v>
      </c>
      <c r="H466" s="562" t="s">
        <v>191</v>
      </c>
    </row>
    <row r="467" spans="1:8" x14ac:dyDescent="0.2">
      <c r="A467" s="562" t="s">
        <v>211</v>
      </c>
      <c r="B467" s="562" t="s">
        <v>597</v>
      </c>
      <c r="C467" s="562" t="s">
        <v>259</v>
      </c>
      <c r="D467" s="562">
        <v>2</v>
      </c>
      <c r="E467" s="562">
        <v>3</v>
      </c>
      <c r="F467" s="562" t="s">
        <v>184</v>
      </c>
      <c r="G467" s="562" t="s">
        <v>191</v>
      </c>
      <c r="H467" s="562" t="s">
        <v>191</v>
      </c>
    </row>
    <row r="468" spans="1:8" x14ac:dyDescent="0.2">
      <c r="A468" s="562" t="s">
        <v>211</v>
      </c>
      <c r="B468" s="562" t="s">
        <v>597</v>
      </c>
      <c r="C468" s="562" t="s">
        <v>656</v>
      </c>
      <c r="D468" s="562">
        <v>2</v>
      </c>
      <c r="E468" s="562">
        <v>3</v>
      </c>
      <c r="F468" s="562" t="s">
        <v>184</v>
      </c>
      <c r="G468" s="562" t="s">
        <v>191</v>
      </c>
      <c r="H468" s="562" t="s">
        <v>191</v>
      </c>
    </row>
    <row r="469" spans="1:8" x14ac:dyDescent="0.2">
      <c r="A469" s="562" t="s">
        <v>211</v>
      </c>
      <c r="B469" s="562" t="s">
        <v>597</v>
      </c>
      <c r="C469" s="562" t="s">
        <v>657</v>
      </c>
      <c r="D469" s="562">
        <v>3</v>
      </c>
      <c r="E469" s="562">
        <v>2</v>
      </c>
      <c r="F469" s="562" t="s">
        <v>184</v>
      </c>
      <c r="G469" s="562" t="s">
        <v>190</v>
      </c>
      <c r="H469" s="562" t="s">
        <v>191</v>
      </c>
    </row>
    <row r="470" spans="1:8" x14ac:dyDescent="0.2">
      <c r="A470" s="562" t="s">
        <v>211</v>
      </c>
      <c r="B470" s="562" t="s">
        <v>597</v>
      </c>
      <c r="C470" s="562" t="s">
        <v>261</v>
      </c>
      <c r="D470" s="562">
        <v>3</v>
      </c>
      <c r="E470" s="562">
        <v>3</v>
      </c>
      <c r="F470" s="562" t="s">
        <v>184</v>
      </c>
      <c r="G470" s="562" t="s">
        <v>191</v>
      </c>
      <c r="H470" s="562" t="s">
        <v>191</v>
      </c>
    </row>
    <row r="471" spans="1:8" x14ac:dyDescent="0.2">
      <c r="A471" s="562" t="s">
        <v>211</v>
      </c>
      <c r="B471" s="562" t="s">
        <v>597</v>
      </c>
      <c r="C471" s="562" t="s">
        <v>658</v>
      </c>
      <c r="D471" s="562">
        <v>3</v>
      </c>
      <c r="E471" s="562">
        <v>3</v>
      </c>
      <c r="F471" s="562" t="s">
        <v>184</v>
      </c>
      <c r="G471" s="562" t="s">
        <v>190</v>
      </c>
      <c r="H471" s="562" t="s">
        <v>191</v>
      </c>
    </row>
    <row r="472" spans="1:8" x14ac:dyDescent="0.2">
      <c r="A472" s="562" t="s">
        <v>211</v>
      </c>
      <c r="B472" s="562" t="s">
        <v>597</v>
      </c>
      <c r="C472" s="562" t="s">
        <v>388</v>
      </c>
      <c r="D472" s="562">
        <v>3</v>
      </c>
      <c r="E472" s="562">
        <v>3</v>
      </c>
      <c r="F472" s="562" t="s">
        <v>184</v>
      </c>
      <c r="G472" s="562" t="s">
        <v>190</v>
      </c>
      <c r="H472" s="562" t="s">
        <v>191</v>
      </c>
    </row>
    <row r="473" spans="1:8" x14ac:dyDescent="0.2">
      <c r="A473" s="562" t="s">
        <v>211</v>
      </c>
      <c r="B473" s="562" t="s">
        <v>597</v>
      </c>
      <c r="C473" s="562" t="s">
        <v>659</v>
      </c>
      <c r="D473" s="562">
        <v>3</v>
      </c>
      <c r="E473" s="562">
        <v>3</v>
      </c>
      <c r="F473" s="562" t="s">
        <v>184</v>
      </c>
      <c r="G473" s="562" t="s">
        <v>191</v>
      </c>
      <c r="H473" s="562" t="s">
        <v>191</v>
      </c>
    </row>
    <row r="474" spans="1:8" x14ac:dyDescent="0.2">
      <c r="A474" s="562" t="s">
        <v>211</v>
      </c>
      <c r="B474" s="562" t="s">
        <v>597</v>
      </c>
      <c r="C474" s="562" t="s">
        <v>263</v>
      </c>
      <c r="D474" s="562">
        <v>2</v>
      </c>
      <c r="E474" s="562">
        <v>3</v>
      </c>
      <c r="F474" s="562" t="s">
        <v>184</v>
      </c>
      <c r="G474" s="562" t="s">
        <v>191</v>
      </c>
      <c r="H474" s="562" t="s">
        <v>191</v>
      </c>
    </row>
    <row r="475" spans="1:8" x14ac:dyDescent="0.2">
      <c r="A475" s="562" t="s">
        <v>211</v>
      </c>
      <c r="B475" s="562" t="s">
        <v>597</v>
      </c>
      <c r="C475" s="562" t="s">
        <v>660</v>
      </c>
      <c r="D475" s="562">
        <v>3</v>
      </c>
      <c r="E475" s="562">
        <v>2</v>
      </c>
      <c r="F475" s="562" t="s">
        <v>184</v>
      </c>
      <c r="G475" s="562" t="s">
        <v>190</v>
      </c>
      <c r="H475" s="562" t="s">
        <v>191</v>
      </c>
    </row>
    <row r="476" spans="1:8" x14ac:dyDescent="0.2">
      <c r="A476" s="562" t="s">
        <v>211</v>
      </c>
      <c r="B476" s="562" t="s">
        <v>597</v>
      </c>
      <c r="C476" s="562" t="s">
        <v>661</v>
      </c>
      <c r="D476" s="562">
        <v>3</v>
      </c>
      <c r="E476" s="562">
        <v>3</v>
      </c>
      <c r="F476" s="562" t="s">
        <v>184</v>
      </c>
      <c r="G476" s="562" t="s">
        <v>190</v>
      </c>
      <c r="H476" s="562" t="s">
        <v>191</v>
      </c>
    </row>
    <row r="477" spans="1:8" x14ac:dyDescent="0.2">
      <c r="A477" s="562" t="s">
        <v>211</v>
      </c>
      <c r="B477" s="562" t="s">
        <v>597</v>
      </c>
      <c r="C477" s="562" t="s">
        <v>269</v>
      </c>
      <c r="D477" s="562">
        <v>3</v>
      </c>
      <c r="E477" s="562">
        <v>3</v>
      </c>
      <c r="F477" s="562" t="s">
        <v>184</v>
      </c>
      <c r="G477" s="562" t="s">
        <v>190</v>
      </c>
      <c r="H477" s="562" t="s">
        <v>191</v>
      </c>
    </row>
    <row r="478" spans="1:8" x14ac:dyDescent="0.2">
      <c r="A478" s="562" t="s">
        <v>211</v>
      </c>
      <c r="B478" s="562" t="s">
        <v>597</v>
      </c>
      <c r="C478" s="562" t="s">
        <v>575</v>
      </c>
      <c r="D478" s="562">
        <v>3</v>
      </c>
      <c r="E478" s="562">
        <v>2</v>
      </c>
      <c r="F478" s="562" t="s">
        <v>184</v>
      </c>
      <c r="G478" s="562" t="s">
        <v>190</v>
      </c>
      <c r="H478" s="562" t="s">
        <v>191</v>
      </c>
    </row>
    <row r="479" spans="1:8" x14ac:dyDescent="0.2">
      <c r="A479" s="562" t="s">
        <v>211</v>
      </c>
      <c r="B479" s="562" t="s">
        <v>597</v>
      </c>
      <c r="C479" s="562" t="s">
        <v>390</v>
      </c>
      <c r="D479" s="562">
        <v>3</v>
      </c>
      <c r="E479" s="562">
        <v>3</v>
      </c>
      <c r="F479" s="562" t="s">
        <v>184</v>
      </c>
      <c r="G479" s="562" t="s">
        <v>191</v>
      </c>
      <c r="H479" s="562" t="s">
        <v>191</v>
      </c>
    </row>
    <row r="480" spans="1:8" x14ac:dyDescent="0.2">
      <c r="A480" s="562" t="s">
        <v>211</v>
      </c>
      <c r="B480" s="562" t="s">
        <v>597</v>
      </c>
      <c r="C480" s="562" t="s">
        <v>662</v>
      </c>
      <c r="D480" s="562">
        <v>3</v>
      </c>
      <c r="E480" s="562">
        <v>2</v>
      </c>
      <c r="F480" s="562" t="s">
        <v>184</v>
      </c>
      <c r="G480" s="562" t="s">
        <v>190</v>
      </c>
      <c r="H480" s="562" t="s">
        <v>191</v>
      </c>
    </row>
    <row r="481" spans="1:8" x14ac:dyDescent="0.2">
      <c r="A481" s="562" t="s">
        <v>211</v>
      </c>
      <c r="B481" s="562" t="s">
        <v>597</v>
      </c>
      <c r="C481" s="562" t="s">
        <v>273</v>
      </c>
      <c r="D481" s="562">
        <v>3</v>
      </c>
      <c r="E481" s="562">
        <v>2</v>
      </c>
      <c r="F481" s="562" t="s">
        <v>184</v>
      </c>
      <c r="G481" s="562" t="s">
        <v>190</v>
      </c>
      <c r="H481" s="562" t="s">
        <v>191</v>
      </c>
    </row>
    <row r="482" spans="1:8" x14ac:dyDescent="0.2">
      <c r="A482" s="562" t="s">
        <v>211</v>
      </c>
      <c r="B482" s="562" t="s">
        <v>597</v>
      </c>
      <c r="C482" s="562" t="s">
        <v>663</v>
      </c>
      <c r="D482" s="562">
        <v>2</v>
      </c>
      <c r="E482" s="562">
        <v>4</v>
      </c>
      <c r="F482" s="562" t="s">
        <v>184</v>
      </c>
      <c r="G482" s="562" t="s">
        <v>191</v>
      </c>
      <c r="H482" s="562" t="s">
        <v>191</v>
      </c>
    </row>
    <row r="483" spans="1:8" x14ac:dyDescent="0.2">
      <c r="A483" s="562" t="s">
        <v>211</v>
      </c>
      <c r="B483" s="562" t="s">
        <v>597</v>
      </c>
      <c r="C483" s="562" t="s">
        <v>275</v>
      </c>
      <c r="D483" s="562">
        <v>3</v>
      </c>
      <c r="E483" s="562">
        <v>3</v>
      </c>
      <c r="F483" s="562" t="s">
        <v>184</v>
      </c>
      <c r="G483" s="562" t="s">
        <v>190</v>
      </c>
      <c r="H483" s="562" t="s">
        <v>191</v>
      </c>
    </row>
    <row r="484" spans="1:8" x14ac:dyDescent="0.2">
      <c r="A484" s="562" t="s">
        <v>211</v>
      </c>
      <c r="B484" s="562" t="s">
        <v>597</v>
      </c>
      <c r="C484" s="562" t="s">
        <v>277</v>
      </c>
      <c r="D484" s="562">
        <v>2</v>
      </c>
      <c r="E484" s="562">
        <v>3</v>
      </c>
      <c r="F484" s="562" t="s">
        <v>184</v>
      </c>
      <c r="G484" s="562" t="s">
        <v>191</v>
      </c>
      <c r="H484" s="562" t="s">
        <v>191</v>
      </c>
    </row>
    <row r="485" spans="1:8" x14ac:dyDescent="0.2">
      <c r="A485" s="562" t="s">
        <v>211</v>
      </c>
      <c r="B485" s="562" t="s">
        <v>597</v>
      </c>
      <c r="C485" s="562" t="s">
        <v>281</v>
      </c>
      <c r="D485" s="562">
        <v>3</v>
      </c>
      <c r="E485" s="562">
        <v>3</v>
      </c>
      <c r="F485" s="562" t="s">
        <v>184</v>
      </c>
      <c r="G485" s="562" t="s">
        <v>190</v>
      </c>
      <c r="H485" s="562" t="s">
        <v>191</v>
      </c>
    </row>
    <row r="486" spans="1:8" x14ac:dyDescent="0.2">
      <c r="A486" s="562" t="s">
        <v>211</v>
      </c>
      <c r="B486" s="562" t="s">
        <v>597</v>
      </c>
      <c r="C486" s="562" t="s">
        <v>664</v>
      </c>
      <c r="D486" s="562">
        <v>3</v>
      </c>
      <c r="E486" s="562">
        <v>3</v>
      </c>
      <c r="F486" s="562" t="s">
        <v>184</v>
      </c>
      <c r="G486" s="562" t="s">
        <v>191</v>
      </c>
      <c r="H486" s="562" t="s">
        <v>191</v>
      </c>
    </row>
    <row r="487" spans="1:8" x14ac:dyDescent="0.2">
      <c r="A487" s="562" t="s">
        <v>211</v>
      </c>
      <c r="B487" s="562" t="s">
        <v>597</v>
      </c>
      <c r="C487" s="562" t="s">
        <v>665</v>
      </c>
      <c r="D487" s="562">
        <v>3</v>
      </c>
      <c r="E487" s="562">
        <v>2</v>
      </c>
      <c r="F487" s="562" t="s">
        <v>184</v>
      </c>
      <c r="G487" s="562" t="s">
        <v>190</v>
      </c>
      <c r="H487" s="562" t="s">
        <v>191</v>
      </c>
    </row>
    <row r="488" spans="1:8" x14ac:dyDescent="0.2">
      <c r="A488" s="562" t="s">
        <v>211</v>
      </c>
      <c r="B488" s="562" t="s">
        <v>597</v>
      </c>
      <c r="C488" s="562" t="s">
        <v>666</v>
      </c>
      <c r="D488" s="562">
        <v>2</v>
      </c>
      <c r="E488" s="562">
        <v>3</v>
      </c>
      <c r="F488" s="562" t="s">
        <v>184</v>
      </c>
      <c r="G488" s="562" t="s">
        <v>191</v>
      </c>
      <c r="H488" s="562" t="s">
        <v>191</v>
      </c>
    </row>
    <row r="489" spans="1:8" x14ac:dyDescent="0.2">
      <c r="A489" s="562" t="s">
        <v>211</v>
      </c>
      <c r="B489" s="562" t="s">
        <v>597</v>
      </c>
      <c r="C489" s="562" t="s">
        <v>394</v>
      </c>
      <c r="D489" s="562">
        <v>3</v>
      </c>
      <c r="E489" s="562">
        <v>2</v>
      </c>
      <c r="F489" s="562" t="s">
        <v>184</v>
      </c>
      <c r="G489" s="562" t="s">
        <v>190</v>
      </c>
      <c r="H489" s="562" t="s">
        <v>191</v>
      </c>
    </row>
    <row r="490" spans="1:8" x14ac:dyDescent="0.2">
      <c r="A490" s="562" t="s">
        <v>211</v>
      </c>
      <c r="B490" s="562" t="s">
        <v>597</v>
      </c>
      <c r="C490" s="562" t="s">
        <v>667</v>
      </c>
      <c r="D490" s="562">
        <v>3</v>
      </c>
      <c r="E490" s="562">
        <v>2</v>
      </c>
      <c r="F490" s="562" t="s">
        <v>184</v>
      </c>
      <c r="G490" s="562" t="s">
        <v>190</v>
      </c>
      <c r="H490" s="562" t="s">
        <v>191</v>
      </c>
    </row>
    <row r="491" spans="1:8" x14ac:dyDescent="0.2">
      <c r="A491" s="562" t="s">
        <v>211</v>
      </c>
      <c r="B491" s="562" t="s">
        <v>597</v>
      </c>
      <c r="C491" s="562" t="s">
        <v>287</v>
      </c>
      <c r="D491" s="562">
        <v>2</v>
      </c>
      <c r="E491" s="562">
        <v>3</v>
      </c>
      <c r="F491" s="562" t="s">
        <v>184</v>
      </c>
      <c r="G491" s="562" t="s">
        <v>191</v>
      </c>
      <c r="H491" s="562" t="s">
        <v>191</v>
      </c>
    </row>
    <row r="492" spans="1:8" x14ac:dyDescent="0.2">
      <c r="A492" s="562" t="s">
        <v>211</v>
      </c>
      <c r="B492" s="562" t="s">
        <v>597</v>
      </c>
      <c r="C492" s="562" t="s">
        <v>289</v>
      </c>
      <c r="D492" s="562">
        <v>3</v>
      </c>
      <c r="E492" s="562">
        <v>3</v>
      </c>
      <c r="F492" s="562" t="s">
        <v>184</v>
      </c>
      <c r="G492" s="562" t="s">
        <v>190</v>
      </c>
      <c r="H492" s="562" t="s">
        <v>191</v>
      </c>
    </row>
    <row r="493" spans="1:8" x14ac:dyDescent="0.2">
      <c r="A493" s="562" t="s">
        <v>211</v>
      </c>
      <c r="B493" s="562" t="s">
        <v>597</v>
      </c>
      <c r="C493" s="562" t="s">
        <v>291</v>
      </c>
      <c r="D493" s="562">
        <v>2</v>
      </c>
      <c r="E493" s="562">
        <v>3</v>
      </c>
      <c r="F493" s="562" t="s">
        <v>184</v>
      </c>
      <c r="G493" s="562" t="s">
        <v>191</v>
      </c>
      <c r="H493" s="562" t="s">
        <v>191</v>
      </c>
    </row>
    <row r="494" spans="1:8" x14ac:dyDescent="0.2">
      <c r="A494" s="562" t="s">
        <v>211</v>
      </c>
      <c r="B494" s="562" t="s">
        <v>597</v>
      </c>
      <c r="C494" s="562" t="s">
        <v>668</v>
      </c>
      <c r="D494" s="562">
        <v>3</v>
      </c>
      <c r="E494" s="562">
        <v>4</v>
      </c>
      <c r="F494" s="562" t="s">
        <v>184</v>
      </c>
      <c r="G494" s="562" t="s">
        <v>191</v>
      </c>
      <c r="H494" s="562" t="s">
        <v>191</v>
      </c>
    </row>
    <row r="495" spans="1:8" x14ac:dyDescent="0.2">
      <c r="A495" s="562" t="s">
        <v>211</v>
      </c>
      <c r="B495" s="562" t="s">
        <v>597</v>
      </c>
      <c r="C495" s="562" t="s">
        <v>669</v>
      </c>
      <c r="D495" s="562">
        <v>3</v>
      </c>
      <c r="E495" s="562">
        <v>3</v>
      </c>
      <c r="F495" s="562" t="s">
        <v>184</v>
      </c>
      <c r="G495" s="562" t="s">
        <v>191</v>
      </c>
      <c r="H495" s="562" t="s">
        <v>191</v>
      </c>
    </row>
    <row r="496" spans="1:8" x14ac:dyDescent="0.2">
      <c r="A496" s="562" t="s">
        <v>211</v>
      </c>
      <c r="B496" s="562" t="s">
        <v>597</v>
      </c>
      <c r="C496" s="562" t="s">
        <v>397</v>
      </c>
      <c r="D496" s="562">
        <v>2</v>
      </c>
      <c r="E496" s="562">
        <v>3</v>
      </c>
      <c r="F496" s="562" t="s">
        <v>184</v>
      </c>
      <c r="G496" s="562" t="s">
        <v>191</v>
      </c>
      <c r="H496" s="562" t="s">
        <v>191</v>
      </c>
    </row>
    <row r="497" spans="1:8" x14ac:dyDescent="0.2">
      <c r="A497" s="562" t="s">
        <v>211</v>
      </c>
      <c r="B497" s="562" t="s">
        <v>597</v>
      </c>
      <c r="C497" s="562" t="s">
        <v>670</v>
      </c>
      <c r="D497" s="562">
        <v>2</v>
      </c>
      <c r="E497" s="562">
        <v>3</v>
      </c>
      <c r="F497" s="562" t="s">
        <v>184</v>
      </c>
      <c r="G497" s="562" t="s">
        <v>191</v>
      </c>
      <c r="H497" s="562" t="s">
        <v>191</v>
      </c>
    </row>
    <row r="498" spans="1:8" x14ac:dyDescent="0.2">
      <c r="A498" s="562" t="s">
        <v>211</v>
      </c>
      <c r="B498" s="562" t="s">
        <v>597</v>
      </c>
      <c r="C498" s="562" t="s">
        <v>671</v>
      </c>
      <c r="D498" s="562">
        <v>2</v>
      </c>
      <c r="E498" s="562">
        <v>3</v>
      </c>
      <c r="F498" s="562" t="s">
        <v>184</v>
      </c>
      <c r="G498" s="562" t="s">
        <v>191</v>
      </c>
      <c r="H498" s="562" t="s">
        <v>191</v>
      </c>
    </row>
    <row r="499" spans="1:8" x14ac:dyDescent="0.2">
      <c r="A499" s="562" t="s">
        <v>211</v>
      </c>
      <c r="B499" s="562" t="s">
        <v>597</v>
      </c>
      <c r="C499" s="562" t="s">
        <v>672</v>
      </c>
      <c r="D499" s="562">
        <v>2</v>
      </c>
      <c r="E499" s="562">
        <v>3</v>
      </c>
      <c r="F499" s="562" t="s">
        <v>184</v>
      </c>
      <c r="G499" s="562" t="s">
        <v>191</v>
      </c>
      <c r="H499" s="562" t="s">
        <v>191</v>
      </c>
    </row>
    <row r="500" spans="1:8" x14ac:dyDescent="0.2">
      <c r="A500" s="562" t="s">
        <v>211</v>
      </c>
      <c r="B500" s="562" t="s">
        <v>597</v>
      </c>
      <c r="C500" s="562" t="s">
        <v>673</v>
      </c>
      <c r="D500" s="562">
        <v>3</v>
      </c>
      <c r="E500" s="562">
        <v>3</v>
      </c>
      <c r="F500" s="562" t="s">
        <v>184</v>
      </c>
      <c r="G500" s="562" t="s">
        <v>190</v>
      </c>
      <c r="H500" s="562" t="s">
        <v>191</v>
      </c>
    </row>
    <row r="501" spans="1:8" x14ac:dyDescent="0.2">
      <c r="A501" s="562" t="s">
        <v>211</v>
      </c>
      <c r="B501" s="562" t="s">
        <v>597</v>
      </c>
      <c r="C501" s="562" t="s">
        <v>295</v>
      </c>
      <c r="D501" s="562">
        <v>2</v>
      </c>
      <c r="E501" s="562">
        <v>4</v>
      </c>
      <c r="F501" s="562" t="s">
        <v>184</v>
      </c>
      <c r="G501" s="562" t="s">
        <v>191</v>
      </c>
      <c r="H501" s="562" t="s">
        <v>191</v>
      </c>
    </row>
    <row r="502" spans="1:8" x14ac:dyDescent="0.2">
      <c r="A502" s="562" t="s">
        <v>211</v>
      </c>
      <c r="B502" s="562" t="s">
        <v>597</v>
      </c>
      <c r="C502" s="562" t="s">
        <v>674</v>
      </c>
      <c r="D502" s="562">
        <v>3</v>
      </c>
      <c r="E502" s="562">
        <v>2</v>
      </c>
      <c r="F502" s="562" t="s">
        <v>184</v>
      </c>
      <c r="G502" s="562" t="s">
        <v>190</v>
      </c>
      <c r="H502" s="562" t="s">
        <v>191</v>
      </c>
    </row>
    <row r="503" spans="1:8" x14ac:dyDescent="0.2">
      <c r="A503" s="562" t="s">
        <v>211</v>
      </c>
      <c r="B503" s="562" t="s">
        <v>597</v>
      </c>
      <c r="C503" s="562" t="s">
        <v>297</v>
      </c>
      <c r="D503" s="562">
        <v>2</v>
      </c>
      <c r="E503" s="562">
        <v>3</v>
      </c>
      <c r="F503" s="562" t="s">
        <v>184</v>
      </c>
      <c r="G503" s="562" t="s">
        <v>191</v>
      </c>
      <c r="H503" s="562" t="s">
        <v>191</v>
      </c>
    </row>
    <row r="504" spans="1:8" x14ac:dyDescent="0.2">
      <c r="A504" s="562" t="s">
        <v>211</v>
      </c>
      <c r="B504" s="562" t="s">
        <v>597</v>
      </c>
      <c r="C504" s="562" t="s">
        <v>401</v>
      </c>
      <c r="D504" s="562">
        <v>3</v>
      </c>
      <c r="E504" s="562">
        <v>3</v>
      </c>
      <c r="F504" s="562" t="s">
        <v>184</v>
      </c>
      <c r="G504" s="562" t="s">
        <v>191</v>
      </c>
      <c r="H504" s="562" t="s">
        <v>191</v>
      </c>
    </row>
    <row r="505" spans="1:8" x14ac:dyDescent="0.2">
      <c r="A505" s="562" t="s">
        <v>211</v>
      </c>
      <c r="B505" s="562" t="s">
        <v>597</v>
      </c>
      <c r="C505" s="562" t="s">
        <v>404</v>
      </c>
      <c r="D505" s="562">
        <v>3</v>
      </c>
      <c r="E505" s="562">
        <v>3</v>
      </c>
      <c r="F505" s="562" t="s">
        <v>184</v>
      </c>
      <c r="G505" s="562" t="s">
        <v>190</v>
      </c>
      <c r="H505" s="562" t="s">
        <v>191</v>
      </c>
    </row>
    <row r="506" spans="1:8" x14ac:dyDescent="0.2">
      <c r="A506" s="562" t="s">
        <v>211</v>
      </c>
      <c r="B506" s="562" t="s">
        <v>597</v>
      </c>
      <c r="C506" s="562" t="s">
        <v>586</v>
      </c>
      <c r="D506" s="562">
        <v>3</v>
      </c>
      <c r="E506" s="562">
        <v>3</v>
      </c>
      <c r="F506" s="562" t="s">
        <v>184</v>
      </c>
      <c r="G506" s="562" t="s">
        <v>191</v>
      </c>
      <c r="H506" s="562" t="s">
        <v>191</v>
      </c>
    </row>
    <row r="507" spans="1:8" x14ac:dyDescent="0.2">
      <c r="A507" s="562" t="s">
        <v>211</v>
      </c>
      <c r="B507" s="562" t="s">
        <v>597</v>
      </c>
      <c r="C507" s="562" t="s">
        <v>675</v>
      </c>
      <c r="D507" s="562">
        <v>3</v>
      </c>
      <c r="E507" s="562">
        <v>3</v>
      </c>
      <c r="F507" s="562" t="s">
        <v>184</v>
      </c>
      <c r="G507" s="562" t="s">
        <v>190</v>
      </c>
      <c r="H507" s="562" t="s">
        <v>191</v>
      </c>
    </row>
    <row r="508" spans="1:8" x14ac:dyDescent="0.2">
      <c r="A508" s="562" t="s">
        <v>211</v>
      </c>
      <c r="B508" s="562" t="s">
        <v>597</v>
      </c>
      <c r="C508" s="562" t="s">
        <v>676</v>
      </c>
      <c r="D508" s="562">
        <v>2</v>
      </c>
      <c r="E508" s="562">
        <v>4</v>
      </c>
      <c r="F508" s="562" t="s">
        <v>184</v>
      </c>
      <c r="G508" s="562" t="s">
        <v>191</v>
      </c>
      <c r="H508" s="562" t="s">
        <v>191</v>
      </c>
    </row>
    <row r="509" spans="1:8" x14ac:dyDescent="0.2">
      <c r="A509" s="562" t="s">
        <v>211</v>
      </c>
      <c r="B509" s="562" t="s">
        <v>597</v>
      </c>
      <c r="C509" s="562" t="s">
        <v>299</v>
      </c>
      <c r="D509" s="562">
        <v>3</v>
      </c>
      <c r="E509" s="562">
        <v>3</v>
      </c>
      <c r="F509" s="562" t="s">
        <v>184</v>
      </c>
      <c r="G509" s="562" t="s">
        <v>190</v>
      </c>
      <c r="H509" s="562" t="s">
        <v>191</v>
      </c>
    </row>
    <row r="510" spans="1:8" x14ac:dyDescent="0.2">
      <c r="A510" s="562" t="s">
        <v>211</v>
      </c>
      <c r="B510" s="562" t="s">
        <v>597</v>
      </c>
      <c r="C510" s="562" t="s">
        <v>677</v>
      </c>
      <c r="D510" s="562">
        <v>2</v>
      </c>
      <c r="E510" s="562">
        <v>3</v>
      </c>
      <c r="F510" s="562" t="s">
        <v>184</v>
      </c>
      <c r="G510" s="562" t="s">
        <v>191</v>
      </c>
      <c r="H510" s="562" t="s">
        <v>191</v>
      </c>
    </row>
    <row r="511" spans="1:8" x14ac:dyDescent="0.2">
      <c r="A511" s="562" t="s">
        <v>211</v>
      </c>
      <c r="B511" s="562" t="s">
        <v>597</v>
      </c>
      <c r="C511" s="562" t="s">
        <v>678</v>
      </c>
      <c r="D511" s="562">
        <v>2</v>
      </c>
      <c r="E511" s="562">
        <v>3</v>
      </c>
      <c r="F511" s="562" t="s">
        <v>184</v>
      </c>
      <c r="G511" s="562" t="s">
        <v>191</v>
      </c>
      <c r="H511" s="562" t="s">
        <v>191</v>
      </c>
    </row>
    <row r="512" spans="1:8" x14ac:dyDescent="0.2">
      <c r="A512" s="562" t="s">
        <v>211</v>
      </c>
      <c r="B512" s="562" t="s">
        <v>597</v>
      </c>
      <c r="C512" s="562" t="s">
        <v>679</v>
      </c>
      <c r="D512" s="562">
        <v>3</v>
      </c>
      <c r="E512" s="562">
        <v>3</v>
      </c>
      <c r="F512" s="562" t="s">
        <v>184</v>
      </c>
      <c r="G512" s="562" t="s">
        <v>190</v>
      </c>
      <c r="H512" s="562" t="s">
        <v>191</v>
      </c>
    </row>
    <row r="513" spans="1:8" x14ac:dyDescent="0.2">
      <c r="A513" s="562" t="s">
        <v>211</v>
      </c>
      <c r="B513" s="562" t="s">
        <v>597</v>
      </c>
      <c r="C513" s="562" t="s">
        <v>680</v>
      </c>
      <c r="D513" s="562">
        <v>3</v>
      </c>
      <c r="E513" s="562">
        <v>3</v>
      </c>
      <c r="F513" s="562" t="s">
        <v>184</v>
      </c>
      <c r="G513" s="562" t="s">
        <v>190</v>
      </c>
      <c r="H513" s="562" t="s">
        <v>191</v>
      </c>
    </row>
    <row r="514" spans="1:8" x14ac:dyDescent="0.2">
      <c r="A514" s="562" t="s">
        <v>211</v>
      </c>
      <c r="B514" s="562" t="s">
        <v>597</v>
      </c>
      <c r="C514" s="562" t="s">
        <v>591</v>
      </c>
      <c r="D514" s="562">
        <v>3</v>
      </c>
      <c r="E514" s="562">
        <v>2</v>
      </c>
      <c r="F514" s="562" t="s">
        <v>184</v>
      </c>
      <c r="G514" s="562" t="s">
        <v>190</v>
      </c>
      <c r="H514" s="562" t="s">
        <v>191</v>
      </c>
    </row>
    <row r="515" spans="1:8" x14ac:dyDescent="0.2">
      <c r="A515" s="562" t="s">
        <v>211</v>
      </c>
      <c r="B515" s="562" t="s">
        <v>597</v>
      </c>
      <c r="C515" s="562" t="s">
        <v>681</v>
      </c>
      <c r="D515" s="562">
        <v>2</v>
      </c>
      <c r="E515" s="562">
        <v>3</v>
      </c>
      <c r="F515" s="562" t="s">
        <v>184</v>
      </c>
      <c r="G515" s="562" t="s">
        <v>191</v>
      </c>
      <c r="H515" s="562" t="s">
        <v>191</v>
      </c>
    </row>
    <row r="516" spans="1:8" x14ac:dyDescent="0.2">
      <c r="A516" s="562" t="s">
        <v>211</v>
      </c>
      <c r="B516" s="562" t="s">
        <v>597</v>
      </c>
      <c r="C516" s="562" t="s">
        <v>682</v>
      </c>
      <c r="D516" s="562">
        <v>2</v>
      </c>
      <c r="E516" s="562">
        <v>4</v>
      </c>
      <c r="F516" s="562" t="s">
        <v>184</v>
      </c>
      <c r="G516" s="562" t="s">
        <v>191</v>
      </c>
      <c r="H516" s="562" t="s">
        <v>191</v>
      </c>
    </row>
    <row r="517" spans="1:8" x14ac:dyDescent="0.2">
      <c r="A517" s="562" t="s">
        <v>211</v>
      </c>
      <c r="B517" s="562" t="s">
        <v>597</v>
      </c>
      <c r="C517" s="562" t="s">
        <v>683</v>
      </c>
      <c r="D517" s="562">
        <v>3</v>
      </c>
      <c r="E517" s="562">
        <v>3</v>
      </c>
      <c r="F517" s="562" t="s">
        <v>184</v>
      </c>
      <c r="G517" s="562" t="s">
        <v>190</v>
      </c>
      <c r="H517" s="562" t="s">
        <v>191</v>
      </c>
    </row>
    <row r="518" spans="1:8" x14ac:dyDescent="0.2">
      <c r="A518" s="562" t="s">
        <v>211</v>
      </c>
      <c r="B518" s="562" t="s">
        <v>597</v>
      </c>
      <c r="C518" s="562" t="s">
        <v>304</v>
      </c>
      <c r="D518" s="562">
        <v>3</v>
      </c>
      <c r="E518" s="562">
        <v>3</v>
      </c>
      <c r="F518" s="562" t="s">
        <v>184</v>
      </c>
      <c r="G518" s="562" t="s">
        <v>190</v>
      </c>
      <c r="H518" s="562" t="s">
        <v>191</v>
      </c>
    </row>
    <row r="519" spans="1:8" x14ac:dyDescent="0.2">
      <c r="A519" s="562" t="s">
        <v>211</v>
      </c>
      <c r="B519" s="562" t="s">
        <v>597</v>
      </c>
      <c r="C519" s="562" t="s">
        <v>684</v>
      </c>
      <c r="D519" s="562">
        <v>2</v>
      </c>
      <c r="E519" s="562">
        <v>3</v>
      </c>
      <c r="F519" s="562" t="s">
        <v>184</v>
      </c>
      <c r="G519" s="562" t="s">
        <v>191</v>
      </c>
      <c r="H519" s="562" t="s">
        <v>191</v>
      </c>
    </row>
    <row r="520" spans="1:8" x14ac:dyDescent="0.2">
      <c r="A520" s="562" t="s">
        <v>211</v>
      </c>
      <c r="B520" s="562" t="s">
        <v>597</v>
      </c>
      <c r="C520" s="562" t="s">
        <v>685</v>
      </c>
      <c r="D520" s="562">
        <v>3</v>
      </c>
      <c r="E520" s="562">
        <v>3</v>
      </c>
      <c r="F520" s="562" t="s">
        <v>184</v>
      </c>
      <c r="G520" s="562" t="s">
        <v>191</v>
      </c>
      <c r="H520" s="562" t="s">
        <v>191</v>
      </c>
    </row>
    <row r="521" spans="1:8" x14ac:dyDescent="0.2">
      <c r="A521" s="562" t="s">
        <v>211</v>
      </c>
      <c r="B521" s="562" t="s">
        <v>597</v>
      </c>
      <c r="C521" s="562" t="s">
        <v>686</v>
      </c>
      <c r="D521" s="562">
        <v>3</v>
      </c>
      <c r="E521" s="562">
        <v>2</v>
      </c>
      <c r="F521" s="562" t="s">
        <v>184</v>
      </c>
      <c r="G521" s="562" t="s">
        <v>190</v>
      </c>
      <c r="H521" s="562" t="s">
        <v>191</v>
      </c>
    </row>
    <row r="522" spans="1:8" x14ac:dyDescent="0.2">
      <c r="A522" s="562" t="s">
        <v>211</v>
      </c>
      <c r="B522" s="562" t="s">
        <v>597</v>
      </c>
      <c r="C522" s="562" t="s">
        <v>593</v>
      </c>
      <c r="D522" s="562">
        <v>3</v>
      </c>
      <c r="E522" s="562">
        <v>3</v>
      </c>
      <c r="F522" s="562" t="s">
        <v>184</v>
      </c>
      <c r="G522" s="562" t="s">
        <v>190</v>
      </c>
      <c r="H522" s="562" t="s">
        <v>191</v>
      </c>
    </row>
    <row r="523" spans="1:8" x14ac:dyDescent="0.2">
      <c r="A523" s="562" t="s">
        <v>211</v>
      </c>
      <c r="B523" s="562" t="s">
        <v>597</v>
      </c>
      <c r="C523" s="562" t="s">
        <v>687</v>
      </c>
      <c r="D523" s="562">
        <v>3</v>
      </c>
      <c r="E523" s="562">
        <v>3</v>
      </c>
      <c r="F523" s="562" t="s">
        <v>184</v>
      </c>
      <c r="G523" s="562" t="s">
        <v>190</v>
      </c>
      <c r="H523" s="562" t="s">
        <v>191</v>
      </c>
    </row>
    <row r="524" spans="1:8" x14ac:dyDescent="0.2">
      <c r="A524" s="562" t="s">
        <v>211</v>
      </c>
      <c r="B524" s="562" t="s">
        <v>597</v>
      </c>
      <c r="C524" s="562" t="s">
        <v>688</v>
      </c>
      <c r="D524" s="562">
        <v>3</v>
      </c>
      <c r="E524" s="562">
        <v>3</v>
      </c>
      <c r="F524" s="562" t="s">
        <v>184</v>
      </c>
      <c r="G524" s="562" t="s">
        <v>190</v>
      </c>
      <c r="H524" s="562" t="s">
        <v>191</v>
      </c>
    </row>
    <row r="525" spans="1:8" x14ac:dyDescent="0.2">
      <c r="A525" s="562" t="s">
        <v>211</v>
      </c>
      <c r="B525" s="562" t="s">
        <v>597</v>
      </c>
      <c r="C525" s="562" t="s">
        <v>689</v>
      </c>
      <c r="D525" s="562">
        <v>3</v>
      </c>
      <c r="E525" s="562">
        <v>2</v>
      </c>
      <c r="F525" s="562" t="s">
        <v>184</v>
      </c>
      <c r="G525" s="562" t="s">
        <v>190</v>
      </c>
      <c r="H525" s="562" t="s">
        <v>191</v>
      </c>
    </row>
    <row r="526" spans="1:8" x14ac:dyDescent="0.2">
      <c r="A526" s="562" t="s">
        <v>211</v>
      </c>
      <c r="B526" s="562" t="s">
        <v>597</v>
      </c>
      <c r="C526" s="562" t="s">
        <v>690</v>
      </c>
      <c r="D526" s="562">
        <v>3</v>
      </c>
      <c r="E526" s="562">
        <v>3</v>
      </c>
      <c r="F526" s="562" t="s">
        <v>184</v>
      </c>
      <c r="G526" s="562" t="s">
        <v>190</v>
      </c>
      <c r="H526" s="562" t="s">
        <v>191</v>
      </c>
    </row>
    <row r="527" spans="1:8" x14ac:dyDescent="0.2">
      <c r="A527" s="562" t="s">
        <v>211</v>
      </c>
      <c r="B527" s="562" t="s">
        <v>597</v>
      </c>
      <c r="C527" s="562" t="s">
        <v>691</v>
      </c>
      <c r="D527" s="562">
        <v>3</v>
      </c>
      <c r="E527" s="562">
        <v>2</v>
      </c>
      <c r="F527" s="562" t="s">
        <v>184</v>
      </c>
      <c r="G527" s="562" t="s">
        <v>190</v>
      </c>
      <c r="H527" s="562" t="s">
        <v>191</v>
      </c>
    </row>
    <row r="528" spans="1:8" x14ac:dyDescent="0.2">
      <c r="A528" s="562" t="s">
        <v>211</v>
      </c>
      <c r="B528" s="562" t="s">
        <v>597</v>
      </c>
      <c r="C528" s="562" t="s">
        <v>692</v>
      </c>
      <c r="D528" s="562">
        <v>2</v>
      </c>
      <c r="E528" s="562">
        <v>4</v>
      </c>
      <c r="F528" s="562" t="s">
        <v>184</v>
      </c>
      <c r="G528" s="562" t="s">
        <v>191</v>
      </c>
      <c r="H528" s="562" t="s">
        <v>191</v>
      </c>
    </row>
    <row r="529" spans="1:8" x14ac:dyDescent="0.2">
      <c r="A529" s="562" t="s">
        <v>211</v>
      </c>
      <c r="B529" s="562" t="s">
        <v>597</v>
      </c>
      <c r="C529" s="562" t="s">
        <v>693</v>
      </c>
      <c r="D529" s="562">
        <v>3</v>
      </c>
      <c r="E529" s="562">
        <v>3</v>
      </c>
      <c r="F529" s="562" t="s">
        <v>184</v>
      </c>
      <c r="G529" s="562" t="s">
        <v>190</v>
      </c>
      <c r="H529" s="562" t="s">
        <v>191</v>
      </c>
    </row>
    <row r="530" spans="1:8" x14ac:dyDescent="0.2">
      <c r="A530" s="562" t="s">
        <v>211</v>
      </c>
      <c r="B530" s="562" t="s">
        <v>597</v>
      </c>
      <c r="C530" s="562" t="s">
        <v>694</v>
      </c>
      <c r="D530" s="562">
        <v>2</v>
      </c>
      <c r="E530" s="562">
        <v>3</v>
      </c>
      <c r="F530" s="562" t="s">
        <v>184</v>
      </c>
      <c r="G530" s="562" t="s">
        <v>191</v>
      </c>
      <c r="H530" s="562" t="s">
        <v>191</v>
      </c>
    </row>
    <row r="531" spans="1:8" x14ac:dyDescent="0.2">
      <c r="A531" s="562" t="s">
        <v>211</v>
      </c>
      <c r="B531" s="562" t="s">
        <v>597</v>
      </c>
      <c r="C531" s="562" t="s">
        <v>695</v>
      </c>
      <c r="D531" s="562">
        <v>3</v>
      </c>
      <c r="E531" s="562">
        <v>3</v>
      </c>
      <c r="F531" s="562" t="s">
        <v>184</v>
      </c>
      <c r="G531" s="562" t="s">
        <v>190</v>
      </c>
      <c r="H531" s="562" t="s">
        <v>191</v>
      </c>
    </row>
    <row r="532" spans="1:8" x14ac:dyDescent="0.2">
      <c r="A532" s="562" t="s">
        <v>211</v>
      </c>
      <c r="B532" s="562" t="s">
        <v>597</v>
      </c>
      <c r="C532" s="562" t="s">
        <v>696</v>
      </c>
      <c r="D532" s="562">
        <v>3</v>
      </c>
      <c r="E532" s="562">
        <v>3</v>
      </c>
      <c r="F532" s="562" t="s">
        <v>184</v>
      </c>
      <c r="G532" s="562" t="s">
        <v>190</v>
      </c>
      <c r="H532" s="562" t="s">
        <v>191</v>
      </c>
    </row>
    <row r="533" spans="1:8" x14ac:dyDescent="0.2">
      <c r="A533" s="562" t="s">
        <v>211</v>
      </c>
      <c r="B533" s="562" t="s">
        <v>597</v>
      </c>
      <c r="C533" s="562" t="s">
        <v>413</v>
      </c>
      <c r="D533" s="562">
        <v>2</v>
      </c>
      <c r="E533" s="562">
        <v>4</v>
      </c>
      <c r="F533" s="562" t="s">
        <v>184</v>
      </c>
      <c r="G533" s="562" t="s">
        <v>191</v>
      </c>
      <c r="H533" s="562" t="s">
        <v>191</v>
      </c>
    </row>
    <row r="534" spans="1:8" x14ac:dyDescent="0.2">
      <c r="A534" s="562" t="s">
        <v>211</v>
      </c>
      <c r="B534" s="562" t="s">
        <v>597</v>
      </c>
      <c r="C534" s="562" t="s">
        <v>697</v>
      </c>
      <c r="D534" s="562">
        <v>2</v>
      </c>
      <c r="E534" s="562">
        <v>3</v>
      </c>
      <c r="F534" s="562" t="s">
        <v>184</v>
      </c>
      <c r="G534" s="562" t="s">
        <v>191</v>
      </c>
      <c r="H534" s="562" t="s">
        <v>191</v>
      </c>
    </row>
    <row r="535" spans="1:8" x14ac:dyDescent="0.2">
      <c r="A535" s="562" t="s">
        <v>211</v>
      </c>
      <c r="B535" s="562" t="s">
        <v>597</v>
      </c>
      <c r="C535" s="562" t="s">
        <v>308</v>
      </c>
      <c r="D535" s="562">
        <v>2</v>
      </c>
      <c r="E535" s="562">
        <v>4</v>
      </c>
      <c r="F535" s="562" t="s">
        <v>184</v>
      </c>
      <c r="G535" s="562" t="s">
        <v>191</v>
      </c>
      <c r="H535" s="562" t="s">
        <v>191</v>
      </c>
    </row>
    <row r="536" spans="1:8" x14ac:dyDescent="0.2">
      <c r="A536" s="562" t="s">
        <v>211</v>
      </c>
      <c r="B536" s="562" t="s">
        <v>597</v>
      </c>
      <c r="C536" s="562" t="s">
        <v>596</v>
      </c>
      <c r="D536" s="562">
        <v>2</v>
      </c>
      <c r="E536" s="562">
        <v>3</v>
      </c>
      <c r="F536" s="562" t="s">
        <v>184</v>
      </c>
      <c r="G536" s="562" t="s">
        <v>191</v>
      </c>
      <c r="H536" s="562" t="s">
        <v>191</v>
      </c>
    </row>
    <row r="537" spans="1:8" x14ac:dyDescent="0.2">
      <c r="A537" s="562" t="s">
        <v>211</v>
      </c>
      <c r="B537" s="562" t="s">
        <v>597</v>
      </c>
      <c r="C537" s="562" t="s">
        <v>698</v>
      </c>
      <c r="D537" s="562">
        <v>3</v>
      </c>
      <c r="E537" s="562">
        <v>2</v>
      </c>
      <c r="F537" s="562" t="s">
        <v>184</v>
      </c>
      <c r="G537" s="562" t="s">
        <v>190</v>
      </c>
      <c r="H537" s="562" t="s">
        <v>191</v>
      </c>
    </row>
    <row r="538" spans="1:8" x14ac:dyDescent="0.2">
      <c r="A538" s="562" t="s">
        <v>211</v>
      </c>
      <c r="B538" s="562" t="s">
        <v>597</v>
      </c>
      <c r="C538" s="562" t="s">
        <v>699</v>
      </c>
      <c r="D538" s="562">
        <v>3</v>
      </c>
      <c r="E538" s="562">
        <v>3</v>
      </c>
      <c r="F538" s="562" t="s">
        <v>184</v>
      </c>
      <c r="G538" s="562" t="s">
        <v>191</v>
      </c>
      <c r="H538" s="562" t="s">
        <v>191</v>
      </c>
    </row>
    <row r="539" spans="1:8" x14ac:dyDescent="0.2">
      <c r="A539" s="562" t="s">
        <v>211</v>
      </c>
      <c r="B539" s="562" t="s">
        <v>597</v>
      </c>
      <c r="C539" s="562" t="s">
        <v>309</v>
      </c>
      <c r="D539" s="562">
        <v>3</v>
      </c>
      <c r="E539" s="562">
        <v>3</v>
      </c>
      <c r="F539" s="562" t="s">
        <v>184</v>
      </c>
      <c r="G539" s="562" t="s">
        <v>191</v>
      </c>
      <c r="H539" s="562" t="s">
        <v>191</v>
      </c>
    </row>
    <row r="540" spans="1:8" x14ac:dyDescent="0.2">
      <c r="A540" s="562" t="s">
        <v>211</v>
      </c>
      <c r="B540" s="562" t="s">
        <v>597</v>
      </c>
      <c r="C540" s="562" t="s">
        <v>700</v>
      </c>
      <c r="D540" s="562">
        <v>3</v>
      </c>
      <c r="E540" s="562">
        <v>2</v>
      </c>
      <c r="F540" s="562" t="s">
        <v>184</v>
      </c>
      <c r="G540" s="562" t="s">
        <v>190</v>
      </c>
      <c r="H540" s="562" t="s">
        <v>191</v>
      </c>
    </row>
    <row r="541" spans="1:8" x14ac:dyDescent="0.2">
      <c r="A541" s="562" t="s">
        <v>211</v>
      </c>
      <c r="B541" s="562" t="s">
        <v>597</v>
      </c>
      <c r="C541" s="562" t="s">
        <v>701</v>
      </c>
      <c r="D541" s="562">
        <v>3</v>
      </c>
      <c r="E541" s="562">
        <v>3</v>
      </c>
      <c r="F541" s="562" t="s">
        <v>184</v>
      </c>
      <c r="G541" s="562" t="s">
        <v>190</v>
      </c>
      <c r="H541" s="562" t="s">
        <v>191</v>
      </c>
    </row>
    <row r="542" spans="1:8" x14ac:dyDescent="0.2">
      <c r="A542" s="562" t="s">
        <v>211</v>
      </c>
      <c r="B542" s="562" t="s">
        <v>597</v>
      </c>
      <c r="C542" s="562" t="s">
        <v>702</v>
      </c>
      <c r="D542" s="562">
        <v>3</v>
      </c>
      <c r="E542" s="562">
        <v>3</v>
      </c>
      <c r="F542" s="562" t="s">
        <v>184</v>
      </c>
      <c r="G542" s="562" t="s">
        <v>190</v>
      </c>
      <c r="H542" s="562" t="s">
        <v>191</v>
      </c>
    </row>
    <row r="543" spans="1:8" x14ac:dyDescent="0.2">
      <c r="A543" s="562" t="s">
        <v>211</v>
      </c>
      <c r="B543" s="562" t="s">
        <v>597</v>
      </c>
      <c r="C543" s="562" t="s">
        <v>415</v>
      </c>
      <c r="D543" s="562">
        <v>2</v>
      </c>
      <c r="E543" s="562">
        <v>4</v>
      </c>
      <c r="F543" s="562" t="s">
        <v>184</v>
      </c>
      <c r="G543" s="562" t="s">
        <v>191</v>
      </c>
      <c r="H543" s="562" t="s">
        <v>191</v>
      </c>
    </row>
    <row r="544" spans="1:8" x14ac:dyDescent="0.2">
      <c r="A544" s="562" t="s">
        <v>211</v>
      </c>
      <c r="B544" s="562" t="s">
        <v>597</v>
      </c>
      <c r="C544" s="562" t="s">
        <v>703</v>
      </c>
      <c r="D544" s="562">
        <v>2</v>
      </c>
      <c r="E544" s="562">
        <v>4</v>
      </c>
      <c r="F544" s="562" t="s">
        <v>184</v>
      </c>
      <c r="G544" s="562" t="s">
        <v>191</v>
      </c>
      <c r="H544" s="562" t="s">
        <v>191</v>
      </c>
    </row>
    <row r="545" spans="1:8" x14ac:dyDescent="0.2">
      <c r="A545" s="562" t="s">
        <v>211</v>
      </c>
      <c r="B545" s="562" t="s">
        <v>597</v>
      </c>
      <c r="C545" s="562" t="s">
        <v>310</v>
      </c>
      <c r="D545" s="562">
        <v>3</v>
      </c>
      <c r="E545" s="562">
        <v>3</v>
      </c>
      <c r="F545" s="562" t="s">
        <v>184</v>
      </c>
      <c r="G545" s="562" t="s">
        <v>190</v>
      </c>
      <c r="H545" s="562" t="s">
        <v>191</v>
      </c>
    </row>
    <row r="546" spans="1:8" x14ac:dyDescent="0.2">
      <c r="A546" s="562" t="s">
        <v>211</v>
      </c>
      <c r="B546" s="562" t="s">
        <v>597</v>
      </c>
      <c r="C546" s="562" t="s">
        <v>704</v>
      </c>
      <c r="D546" s="562">
        <v>3</v>
      </c>
      <c r="E546" s="562">
        <v>3</v>
      </c>
      <c r="F546" s="562" t="s">
        <v>184</v>
      </c>
      <c r="G546" s="562" t="s">
        <v>191</v>
      </c>
      <c r="H546" s="562" t="s">
        <v>191</v>
      </c>
    </row>
    <row r="547" spans="1:8" x14ac:dyDescent="0.2">
      <c r="A547" s="562" t="s">
        <v>211</v>
      </c>
      <c r="B547" s="562" t="s">
        <v>597</v>
      </c>
      <c r="C547" s="562" t="s">
        <v>705</v>
      </c>
      <c r="D547" s="562">
        <v>3</v>
      </c>
      <c r="E547" s="562">
        <v>3</v>
      </c>
      <c r="F547" s="562" t="s">
        <v>184</v>
      </c>
      <c r="G547" s="562" t="s">
        <v>191</v>
      </c>
      <c r="H547" s="562" t="s">
        <v>191</v>
      </c>
    </row>
    <row r="548" spans="1:8" x14ac:dyDescent="0.2">
      <c r="A548" s="562" t="s">
        <v>211</v>
      </c>
      <c r="B548" s="562" t="s">
        <v>597</v>
      </c>
      <c r="C548" s="562" t="s">
        <v>706</v>
      </c>
      <c r="D548" s="562">
        <v>3</v>
      </c>
      <c r="E548" s="562">
        <v>3</v>
      </c>
      <c r="F548" s="562" t="s">
        <v>184</v>
      </c>
      <c r="G548" s="562" t="s">
        <v>190</v>
      </c>
      <c r="H548" s="562" t="s">
        <v>191</v>
      </c>
    </row>
    <row r="549" spans="1:8" x14ac:dyDescent="0.2">
      <c r="A549" s="562" t="s">
        <v>294</v>
      </c>
      <c r="B549" s="562"/>
      <c r="C549" s="562" t="s">
        <v>707</v>
      </c>
      <c r="D549" s="562" t="s">
        <v>191</v>
      </c>
      <c r="E549" s="562">
        <v>1</v>
      </c>
      <c r="F549" s="562" t="s">
        <v>184</v>
      </c>
      <c r="G549" s="562" t="s">
        <v>190</v>
      </c>
      <c r="H549" s="562" t="s">
        <v>186</v>
      </c>
    </row>
    <row r="550" spans="1:8" x14ac:dyDescent="0.2">
      <c r="A550" s="562" t="s">
        <v>213</v>
      </c>
      <c r="B550" s="562" t="s">
        <v>708</v>
      </c>
      <c r="C550" s="562" t="s">
        <v>709</v>
      </c>
      <c r="D550" s="562">
        <v>3</v>
      </c>
      <c r="E550" s="562">
        <v>1</v>
      </c>
      <c r="F550" s="562" t="s">
        <v>184</v>
      </c>
      <c r="G550" s="562" t="s">
        <v>190</v>
      </c>
      <c r="H550" s="562" t="s">
        <v>186</v>
      </c>
    </row>
    <row r="551" spans="1:8" x14ac:dyDescent="0.2">
      <c r="A551" s="562" t="s">
        <v>213</v>
      </c>
      <c r="B551" s="562" t="s">
        <v>708</v>
      </c>
      <c r="C551" s="562" t="s">
        <v>710</v>
      </c>
      <c r="D551" s="562">
        <v>3</v>
      </c>
      <c r="E551" s="562">
        <v>1</v>
      </c>
      <c r="F551" s="562" t="s">
        <v>184</v>
      </c>
      <c r="G551" s="562" t="s">
        <v>190</v>
      </c>
      <c r="H551" s="562" t="s">
        <v>186</v>
      </c>
    </row>
    <row r="552" spans="1:8" x14ac:dyDescent="0.2">
      <c r="A552" s="562" t="s">
        <v>213</v>
      </c>
      <c r="B552" s="562" t="s">
        <v>708</v>
      </c>
      <c r="C552" s="562" t="s">
        <v>711</v>
      </c>
      <c r="D552" s="562">
        <v>3</v>
      </c>
      <c r="E552" s="562">
        <v>1</v>
      </c>
      <c r="F552" s="562" t="s">
        <v>184</v>
      </c>
      <c r="G552" s="562" t="s">
        <v>190</v>
      </c>
      <c r="H552" s="562" t="s">
        <v>186</v>
      </c>
    </row>
    <row r="553" spans="1:8" x14ac:dyDescent="0.2">
      <c r="A553" s="562" t="s">
        <v>213</v>
      </c>
      <c r="B553" s="562" t="s">
        <v>708</v>
      </c>
      <c r="C553" s="562" t="s">
        <v>712</v>
      </c>
      <c r="D553" s="562">
        <v>3</v>
      </c>
      <c r="E553" s="562">
        <v>1</v>
      </c>
      <c r="F553" s="562" t="s">
        <v>184</v>
      </c>
      <c r="G553" s="562" t="s">
        <v>190</v>
      </c>
      <c r="H553" s="562" t="s">
        <v>186</v>
      </c>
    </row>
    <row r="554" spans="1:8" x14ac:dyDescent="0.2">
      <c r="A554" s="562" t="s">
        <v>215</v>
      </c>
      <c r="B554" s="562" t="s">
        <v>713</v>
      </c>
      <c r="C554" s="562" t="s">
        <v>714</v>
      </c>
      <c r="D554" s="562">
        <v>2</v>
      </c>
      <c r="E554" s="562">
        <v>5</v>
      </c>
      <c r="F554" s="562" t="s">
        <v>345</v>
      </c>
      <c r="G554" s="562" t="s">
        <v>191</v>
      </c>
      <c r="H554" s="562" t="s">
        <v>191</v>
      </c>
    </row>
    <row r="555" spans="1:8" x14ac:dyDescent="0.2">
      <c r="A555" s="562" t="s">
        <v>215</v>
      </c>
      <c r="B555" s="562" t="s">
        <v>713</v>
      </c>
      <c r="C555" s="562" t="s">
        <v>477</v>
      </c>
      <c r="D555" s="562">
        <v>3</v>
      </c>
      <c r="E555" s="562">
        <v>6</v>
      </c>
      <c r="F555" s="562" t="s">
        <v>345</v>
      </c>
      <c r="G555" s="562" t="s">
        <v>191</v>
      </c>
      <c r="H555" s="562" t="s">
        <v>191</v>
      </c>
    </row>
    <row r="556" spans="1:8" x14ac:dyDescent="0.2">
      <c r="A556" s="562" t="s">
        <v>215</v>
      </c>
      <c r="B556" s="562" t="s">
        <v>713</v>
      </c>
      <c r="C556" s="562" t="s">
        <v>715</v>
      </c>
      <c r="D556" s="562">
        <v>2</v>
      </c>
      <c r="E556" s="562">
        <v>6</v>
      </c>
      <c r="F556" s="562" t="s">
        <v>345</v>
      </c>
      <c r="G556" s="562" t="s">
        <v>191</v>
      </c>
      <c r="H556" s="562" t="s">
        <v>191</v>
      </c>
    </row>
    <row r="557" spans="1:8" x14ac:dyDescent="0.2">
      <c r="A557" s="562" t="s">
        <v>215</v>
      </c>
      <c r="B557" s="562" t="s">
        <v>713</v>
      </c>
      <c r="C557" s="562" t="s">
        <v>716</v>
      </c>
      <c r="D557" s="562">
        <v>2</v>
      </c>
      <c r="E557" s="562">
        <v>6</v>
      </c>
      <c r="F557" s="562" t="s">
        <v>345</v>
      </c>
      <c r="G557" s="562" t="s">
        <v>191</v>
      </c>
      <c r="H557" s="562" t="s">
        <v>191</v>
      </c>
    </row>
    <row r="558" spans="1:8" x14ac:dyDescent="0.2">
      <c r="A558" s="562" t="s">
        <v>215</v>
      </c>
      <c r="B558" s="562" t="s">
        <v>713</v>
      </c>
      <c r="C558" s="562" t="s">
        <v>717</v>
      </c>
      <c r="D558" s="562">
        <v>1</v>
      </c>
      <c r="E558" s="562">
        <v>5</v>
      </c>
      <c r="F558" s="562" t="s">
        <v>345</v>
      </c>
      <c r="G558" s="562" t="s">
        <v>191</v>
      </c>
      <c r="H558" s="562" t="s">
        <v>191</v>
      </c>
    </row>
    <row r="559" spans="1:8" x14ac:dyDescent="0.2">
      <c r="A559" s="562" t="s">
        <v>215</v>
      </c>
      <c r="B559" s="562" t="s">
        <v>713</v>
      </c>
      <c r="C559" s="562" t="s">
        <v>718</v>
      </c>
      <c r="D559" s="562">
        <v>2</v>
      </c>
      <c r="E559" s="562">
        <v>6</v>
      </c>
      <c r="F559" s="562" t="s">
        <v>345</v>
      </c>
      <c r="G559" s="562" t="s">
        <v>191</v>
      </c>
      <c r="H559" s="562" t="s">
        <v>191</v>
      </c>
    </row>
    <row r="560" spans="1:8" x14ac:dyDescent="0.2">
      <c r="A560" s="562" t="s">
        <v>215</v>
      </c>
      <c r="B560" s="562" t="s">
        <v>713</v>
      </c>
      <c r="C560" s="562" t="s">
        <v>719</v>
      </c>
      <c r="D560" s="562">
        <v>1</v>
      </c>
      <c r="E560" s="562">
        <v>6</v>
      </c>
      <c r="F560" s="562" t="s">
        <v>345</v>
      </c>
      <c r="G560" s="562" t="s">
        <v>191</v>
      </c>
      <c r="H560" s="562" t="s">
        <v>191</v>
      </c>
    </row>
    <row r="561" spans="1:8" x14ac:dyDescent="0.2">
      <c r="A561" s="562" t="s">
        <v>215</v>
      </c>
      <c r="B561" s="562" t="s">
        <v>713</v>
      </c>
      <c r="C561" s="562" t="s">
        <v>720</v>
      </c>
      <c r="D561" s="562">
        <v>1</v>
      </c>
      <c r="E561" s="562">
        <v>6</v>
      </c>
      <c r="F561" s="562" t="s">
        <v>345</v>
      </c>
      <c r="G561" s="562" t="s">
        <v>191</v>
      </c>
      <c r="H561" s="562" t="s">
        <v>191</v>
      </c>
    </row>
    <row r="562" spans="1:8" x14ac:dyDescent="0.2">
      <c r="A562" s="562" t="s">
        <v>215</v>
      </c>
      <c r="B562" s="562" t="s">
        <v>713</v>
      </c>
      <c r="C562" s="562" t="s">
        <v>721</v>
      </c>
      <c r="D562" s="562">
        <v>1</v>
      </c>
      <c r="E562" s="562">
        <v>6</v>
      </c>
      <c r="F562" s="562" t="s">
        <v>345</v>
      </c>
      <c r="G562" s="562" t="s">
        <v>191</v>
      </c>
      <c r="H562" s="562" t="s">
        <v>191</v>
      </c>
    </row>
    <row r="563" spans="1:8" x14ac:dyDescent="0.2">
      <c r="A563" s="562" t="s">
        <v>215</v>
      </c>
      <c r="B563" s="562" t="s">
        <v>713</v>
      </c>
      <c r="C563" s="562" t="s">
        <v>722</v>
      </c>
      <c r="D563" s="562">
        <v>2</v>
      </c>
      <c r="E563" s="562">
        <v>6</v>
      </c>
      <c r="F563" s="562" t="s">
        <v>345</v>
      </c>
      <c r="G563" s="562" t="s">
        <v>191</v>
      </c>
      <c r="H563" s="562" t="s">
        <v>191</v>
      </c>
    </row>
    <row r="564" spans="1:8" x14ac:dyDescent="0.2">
      <c r="A564" s="562" t="s">
        <v>215</v>
      </c>
      <c r="B564" s="562" t="s">
        <v>713</v>
      </c>
      <c r="C564" s="562" t="s">
        <v>723</v>
      </c>
      <c r="D564" s="562">
        <v>1</v>
      </c>
      <c r="E564" s="562">
        <v>6</v>
      </c>
      <c r="F564" s="562" t="s">
        <v>345</v>
      </c>
      <c r="G564" s="562" t="s">
        <v>191</v>
      </c>
      <c r="H564" s="562" t="s">
        <v>191</v>
      </c>
    </row>
    <row r="565" spans="1:8" x14ac:dyDescent="0.2">
      <c r="A565" s="562" t="s">
        <v>215</v>
      </c>
      <c r="B565" s="562" t="s">
        <v>713</v>
      </c>
      <c r="C565" s="562" t="s">
        <v>423</v>
      </c>
      <c r="D565" s="562">
        <v>1</v>
      </c>
      <c r="E565" s="562">
        <v>6</v>
      </c>
      <c r="F565" s="562" t="s">
        <v>345</v>
      </c>
      <c r="G565" s="562" t="s">
        <v>191</v>
      </c>
      <c r="H565" s="562" t="s">
        <v>191</v>
      </c>
    </row>
    <row r="566" spans="1:8" x14ac:dyDescent="0.2">
      <c r="A566" s="562" t="s">
        <v>215</v>
      </c>
      <c r="B566" s="562" t="s">
        <v>713</v>
      </c>
      <c r="C566" s="562" t="s">
        <v>724</v>
      </c>
      <c r="D566" s="562">
        <v>1</v>
      </c>
      <c r="E566" s="562">
        <v>6</v>
      </c>
      <c r="F566" s="562" t="s">
        <v>345</v>
      </c>
      <c r="G566" s="562" t="s">
        <v>191</v>
      </c>
      <c r="H566" s="562" t="s">
        <v>191</v>
      </c>
    </row>
    <row r="567" spans="1:8" x14ac:dyDescent="0.2">
      <c r="A567" s="562" t="s">
        <v>215</v>
      </c>
      <c r="B567" s="562" t="s">
        <v>713</v>
      </c>
      <c r="C567" s="562" t="s">
        <v>725</v>
      </c>
      <c r="D567" s="562">
        <v>2</v>
      </c>
      <c r="E567" s="562">
        <v>5</v>
      </c>
      <c r="F567" s="562" t="s">
        <v>345</v>
      </c>
      <c r="G567" s="562" t="s">
        <v>191</v>
      </c>
      <c r="H567" s="562" t="s">
        <v>191</v>
      </c>
    </row>
    <row r="568" spans="1:8" x14ac:dyDescent="0.2">
      <c r="A568" s="562" t="s">
        <v>215</v>
      </c>
      <c r="B568" s="562" t="s">
        <v>713</v>
      </c>
      <c r="C568" s="562" t="s">
        <v>726</v>
      </c>
      <c r="D568" s="562">
        <v>2</v>
      </c>
      <c r="E568" s="562">
        <v>6</v>
      </c>
      <c r="F568" s="562" t="s">
        <v>345</v>
      </c>
      <c r="G568" s="562" t="s">
        <v>191</v>
      </c>
      <c r="H568" s="562" t="s">
        <v>191</v>
      </c>
    </row>
    <row r="569" spans="1:8" x14ac:dyDescent="0.2">
      <c r="A569" s="562" t="s">
        <v>215</v>
      </c>
      <c r="B569" s="562" t="s">
        <v>713</v>
      </c>
      <c r="C569" s="562" t="s">
        <v>727</v>
      </c>
      <c r="D569" s="562">
        <v>2</v>
      </c>
      <c r="E569" s="562">
        <v>5</v>
      </c>
      <c r="F569" s="562" t="s">
        <v>345</v>
      </c>
      <c r="G569" s="562" t="s">
        <v>191</v>
      </c>
      <c r="H569" s="562" t="s">
        <v>191</v>
      </c>
    </row>
    <row r="570" spans="1:8" x14ac:dyDescent="0.2">
      <c r="A570" s="562" t="s">
        <v>215</v>
      </c>
      <c r="B570" s="562" t="s">
        <v>713</v>
      </c>
      <c r="C570" s="562" t="s">
        <v>369</v>
      </c>
      <c r="D570" s="562">
        <v>1</v>
      </c>
      <c r="E570" s="562">
        <v>6</v>
      </c>
      <c r="F570" s="562" t="s">
        <v>345</v>
      </c>
      <c r="G570" s="562" t="s">
        <v>191</v>
      </c>
      <c r="H570" s="562" t="s">
        <v>191</v>
      </c>
    </row>
    <row r="571" spans="1:8" x14ac:dyDescent="0.2">
      <c r="A571" s="562" t="s">
        <v>215</v>
      </c>
      <c r="B571" s="562" t="s">
        <v>713</v>
      </c>
      <c r="C571" s="562" t="s">
        <v>728</v>
      </c>
      <c r="D571" s="562">
        <v>1</v>
      </c>
      <c r="E571" s="562">
        <v>5</v>
      </c>
      <c r="F571" s="562" t="s">
        <v>345</v>
      </c>
      <c r="G571" s="562" t="s">
        <v>191</v>
      </c>
      <c r="H571" s="562" t="s">
        <v>191</v>
      </c>
    </row>
    <row r="572" spans="1:8" x14ac:dyDescent="0.2">
      <c r="A572" s="562" t="s">
        <v>215</v>
      </c>
      <c r="B572" s="562" t="s">
        <v>713</v>
      </c>
      <c r="C572" s="562" t="s">
        <v>491</v>
      </c>
      <c r="D572" s="562">
        <v>1</v>
      </c>
      <c r="E572" s="562">
        <v>6</v>
      </c>
      <c r="F572" s="562" t="s">
        <v>345</v>
      </c>
      <c r="G572" s="562" t="s">
        <v>191</v>
      </c>
      <c r="H572" s="562" t="s">
        <v>191</v>
      </c>
    </row>
    <row r="573" spans="1:8" x14ac:dyDescent="0.2">
      <c r="A573" s="562" t="s">
        <v>215</v>
      </c>
      <c r="B573" s="562" t="s">
        <v>713</v>
      </c>
      <c r="C573" s="562" t="s">
        <v>240</v>
      </c>
      <c r="D573" s="562">
        <v>1</v>
      </c>
      <c r="E573" s="562">
        <v>5</v>
      </c>
      <c r="F573" s="562" t="s">
        <v>345</v>
      </c>
      <c r="G573" s="562" t="s">
        <v>191</v>
      </c>
      <c r="H573" s="562" t="s">
        <v>191</v>
      </c>
    </row>
    <row r="574" spans="1:8" x14ac:dyDescent="0.2">
      <c r="A574" s="562" t="s">
        <v>215</v>
      </c>
      <c r="B574" s="562" t="s">
        <v>713</v>
      </c>
      <c r="C574" s="562" t="s">
        <v>248</v>
      </c>
      <c r="D574" s="562">
        <v>2</v>
      </c>
      <c r="E574" s="562">
        <v>6</v>
      </c>
      <c r="F574" s="562" t="s">
        <v>345</v>
      </c>
      <c r="G574" s="562" t="s">
        <v>191</v>
      </c>
      <c r="H574" s="562" t="s">
        <v>191</v>
      </c>
    </row>
    <row r="575" spans="1:8" x14ac:dyDescent="0.2">
      <c r="A575" s="562" t="s">
        <v>215</v>
      </c>
      <c r="B575" s="562" t="s">
        <v>713</v>
      </c>
      <c r="C575" s="562" t="s">
        <v>499</v>
      </c>
      <c r="D575" s="562">
        <v>1</v>
      </c>
      <c r="E575" s="562">
        <v>6</v>
      </c>
      <c r="F575" s="562" t="s">
        <v>345</v>
      </c>
      <c r="G575" s="562" t="s">
        <v>191</v>
      </c>
      <c r="H575" s="562" t="s">
        <v>191</v>
      </c>
    </row>
    <row r="576" spans="1:8" x14ac:dyDescent="0.2">
      <c r="A576" s="562" t="s">
        <v>215</v>
      </c>
      <c r="B576" s="562" t="s">
        <v>713</v>
      </c>
      <c r="C576" s="562" t="s">
        <v>729</v>
      </c>
      <c r="D576" s="562">
        <v>3</v>
      </c>
      <c r="E576" s="562">
        <v>5</v>
      </c>
      <c r="F576" s="562" t="s">
        <v>345</v>
      </c>
      <c r="G576" s="562" t="s">
        <v>191</v>
      </c>
      <c r="H576" s="562" t="s">
        <v>191</v>
      </c>
    </row>
    <row r="577" spans="1:8" x14ac:dyDescent="0.2">
      <c r="A577" s="562" t="s">
        <v>215</v>
      </c>
      <c r="B577" s="562" t="s">
        <v>713</v>
      </c>
      <c r="C577" s="562" t="s">
        <v>730</v>
      </c>
      <c r="D577" s="562">
        <v>1</v>
      </c>
      <c r="E577" s="562">
        <v>5</v>
      </c>
      <c r="F577" s="562" t="s">
        <v>345</v>
      </c>
      <c r="G577" s="562" t="s">
        <v>191</v>
      </c>
      <c r="H577" s="562" t="s">
        <v>191</v>
      </c>
    </row>
    <row r="578" spans="1:8" x14ac:dyDescent="0.2">
      <c r="A578" s="562" t="s">
        <v>215</v>
      </c>
      <c r="B578" s="562" t="s">
        <v>713</v>
      </c>
      <c r="C578" s="562" t="s">
        <v>731</v>
      </c>
      <c r="D578" s="562">
        <v>1</v>
      </c>
      <c r="E578" s="562">
        <v>5</v>
      </c>
      <c r="F578" s="562" t="s">
        <v>345</v>
      </c>
      <c r="G578" s="562" t="s">
        <v>191</v>
      </c>
      <c r="H578" s="562" t="s">
        <v>191</v>
      </c>
    </row>
    <row r="579" spans="1:8" x14ac:dyDescent="0.2">
      <c r="A579" s="562" t="s">
        <v>215</v>
      </c>
      <c r="B579" s="562" t="s">
        <v>713</v>
      </c>
      <c r="C579" s="562" t="s">
        <v>261</v>
      </c>
      <c r="D579" s="562">
        <v>2</v>
      </c>
      <c r="E579" s="562">
        <v>6</v>
      </c>
      <c r="F579" s="562" t="s">
        <v>345</v>
      </c>
      <c r="G579" s="562" t="s">
        <v>191</v>
      </c>
      <c r="H579" s="562" t="s">
        <v>191</v>
      </c>
    </row>
    <row r="580" spans="1:8" x14ac:dyDescent="0.2">
      <c r="A580" s="562" t="s">
        <v>215</v>
      </c>
      <c r="B580" s="562" t="s">
        <v>713</v>
      </c>
      <c r="C580" s="562" t="s">
        <v>732</v>
      </c>
      <c r="D580" s="562">
        <v>2</v>
      </c>
      <c r="E580" s="562">
        <v>5</v>
      </c>
      <c r="F580" s="562" t="s">
        <v>345</v>
      </c>
      <c r="G580" s="562" t="s">
        <v>191</v>
      </c>
      <c r="H580" s="562" t="s">
        <v>191</v>
      </c>
    </row>
    <row r="581" spans="1:8" x14ac:dyDescent="0.2">
      <c r="A581" s="562" t="s">
        <v>215</v>
      </c>
      <c r="B581" s="562" t="s">
        <v>713</v>
      </c>
      <c r="C581" s="562" t="s">
        <v>733</v>
      </c>
      <c r="D581" s="562">
        <v>1</v>
      </c>
      <c r="E581" s="562">
        <v>5</v>
      </c>
      <c r="F581" s="562" t="s">
        <v>345</v>
      </c>
      <c r="G581" s="562" t="s">
        <v>191</v>
      </c>
      <c r="H581" s="562" t="s">
        <v>191</v>
      </c>
    </row>
    <row r="582" spans="1:8" x14ac:dyDescent="0.2">
      <c r="A582" s="562" t="s">
        <v>215</v>
      </c>
      <c r="B582" s="562" t="s">
        <v>713</v>
      </c>
      <c r="C582" s="562" t="s">
        <v>734</v>
      </c>
      <c r="D582" s="562">
        <v>1</v>
      </c>
      <c r="E582" s="562">
        <v>5</v>
      </c>
      <c r="F582" s="562" t="s">
        <v>345</v>
      </c>
      <c r="G582" s="562" t="s">
        <v>191</v>
      </c>
      <c r="H582" s="562" t="s">
        <v>191</v>
      </c>
    </row>
    <row r="583" spans="1:8" x14ac:dyDescent="0.2">
      <c r="A583" s="562" t="s">
        <v>215</v>
      </c>
      <c r="B583" s="562" t="s">
        <v>713</v>
      </c>
      <c r="C583" s="562" t="s">
        <v>735</v>
      </c>
      <c r="D583" s="562">
        <v>1</v>
      </c>
      <c r="E583" s="562">
        <v>6</v>
      </c>
      <c r="F583" s="562" t="s">
        <v>345</v>
      </c>
      <c r="G583" s="562" t="s">
        <v>191</v>
      </c>
      <c r="H583" s="562" t="s">
        <v>191</v>
      </c>
    </row>
    <row r="584" spans="1:8" x14ac:dyDescent="0.2">
      <c r="A584" s="562" t="s">
        <v>215</v>
      </c>
      <c r="B584" s="562" t="s">
        <v>713</v>
      </c>
      <c r="C584" s="562" t="s">
        <v>736</v>
      </c>
      <c r="D584" s="562">
        <v>3</v>
      </c>
      <c r="E584" s="562">
        <v>5</v>
      </c>
      <c r="F584" s="562" t="s">
        <v>345</v>
      </c>
      <c r="G584" s="562" t="s">
        <v>191</v>
      </c>
      <c r="H584" s="562" t="s">
        <v>191</v>
      </c>
    </row>
    <row r="585" spans="1:8" x14ac:dyDescent="0.2">
      <c r="A585" s="562" t="s">
        <v>215</v>
      </c>
      <c r="B585" s="562" t="s">
        <v>713</v>
      </c>
      <c r="C585" s="562" t="s">
        <v>390</v>
      </c>
      <c r="D585" s="562">
        <v>2</v>
      </c>
      <c r="E585" s="562">
        <v>5</v>
      </c>
      <c r="F585" s="562" t="s">
        <v>345</v>
      </c>
      <c r="G585" s="562" t="s">
        <v>191</v>
      </c>
      <c r="H585" s="562" t="s">
        <v>191</v>
      </c>
    </row>
    <row r="586" spans="1:8" x14ac:dyDescent="0.2">
      <c r="A586" s="562" t="s">
        <v>215</v>
      </c>
      <c r="B586" s="562" t="s">
        <v>713</v>
      </c>
      <c r="C586" s="562" t="s">
        <v>277</v>
      </c>
      <c r="D586" s="562">
        <v>2</v>
      </c>
      <c r="E586" s="562">
        <v>6</v>
      </c>
      <c r="F586" s="562" t="s">
        <v>345</v>
      </c>
      <c r="G586" s="562" t="s">
        <v>191</v>
      </c>
      <c r="H586" s="562" t="s">
        <v>191</v>
      </c>
    </row>
    <row r="587" spans="1:8" x14ac:dyDescent="0.2">
      <c r="A587" s="562" t="s">
        <v>215</v>
      </c>
      <c r="B587" s="562" t="s">
        <v>713</v>
      </c>
      <c r="C587" s="562" t="s">
        <v>737</v>
      </c>
      <c r="D587" s="562">
        <v>2</v>
      </c>
      <c r="E587" s="562">
        <v>5</v>
      </c>
      <c r="F587" s="562" t="s">
        <v>345</v>
      </c>
      <c r="G587" s="562" t="s">
        <v>191</v>
      </c>
      <c r="H587" s="562" t="s">
        <v>191</v>
      </c>
    </row>
    <row r="588" spans="1:8" x14ac:dyDescent="0.2">
      <c r="A588" s="562" t="s">
        <v>215</v>
      </c>
      <c r="B588" s="562" t="s">
        <v>713</v>
      </c>
      <c r="C588" s="562" t="s">
        <v>738</v>
      </c>
      <c r="D588" s="562">
        <v>3</v>
      </c>
      <c r="E588" s="562">
        <v>5</v>
      </c>
      <c r="F588" s="562" t="s">
        <v>345</v>
      </c>
      <c r="G588" s="562" t="s">
        <v>191</v>
      </c>
      <c r="H588" s="562" t="s">
        <v>191</v>
      </c>
    </row>
    <row r="589" spans="1:8" x14ac:dyDescent="0.2">
      <c r="A589" s="562" t="s">
        <v>215</v>
      </c>
      <c r="B589" s="562" t="s">
        <v>713</v>
      </c>
      <c r="C589" s="562" t="s">
        <v>739</v>
      </c>
      <c r="D589" s="562">
        <v>2</v>
      </c>
      <c r="E589" s="562">
        <v>6</v>
      </c>
      <c r="F589" s="562" t="s">
        <v>345</v>
      </c>
      <c r="G589" s="562" t="s">
        <v>191</v>
      </c>
      <c r="H589" s="562" t="s">
        <v>191</v>
      </c>
    </row>
    <row r="590" spans="1:8" x14ac:dyDescent="0.2">
      <c r="A590" s="562" t="s">
        <v>215</v>
      </c>
      <c r="B590" s="562" t="s">
        <v>713</v>
      </c>
      <c r="C590" s="562" t="s">
        <v>740</v>
      </c>
      <c r="D590" s="562">
        <v>2</v>
      </c>
      <c r="E590" s="562">
        <v>5</v>
      </c>
      <c r="F590" s="562" t="s">
        <v>345</v>
      </c>
      <c r="G590" s="562" t="s">
        <v>191</v>
      </c>
      <c r="H590" s="562" t="s">
        <v>191</v>
      </c>
    </row>
    <row r="591" spans="1:8" x14ac:dyDescent="0.2">
      <c r="A591" s="562" t="s">
        <v>215</v>
      </c>
      <c r="B591" s="562" t="s">
        <v>713</v>
      </c>
      <c r="C591" s="562" t="s">
        <v>741</v>
      </c>
      <c r="D591" s="562">
        <v>2</v>
      </c>
      <c r="E591" s="562">
        <v>5</v>
      </c>
      <c r="F591" s="562" t="s">
        <v>345</v>
      </c>
      <c r="G591" s="562" t="s">
        <v>191</v>
      </c>
      <c r="H591" s="562" t="s">
        <v>191</v>
      </c>
    </row>
    <row r="592" spans="1:8" x14ac:dyDescent="0.2">
      <c r="A592" s="562" t="s">
        <v>215</v>
      </c>
      <c r="B592" s="562" t="s">
        <v>713</v>
      </c>
      <c r="C592" s="562" t="s">
        <v>742</v>
      </c>
      <c r="D592" s="562">
        <v>2</v>
      </c>
      <c r="E592" s="562">
        <v>5</v>
      </c>
      <c r="F592" s="562" t="s">
        <v>345</v>
      </c>
      <c r="G592" s="562" t="s">
        <v>191</v>
      </c>
      <c r="H592" s="562" t="s">
        <v>191</v>
      </c>
    </row>
    <row r="593" spans="1:8" x14ac:dyDescent="0.2">
      <c r="A593" s="562" t="s">
        <v>215</v>
      </c>
      <c r="B593" s="562" t="s">
        <v>713</v>
      </c>
      <c r="C593" s="562" t="s">
        <v>743</v>
      </c>
      <c r="D593" s="562">
        <v>1</v>
      </c>
      <c r="E593" s="562">
        <v>5</v>
      </c>
      <c r="F593" s="562" t="s">
        <v>345</v>
      </c>
      <c r="G593" s="562" t="s">
        <v>191</v>
      </c>
      <c r="H593" s="562" t="s">
        <v>191</v>
      </c>
    </row>
    <row r="594" spans="1:8" x14ac:dyDescent="0.2">
      <c r="A594" s="562" t="s">
        <v>215</v>
      </c>
      <c r="B594" s="562" t="s">
        <v>713</v>
      </c>
      <c r="C594" s="562" t="s">
        <v>744</v>
      </c>
      <c r="D594" s="562">
        <v>2</v>
      </c>
      <c r="E594" s="562">
        <v>6</v>
      </c>
      <c r="F594" s="562" t="s">
        <v>345</v>
      </c>
      <c r="G594" s="562" t="s">
        <v>191</v>
      </c>
      <c r="H594" s="562" t="s">
        <v>191</v>
      </c>
    </row>
    <row r="595" spans="1:8" x14ac:dyDescent="0.2">
      <c r="A595" s="562" t="s">
        <v>215</v>
      </c>
      <c r="B595" s="562" t="s">
        <v>713</v>
      </c>
      <c r="C595" s="562" t="s">
        <v>745</v>
      </c>
      <c r="D595" s="562">
        <v>2</v>
      </c>
      <c r="E595" s="562">
        <v>5</v>
      </c>
      <c r="F595" s="562" t="s">
        <v>345</v>
      </c>
      <c r="G595" s="562" t="s">
        <v>191</v>
      </c>
      <c r="H595" s="562" t="s">
        <v>191</v>
      </c>
    </row>
    <row r="596" spans="1:8" x14ac:dyDescent="0.2">
      <c r="A596" s="562" t="s">
        <v>215</v>
      </c>
      <c r="B596" s="562" t="s">
        <v>713</v>
      </c>
      <c r="C596" s="562" t="s">
        <v>746</v>
      </c>
      <c r="D596" s="562">
        <v>1</v>
      </c>
      <c r="E596" s="562">
        <v>6</v>
      </c>
      <c r="F596" s="562" t="s">
        <v>345</v>
      </c>
      <c r="G596" s="562" t="s">
        <v>191</v>
      </c>
      <c r="H596" s="562" t="s">
        <v>191</v>
      </c>
    </row>
    <row r="597" spans="1:8" x14ac:dyDescent="0.2">
      <c r="A597" s="562" t="s">
        <v>215</v>
      </c>
      <c r="B597" s="562" t="s">
        <v>713</v>
      </c>
      <c r="C597" s="562" t="s">
        <v>309</v>
      </c>
      <c r="D597" s="562">
        <v>3</v>
      </c>
      <c r="E597" s="562">
        <v>5</v>
      </c>
      <c r="F597" s="562" t="s">
        <v>345</v>
      </c>
      <c r="G597" s="562" t="s">
        <v>191</v>
      </c>
      <c r="H597" s="562" t="s">
        <v>191</v>
      </c>
    </row>
    <row r="598" spans="1:8" x14ac:dyDescent="0.2">
      <c r="A598" s="562" t="s">
        <v>217</v>
      </c>
      <c r="B598" s="562" t="s">
        <v>747</v>
      </c>
      <c r="C598" s="562" t="s">
        <v>477</v>
      </c>
      <c r="D598" s="562">
        <v>1</v>
      </c>
      <c r="E598" s="562">
        <v>5</v>
      </c>
      <c r="F598" s="562" t="s">
        <v>184</v>
      </c>
      <c r="G598" s="562" t="s">
        <v>191</v>
      </c>
      <c r="H598" s="562" t="s">
        <v>191</v>
      </c>
    </row>
    <row r="599" spans="1:8" x14ac:dyDescent="0.2">
      <c r="A599" s="562" t="s">
        <v>217</v>
      </c>
      <c r="B599" s="562" t="s">
        <v>747</v>
      </c>
      <c r="C599" s="562" t="s">
        <v>748</v>
      </c>
      <c r="D599" s="562">
        <v>3</v>
      </c>
      <c r="E599" s="562">
        <v>4</v>
      </c>
      <c r="F599" s="562" t="s">
        <v>184</v>
      </c>
      <c r="G599" s="562" t="s">
        <v>191</v>
      </c>
      <c r="H599" s="562" t="s">
        <v>191</v>
      </c>
    </row>
    <row r="600" spans="1:8" x14ac:dyDescent="0.2">
      <c r="A600" s="562" t="s">
        <v>217</v>
      </c>
      <c r="B600" s="562" t="s">
        <v>747</v>
      </c>
      <c r="C600" s="562" t="s">
        <v>749</v>
      </c>
      <c r="D600" s="562">
        <v>2</v>
      </c>
      <c r="E600" s="562">
        <v>4</v>
      </c>
      <c r="F600" s="562" t="s">
        <v>184</v>
      </c>
      <c r="G600" s="562" t="s">
        <v>191</v>
      </c>
      <c r="H600" s="562" t="s">
        <v>191</v>
      </c>
    </row>
    <row r="601" spans="1:8" x14ac:dyDescent="0.2">
      <c r="A601" s="562" t="s">
        <v>217</v>
      </c>
      <c r="B601" s="562" t="s">
        <v>747</v>
      </c>
      <c r="C601" s="562" t="s">
        <v>365</v>
      </c>
      <c r="D601" s="562">
        <v>1</v>
      </c>
      <c r="E601" s="562">
        <v>5</v>
      </c>
      <c r="F601" s="562" t="s">
        <v>184</v>
      </c>
      <c r="G601" s="562" t="s">
        <v>191</v>
      </c>
      <c r="H601" s="562" t="s">
        <v>191</v>
      </c>
    </row>
    <row r="602" spans="1:8" x14ac:dyDescent="0.2">
      <c r="A602" s="562" t="s">
        <v>217</v>
      </c>
      <c r="B602" s="562" t="s">
        <v>747</v>
      </c>
      <c r="C602" s="562" t="s">
        <v>750</v>
      </c>
      <c r="D602" s="562">
        <v>1</v>
      </c>
      <c r="E602" s="562">
        <v>5</v>
      </c>
      <c r="F602" s="562" t="s">
        <v>184</v>
      </c>
      <c r="G602" s="562" t="s">
        <v>191</v>
      </c>
      <c r="H602" s="562" t="s">
        <v>191</v>
      </c>
    </row>
    <row r="603" spans="1:8" x14ac:dyDescent="0.2">
      <c r="A603" s="562" t="s">
        <v>217</v>
      </c>
      <c r="B603" s="562" t="s">
        <v>747</v>
      </c>
      <c r="C603" s="562" t="s">
        <v>751</v>
      </c>
      <c r="D603" s="562">
        <v>1</v>
      </c>
      <c r="E603" s="562">
        <v>5</v>
      </c>
      <c r="F603" s="562" t="s">
        <v>184</v>
      </c>
      <c r="G603" s="562" t="s">
        <v>191</v>
      </c>
      <c r="H603" s="562" t="s">
        <v>191</v>
      </c>
    </row>
    <row r="604" spans="1:8" x14ac:dyDescent="0.2">
      <c r="A604" s="562" t="s">
        <v>217</v>
      </c>
      <c r="B604" s="562" t="s">
        <v>747</v>
      </c>
      <c r="C604" s="562" t="s">
        <v>204</v>
      </c>
      <c r="D604" s="562">
        <v>1</v>
      </c>
      <c r="E604" s="562">
        <v>5</v>
      </c>
      <c r="F604" s="562" t="s">
        <v>184</v>
      </c>
      <c r="G604" s="562" t="s">
        <v>191</v>
      </c>
      <c r="H604" s="562" t="s">
        <v>191</v>
      </c>
    </row>
    <row r="605" spans="1:8" x14ac:dyDescent="0.2">
      <c r="A605" s="562" t="s">
        <v>217</v>
      </c>
      <c r="B605" s="562" t="s">
        <v>747</v>
      </c>
      <c r="C605" s="562" t="s">
        <v>367</v>
      </c>
      <c r="D605" s="562">
        <v>1</v>
      </c>
      <c r="E605" s="562">
        <v>5</v>
      </c>
      <c r="F605" s="562" t="s">
        <v>184</v>
      </c>
      <c r="G605" s="562" t="s">
        <v>191</v>
      </c>
      <c r="H605" s="562" t="s">
        <v>191</v>
      </c>
    </row>
    <row r="606" spans="1:8" x14ac:dyDescent="0.2">
      <c r="A606" s="562" t="s">
        <v>217</v>
      </c>
      <c r="B606" s="562" t="s">
        <v>747</v>
      </c>
      <c r="C606" s="562" t="s">
        <v>752</v>
      </c>
      <c r="D606" s="562">
        <v>1</v>
      </c>
      <c r="E606" s="562">
        <v>5</v>
      </c>
      <c r="F606" s="562" t="s">
        <v>184</v>
      </c>
      <c r="G606" s="562" t="s">
        <v>191</v>
      </c>
      <c r="H606" s="562" t="s">
        <v>191</v>
      </c>
    </row>
    <row r="607" spans="1:8" x14ac:dyDescent="0.2">
      <c r="A607" s="562" t="s">
        <v>217</v>
      </c>
      <c r="B607" s="562" t="s">
        <v>747</v>
      </c>
      <c r="C607" s="562" t="s">
        <v>753</v>
      </c>
      <c r="D607" s="562">
        <v>1</v>
      </c>
      <c r="E607" s="562">
        <v>5</v>
      </c>
      <c r="F607" s="562" t="s">
        <v>184</v>
      </c>
      <c r="G607" s="562" t="s">
        <v>191</v>
      </c>
      <c r="H607" s="562" t="s">
        <v>191</v>
      </c>
    </row>
    <row r="608" spans="1:8" x14ac:dyDescent="0.2">
      <c r="A608" s="562" t="s">
        <v>217</v>
      </c>
      <c r="B608" s="562" t="s">
        <v>747</v>
      </c>
      <c r="C608" s="562" t="s">
        <v>754</v>
      </c>
      <c r="D608" s="562">
        <v>2</v>
      </c>
      <c r="E608" s="562">
        <v>4</v>
      </c>
      <c r="F608" s="562" t="s">
        <v>184</v>
      </c>
      <c r="G608" s="562" t="s">
        <v>191</v>
      </c>
      <c r="H608" s="562" t="s">
        <v>191</v>
      </c>
    </row>
    <row r="609" spans="1:8" x14ac:dyDescent="0.2">
      <c r="A609" s="562" t="s">
        <v>217</v>
      </c>
      <c r="B609" s="562" t="s">
        <v>747</v>
      </c>
      <c r="C609" s="562" t="s">
        <v>369</v>
      </c>
      <c r="D609" s="562">
        <v>2</v>
      </c>
      <c r="E609" s="562">
        <v>5</v>
      </c>
      <c r="F609" s="562" t="s">
        <v>184</v>
      </c>
      <c r="G609" s="562" t="s">
        <v>191</v>
      </c>
      <c r="H609" s="562" t="s">
        <v>191</v>
      </c>
    </row>
    <row r="610" spans="1:8" x14ac:dyDescent="0.2">
      <c r="A610" s="562" t="s">
        <v>217</v>
      </c>
      <c r="B610" s="562" t="s">
        <v>747</v>
      </c>
      <c r="C610" s="562" t="s">
        <v>216</v>
      </c>
      <c r="D610" s="562">
        <v>2</v>
      </c>
      <c r="E610" s="562">
        <v>4</v>
      </c>
      <c r="F610" s="562" t="s">
        <v>184</v>
      </c>
      <c r="G610" s="562" t="s">
        <v>191</v>
      </c>
      <c r="H610" s="562" t="s">
        <v>191</v>
      </c>
    </row>
    <row r="611" spans="1:8" x14ac:dyDescent="0.2">
      <c r="A611" s="562" t="s">
        <v>217</v>
      </c>
      <c r="B611" s="562" t="s">
        <v>747</v>
      </c>
      <c r="C611" s="562" t="s">
        <v>755</v>
      </c>
      <c r="D611" s="562">
        <v>2</v>
      </c>
      <c r="E611" s="562">
        <v>4</v>
      </c>
      <c r="F611" s="562" t="s">
        <v>184</v>
      </c>
      <c r="G611" s="562" t="s">
        <v>191</v>
      </c>
      <c r="H611" s="562" t="s">
        <v>191</v>
      </c>
    </row>
    <row r="612" spans="1:8" x14ac:dyDescent="0.2">
      <c r="A612" s="562" t="s">
        <v>217</v>
      </c>
      <c r="B612" s="562" t="s">
        <v>747</v>
      </c>
      <c r="C612" s="562" t="s">
        <v>756</v>
      </c>
      <c r="D612" s="562">
        <v>1</v>
      </c>
      <c r="E612" s="562">
        <v>5</v>
      </c>
      <c r="F612" s="562" t="s">
        <v>184</v>
      </c>
      <c r="G612" s="562" t="s">
        <v>191</v>
      </c>
      <c r="H612" s="562" t="s">
        <v>191</v>
      </c>
    </row>
    <row r="613" spans="1:8" x14ac:dyDescent="0.2">
      <c r="A613" s="562" t="s">
        <v>217</v>
      </c>
      <c r="B613" s="562" t="s">
        <v>747</v>
      </c>
      <c r="C613" s="562" t="s">
        <v>624</v>
      </c>
      <c r="D613" s="562">
        <v>2</v>
      </c>
      <c r="E613" s="562">
        <v>5</v>
      </c>
      <c r="F613" s="562" t="s">
        <v>184</v>
      </c>
      <c r="G613" s="562" t="s">
        <v>191</v>
      </c>
      <c r="H613" s="562" t="s">
        <v>191</v>
      </c>
    </row>
    <row r="614" spans="1:8" x14ac:dyDescent="0.2">
      <c r="A614" s="562" t="s">
        <v>217</v>
      </c>
      <c r="B614" s="562" t="s">
        <v>747</v>
      </c>
      <c r="C614" s="562" t="s">
        <v>374</v>
      </c>
      <c r="D614" s="562">
        <v>2</v>
      </c>
      <c r="E614" s="562">
        <v>4</v>
      </c>
      <c r="F614" s="562" t="s">
        <v>184</v>
      </c>
      <c r="G614" s="562" t="s">
        <v>191</v>
      </c>
      <c r="H614" s="562" t="s">
        <v>191</v>
      </c>
    </row>
    <row r="615" spans="1:8" x14ac:dyDescent="0.2">
      <c r="A615" s="562" t="s">
        <v>217</v>
      </c>
      <c r="B615" s="562" t="s">
        <v>747</v>
      </c>
      <c r="C615" s="562" t="s">
        <v>757</v>
      </c>
      <c r="D615" s="562">
        <v>2</v>
      </c>
      <c r="E615" s="562">
        <v>5</v>
      </c>
      <c r="F615" s="562" t="s">
        <v>184</v>
      </c>
      <c r="G615" s="562" t="s">
        <v>191</v>
      </c>
      <c r="H615" s="562" t="s">
        <v>191</v>
      </c>
    </row>
    <row r="616" spans="1:8" x14ac:dyDescent="0.2">
      <c r="A616" s="562" t="s">
        <v>217</v>
      </c>
      <c r="B616" s="562" t="s">
        <v>747</v>
      </c>
      <c r="C616" s="562" t="s">
        <v>630</v>
      </c>
      <c r="D616" s="562">
        <v>1</v>
      </c>
      <c r="E616" s="562">
        <v>5</v>
      </c>
      <c r="F616" s="562" t="s">
        <v>184</v>
      </c>
      <c r="G616" s="562" t="s">
        <v>191</v>
      </c>
      <c r="H616" s="562" t="s">
        <v>191</v>
      </c>
    </row>
    <row r="617" spans="1:8" x14ac:dyDescent="0.2">
      <c r="A617" s="562" t="s">
        <v>217</v>
      </c>
      <c r="B617" s="562" t="s">
        <v>747</v>
      </c>
      <c r="C617" s="562" t="s">
        <v>758</v>
      </c>
      <c r="D617" s="562">
        <v>1</v>
      </c>
      <c r="E617" s="562">
        <v>5</v>
      </c>
      <c r="F617" s="562" t="s">
        <v>184</v>
      </c>
      <c r="G617" s="562" t="s">
        <v>191</v>
      </c>
      <c r="H617" s="562" t="s">
        <v>191</v>
      </c>
    </row>
    <row r="618" spans="1:8" x14ac:dyDescent="0.2">
      <c r="A618" s="562" t="s">
        <v>217</v>
      </c>
      <c r="B618" s="562" t="s">
        <v>747</v>
      </c>
      <c r="C618" s="562" t="s">
        <v>495</v>
      </c>
      <c r="D618" s="562">
        <v>1</v>
      </c>
      <c r="E618" s="562">
        <v>5</v>
      </c>
      <c r="F618" s="562" t="s">
        <v>184</v>
      </c>
      <c r="G618" s="562" t="s">
        <v>191</v>
      </c>
      <c r="H618" s="562" t="s">
        <v>191</v>
      </c>
    </row>
    <row r="619" spans="1:8" x14ac:dyDescent="0.2">
      <c r="A619" s="562" t="s">
        <v>217</v>
      </c>
      <c r="B619" s="562" t="s">
        <v>747</v>
      </c>
      <c r="C619" s="562" t="s">
        <v>759</v>
      </c>
      <c r="D619" s="562">
        <v>2</v>
      </c>
      <c r="E619" s="562">
        <v>5</v>
      </c>
      <c r="F619" s="562" t="s">
        <v>184</v>
      </c>
      <c r="G619" s="562" t="s">
        <v>191</v>
      </c>
      <c r="H619" s="562" t="s">
        <v>191</v>
      </c>
    </row>
    <row r="620" spans="1:8" x14ac:dyDescent="0.2">
      <c r="A620" s="562" t="s">
        <v>217</v>
      </c>
      <c r="B620" s="562" t="s">
        <v>747</v>
      </c>
      <c r="C620" s="562" t="s">
        <v>760</v>
      </c>
      <c r="D620" s="562">
        <v>1</v>
      </c>
      <c r="E620" s="562">
        <v>5</v>
      </c>
      <c r="F620" s="562" t="s">
        <v>184</v>
      </c>
      <c r="G620" s="562" t="s">
        <v>191</v>
      </c>
      <c r="H620" s="562" t="s">
        <v>191</v>
      </c>
    </row>
    <row r="621" spans="1:8" x14ac:dyDescent="0.2">
      <c r="A621" s="562" t="s">
        <v>217</v>
      </c>
      <c r="B621" s="562" t="s">
        <v>747</v>
      </c>
      <c r="C621" s="562" t="s">
        <v>761</v>
      </c>
      <c r="D621" s="562">
        <v>2</v>
      </c>
      <c r="E621" s="562">
        <v>4</v>
      </c>
      <c r="F621" s="562" t="s">
        <v>184</v>
      </c>
      <c r="G621" s="562" t="s">
        <v>191</v>
      </c>
      <c r="H621" s="562" t="s">
        <v>191</v>
      </c>
    </row>
    <row r="622" spans="1:8" x14ac:dyDescent="0.2">
      <c r="A622" s="562" t="s">
        <v>217</v>
      </c>
      <c r="B622" s="562" t="s">
        <v>747</v>
      </c>
      <c r="C622" s="562" t="s">
        <v>636</v>
      </c>
      <c r="D622" s="562">
        <v>2</v>
      </c>
      <c r="E622" s="562">
        <v>4</v>
      </c>
      <c r="F622" s="562" t="s">
        <v>184</v>
      </c>
      <c r="G622" s="562" t="s">
        <v>191</v>
      </c>
      <c r="H622" s="562" t="s">
        <v>191</v>
      </c>
    </row>
    <row r="623" spans="1:8" x14ac:dyDescent="0.2">
      <c r="A623" s="562" t="s">
        <v>217</v>
      </c>
      <c r="B623" s="562" t="s">
        <v>747</v>
      </c>
      <c r="C623" s="562" t="s">
        <v>246</v>
      </c>
      <c r="D623" s="562">
        <v>2</v>
      </c>
      <c r="E623" s="562">
        <v>4</v>
      </c>
      <c r="F623" s="562" t="s">
        <v>184</v>
      </c>
      <c r="G623" s="562" t="s">
        <v>191</v>
      </c>
      <c r="H623" s="562" t="s">
        <v>191</v>
      </c>
    </row>
    <row r="624" spans="1:8" x14ac:dyDescent="0.2">
      <c r="A624" s="562" t="s">
        <v>217</v>
      </c>
      <c r="B624" s="562" t="s">
        <v>747</v>
      </c>
      <c r="C624" s="562" t="s">
        <v>762</v>
      </c>
      <c r="D624" s="562">
        <v>1</v>
      </c>
      <c r="E624" s="562">
        <v>5</v>
      </c>
      <c r="F624" s="562" t="s">
        <v>184</v>
      </c>
      <c r="G624" s="562" t="s">
        <v>191</v>
      </c>
      <c r="H624" s="562" t="s">
        <v>191</v>
      </c>
    </row>
    <row r="625" spans="1:8" x14ac:dyDescent="0.2">
      <c r="A625" s="562" t="s">
        <v>217</v>
      </c>
      <c r="B625" s="562" t="s">
        <v>747</v>
      </c>
      <c r="C625" s="562" t="s">
        <v>248</v>
      </c>
      <c r="D625" s="562">
        <v>2</v>
      </c>
      <c r="E625" s="562">
        <v>4</v>
      </c>
      <c r="F625" s="562" t="s">
        <v>184</v>
      </c>
      <c r="G625" s="562" t="s">
        <v>191</v>
      </c>
      <c r="H625" s="562" t="s">
        <v>191</v>
      </c>
    </row>
    <row r="626" spans="1:8" x14ac:dyDescent="0.2">
      <c r="A626" s="562" t="s">
        <v>217</v>
      </c>
      <c r="B626" s="562" t="s">
        <v>747</v>
      </c>
      <c r="C626" s="562" t="s">
        <v>380</v>
      </c>
      <c r="D626" s="562">
        <v>1</v>
      </c>
      <c r="E626" s="562">
        <v>5</v>
      </c>
      <c r="F626" s="562" t="s">
        <v>184</v>
      </c>
      <c r="G626" s="562" t="s">
        <v>191</v>
      </c>
      <c r="H626" s="562" t="s">
        <v>191</v>
      </c>
    </row>
    <row r="627" spans="1:8" x14ac:dyDescent="0.2">
      <c r="A627" s="562" t="s">
        <v>217</v>
      </c>
      <c r="B627" s="562" t="s">
        <v>747</v>
      </c>
      <c r="C627" s="562" t="s">
        <v>763</v>
      </c>
      <c r="D627" s="562">
        <v>2</v>
      </c>
      <c r="E627" s="562">
        <v>4</v>
      </c>
      <c r="F627" s="562" t="s">
        <v>184</v>
      </c>
      <c r="G627" s="562" t="s">
        <v>191</v>
      </c>
      <c r="H627" s="562" t="s">
        <v>191</v>
      </c>
    </row>
    <row r="628" spans="1:8" x14ac:dyDescent="0.2">
      <c r="A628" s="562" t="s">
        <v>217</v>
      </c>
      <c r="B628" s="562" t="s">
        <v>747</v>
      </c>
      <c r="C628" s="562" t="s">
        <v>252</v>
      </c>
      <c r="D628" s="562">
        <v>1</v>
      </c>
      <c r="E628" s="562">
        <v>5</v>
      </c>
      <c r="F628" s="562" t="s">
        <v>184</v>
      </c>
      <c r="G628" s="562" t="s">
        <v>191</v>
      </c>
      <c r="H628" s="562" t="s">
        <v>191</v>
      </c>
    </row>
    <row r="629" spans="1:8" x14ac:dyDescent="0.2">
      <c r="A629" s="562" t="s">
        <v>217</v>
      </c>
      <c r="B629" s="562" t="s">
        <v>747</v>
      </c>
      <c r="C629" s="562" t="s">
        <v>764</v>
      </c>
      <c r="D629" s="562">
        <v>1</v>
      </c>
      <c r="E629" s="562">
        <v>5</v>
      </c>
      <c r="F629" s="562" t="s">
        <v>184</v>
      </c>
      <c r="G629" s="562" t="s">
        <v>191</v>
      </c>
      <c r="H629" s="562" t="s">
        <v>191</v>
      </c>
    </row>
    <row r="630" spans="1:8" x14ac:dyDescent="0.2">
      <c r="A630" s="562" t="s">
        <v>217</v>
      </c>
      <c r="B630" s="562" t="s">
        <v>747</v>
      </c>
      <c r="C630" s="562" t="s">
        <v>565</v>
      </c>
      <c r="D630" s="562">
        <v>2</v>
      </c>
      <c r="E630" s="562">
        <v>4</v>
      </c>
      <c r="F630" s="562" t="s">
        <v>184</v>
      </c>
      <c r="G630" s="562" t="s">
        <v>191</v>
      </c>
      <c r="H630" s="562" t="s">
        <v>191</v>
      </c>
    </row>
    <row r="631" spans="1:8" x14ac:dyDescent="0.2">
      <c r="A631" s="562" t="s">
        <v>217</v>
      </c>
      <c r="B631" s="562" t="s">
        <v>747</v>
      </c>
      <c r="C631" s="562" t="s">
        <v>650</v>
      </c>
      <c r="D631" s="562">
        <v>1</v>
      </c>
      <c r="E631" s="562">
        <v>5</v>
      </c>
      <c r="F631" s="562" t="s">
        <v>184</v>
      </c>
      <c r="G631" s="562" t="s">
        <v>191</v>
      </c>
      <c r="H631" s="562" t="s">
        <v>191</v>
      </c>
    </row>
    <row r="632" spans="1:8" x14ac:dyDescent="0.2">
      <c r="A632" s="562" t="s">
        <v>217</v>
      </c>
      <c r="B632" s="562" t="s">
        <v>747</v>
      </c>
      <c r="C632" s="562" t="s">
        <v>765</v>
      </c>
      <c r="D632" s="562">
        <v>2</v>
      </c>
      <c r="E632" s="562">
        <v>4</v>
      </c>
      <c r="F632" s="562" t="s">
        <v>184</v>
      </c>
      <c r="G632" s="562" t="s">
        <v>191</v>
      </c>
      <c r="H632" s="562" t="s">
        <v>191</v>
      </c>
    </row>
    <row r="633" spans="1:8" x14ac:dyDescent="0.2">
      <c r="A633" s="562" t="s">
        <v>217</v>
      </c>
      <c r="B633" s="562" t="s">
        <v>747</v>
      </c>
      <c r="C633" s="562" t="s">
        <v>766</v>
      </c>
      <c r="D633" s="562">
        <v>1</v>
      </c>
      <c r="E633" s="562">
        <v>5</v>
      </c>
      <c r="F633" s="562" t="s">
        <v>184</v>
      </c>
      <c r="G633" s="562" t="s">
        <v>191</v>
      </c>
      <c r="H633" s="562" t="s">
        <v>191</v>
      </c>
    </row>
    <row r="634" spans="1:8" x14ac:dyDescent="0.2">
      <c r="A634" s="562" t="s">
        <v>217</v>
      </c>
      <c r="B634" s="562" t="s">
        <v>747</v>
      </c>
      <c r="C634" s="562" t="s">
        <v>256</v>
      </c>
      <c r="D634" s="562">
        <v>1</v>
      </c>
      <c r="E634" s="562">
        <v>5</v>
      </c>
      <c r="F634" s="562" t="s">
        <v>184</v>
      </c>
      <c r="G634" s="562" t="s">
        <v>191</v>
      </c>
      <c r="H634" s="562" t="s">
        <v>191</v>
      </c>
    </row>
    <row r="635" spans="1:8" x14ac:dyDescent="0.2">
      <c r="A635" s="562" t="s">
        <v>217</v>
      </c>
      <c r="B635" s="562" t="s">
        <v>747</v>
      </c>
      <c r="C635" s="562" t="s">
        <v>767</v>
      </c>
      <c r="D635" s="562">
        <v>1</v>
      </c>
      <c r="E635" s="562">
        <v>5</v>
      </c>
      <c r="F635" s="562" t="s">
        <v>184</v>
      </c>
      <c r="G635" s="562" t="s">
        <v>191</v>
      </c>
      <c r="H635" s="562" t="s">
        <v>191</v>
      </c>
    </row>
    <row r="636" spans="1:8" x14ac:dyDescent="0.2">
      <c r="A636" s="562" t="s">
        <v>217</v>
      </c>
      <c r="B636" s="562" t="s">
        <v>747</v>
      </c>
      <c r="C636" s="562" t="s">
        <v>259</v>
      </c>
      <c r="D636" s="562">
        <v>2</v>
      </c>
      <c r="E636" s="562">
        <v>4</v>
      </c>
      <c r="F636" s="562" t="s">
        <v>184</v>
      </c>
      <c r="G636" s="562" t="s">
        <v>191</v>
      </c>
      <c r="H636" s="562" t="s">
        <v>191</v>
      </c>
    </row>
    <row r="637" spans="1:8" x14ac:dyDescent="0.2">
      <c r="A637" s="562" t="s">
        <v>217</v>
      </c>
      <c r="B637" s="562" t="s">
        <v>747</v>
      </c>
      <c r="C637" s="562" t="s">
        <v>656</v>
      </c>
      <c r="D637" s="562">
        <v>2</v>
      </c>
      <c r="E637" s="562">
        <v>4</v>
      </c>
      <c r="F637" s="562" t="s">
        <v>184</v>
      </c>
      <c r="G637" s="562" t="s">
        <v>191</v>
      </c>
      <c r="H637" s="562" t="s">
        <v>191</v>
      </c>
    </row>
    <row r="638" spans="1:8" x14ac:dyDescent="0.2">
      <c r="A638" s="562" t="s">
        <v>217</v>
      </c>
      <c r="B638" s="562" t="s">
        <v>747</v>
      </c>
      <c r="C638" s="562" t="s">
        <v>261</v>
      </c>
      <c r="D638" s="562">
        <v>2</v>
      </c>
      <c r="E638" s="562">
        <v>4</v>
      </c>
      <c r="F638" s="562" t="s">
        <v>184</v>
      </c>
      <c r="G638" s="562" t="s">
        <v>191</v>
      </c>
      <c r="H638" s="562" t="s">
        <v>191</v>
      </c>
    </row>
    <row r="639" spans="1:8" x14ac:dyDescent="0.2">
      <c r="A639" s="562" t="s">
        <v>217</v>
      </c>
      <c r="B639" s="562" t="s">
        <v>747</v>
      </c>
      <c r="C639" s="562" t="s">
        <v>768</v>
      </c>
      <c r="D639" s="562">
        <v>1</v>
      </c>
      <c r="E639" s="562">
        <v>5</v>
      </c>
      <c r="F639" s="562" t="s">
        <v>184</v>
      </c>
      <c r="G639" s="562" t="s">
        <v>191</v>
      </c>
      <c r="H639" s="562" t="s">
        <v>191</v>
      </c>
    </row>
    <row r="640" spans="1:8" x14ac:dyDescent="0.2">
      <c r="A640" s="562" t="s">
        <v>217</v>
      </c>
      <c r="B640" s="562" t="s">
        <v>747</v>
      </c>
      <c r="C640" s="562" t="s">
        <v>769</v>
      </c>
      <c r="D640" s="562">
        <v>1</v>
      </c>
      <c r="E640" s="562">
        <v>5</v>
      </c>
      <c r="F640" s="562" t="s">
        <v>184</v>
      </c>
      <c r="G640" s="562" t="s">
        <v>191</v>
      </c>
      <c r="H640" s="562" t="s">
        <v>191</v>
      </c>
    </row>
    <row r="641" spans="1:8" x14ac:dyDescent="0.2">
      <c r="A641" s="562" t="s">
        <v>217</v>
      </c>
      <c r="B641" s="562" t="s">
        <v>747</v>
      </c>
      <c r="C641" s="562" t="s">
        <v>388</v>
      </c>
      <c r="D641" s="562">
        <v>2</v>
      </c>
      <c r="E641" s="562">
        <v>4</v>
      </c>
      <c r="F641" s="562" t="s">
        <v>184</v>
      </c>
      <c r="G641" s="562" t="s">
        <v>191</v>
      </c>
      <c r="H641" s="562" t="s">
        <v>191</v>
      </c>
    </row>
    <row r="642" spans="1:8" x14ac:dyDescent="0.2">
      <c r="A642" s="562" t="s">
        <v>217</v>
      </c>
      <c r="B642" s="562" t="s">
        <v>747</v>
      </c>
      <c r="C642" s="562" t="s">
        <v>770</v>
      </c>
      <c r="D642" s="562">
        <v>1</v>
      </c>
      <c r="E642" s="562">
        <v>5</v>
      </c>
      <c r="F642" s="562" t="s">
        <v>184</v>
      </c>
      <c r="G642" s="562" t="s">
        <v>191</v>
      </c>
      <c r="H642" s="562" t="s">
        <v>191</v>
      </c>
    </row>
    <row r="643" spans="1:8" x14ac:dyDescent="0.2">
      <c r="A643" s="562" t="s">
        <v>217</v>
      </c>
      <c r="B643" s="562" t="s">
        <v>747</v>
      </c>
      <c r="C643" s="562" t="s">
        <v>771</v>
      </c>
      <c r="D643" s="562">
        <v>2</v>
      </c>
      <c r="E643" s="562">
        <v>5</v>
      </c>
      <c r="F643" s="562" t="s">
        <v>184</v>
      </c>
      <c r="G643" s="562" t="s">
        <v>191</v>
      </c>
      <c r="H643" s="562" t="s">
        <v>191</v>
      </c>
    </row>
    <row r="644" spans="1:8" x14ac:dyDescent="0.2">
      <c r="A644" s="562" t="s">
        <v>217</v>
      </c>
      <c r="B644" s="562" t="s">
        <v>747</v>
      </c>
      <c r="C644" s="562" t="s">
        <v>772</v>
      </c>
      <c r="D644" s="562">
        <v>1</v>
      </c>
      <c r="E644" s="562">
        <v>5</v>
      </c>
      <c r="F644" s="562" t="s">
        <v>184</v>
      </c>
      <c r="G644" s="562" t="s">
        <v>191</v>
      </c>
      <c r="H644" s="562" t="s">
        <v>191</v>
      </c>
    </row>
    <row r="645" spans="1:8" x14ac:dyDescent="0.2">
      <c r="A645" s="562" t="s">
        <v>217</v>
      </c>
      <c r="B645" s="562" t="s">
        <v>747</v>
      </c>
      <c r="C645" s="562" t="s">
        <v>773</v>
      </c>
      <c r="D645" s="562">
        <v>1</v>
      </c>
      <c r="E645" s="562">
        <v>5</v>
      </c>
      <c r="F645" s="562" t="s">
        <v>184</v>
      </c>
      <c r="G645" s="562" t="s">
        <v>191</v>
      </c>
      <c r="H645" s="562" t="s">
        <v>191</v>
      </c>
    </row>
    <row r="646" spans="1:8" x14ac:dyDescent="0.2">
      <c r="A646" s="562" t="s">
        <v>217</v>
      </c>
      <c r="B646" s="562" t="s">
        <v>747</v>
      </c>
      <c r="C646" s="562" t="s">
        <v>774</v>
      </c>
      <c r="D646" s="562">
        <v>1</v>
      </c>
      <c r="E646" s="562">
        <v>5</v>
      </c>
      <c r="F646" s="562" t="s">
        <v>184</v>
      </c>
      <c r="G646" s="562" t="s">
        <v>191</v>
      </c>
      <c r="H646" s="562" t="s">
        <v>191</v>
      </c>
    </row>
    <row r="647" spans="1:8" x14ac:dyDescent="0.2">
      <c r="A647" s="562" t="s">
        <v>217</v>
      </c>
      <c r="B647" s="562" t="s">
        <v>747</v>
      </c>
      <c r="C647" s="562" t="s">
        <v>436</v>
      </c>
      <c r="D647" s="562">
        <v>2</v>
      </c>
      <c r="E647" s="562">
        <v>5</v>
      </c>
      <c r="F647" s="562" t="s">
        <v>184</v>
      </c>
      <c r="G647" s="562" t="s">
        <v>191</v>
      </c>
      <c r="H647" s="562" t="s">
        <v>191</v>
      </c>
    </row>
    <row r="648" spans="1:8" x14ac:dyDescent="0.2">
      <c r="A648" s="562" t="s">
        <v>217</v>
      </c>
      <c r="B648" s="562" t="s">
        <v>747</v>
      </c>
      <c r="C648" s="562" t="s">
        <v>267</v>
      </c>
      <c r="D648" s="562">
        <v>2</v>
      </c>
      <c r="E648" s="562">
        <v>4</v>
      </c>
      <c r="F648" s="562" t="s">
        <v>184</v>
      </c>
      <c r="G648" s="562" t="s">
        <v>191</v>
      </c>
      <c r="H648" s="562" t="s">
        <v>191</v>
      </c>
    </row>
    <row r="649" spans="1:8" x14ac:dyDescent="0.2">
      <c r="A649" s="562" t="s">
        <v>217</v>
      </c>
      <c r="B649" s="562" t="s">
        <v>747</v>
      </c>
      <c r="C649" s="562" t="s">
        <v>269</v>
      </c>
      <c r="D649" s="562">
        <v>1</v>
      </c>
      <c r="E649" s="562">
        <v>5</v>
      </c>
      <c r="F649" s="562" t="s">
        <v>184</v>
      </c>
      <c r="G649" s="562" t="s">
        <v>191</v>
      </c>
      <c r="H649" s="562" t="s">
        <v>191</v>
      </c>
    </row>
    <row r="650" spans="1:8" x14ac:dyDescent="0.2">
      <c r="A650" s="562" t="s">
        <v>217</v>
      </c>
      <c r="B650" s="562" t="s">
        <v>747</v>
      </c>
      <c r="C650" s="562" t="s">
        <v>775</v>
      </c>
      <c r="D650" s="562">
        <v>1</v>
      </c>
      <c r="E650" s="562">
        <v>5</v>
      </c>
      <c r="F650" s="562" t="s">
        <v>184</v>
      </c>
      <c r="G650" s="562" t="s">
        <v>191</v>
      </c>
      <c r="H650" s="562" t="s">
        <v>191</v>
      </c>
    </row>
    <row r="651" spans="1:8" x14ac:dyDescent="0.2">
      <c r="A651" s="562" t="s">
        <v>217</v>
      </c>
      <c r="B651" s="562" t="s">
        <v>747</v>
      </c>
      <c r="C651" s="562" t="s">
        <v>392</v>
      </c>
      <c r="D651" s="562">
        <v>1</v>
      </c>
      <c r="E651" s="562">
        <v>5</v>
      </c>
      <c r="F651" s="562" t="s">
        <v>184</v>
      </c>
      <c r="G651" s="562" t="s">
        <v>191</v>
      </c>
      <c r="H651" s="562" t="s">
        <v>191</v>
      </c>
    </row>
    <row r="652" spans="1:8" x14ac:dyDescent="0.2">
      <c r="A652" s="562" t="s">
        <v>217</v>
      </c>
      <c r="B652" s="562" t="s">
        <v>747</v>
      </c>
      <c r="C652" s="562" t="s">
        <v>275</v>
      </c>
      <c r="D652" s="562">
        <v>1</v>
      </c>
      <c r="E652" s="562">
        <v>5</v>
      </c>
      <c r="F652" s="562" t="s">
        <v>184</v>
      </c>
      <c r="G652" s="562" t="s">
        <v>191</v>
      </c>
      <c r="H652" s="562" t="s">
        <v>191</v>
      </c>
    </row>
    <row r="653" spans="1:8" x14ac:dyDescent="0.2">
      <c r="A653" s="562" t="s">
        <v>217</v>
      </c>
      <c r="B653" s="562" t="s">
        <v>747</v>
      </c>
      <c r="C653" s="562" t="s">
        <v>776</v>
      </c>
      <c r="D653" s="562">
        <v>2</v>
      </c>
      <c r="E653" s="562">
        <v>4</v>
      </c>
      <c r="F653" s="562" t="s">
        <v>184</v>
      </c>
      <c r="G653" s="562" t="s">
        <v>191</v>
      </c>
      <c r="H653" s="562" t="s">
        <v>191</v>
      </c>
    </row>
    <row r="654" spans="1:8" x14ac:dyDescent="0.2">
      <c r="A654" s="562" t="s">
        <v>217</v>
      </c>
      <c r="B654" s="562" t="s">
        <v>747</v>
      </c>
      <c r="C654" s="562" t="s">
        <v>277</v>
      </c>
      <c r="D654" s="562">
        <v>2</v>
      </c>
      <c r="E654" s="562">
        <v>4</v>
      </c>
      <c r="F654" s="562" t="s">
        <v>184</v>
      </c>
      <c r="G654" s="562" t="s">
        <v>191</v>
      </c>
      <c r="H654" s="562" t="s">
        <v>191</v>
      </c>
    </row>
    <row r="655" spans="1:8" x14ac:dyDescent="0.2">
      <c r="A655" s="562" t="s">
        <v>217</v>
      </c>
      <c r="B655" s="562" t="s">
        <v>747</v>
      </c>
      <c r="C655" s="562" t="s">
        <v>281</v>
      </c>
      <c r="D655" s="562">
        <v>2</v>
      </c>
      <c r="E655" s="562">
        <v>4</v>
      </c>
      <c r="F655" s="562" t="s">
        <v>184</v>
      </c>
      <c r="G655" s="562" t="s">
        <v>191</v>
      </c>
      <c r="H655" s="562" t="s">
        <v>191</v>
      </c>
    </row>
    <row r="656" spans="1:8" x14ac:dyDescent="0.2">
      <c r="A656" s="562" t="s">
        <v>217</v>
      </c>
      <c r="B656" s="562" t="s">
        <v>747</v>
      </c>
      <c r="C656" s="562" t="s">
        <v>283</v>
      </c>
      <c r="D656" s="562">
        <v>1</v>
      </c>
      <c r="E656" s="562">
        <v>5</v>
      </c>
      <c r="F656" s="562" t="s">
        <v>184</v>
      </c>
      <c r="G656" s="562" t="s">
        <v>191</v>
      </c>
      <c r="H656" s="562" t="s">
        <v>191</v>
      </c>
    </row>
    <row r="657" spans="1:8" x14ac:dyDescent="0.2">
      <c r="A657" s="562" t="s">
        <v>217</v>
      </c>
      <c r="B657" s="562" t="s">
        <v>747</v>
      </c>
      <c r="C657" s="562" t="s">
        <v>777</v>
      </c>
      <c r="D657" s="562">
        <v>1</v>
      </c>
      <c r="E657" s="562">
        <v>5</v>
      </c>
      <c r="F657" s="562" t="s">
        <v>184</v>
      </c>
      <c r="G657" s="562" t="s">
        <v>191</v>
      </c>
      <c r="H657" s="562" t="s">
        <v>191</v>
      </c>
    </row>
    <row r="658" spans="1:8" x14ac:dyDescent="0.2">
      <c r="A658" s="562" t="s">
        <v>217</v>
      </c>
      <c r="B658" s="562" t="s">
        <v>747</v>
      </c>
      <c r="C658" s="562" t="s">
        <v>778</v>
      </c>
      <c r="D658" s="562">
        <v>3</v>
      </c>
      <c r="E658" s="562">
        <v>4</v>
      </c>
      <c r="F658" s="562" t="s">
        <v>184</v>
      </c>
      <c r="G658" s="562" t="s">
        <v>191</v>
      </c>
      <c r="H658" s="562" t="s">
        <v>191</v>
      </c>
    </row>
    <row r="659" spans="1:8" x14ac:dyDescent="0.2">
      <c r="A659" s="562" t="s">
        <v>217</v>
      </c>
      <c r="B659" s="562" t="s">
        <v>747</v>
      </c>
      <c r="C659" s="562" t="s">
        <v>779</v>
      </c>
      <c r="D659" s="562">
        <v>1</v>
      </c>
      <c r="E659" s="562">
        <v>5</v>
      </c>
      <c r="F659" s="562" t="s">
        <v>184</v>
      </c>
      <c r="G659" s="562" t="s">
        <v>191</v>
      </c>
      <c r="H659" s="562" t="s">
        <v>191</v>
      </c>
    </row>
    <row r="660" spans="1:8" x14ac:dyDescent="0.2">
      <c r="A660" s="562" t="s">
        <v>217</v>
      </c>
      <c r="B660" s="562" t="s">
        <v>747</v>
      </c>
      <c r="C660" s="562" t="s">
        <v>780</v>
      </c>
      <c r="D660" s="562">
        <v>2</v>
      </c>
      <c r="E660" s="562">
        <v>5</v>
      </c>
      <c r="F660" s="562" t="s">
        <v>184</v>
      </c>
      <c r="G660" s="562" t="s">
        <v>191</v>
      </c>
      <c r="H660" s="562" t="s">
        <v>191</v>
      </c>
    </row>
    <row r="661" spans="1:8" x14ac:dyDescent="0.2">
      <c r="A661" s="562" t="s">
        <v>217</v>
      </c>
      <c r="B661" s="562" t="s">
        <v>747</v>
      </c>
      <c r="C661" s="562" t="s">
        <v>781</v>
      </c>
      <c r="D661" s="562">
        <v>1</v>
      </c>
      <c r="E661" s="562">
        <v>5</v>
      </c>
      <c r="F661" s="562" t="s">
        <v>184</v>
      </c>
      <c r="G661" s="562" t="s">
        <v>191</v>
      </c>
      <c r="H661" s="562" t="s">
        <v>191</v>
      </c>
    </row>
    <row r="662" spans="1:8" x14ac:dyDescent="0.2">
      <c r="A662" s="562" t="s">
        <v>217</v>
      </c>
      <c r="B662" s="562" t="s">
        <v>747</v>
      </c>
      <c r="C662" s="562" t="s">
        <v>782</v>
      </c>
      <c r="D662" s="562">
        <v>1</v>
      </c>
      <c r="E662" s="562">
        <v>5</v>
      </c>
      <c r="F662" s="562" t="s">
        <v>184</v>
      </c>
      <c r="G662" s="562" t="s">
        <v>191</v>
      </c>
      <c r="H662" s="562" t="s">
        <v>191</v>
      </c>
    </row>
    <row r="663" spans="1:8" x14ac:dyDescent="0.2">
      <c r="A663" s="562" t="s">
        <v>217</v>
      </c>
      <c r="B663" s="562" t="s">
        <v>747</v>
      </c>
      <c r="C663" s="562" t="s">
        <v>783</v>
      </c>
      <c r="D663" s="562">
        <v>1</v>
      </c>
      <c r="E663" s="562">
        <v>5</v>
      </c>
      <c r="F663" s="562" t="s">
        <v>184</v>
      </c>
      <c r="G663" s="562" t="s">
        <v>191</v>
      </c>
      <c r="H663" s="562" t="s">
        <v>191</v>
      </c>
    </row>
    <row r="664" spans="1:8" x14ac:dyDescent="0.2">
      <c r="A664" s="562" t="s">
        <v>217</v>
      </c>
      <c r="B664" s="562" t="s">
        <v>747</v>
      </c>
      <c r="C664" s="562" t="s">
        <v>287</v>
      </c>
      <c r="D664" s="562">
        <v>2</v>
      </c>
      <c r="E664" s="562">
        <v>4</v>
      </c>
      <c r="F664" s="562" t="s">
        <v>184</v>
      </c>
      <c r="G664" s="562" t="s">
        <v>191</v>
      </c>
      <c r="H664" s="562" t="s">
        <v>191</v>
      </c>
    </row>
    <row r="665" spans="1:8" x14ac:dyDescent="0.2">
      <c r="A665" s="562" t="s">
        <v>217</v>
      </c>
      <c r="B665" s="562" t="s">
        <v>747</v>
      </c>
      <c r="C665" s="562" t="s">
        <v>289</v>
      </c>
      <c r="D665" s="562">
        <v>2</v>
      </c>
      <c r="E665" s="562">
        <v>4</v>
      </c>
      <c r="F665" s="562" t="s">
        <v>184</v>
      </c>
      <c r="G665" s="562" t="s">
        <v>191</v>
      </c>
      <c r="H665" s="562" t="s">
        <v>191</v>
      </c>
    </row>
    <row r="666" spans="1:8" x14ac:dyDescent="0.2">
      <c r="A666" s="562" t="s">
        <v>217</v>
      </c>
      <c r="B666" s="562" t="s">
        <v>747</v>
      </c>
      <c r="C666" s="562" t="s">
        <v>291</v>
      </c>
      <c r="D666" s="562">
        <v>1</v>
      </c>
      <c r="E666" s="562">
        <v>5</v>
      </c>
      <c r="F666" s="562" t="s">
        <v>184</v>
      </c>
      <c r="G666" s="562" t="s">
        <v>191</v>
      </c>
      <c r="H666" s="562" t="s">
        <v>191</v>
      </c>
    </row>
    <row r="667" spans="1:8" x14ac:dyDescent="0.2">
      <c r="A667" s="562" t="s">
        <v>217</v>
      </c>
      <c r="B667" s="562" t="s">
        <v>747</v>
      </c>
      <c r="C667" s="562" t="s">
        <v>784</v>
      </c>
      <c r="D667" s="562">
        <v>1</v>
      </c>
      <c r="E667" s="562">
        <v>5</v>
      </c>
      <c r="F667" s="562" t="s">
        <v>184</v>
      </c>
      <c r="G667" s="562" t="s">
        <v>191</v>
      </c>
      <c r="H667" s="562" t="s">
        <v>191</v>
      </c>
    </row>
    <row r="668" spans="1:8" x14ac:dyDescent="0.2">
      <c r="A668" s="562" t="s">
        <v>217</v>
      </c>
      <c r="B668" s="562" t="s">
        <v>747</v>
      </c>
      <c r="C668" s="562" t="s">
        <v>785</v>
      </c>
      <c r="D668" s="562">
        <v>1</v>
      </c>
      <c r="E668" s="562">
        <v>5</v>
      </c>
      <c r="F668" s="562" t="s">
        <v>184</v>
      </c>
      <c r="G668" s="562" t="s">
        <v>191</v>
      </c>
      <c r="H668" s="562" t="s">
        <v>191</v>
      </c>
    </row>
    <row r="669" spans="1:8" x14ac:dyDescent="0.2">
      <c r="A669" s="562" t="s">
        <v>217</v>
      </c>
      <c r="B669" s="562" t="s">
        <v>747</v>
      </c>
      <c r="C669" s="562" t="s">
        <v>786</v>
      </c>
      <c r="D669" s="562">
        <v>1</v>
      </c>
      <c r="E669" s="562">
        <v>5</v>
      </c>
      <c r="F669" s="562" t="s">
        <v>184</v>
      </c>
      <c r="G669" s="562" t="s">
        <v>191</v>
      </c>
      <c r="H669" s="562" t="s">
        <v>191</v>
      </c>
    </row>
    <row r="670" spans="1:8" x14ac:dyDescent="0.2">
      <c r="A670" s="562" t="s">
        <v>217</v>
      </c>
      <c r="B670" s="562" t="s">
        <v>747</v>
      </c>
      <c r="C670" s="562" t="s">
        <v>293</v>
      </c>
      <c r="D670" s="562">
        <v>2</v>
      </c>
      <c r="E670" s="562">
        <v>4</v>
      </c>
      <c r="F670" s="562" t="s">
        <v>184</v>
      </c>
      <c r="G670" s="562" t="s">
        <v>191</v>
      </c>
      <c r="H670" s="562" t="s">
        <v>191</v>
      </c>
    </row>
    <row r="671" spans="1:8" x14ac:dyDescent="0.2">
      <c r="A671" s="562" t="s">
        <v>217</v>
      </c>
      <c r="B671" s="562" t="s">
        <v>747</v>
      </c>
      <c r="C671" s="562" t="s">
        <v>787</v>
      </c>
      <c r="D671" s="562">
        <v>1</v>
      </c>
      <c r="E671" s="562">
        <v>5</v>
      </c>
      <c r="F671" s="562" t="s">
        <v>184</v>
      </c>
      <c r="G671" s="562" t="s">
        <v>191</v>
      </c>
      <c r="H671" s="562" t="s">
        <v>191</v>
      </c>
    </row>
    <row r="672" spans="1:8" x14ac:dyDescent="0.2">
      <c r="A672" s="562" t="s">
        <v>217</v>
      </c>
      <c r="B672" s="562" t="s">
        <v>747</v>
      </c>
      <c r="C672" s="562" t="s">
        <v>297</v>
      </c>
      <c r="D672" s="562">
        <v>1</v>
      </c>
      <c r="E672" s="562">
        <v>5</v>
      </c>
      <c r="F672" s="562" t="s">
        <v>184</v>
      </c>
      <c r="G672" s="562" t="s">
        <v>191</v>
      </c>
      <c r="H672" s="562" t="s">
        <v>191</v>
      </c>
    </row>
    <row r="673" spans="1:8" x14ac:dyDescent="0.2">
      <c r="A673" s="562" t="s">
        <v>217</v>
      </c>
      <c r="B673" s="562" t="s">
        <v>747</v>
      </c>
      <c r="C673" s="562" t="s">
        <v>402</v>
      </c>
      <c r="D673" s="562">
        <v>2</v>
      </c>
      <c r="E673" s="562">
        <v>4</v>
      </c>
      <c r="F673" s="562" t="s">
        <v>184</v>
      </c>
      <c r="G673" s="562" t="s">
        <v>191</v>
      </c>
      <c r="H673" s="562" t="s">
        <v>191</v>
      </c>
    </row>
    <row r="674" spans="1:8" x14ac:dyDescent="0.2">
      <c r="A674" s="562" t="s">
        <v>217</v>
      </c>
      <c r="B674" s="562" t="s">
        <v>747</v>
      </c>
      <c r="C674" s="562" t="s">
        <v>404</v>
      </c>
      <c r="D674" s="562">
        <v>3</v>
      </c>
      <c r="E674" s="562">
        <v>4</v>
      </c>
      <c r="F674" s="562" t="s">
        <v>184</v>
      </c>
      <c r="G674" s="562" t="s">
        <v>191</v>
      </c>
      <c r="H674" s="562" t="s">
        <v>191</v>
      </c>
    </row>
    <row r="675" spans="1:8" x14ac:dyDescent="0.2">
      <c r="A675" s="562" t="s">
        <v>217</v>
      </c>
      <c r="B675" s="562" t="s">
        <v>747</v>
      </c>
      <c r="C675" s="562" t="s">
        <v>586</v>
      </c>
      <c r="D675" s="562">
        <v>1</v>
      </c>
      <c r="E675" s="562">
        <v>5</v>
      </c>
      <c r="F675" s="562" t="s">
        <v>184</v>
      </c>
      <c r="G675" s="562" t="s">
        <v>191</v>
      </c>
      <c r="H675" s="562" t="s">
        <v>191</v>
      </c>
    </row>
    <row r="676" spans="1:8" x14ac:dyDescent="0.2">
      <c r="A676" s="562" t="s">
        <v>217</v>
      </c>
      <c r="B676" s="562" t="s">
        <v>747</v>
      </c>
      <c r="C676" s="562" t="s">
        <v>299</v>
      </c>
      <c r="D676" s="562">
        <v>2</v>
      </c>
      <c r="E676" s="562">
        <v>4</v>
      </c>
      <c r="F676" s="562" t="s">
        <v>184</v>
      </c>
      <c r="G676" s="562" t="s">
        <v>191</v>
      </c>
      <c r="H676" s="562" t="s">
        <v>191</v>
      </c>
    </row>
    <row r="677" spans="1:8" x14ac:dyDescent="0.2">
      <c r="A677" s="562" t="s">
        <v>217</v>
      </c>
      <c r="B677" s="562" t="s">
        <v>747</v>
      </c>
      <c r="C677" s="562" t="s">
        <v>788</v>
      </c>
      <c r="D677" s="562">
        <v>2</v>
      </c>
      <c r="E677" s="562">
        <v>4</v>
      </c>
      <c r="F677" s="562" t="s">
        <v>184</v>
      </c>
      <c r="G677" s="562" t="s">
        <v>191</v>
      </c>
      <c r="H677" s="562" t="s">
        <v>191</v>
      </c>
    </row>
    <row r="678" spans="1:8" x14ac:dyDescent="0.2">
      <c r="A678" s="562" t="s">
        <v>217</v>
      </c>
      <c r="B678" s="562" t="s">
        <v>747</v>
      </c>
      <c r="C678" s="562" t="s">
        <v>789</v>
      </c>
      <c r="D678" s="562">
        <v>1</v>
      </c>
      <c r="E678" s="562">
        <v>5</v>
      </c>
      <c r="F678" s="562" t="s">
        <v>184</v>
      </c>
      <c r="G678" s="562" t="s">
        <v>191</v>
      </c>
      <c r="H678" s="562" t="s">
        <v>191</v>
      </c>
    </row>
    <row r="679" spans="1:8" x14ac:dyDescent="0.2">
      <c r="A679" s="562" t="s">
        <v>217</v>
      </c>
      <c r="B679" s="562" t="s">
        <v>747</v>
      </c>
      <c r="C679" s="562" t="s">
        <v>302</v>
      </c>
      <c r="D679" s="562">
        <v>2</v>
      </c>
      <c r="E679" s="562">
        <v>4</v>
      </c>
      <c r="F679" s="562" t="s">
        <v>184</v>
      </c>
      <c r="G679" s="562" t="s">
        <v>191</v>
      </c>
      <c r="H679" s="562" t="s">
        <v>191</v>
      </c>
    </row>
    <row r="680" spans="1:8" x14ac:dyDescent="0.2">
      <c r="A680" s="562" t="s">
        <v>217</v>
      </c>
      <c r="B680" s="562" t="s">
        <v>747</v>
      </c>
      <c r="C680" s="562" t="s">
        <v>406</v>
      </c>
      <c r="D680" s="562">
        <v>2</v>
      </c>
      <c r="E680" s="562">
        <v>4</v>
      </c>
      <c r="F680" s="562" t="s">
        <v>184</v>
      </c>
      <c r="G680" s="562" t="s">
        <v>191</v>
      </c>
      <c r="H680" s="562" t="s">
        <v>191</v>
      </c>
    </row>
    <row r="681" spans="1:8" x14ac:dyDescent="0.2">
      <c r="A681" s="562" t="s">
        <v>217</v>
      </c>
      <c r="B681" s="562" t="s">
        <v>747</v>
      </c>
      <c r="C681" s="562" t="s">
        <v>790</v>
      </c>
      <c r="D681" s="562">
        <v>1</v>
      </c>
      <c r="E681" s="562">
        <v>5</v>
      </c>
      <c r="F681" s="562" t="s">
        <v>184</v>
      </c>
      <c r="G681" s="562" t="s">
        <v>191</v>
      </c>
      <c r="H681" s="562" t="s">
        <v>191</v>
      </c>
    </row>
    <row r="682" spans="1:8" x14ac:dyDescent="0.2">
      <c r="A682" s="562" t="s">
        <v>217</v>
      </c>
      <c r="B682" s="562" t="s">
        <v>747</v>
      </c>
      <c r="C682" s="562" t="s">
        <v>791</v>
      </c>
      <c r="D682" s="562">
        <v>1</v>
      </c>
      <c r="E682" s="562">
        <v>5</v>
      </c>
      <c r="F682" s="562" t="s">
        <v>184</v>
      </c>
      <c r="G682" s="562" t="s">
        <v>191</v>
      </c>
      <c r="H682" s="562" t="s">
        <v>191</v>
      </c>
    </row>
    <row r="683" spans="1:8" x14ac:dyDescent="0.2">
      <c r="A683" s="562" t="s">
        <v>217</v>
      </c>
      <c r="B683" s="562" t="s">
        <v>747</v>
      </c>
      <c r="C683" s="562" t="s">
        <v>407</v>
      </c>
      <c r="D683" s="562">
        <v>1</v>
      </c>
      <c r="E683" s="562">
        <v>5</v>
      </c>
      <c r="F683" s="562" t="s">
        <v>184</v>
      </c>
      <c r="G683" s="562" t="s">
        <v>191</v>
      </c>
      <c r="H683" s="562" t="s">
        <v>191</v>
      </c>
    </row>
    <row r="684" spans="1:8" x14ac:dyDescent="0.2">
      <c r="A684" s="562" t="s">
        <v>217</v>
      </c>
      <c r="B684" s="562" t="s">
        <v>747</v>
      </c>
      <c r="C684" s="562" t="s">
        <v>303</v>
      </c>
      <c r="D684" s="562">
        <v>2</v>
      </c>
      <c r="E684" s="562">
        <v>4</v>
      </c>
      <c r="F684" s="562" t="s">
        <v>184</v>
      </c>
      <c r="G684" s="562" t="s">
        <v>191</v>
      </c>
      <c r="H684" s="562" t="s">
        <v>191</v>
      </c>
    </row>
    <row r="685" spans="1:8" x14ac:dyDescent="0.2">
      <c r="A685" s="562" t="s">
        <v>217</v>
      </c>
      <c r="B685" s="562" t="s">
        <v>747</v>
      </c>
      <c r="C685" s="562" t="s">
        <v>792</v>
      </c>
      <c r="D685" s="562">
        <v>1</v>
      </c>
      <c r="E685" s="562">
        <v>5</v>
      </c>
      <c r="F685" s="562" t="s">
        <v>184</v>
      </c>
      <c r="G685" s="562" t="s">
        <v>191</v>
      </c>
      <c r="H685" s="562" t="s">
        <v>191</v>
      </c>
    </row>
    <row r="686" spans="1:8" x14ac:dyDescent="0.2">
      <c r="A686" s="562" t="s">
        <v>217</v>
      </c>
      <c r="B686" s="562" t="s">
        <v>747</v>
      </c>
      <c r="C686" s="562" t="s">
        <v>793</v>
      </c>
      <c r="D686" s="562">
        <v>1</v>
      </c>
      <c r="E686" s="562">
        <v>5</v>
      </c>
      <c r="F686" s="562" t="s">
        <v>184</v>
      </c>
      <c r="G686" s="562" t="s">
        <v>191</v>
      </c>
      <c r="H686" s="562" t="s">
        <v>191</v>
      </c>
    </row>
    <row r="687" spans="1:8" x14ac:dyDescent="0.2">
      <c r="A687" s="562" t="s">
        <v>217</v>
      </c>
      <c r="B687" s="562" t="s">
        <v>747</v>
      </c>
      <c r="C687" s="562" t="s">
        <v>794</v>
      </c>
      <c r="D687" s="562">
        <v>1</v>
      </c>
      <c r="E687" s="562">
        <v>5</v>
      </c>
      <c r="F687" s="562" t="s">
        <v>184</v>
      </c>
      <c r="G687" s="562" t="s">
        <v>191</v>
      </c>
      <c r="H687" s="562" t="s">
        <v>191</v>
      </c>
    </row>
    <row r="688" spans="1:8" x14ac:dyDescent="0.2">
      <c r="A688" s="562" t="s">
        <v>217</v>
      </c>
      <c r="B688" s="562" t="s">
        <v>747</v>
      </c>
      <c r="C688" s="562" t="s">
        <v>413</v>
      </c>
      <c r="D688" s="562">
        <v>2</v>
      </c>
      <c r="E688" s="562">
        <v>4</v>
      </c>
      <c r="F688" s="562" t="s">
        <v>184</v>
      </c>
      <c r="G688" s="562" t="s">
        <v>191</v>
      </c>
      <c r="H688" s="562" t="s">
        <v>191</v>
      </c>
    </row>
    <row r="689" spans="1:8" x14ac:dyDescent="0.2">
      <c r="A689" s="562" t="s">
        <v>217</v>
      </c>
      <c r="B689" s="562" t="s">
        <v>747</v>
      </c>
      <c r="C689" s="562" t="s">
        <v>795</v>
      </c>
      <c r="D689" s="562">
        <v>1</v>
      </c>
      <c r="E689" s="562">
        <v>5</v>
      </c>
      <c r="F689" s="562" t="s">
        <v>184</v>
      </c>
      <c r="G689" s="562" t="s">
        <v>191</v>
      </c>
      <c r="H689" s="562" t="s">
        <v>191</v>
      </c>
    </row>
    <row r="690" spans="1:8" x14ac:dyDescent="0.2">
      <c r="A690" s="562" t="s">
        <v>217</v>
      </c>
      <c r="B690" s="562" t="s">
        <v>747</v>
      </c>
      <c r="C690" s="562" t="s">
        <v>796</v>
      </c>
      <c r="D690" s="562">
        <v>2</v>
      </c>
      <c r="E690" s="562">
        <v>4</v>
      </c>
      <c r="F690" s="562" t="s">
        <v>184</v>
      </c>
      <c r="G690" s="562" t="s">
        <v>191</v>
      </c>
      <c r="H690" s="562" t="s">
        <v>191</v>
      </c>
    </row>
    <row r="691" spans="1:8" x14ac:dyDescent="0.2">
      <c r="A691" s="562" t="s">
        <v>217</v>
      </c>
      <c r="B691" s="562" t="s">
        <v>747</v>
      </c>
      <c r="C691" s="562" t="s">
        <v>699</v>
      </c>
      <c r="D691" s="562">
        <v>1</v>
      </c>
      <c r="E691" s="562">
        <v>5</v>
      </c>
      <c r="F691" s="562" t="s">
        <v>184</v>
      </c>
      <c r="G691" s="562" t="s">
        <v>191</v>
      </c>
      <c r="H691" s="562" t="s">
        <v>191</v>
      </c>
    </row>
    <row r="692" spans="1:8" x14ac:dyDescent="0.2">
      <c r="A692" s="562" t="s">
        <v>217</v>
      </c>
      <c r="B692" s="562" t="s">
        <v>747</v>
      </c>
      <c r="C692" s="562" t="s">
        <v>309</v>
      </c>
      <c r="D692" s="562">
        <v>2</v>
      </c>
      <c r="E692" s="562">
        <v>4</v>
      </c>
      <c r="F692" s="562" t="s">
        <v>184</v>
      </c>
      <c r="G692" s="562" t="s">
        <v>191</v>
      </c>
      <c r="H692" s="562" t="s">
        <v>191</v>
      </c>
    </row>
    <row r="693" spans="1:8" x14ac:dyDescent="0.2">
      <c r="A693" s="562" t="s">
        <v>217</v>
      </c>
      <c r="B693" s="562" t="s">
        <v>747</v>
      </c>
      <c r="C693" s="562" t="s">
        <v>700</v>
      </c>
      <c r="D693" s="562">
        <v>2</v>
      </c>
      <c r="E693" s="562">
        <v>4</v>
      </c>
      <c r="F693" s="562" t="s">
        <v>184</v>
      </c>
      <c r="G693" s="562" t="s">
        <v>191</v>
      </c>
      <c r="H693" s="562" t="s">
        <v>191</v>
      </c>
    </row>
    <row r="694" spans="1:8" x14ac:dyDescent="0.2">
      <c r="A694" s="562" t="s">
        <v>217</v>
      </c>
      <c r="B694" s="562" t="s">
        <v>747</v>
      </c>
      <c r="C694" s="562" t="s">
        <v>415</v>
      </c>
      <c r="D694" s="562">
        <v>2</v>
      </c>
      <c r="E694" s="562">
        <v>4</v>
      </c>
      <c r="F694" s="562" t="s">
        <v>184</v>
      </c>
      <c r="G694" s="562" t="s">
        <v>191</v>
      </c>
      <c r="H694" s="562" t="s">
        <v>191</v>
      </c>
    </row>
    <row r="695" spans="1:8" x14ac:dyDescent="0.2">
      <c r="A695" s="562" t="s">
        <v>217</v>
      </c>
      <c r="B695" s="562" t="s">
        <v>747</v>
      </c>
      <c r="C695" s="562" t="s">
        <v>797</v>
      </c>
      <c r="D695" s="562">
        <v>1</v>
      </c>
      <c r="E695" s="562">
        <v>5</v>
      </c>
      <c r="F695" s="562" t="s">
        <v>184</v>
      </c>
      <c r="G695" s="562" t="s">
        <v>191</v>
      </c>
      <c r="H695" s="562" t="s">
        <v>191</v>
      </c>
    </row>
    <row r="696" spans="1:8" x14ac:dyDescent="0.2">
      <c r="A696" s="562" t="s">
        <v>217</v>
      </c>
      <c r="B696" s="562" t="s">
        <v>747</v>
      </c>
      <c r="C696" s="562" t="s">
        <v>798</v>
      </c>
      <c r="D696" s="562">
        <v>2</v>
      </c>
      <c r="E696" s="562">
        <v>5</v>
      </c>
      <c r="F696" s="562" t="s">
        <v>184</v>
      </c>
      <c r="G696" s="562" t="s">
        <v>191</v>
      </c>
      <c r="H696" s="562" t="s">
        <v>191</v>
      </c>
    </row>
    <row r="697" spans="1:8" x14ac:dyDescent="0.2">
      <c r="A697" s="562" t="s">
        <v>217</v>
      </c>
      <c r="B697" s="562" t="s">
        <v>747</v>
      </c>
      <c r="C697" s="562" t="s">
        <v>799</v>
      </c>
      <c r="D697" s="562">
        <v>2</v>
      </c>
      <c r="E697" s="562">
        <v>4</v>
      </c>
      <c r="F697" s="562" t="s">
        <v>184</v>
      </c>
      <c r="G697" s="562" t="s">
        <v>191</v>
      </c>
      <c r="H697" s="562" t="s">
        <v>191</v>
      </c>
    </row>
    <row r="698" spans="1:8" x14ac:dyDescent="0.2">
      <c r="A698" s="562" t="s">
        <v>217</v>
      </c>
      <c r="B698" s="562" t="s">
        <v>747</v>
      </c>
      <c r="C698" s="562" t="s">
        <v>800</v>
      </c>
      <c r="D698" s="562">
        <v>1</v>
      </c>
      <c r="E698" s="562">
        <v>5</v>
      </c>
      <c r="F698" s="562" t="s">
        <v>184</v>
      </c>
      <c r="G698" s="562" t="s">
        <v>191</v>
      </c>
      <c r="H698" s="562" t="s">
        <v>191</v>
      </c>
    </row>
    <row r="699" spans="1:8" x14ac:dyDescent="0.2">
      <c r="A699" s="562" t="s">
        <v>217</v>
      </c>
      <c r="B699" s="562" t="s">
        <v>747</v>
      </c>
      <c r="C699" s="562" t="s">
        <v>801</v>
      </c>
      <c r="D699" s="562">
        <v>1</v>
      </c>
      <c r="E699" s="562">
        <v>5</v>
      </c>
      <c r="F699" s="562" t="s">
        <v>184</v>
      </c>
      <c r="G699" s="562" t="s">
        <v>191</v>
      </c>
      <c r="H699" s="562" t="s">
        <v>191</v>
      </c>
    </row>
    <row r="700" spans="1:8" x14ac:dyDescent="0.2">
      <c r="A700" s="562" t="s">
        <v>219</v>
      </c>
      <c r="B700" s="562" t="s">
        <v>802</v>
      </c>
      <c r="C700" s="562" t="s">
        <v>477</v>
      </c>
      <c r="D700" s="562">
        <v>1</v>
      </c>
      <c r="E700" s="562">
        <v>5</v>
      </c>
      <c r="F700" s="562" t="s">
        <v>184</v>
      </c>
      <c r="G700" s="562" t="s">
        <v>191</v>
      </c>
      <c r="H700" s="562" t="s">
        <v>191</v>
      </c>
    </row>
    <row r="701" spans="1:8" x14ac:dyDescent="0.2">
      <c r="A701" s="562" t="s">
        <v>219</v>
      </c>
      <c r="B701" s="562" t="s">
        <v>802</v>
      </c>
      <c r="C701" s="562" t="s">
        <v>803</v>
      </c>
      <c r="D701" s="562">
        <v>1</v>
      </c>
      <c r="E701" s="562">
        <v>5</v>
      </c>
      <c r="F701" s="562" t="s">
        <v>184</v>
      </c>
      <c r="G701" s="562" t="s">
        <v>191</v>
      </c>
      <c r="H701" s="562" t="s">
        <v>191</v>
      </c>
    </row>
    <row r="702" spans="1:8" x14ac:dyDescent="0.2">
      <c r="A702" s="562" t="s">
        <v>219</v>
      </c>
      <c r="B702" s="562" t="s">
        <v>802</v>
      </c>
      <c r="C702" s="562" t="s">
        <v>804</v>
      </c>
      <c r="D702" s="562">
        <v>1</v>
      </c>
      <c r="E702" s="562">
        <v>5</v>
      </c>
      <c r="F702" s="562" t="s">
        <v>184</v>
      </c>
      <c r="G702" s="562" t="s">
        <v>191</v>
      </c>
      <c r="H702" s="562" t="s">
        <v>191</v>
      </c>
    </row>
    <row r="703" spans="1:8" x14ac:dyDescent="0.2">
      <c r="A703" s="562" t="s">
        <v>219</v>
      </c>
      <c r="B703" s="562" t="s">
        <v>802</v>
      </c>
      <c r="C703" s="562" t="s">
        <v>364</v>
      </c>
      <c r="D703" s="562">
        <v>1</v>
      </c>
      <c r="E703" s="562">
        <v>5</v>
      </c>
      <c r="F703" s="562" t="s">
        <v>184</v>
      </c>
      <c r="G703" s="562" t="s">
        <v>191</v>
      </c>
      <c r="H703" s="562" t="s">
        <v>191</v>
      </c>
    </row>
    <row r="704" spans="1:8" x14ac:dyDescent="0.2">
      <c r="A704" s="562" t="s">
        <v>219</v>
      </c>
      <c r="B704" s="562" t="s">
        <v>802</v>
      </c>
      <c r="C704" s="562" t="s">
        <v>805</v>
      </c>
      <c r="D704" s="562">
        <v>1</v>
      </c>
      <c r="E704" s="562">
        <v>5</v>
      </c>
      <c r="F704" s="562" t="s">
        <v>184</v>
      </c>
      <c r="G704" s="562" t="s">
        <v>191</v>
      </c>
      <c r="H704" s="562" t="s">
        <v>191</v>
      </c>
    </row>
    <row r="705" spans="1:8" x14ac:dyDescent="0.2">
      <c r="A705" s="562" t="s">
        <v>219</v>
      </c>
      <c r="B705" s="562" t="s">
        <v>802</v>
      </c>
      <c r="C705" s="562" t="s">
        <v>365</v>
      </c>
      <c r="D705" s="562">
        <v>1</v>
      </c>
      <c r="E705" s="562">
        <v>5</v>
      </c>
      <c r="F705" s="562" t="s">
        <v>184</v>
      </c>
      <c r="G705" s="562" t="s">
        <v>191</v>
      </c>
      <c r="H705" s="562" t="s">
        <v>191</v>
      </c>
    </row>
    <row r="706" spans="1:8" x14ac:dyDescent="0.2">
      <c r="A706" s="562" t="s">
        <v>219</v>
      </c>
      <c r="B706" s="562" t="s">
        <v>802</v>
      </c>
      <c r="C706" s="562" t="s">
        <v>750</v>
      </c>
      <c r="D706" s="562">
        <v>2</v>
      </c>
      <c r="E706" s="562">
        <v>4</v>
      </c>
      <c r="F706" s="562" t="s">
        <v>184</v>
      </c>
      <c r="G706" s="562" t="s">
        <v>191</v>
      </c>
      <c r="H706" s="562" t="s">
        <v>191</v>
      </c>
    </row>
    <row r="707" spans="1:8" x14ac:dyDescent="0.2">
      <c r="A707" s="562" t="s">
        <v>219</v>
      </c>
      <c r="B707" s="562" t="s">
        <v>802</v>
      </c>
      <c r="C707" s="562" t="s">
        <v>367</v>
      </c>
      <c r="D707" s="562">
        <v>1</v>
      </c>
      <c r="E707" s="562">
        <v>5</v>
      </c>
      <c r="F707" s="562" t="s">
        <v>184</v>
      </c>
      <c r="G707" s="562" t="s">
        <v>191</v>
      </c>
      <c r="H707" s="562" t="s">
        <v>191</v>
      </c>
    </row>
    <row r="708" spans="1:8" x14ac:dyDescent="0.2">
      <c r="A708" s="562" t="s">
        <v>219</v>
      </c>
      <c r="B708" s="562" t="s">
        <v>802</v>
      </c>
      <c r="C708" s="562" t="s">
        <v>752</v>
      </c>
      <c r="D708" s="562">
        <v>1</v>
      </c>
      <c r="E708" s="562">
        <v>5</v>
      </c>
      <c r="F708" s="562" t="s">
        <v>184</v>
      </c>
      <c r="G708" s="562" t="s">
        <v>191</v>
      </c>
      <c r="H708" s="562" t="s">
        <v>191</v>
      </c>
    </row>
    <row r="709" spans="1:8" x14ac:dyDescent="0.2">
      <c r="A709" s="562" t="s">
        <v>219</v>
      </c>
      <c r="B709" s="562" t="s">
        <v>802</v>
      </c>
      <c r="C709" s="562" t="s">
        <v>369</v>
      </c>
      <c r="D709" s="562">
        <v>1</v>
      </c>
      <c r="E709" s="562">
        <v>4</v>
      </c>
      <c r="F709" s="562" t="s">
        <v>184</v>
      </c>
      <c r="G709" s="562" t="s">
        <v>191</v>
      </c>
      <c r="H709" s="562" t="s">
        <v>191</v>
      </c>
    </row>
    <row r="710" spans="1:8" x14ac:dyDescent="0.2">
      <c r="A710" s="562" t="s">
        <v>219</v>
      </c>
      <c r="B710" s="562" t="s">
        <v>802</v>
      </c>
      <c r="C710" s="562" t="s">
        <v>216</v>
      </c>
      <c r="D710" s="562">
        <v>2</v>
      </c>
      <c r="E710" s="562">
        <v>5</v>
      </c>
      <c r="F710" s="562" t="s">
        <v>184</v>
      </c>
      <c r="G710" s="562" t="s">
        <v>191</v>
      </c>
      <c r="H710" s="562" t="s">
        <v>191</v>
      </c>
    </row>
    <row r="711" spans="1:8" x14ac:dyDescent="0.2">
      <c r="A711" s="562" t="s">
        <v>219</v>
      </c>
      <c r="B711" s="562" t="s">
        <v>802</v>
      </c>
      <c r="C711" s="562" t="s">
        <v>755</v>
      </c>
      <c r="D711" s="562">
        <v>1</v>
      </c>
      <c r="E711" s="562">
        <v>5</v>
      </c>
      <c r="F711" s="562" t="s">
        <v>184</v>
      </c>
      <c r="G711" s="562" t="s">
        <v>191</v>
      </c>
      <c r="H711" s="562" t="s">
        <v>191</v>
      </c>
    </row>
    <row r="712" spans="1:8" x14ac:dyDescent="0.2">
      <c r="A712" s="562" t="s">
        <v>219</v>
      </c>
      <c r="B712" s="562" t="s">
        <v>802</v>
      </c>
      <c r="C712" s="562" t="s">
        <v>374</v>
      </c>
      <c r="D712" s="562">
        <v>2</v>
      </c>
      <c r="E712" s="562">
        <v>4</v>
      </c>
      <c r="F712" s="562" t="s">
        <v>184</v>
      </c>
      <c r="G712" s="562" t="s">
        <v>191</v>
      </c>
      <c r="H712" s="562" t="s">
        <v>191</v>
      </c>
    </row>
    <row r="713" spans="1:8" x14ac:dyDescent="0.2">
      <c r="A713" s="562" t="s">
        <v>219</v>
      </c>
      <c r="B713" s="562" t="s">
        <v>802</v>
      </c>
      <c r="C713" s="562" t="s">
        <v>806</v>
      </c>
      <c r="D713" s="562">
        <v>2</v>
      </c>
      <c r="E713" s="562">
        <v>4</v>
      </c>
      <c r="F713" s="562" t="s">
        <v>184</v>
      </c>
      <c r="G713" s="562" t="s">
        <v>191</v>
      </c>
      <c r="H713" s="562" t="s">
        <v>191</v>
      </c>
    </row>
    <row r="714" spans="1:8" x14ac:dyDescent="0.2">
      <c r="A714" s="562" t="s">
        <v>219</v>
      </c>
      <c r="B714" s="562" t="s">
        <v>802</v>
      </c>
      <c r="C714" s="562" t="s">
        <v>238</v>
      </c>
      <c r="D714" s="562">
        <v>1</v>
      </c>
      <c r="E714" s="562">
        <v>5</v>
      </c>
      <c r="F714" s="562" t="s">
        <v>184</v>
      </c>
      <c r="G714" s="562" t="s">
        <v>191</v>
      </c>
      <c r="H714" s="562" t="s">
        <v>191</v>
      </c>
    </row>
    <row r="715" spans="1:8" x14ac:dyDescent="0.2">
      <c r="A715" s="562" t="s">
        <v>219</v>
      </c>
      <c r="B715" s="562" t="s">
        <v>802</v>
      </c>
      <c r="C715" s="562" t="s">
        <v>807</v>
      </c>
      <c r="D715" s="562">
        <v>2</v>
      </c>
      <c r="E715" s="562">
        <v>4</v>
      </c>
      <c r="F715" s="562" t="s">
        <v>184</v>
      </c>
      <c r="G715" s="562" t="s">
        <v>191</v>
      </c>
      <c r="H715" s="562" t="s">
        <v>191</v>
      </c>
    </row>
    <row r="716" spans="1:8" x14ac:dyDescent="0.2">
      <c r="A716" s="562" t="s">
        <v>219</v>
      </c>
      <c r="B716" s="562" t="s">
        <v>802</v>
      </c>
      <c r="C716" s="562" t="s">
        <v>629</v>
      </c>
      <c r="D716" s="562">
        <v>1</v>
      </c>
      <c r="E716" s="562">
        <v>5</v>
      </c>
      <c r="F716" s="562" t="s">
        <v>184</v>
      </c>
      <c r="G716" s="562" t="s">
        <v>191</v>
      </c>
      <c r="H716" s="562" t="s">
        <v>191</v>
      </c>
    </row>
    <row r="717" spans="1:8" x14ac:dyDescent="0.2">
      <c r="A717" s="562" t="s">
        <v>219</v>
      </c>
      <c r="B717" s="562" t="s">
        <v>802</v>
      </c>
      <c r="C717" s="562" t="s">
        <v>808</v>
      </c>
      <c r="D717" s="562">
        <v>1</v>
      </c>
      <c r="E717" s="562">
        <v>5</v>
      </c>
      <c r="F717" s="562" t="s">
        <v>184</v>
      </c>
      <c r="G717" s="562" t="s">
        <v>191</v>
      </c>
      <c r="H717" s="562" t="s">
        <v>191</v>
      </c>
    </row>
    <row r="718" spans="1:8" x14ac:dyDescent="0.2">
      <c r="A718" s="562" t="s">
        <v>219</v>
      </c>
      <c r="B718" s="562" t="s">
        <v>802</v>
      </c>
      <c r="C718" s="562" t="s">
        <v>809</v>
      </c>
      <c r="D718" s="562">
        <v>2</v>
      </c>
      <c r="E718" s="562">
        <v>4</v>
      </c>
      <c r="F718" s="562" t="s">
        <v>184</v>
      </c>
      <c r="G718" s="562" t="s">
        <v>191</v>
      </c>
      <c r="H718" s="562" t="s">
        <v>191</v>
      </c>
    </row>
    <row r="719" spans="1:8" x14ac:dyDescent="0.2">
      <c r="A719" s="562" t="s">
        <v>219</v>
      </c>
      <c r="B719" s="562" t="s">
        <v>802</v>
      </c>
      <c r="C719" s="562" t="s">
        <v>810</v>
      </c>
      <c r="D719" s="562">
        <v>1</v>
      </c>
      <c r="E719" s="562">
        <v>5</v>
      </c>
      <c r="F719" s="562" t="s">
        <v>184</v>
      </c>
      <c r="G719" s="562" t="s">
        <v>191</v>
      </c>
      <c r="H719" s="562" t="s">
        <v>191</v>
      </c>
    </row>
    <row r="720" spans="1:8" x14ac:dyDescent="0.2">
      <c r="A720" s="562" t="s">
        <v>219</v>
      </c>
      <c r="B720" s="562" t="s">
        <v>802</v>
      </c>
      <c r="C720" s="562" t="s">
        <v>246</v>
      </c>
      <c r="D720" s="562">
        <v>1</v>
      </c>
      <c r="E720" s="562">
        <v>5</v>
      </c>
      <c r="F720" s="562" t="s">
        <v>184</v>
      </c>
      <c r="G720" s="562" t="s">
        <v>191</v>
      </c>
      <c r="H720" s="562" t="s">
        <v>191</v>
      </c>
    </row>
    <row r="721" spans="1:8" x14ac:dyDescent="0.2">
      <c r="A721" s="562" t="s">
        <v>219</v>
      </c>
      <c r="B721" s="562" t="s">
        <v>802</v>
      </c>
      <c r="C721" s="562" t="s">
        <v>640</v>
      </c>
      <c r="D721" s="562">
        <v>2</v>
      </c>
      <c r="E721" s="562">
        <v>4</v>
      </c>
      <c r="F721" s="562" t="s">
        <v>184</v>
      </c>
      <c r="G721" s="562" t="s">
        <v>191</v>
      </c>
      <c r="H721" s="562" t="s">
        <v>191</v>
      </c>
    </row>
    <row r="722" spans="1:8" x14ac:dyDescent="0.2">
      <c r="A722" s="562" t="s">
        <v>219</v>
      </c>
      <c r="B722" s="562" t="s">
        <v>802</v>
      </c>
      <c r="C722" s="562" t="s">
        <v>811</v>
      </c>
      <c r="D722" s="562">
        <v>1</v>
      </c>
      <c r="E722" s="562">
        <v>5</v>
      </c>
      <c r="F722" s="562" t="s">
        <v>184</v>
      </c>
      <c r="G722" s="562" t="s">
        <v>191</v>
      </c>
      <c r="H722" s="562" t="s">
        <v>191</v>
      </c>
    </row>
    <row r="723" spans="1:8" x14ac:dyDescent="0.2">
      <c r="A723" s="562" t="s">
        <v>219</v>
      </c>
      <c r="B723" s="562" t="s">
        <v>802</v>
      </c>
      <c r="C723" s="562" t="s">
        <v>248</v>
      </c>
      <c r="D723" s="562">
        <v>2</v>
      </c>
      <c r="E723" s="562">
        <v>5</v>
      </c>
      <c r="F723" s="562" t="s">
        <v>184</v>
      </c>
      <c r="G723" s="562" t="s">
        <v>191</v>
      </c>
      <c r="H723" s="562" t="s">
        <v>191</v>
      </c>
    </row>
    <row r="724" spans="1:8" x14ac:dyDescent="0.2">
      <c r="A724" s="562" t="s">
        <v>219</v>
      </c>
      <c r="B724" s="562" t="s">
        <v>802</v>
      </c>
      <c r="C724" s="562" t="s">
        <v>380</v>
      </c>
      <c r="D724" s="562">
        <v>1</v>
      </c>
      <c r="E724" s="562">
        <v>5</v>
      </c>
      <c r="F724" s="562" t="s">
        <v>184</v>
      </c>
      <c r="G724" s="562" t="s">
        <v>191</v>
      </c>
      <c r="H724" s="562" t="s">
        <v>191</v>
      </c>
    </row>
    <row r="725" spans="1:8" x14ac:dyDescent="0.2">
      <c r="A725" s="562" t="s">
        <v>219</v>
      </c>
      <c r="B725" s="562" t="s">
        <v>802</v>
      </c>
      <c r="C725" s="562" t="s">
        <v>812</v>
      </c>
      <c r="D725" s="562">
        <v>2</v>
      </c>
      <c r="E725" s="562">
        <v>4</v>
      </c>
      <c r="F725" s="562" t="s">
        <v>184</v>
      </c>
      <c r="G725" s="562" t="s">
        <v>191</v>
      </c>
      <c r="H725" s="562" t="s">
        <v>191</v>
      </c>
    </row>
    <row r="726" spans="1:8" x14ac:dyDescent="0.2">
      <c r="A726" s="562" t="s">
        <v>219</v>
      </c>
      <c r="B726" s="562" t="s">
        <v>802</v>
      </c>
      <c r="C726" s="562" t="s">
        <v>382</v>
      </c>
      <c r="D726" s="562">
        <v>1</v>
      </c>
      <c r="E726" s="562">
        <v>5</v>
      </c>
      <c r="F726" s="562" t="s">
        <v>184</v>
      </c>
      <c r="G726" s="562" t="s">
        <v>191</v>
      </c>
      <c r="H726" s="562" t="s">
        <v>191</v>
      </c>
    </row>
    <row r="727" spans="1:8" x14ac:dyDescent="0.2">
      <c r="A727" s="562" t="s">
        <v>219</v>
      </c>
      <c r="B727" s="562" t="s">
        <v>802</v>
      </c>
      <c r="C727" s="562" t="s">
        <v>252</v>
      </c>
      <c r="D727" s="562">
        <v>2</v>
      </c>
      <c r="E727" s="562">
        <v>4</v>
      </c>
      <c r="F727" s="562" t="s">
        <v>184</v>
      </c>
      <c r="G727" s="562" t="s">
        <v>191</v>
      </c>
      <c r="H727" s="562" t="s">
        <v>191</v>
      </c>
    </row>
    <row r="728" spans="1:8" x14ac:dyDescent="0.2">
      <c r="A728" s="562" t="s">
        <v>219</v>
      </c>
      <c r="B728" s="562" t="s">
        <v>802</v>
      </c>
      <c r="C728" s="562" t="s">
        <v>565</v>
      </c>
      <c r="D728" s="562">
        <v>1</v>
      </c>
      <c r="E728" s="562">
        <v>5</v>
      </c>
      <c r="F728" s="562" t="s">
        <v>184</v>
      </c>
      <c r="G728" s="562" t="s">
        <v>191</v>
      </c>
      <c r="H728" s="562" t="s">
        <v>191</v>
      </c>
    </row>
    <row r="729" spans="1:8" x14ac:dyDescent="0.2">
      <c r="A729" s="562" t="s">
        <v>219</v>
      </c>
      <c r="B729" s="562" t="s">
        <v>802</v>
      </c>
      <c r="C729" s="562" t="s">
        <v>650</v>
      </c>
      <c r="D729" s="562">
        <v>1</v>
      </c>
      <c r="E729" s="562">
        <v>5</v>
      </c>
      <c r="F729" s="562" t="s">
        <v>184</v>
      </c>
      <c r="G729" s="562" t="s">
        <v>191</v>
      </c>
      <c r="H729" s="562" t="s">
        <v>191</v>
      </c>
    </row>
    <row r="730" spans="1:8" x14ac:dyDescent="0.2">
      <c r="A730" s="562" t="s">
        <v>219</v>
      </c>
      <c r="B730" s="562" t="s">
        <v>802</v>
      </c>
      <c r="C730" s="562" t="s">
        <v>813</v>
      </c>
      <c r="D730" s="562">
        <v>1</v>
      </c>
      <c r="E730" s="562">
        <v>4</v>
      </c>
      <c r="F730" s="562" t="s">
        <v>184</v>
      </c>
      <c r="G730" s="562" t="s">
        <v>191</v>
      </c>
      <c r="H730" s="562" t="s">
        <v>191</v>
      </c>
    </row>
    <row r="731" spans="1:8" x14ac:dyDescent="0.2">
      <c r="A731" s="562" t="s">
        <v>219</v>
      </c>
      <c r="B731" s="562" t="s">
        <v>802</v>
      </c>
      <c r="C731" s="562" t="s">
        <v>814</v>
      </c>
      <c r="D731" s="562">
        <v>1</v>
      </c>
      <c r="E731" s="562">
        <v>5</v>
      </c>
      <c r="F731" s="562" t="s">
        <v>184</v>
      </c>
      <c r="G731" s="562" t="s">
        <v>191</v>
      </c>
      <c r="H731" s="562" t="s">
        <v>191</v>
      </c>
    </row>
    <row r="732" spans="1:8" x14ac:dyDescent="0.2">
      <c r="A732" s="562" t="s">
        <v>219</v>
      </c>
      <c r="B732" s="562" t="s">
        <v>802</v>
      </c>
      <c r="C732" s="562" t="s">
        <v>256</v>
      </c>
      <c r="D732" s="562">
        <v>1</v>
      </c>
      <c r="E732" s="562">
        <v>5</v>
      </c>
      <c r="F732" s="562" t="s">
        <v>184</v>
      </c>
      <c r="G732" s="562" t="s">
        <v>191</v>
      </c>
      <c r="H732" s="562" t="s">
        <v>191</v>
      </c>
    </row>
    <row r="733" spans="1:8" x14ac:dyDescent="0.2">
      <c r="A733" s="562" t="s">
        <v>219</v>
      </c>
      <c r="B733" s="562" t="s">
        <v>802</v>
      </c>
      <c r="C733" s="562" t="s">
        <v>385</v>
      </c>
      <c r="D733" s="562">
        <v>1</v>
      </c>
      <c r="E733" s="562">
        <v>5</v>
      </c>
      <c r="F733" s="562" t="s">
        <v>184</v>
      </c>
      <c r="G733" s="562" t="s">
        <v>191</v>
      </c>
      <c r="H733" s="562" t="s">
        <v>191</v>
      </c>
    </row>
    <row r="734" spans="1:8" x14ac:dyDescent="0.2">
      <c r="A734" s="562" t="s">
        <v>219</v>
      </c>
      <c r="B734" s="562" t="s">
        <v>802</v>
      </c>
      <c r="C734" s="562" t="s">
        <v>815</v>
      </c>
      <c r="D734" s="562">
        <v>1</v>
      </c>
      <c r="E734" s="562">
        <v>5</v>
      </c>
      <c r="F734" s="562" t="s">
        <v>184</v>
      </c>
      <c r="G734" s="562" t="s">
        <v>191</v>
      </c>
      <c r="H734" s="562" t="s">
        <v>191</v>
      </c>
    </row>
    <row r="735" spans="1:8" x14ac:dyDescent="0.2">
      <c r="A735" s="562" t="s">
        <v>219</v>
      </c>
      <c r="B735" s="562" t="s">
        <v>802</v>
      </c>
      <c r="C735" s="562" t="s">
        <v>259</v>
      </c>
      <c r="D735" s="562">
        <v>2</v>
      </c>
      <c r="E735" s="562">
        <v>4</v>
      </c>
      <c r="F735" s="562" t="s">
        <v>184</v>
      </c>
      <c r="G735" s="562" t="s">
        <v>191</v>
      </c>
      <c r="H735" s="562" t="s">
        <v>191</v>
      </c>
    </row>
    <row r="736" spans="1:8" x14ac:dyDescent="0.2">
      <c r="A736" s="562" t="s">
        <v>219</v>
      </c>
      <c r="B736" s="562" t="s">
        <v>802</v>
      </c>
      <c r="C736" s="562" t="s">
        <v>656</v>
      </c>
      <c r="D736" s="562">
        <v>2</v>
      </c>
      <c r="E736" s="562">
        <v>5</v>
      </c>
      <c r="F736" s="562" t="s">
        <v>184</v>
      </c>
      <c r="G736" s="562" t="s">
        <v>191</v>
      </c>
      <c r="H736" s="562" t="s">
        <v>191</v>
      </c>
    </row>
    <row r="737" spans="1:8" x14ac:dyDescent="0.2">
      <c r="A737" s="562" t="s">
        <v>219</v>
      </c>
      <c r="B737" s="562" t="s">
        <v>802</v>
      </c>
      <c r="C737" s="562" t="s">
        <v>816</v>
      </c>
      <c r="D737" s="562">
        <v>1</v>
      </c>
      <c r="E737" s="562">
        <v>5</v>
      </c>
      <c r="F737" s="562" t="s">
        <v>184</v>
      </c>
      <c r="G737" s="562" t="s">
        <v>191</v>
      </c>
      <c r="H737" s="562" t="s">
        <v>191</v>
      </c>
    </row>
    <row r="738" spans="1:8" x14ac:dyDescent="0.2">
      <c r="A738" s="562" t="s">
        <v>219</v>
      </c>
      <c r="B738" s="562" t="s">
        <v>802</v>
      </c>
      <c r="C738" s="562" t="s">
        <v>261</v>
      </c>
      <c r="D738" s="562">
        <v>2</v>
      </c>
      <c r="E738" s="562">
        <v>4</v>
      </c>
      <c r="F738" s="562" t="s">
        <v>184</v>
      </c>
      <c r="G738" s="562" t="s">
        <v>191</v>
      </c>
      <c r="H738" s="562" t="s">
        <v>191</v>
      </c>
    </row>
    <row r="739" spans="1:8" x14ac:dyDescent="0.2">
      <c r="A739" s="562" t="s">
        <v>219</v>
      </c>
      <c r="B739" s="562" t="s">
        <v>802</v>
      </c>
      <c r="C739" s="562" t="s">
        <v>817</v>
      </c>
      <c r="D739" s="562">
        <v>1</v>
      </c>
      <c r="E739" s="562">
        <v>4</v>
      </c>
      <c r="F739" s="562" t="s">
        <v>184</v>
      </c>
      <c r="G739" s="562" t="s">
        <v>191</v>
      </c>
      <c r="H739" s="562" t="s">
        <v>191</v>
      </c>
    </row>
    <row r="740" spans="1:8" x14ac:dyDescent="0.2">
      <c r="A740" s="562" t="s">
        <v>219</v>
      </c>
      <c r="B740" s="562" t="s">
        <v>802</v>
      </c>
      <c r="C740" s="562" t="s">
        <v>388</v>
      </c>
      <c r="D740" s="562">
        <v>1</v>
      </c>
      <c r="E740" s="562">
        <v>5</v>
      </c>
      <c r="F740" s="562" t="s">
        <v>184</v>
      </c>
      <c r="G740" s="562" t="s">
        <v>191</v>
      </c>
      <c r="H740" s="562" t="s">
        <v>191</v>
      </c>
    </row>
    <row r="741" spans="1:8" x14ac:dyDescent="0.2">
      <c r="A741" s="562" t="s">
        <v>219</v>
      </c>
      <c r="B741" s="562" t="s">
        <v>802</v>
      </c>
      <c r="C741" s="562" t="s">
        <v>773</v>
      </c>
      <c r="D741" s="562">
        <v>2</v>
      </c>
      <c r="E741" s="562">
        <v>4</v>
      </c>
      <c r="F741" s="562" t="s">
        <v>184</v>
      </c>
      <c r="G741" s="562" t="s">
        <v>191</v>
      </c>
      <c r="H741" s="562" t="s">
        <v>191</v>
      </c>
    </row>
    <row r="742" spans="1:8" x14ac:dyDescent="0.2">
      <c r="A742" s="562" t="s">
        <v>219</v>
      </c>
      <c r="B742" s="562" t="s">
        <v>802</v>
      </c>
      <c r="C742" s="562" t="s">
        <v>818</v>
      </c>
      <c r="D742" s="562">
        <v>1</v>
      </c>
      <c r="E742" s="562">
        <v>5</v>
      </c>
      <c r="F742" s="562" t="s">
        <v>184</v>
      </c>
      <c r="G742" s="562" t="s">
        <v>191</v>
      </c>
      <c r="H742" s="562" t="s">
        <v>191</v>
      </c>
    </row>
    <row r="743" spans="1:8" x14ac:dyDescent="0.2">
      <c r="A743" s="562" t="s">
        <v>219</v>
      </c>
      <c r="B743" s="562" t="s">
        <v>802</v>
      </c>
      <c r="C743" s="562" t="s">
        <v>819</v>
      </c>
      <c r="D743" s="562">
        <v>2</v>
      </c>
      <c r="E743" s="562">
        <v>5</v>
      </c>
      <c r="F743" s="562" t="s">
        <v>184</v>
      </c>
      <c r="G743" s="562" t="s">
        <v>191</v>
      </c>
      <c r="H743" s="562" t="s">
        <v>191</v>
      </c>
    </row>
    <row r="744" spans="1:8" x14ac:dyDescent="0.2">
      <c r="A744" s="562" t="s">
        <v>219</v>
      </c>
      <c r="B744" s="562" t="s">
        <v>802</v>
      </c>
      <c r="C744" s="562" t="s">
        <v>820</v>
      </c>
      <c r="D744" s="562">
        <v>1</v>
      </c>
      <c r="E744" s="562">
        <v>5</v>
      </c>
      <c r="F744" s="562" t="s">
        <v>184</v>
      </c>
      <c r="G744" s="562" t="s">
        <v>191</v>
      </c>
      <c r="H744" s="562" t="s">
        <v>191</v>
      </c>
    </row>
    <row r="745" spans="1:8" x14ac:dyDescent="0.2">
      <c r="A745" s="562" t="s">
        <v>219</v>
      </c>
      <c r="B745" s="562" t="s">
        <v>802</v>
      </c>
      <c r="C745" s="562" t="s">
        <v>436</v>
      </c>
      <c r="D745" s="562">
        <v>2</v>
      </c>
      <c r="E745" s="562">
        <v>5</v>
      </c>
      <c r="F745" s="562" t="s">
        <v>184</v>
      </c>
      <c r="G745" s="562" t="s">
        <v>191</v>
      </c>
      <c r="H745" s="562" t="s">
        <v>191</v>
      </c>
    </row>
    <row r="746" spans="1:8" x14ac:dyDescent="0.2">
      <c r="A746" s="562" t="s">
        <v>219</v>
      </c>
      <c r="B746" s="562" t="s">
        <v>802</v>
      </c>
      <c r="C746" s="562" t="s">
        <v>267</v>
      </c>
      <c r="D746" s="562">
        <v>1</v>
      </c>
      <c r="E746" s="562">
        <v>4</v>
      </c>
      <c r="F746" s="562" t="s">
        <v>184</v>
      </c>
      <c r="G746" s="562" t="s">
        <v>191</v>
      </c>
      <c r="H746" s="562" t="s">
        <v>191</v>
      </c>
    </row>
    <row r="747" spans="1:8" x14ac:dyDescent="0.2">
      <c r="A747" s="562" t="s">
        <v>219</v>
      </c>
      <c r="B747" s="562" t="s">
        <v>802</v>
      </c>
      <c r="C747" s="562" t="s">
        <v>277</v>
      </c>
      <c r="D747" s="562">
        <v>1</v>
      </c>
      <c r="E747" s="562">
        <v>5</v>
      </c>
      <c r="F747" s="562" t="s">
        <v>184</v>
      </c>
      <c r="G747" s="562" t="s">
        <v>191</v>
      </c>
      <c r="H747" s="562" t="s">
        <v>191</v>
      </c>
    </row>
    <row r="748" spans="1:8" x14ac:dyDescent="0.2">
      <c r="A748" s="562" t="s">
        <v>219</v>
      </c>
      <c r="B748" s="562" t="s">
        <v>802</v>
      </c>
      <c r="C748" s="562" t="s">
        <v>281</v>
      </c>
      <c r="D748" s="562">
        <v>1</v>
      </c>
      <c r="E748" s="562">
        <v>5</v>
      </c>
      <c r="F748" s="562" t="s">
        <v>184</v>
      </c>
      <c r="G748" s="562" t="s">
        <v>191</v>
      </c>
      <c r="H748" s="562" t="s">
        <v>191</v>
      </c>
    </row>
    <row r="749" spans="1:8" x14ac:dyDescent="0.2">
      <c r="A749" s="562" t="s">
        <v>219</v>
      </c>
      <c r="B749" s="562" t="s">
        <v>802</v>
      </c>
      <c r="C749" s="562" t="s">
        <v>283</v>
      </c>
      <c r="D749" s="562">
        <v>1</v>
      </c>
      <c r="E749" s="562">
        <v>5</v>
      </c>
      <c r="F749" s="562" t="s">
        <v>184</v>
      </c>
      <c r="G749" s="562" t="s">
        <v>191</v>
      </c>
      <c r="H749" s="562" t="s">
        <v>191</v>
      </c>
    </row>
    <row r="750" spans="1:8" x14ac:dyDescent="0.2">
      <c r="A750" s="562" t="s">
        <v>219</v>
      </c>
      <c r="B750" s="562" t="s">
        <v>802</v>
      </c>
      <c r="C750" s="562" t="s">
        <v>577</v>
      </c>
      <c r="D750" s="562">
        <v>2</v>
      </c>
      <c r="E750" s="562">
        <v>4</v>
      </c>
      <c r="F750" s="562" t="s">
        <v>184</v>
      </c>
      <c r="G750" s="562" t="s">
        <v>191</v>
      </c>
      <c r="H750" s="562" t="s">
        <v>191</v>
      </c>
    </row>
    <row r="751" spans="1:8" x14ac:dyDescent="0.2">
      <c r="A751" s="562" t="s">
        <v>219</v>
      </c>
      <c r="B751" s="562" t="s">
        <v>802</v>
      </c>
      <c r="C751" s="562" t="s">
        <v>821</v>
      </c>
      <c r="D751" s="562">
        <v>1</v>
      </c>
      <c r="E751" s="562">
        <v>5</v>
      </c>
      <c r="F751" s="562" t="s">
        <v>184</v>
      </c>
      <c r="G751" s="562" t="s">
        <v>191</v>
      </c>
      <c r="H751" s="562" t="s">
        <v>191</v>
      </c>
    </row>
    <row r="752" spans="1:8" x14ac:dyDescent="0.2">
      <c r="A752" s="562" t="s">
        <v>219</v>
      </c>
      <c r="B752" s="562" t="s">
        <v>802</v>
      </c>
      <c r="C752" s="562" t="s">
        <v>287</v>
      </c>
      <c r="D752" s="562">
        <v>1</v>
      </c>
      <c r="E752" s="562">
        <v>4</v>
      </c>
      <c r="F752" s="562" t="s">
        <v>184</v>
      </c>
      <c r="G752" s="562" t="s">
        <v>191</v>
      </c>
      <c r="H752" s="562" t="s">
        <v>191</v>
      </c>
    </row>
    <row r="753" spans="1:8" x14ac:dyDescent="0.2">
      <c r="A753" s="562" t="s">
        <v>219</v>
      </c>
      <c r="B753" s="562" t="s">
        <v>802</v>
      </c>
      <c r="C753" s="562" t="s">
        <v>289</v>
      </c>
      <c r="D753" s="562">
        <v>1</v>
      </c>
      <c r="E753" s="562">
        <v>5</v>
      </c>
      <c r="F753" s="562" t="s">
        <v>184</v>
      </c>
      <c r="G753" s="562" t="s">
        <v>191</v>
      </c>
      <c r="H753" s="562" t="s">
        <v>191</v>
      </c>
    </row>
    <row r="754" spans="1:8" x14ac:dyDescent="0.2">
      <c r="A754" s="562" t="s">
        <v>219</v>
      </c>
      <c r="B754" s="562" t="s">
        <v>802</v>
      </c>
      <c r="C754" s="562" t="s">
        <v>291</v>
      </c>
      <c r="D754" s="562">
        <v>2</v>
      </c>
      <c r="E754" s="562">
        <v>5</v>
      </c>
      <c r="F754" s="562" t="s">
        <v>184</v>
      </c>
      <c r="G754" s="562" t="s">
        <v>191</v>
      </c>
      <c r="H754" s="562" t="s">
        <v>191</v>
      </c>
    </row>
    <row r="755" spans="1:8" x14ac:dyDescent="0.2">
      <c r="A755" s="562" t="s">
        <v>219</v>
      </c>
      <c r="B755" s="562" t="s">
        <v>802</v>
      </c>
      <c r="C755" s="562" t="s">
        <v>397</v>
      </c>
      <c r="D755" s="562">
        <v>2</v>
      </c>
      <c r="E755" s="562">
        <v>5</v>
      </c>
      <c r="F755" s="562" t="s">
        <v>184</v>
      </c>
      <c r="G755" s="562" t="s">
        <v>191</v>
      </c>
      <c r="H755" s="562" t="s">
        <v>191</v>
      </c>
    </row>
    <row r="756" spans="1:8" x14ac:dyDescent="0.2">
      <c r="A756" s="562" t="s">
        <v>219</v>
      </c>
      <c r="B756" s="562" t="s">
        <v>802</v>
      </c>
      <c r="C756" s="562" t="s">
        <v>822</v>
      </c>
      <c r="D756" s="562">
        <v>1</v>
      </c>
      <c r="E756" s="562">
        <v>5</v>
      </c>
      <c r="F756" s="562" t="s">
        <v>184</v>
      </c>
      <c r="G756" s="562" t="s">
        <v>191</v>
      </c>
      <c r="H756" s="562" t="s">
        <v>191</v>
      </c>
    </row>
    <row r="757" spans="1:8" x14ac:dyDescent="0.2">
      <c r="A757" s="562" t="s">
        <v>219</v>
      </c>
      <c r="B757" s="562" t="s">
        <v>802</v>
      </c>
      <c r="C757" s="562" t="s">
        <v>823</v>
      </c>
      <c r="D757" s="562">
        <v>2</v>
      </c>
      <c r="E757" s="562">
        <v>4</v>
      </c>
      <c r="F757" s="562" t="s">
        <v>184</v>
      </c>
      <c r="G757" s="562" t="s">
        <v>191</v>
      </c>
      <c r="H757" s="562" t="s">
        <v>191</v>
      </c>
    </row>
    <row r="758" spans="1:8" x14ac:dyDescent="0.2">
      <c r="A758" s="562" t="s">
        <v>219</v>
      </c>
      <c r="B758" s="562" t="s">
        <v>802</v>
      </c>
      <c r="C758" s="562" t="s">
        <v>448</v>
      </c>
      <c r="D758" s="562">
        <v>1</v>
      </c>
      <c r="E758" s="562">
        <v>4</v>
      </c>
      <c r="F758" s="562" t="s">
        <v>184</v>
      </c>
      <c r="G758" s="562" t="s">
        <v>191</v>
      </c>
      <c r="H758" s="562" t="s">
        <v>191</v>
      </c>
    </row>
    <row r="759" spans="1:8" x14ac:dyDescent="0.2">
      <c r="A759" s="562" t="s">
        <v>219</v>
      </c>
      <c r="B759" s="562" t="s">
        <v>802</v>
      </c>
      <c r="C759" s="562" t="s">
        <v>824</v>
      </c>
      <c r="D759" s="562">
        <v>2</v>
      </c>
      <c r="E759" s="562">
        <v>5</v>
      </c>
      <c r="F759" s="562" t="s">
        <v>184</v>
      </c>
      <c r="G759" s="562" t="s">
        <v>191</v>
      </c>
      <c r="H759" s="562" t="s">
        <v>191</v>
      </c>
    </row>
    <row r="760" spans="1:8" x14ac:dyDescent="0.2">
      <c r="A760" s="562" t="s">
        <v>219</v>
      </c>
      <c r="B760" s="562" t="s">
        <v>802</v>
      </c>
      <c r="C760" s="562" t="s">
        <v>825</v>
      </c>
      <c r="D760" s="562">
        <v>2</v>
      </c>
      <c r="E760" s="562">
        <v>5</v>
      </c>
      <c r="F760" s="562" t="s">
        <v>184</v>
      </c>
      <c r="G760" s="562" t="s">
        <v>191</v>
      </c>
      <c r="H760" s="562" t="s">
        <v>191</v>
      </c>
    </row>
    <row r="761" spans="1:8" x14ac:dyDescent="0.2">
      <c r="A761" s="562" t="s">
        <v>219</v>
      </c>
      <c r="B761" s="562" t="s">
        <v>802</v>
      </c>
      <c r="C761" s="562" t="s">
        <v>293</v>
      </c>
      <c r="D761" s="562">
        <v>2</v>
      </c>
      <c r="E761" s="562">
        <v>4</v>
      </c>
      <c r="F761" s="562" t="s">
        <v>184</v>
      </c>
      <c r="G761" s="562" t="s">
        <v>191</v>
      </c>
      <c r="H761" s="562" t="s">
        <v>191</v>
      </c>
    </row>
    <row r="762" spans="1:8" x14ac:dyDescent="0.2">
      <c r="A762" s="562" t="s">
        <v>219</v>
      </c>
      <c r="B762" s="562" t="s">
        <v>802</v>
      </c>
      <c r="C762" s="562" t="s">
        <v>297</v>
      </c>
      <c r="D762" s="562">
        <v>2</v>
      </c>
      <c r="E762" s="562">
        <v>4</v>
      </c>
      <c r="F762" s="562" t="s">
        <v>184</v>
      </c>
      <c r="G762" s="562" t="s">
        <v>191</v>
      </c>
      <c r="H762" s="562" t="s">
        <v>191</v>
      </c>
    </row>
    <row r="763" spans="1:8" x14ac:dyDescent="0.2">
      <c r="A763" s="562" t="s">
        <v>219</v>
      </c>
      <c r="B763" s="562" t="s">
        <v>802</v>
      </c>
      <c r="C763" s="562" t="s">
        <v>826</v>
      </c>
      <c r="D763" s="562">
        <v>2</v>
      </c>
      <c r="E763" s="562">
        <v>5</v>
      </c>
      <c r="F763" s="562" t="s">
        <v>184</v>
      </c>
      <c r="G763" s="562" t="s">
        <v>191</v>
      </c>
      <c r="H763" s="562" t="s">
        <v>191</v>
      </c>
    </row>
    <row r="764" spans="1:8" x14ac:dyDescent="0.2">
      <c r="A764" s="562" t="s">
        <v>219</v>
      </c>
      <c r="B764" s="562" t="s">
        <v>802</v>
      </c>
      <c r="C764" s="562" t="s">
        <v>827</v>
      </c>
      <c r="D764" s="562">
        <v>2</v>
      </c>
      <c r="E764" s="562">
        <v>4</v>
      </c>
      <c r="F764" s="562" t="s">
        <v>184</v>
      </c>
      <c r="G764" s="562" t="s">
        <v>191</v>
      </c>
      <c r="H764" s="562" t="s">
        <v>191</v>
      </c>
    </row>
    <row r="765" spans="1:8" x14ac:dyDescent="0.2">
      <c r="A765" s="562" t="s">
        <v>219</v>
      </c>
      <c r="B765" s="562" t="s">
        <v>802</v>
      </c>
      <c r="C765" s="562" t="s">
        <v>404</v>
      </c>
      <c r="D765" s="562">
        <v>2</v>
      </c>
      <c r="E765" s="562">
        <v>5</v>
      </c>
      <c r="F765" s="562" t="s">
        <v>184</v>
      </c>
      <c r="G765" s="562" t="s">
        <v>191</v>
      </c>
      <c r="H765" s="562" t="s">
        <v>191</v>
      </c>
    </row>
    <row r="766" spans="1:8" x14ac:dyDescent="0.2">
      <c r="A766" s="562" t="s">
        <v>219</v>
      </c>
      <c r="B766" s="562" t="s">
        <v>802</v>
      </c>
      <c r="C766" s="562" t="s">
        <v>586</v>
      </c>
      <c r="D766" s="562">
        <v>1</v>
      </c>
      <c r="E766" s="562">
        <v>5</v>
      </c>
      <c r="F766" s="562" t="s">
        <v>184</v>
      </c>
      <c r="G766" s="562" t="s">
        <v>191</v>
      </c>
      <c r="H766" s="562" t="s">
        <v>191</v>
      </c>
    </row>
    <row r="767" spans="1:8" x14ac:dyDescent="0.2">
      <c r="A767" s="562" t="s">
        <v>219</v>
      </c>
      <c r="B767" s="562" t="s">
        <v>802</v>
      </c>
      <c r="C767" s="562" t="s">
        <v>299</v>
      </c>
      <c r="D767" s="562">
        <v>1</v>
      </c>
      <c r="E767" s="562">
        <v>5</v>
      </c>
      <c r="F767" s="562" t="s">
        <v>184</v>
      </c>
      <c r="G767" s="562" t="s">
        <v>191</v>
      </c>
      <c r="H767" s="562" t="s">
        <v>191</v>
      </c>
    </row>
    <row r="768" spans="1:8" x14ac:dyDescent="0.2">
      <c r="A768" s="562" t="s">
        <v>219</v>
      </c>
      <c r="B768" s="562" t="s">
        <v>802</v>
      </c>
      <c r="C768" s="562" t="s">
        <v>828</v>
      </c>
      <c r="D768" s="562">
        <v>2</v>
      </c>
      <c r="E768" s="562">
        <v>4</v>
      </c>
      <c r="F768" s="562" t="s">
        <v>184</v>
      </c>
      <c r="G768" s="562" t="s">
        <v>191</v>
      </c>
      <c r="H768" s="562" t="s">
        <v>191</v>
      </c>
    </row>
    <row r="769" spans="1:8" x14ac:dyDescent="0.2">
      <c r="A769" s="562" t="s">
        <v>219</v>
      </c>
      <c r="B769" s="562" t="s">
        <v>802</v>
      </c>
      <c r="C769" s="562" t="s">
        <v>829</v>
      </c>
      <c r="D769" s="562">
        <v>1</v>
      </c>
      <c r="E769" s="562">
        <v>5</v>
      </c>
      <c r="F769" s="562" t="s">
        <v>184</v>
      </c>
      <c r="G769" s="562" t="s">
        <v>191</v>
      </c>
      <c r="H769" s="562" t="s">
        <v>191</v>
      </c>
    </row>
    <row r="770" spans="1:8" x14ac:dyDescent="0.2">
      <c r="A770" s="562" t="s">
        <v>219</v>
      </c>
      <c r="B770" s="562" t="s">
        <v>802</v>
      </c>
      <c r="C770" s="562" t="s">
        <v>407</v>
      </c>
      <c r="D770" s="562">
        <v>1</v>
      </c>
      <c r="E770" s="562">
        <v>4</v>
      </c>
      <c r="F770" s="562" t="s">
        <v>184</v>
      </c>
      <c r="G770" s="562" t="s">
        <v>191</v>
      </c>
      <c r="H770" s="562" t="s">
        <v>191</v>
      </c>
    </row>
    <row r="771" spans="1:8" x14ac:dyDescent="0.2">
      <c r="A771" s="562" t="s">
        <v>219</v>
      </c>
      <c r="B771" s="562" t="s">
        <v>802</v>
      </c>
      <c r="C771" s="562" t="s">
        <v>303</v>
      </c>
      <c r="D771" s="562">
        <v>1</v>
      </c>
      <c r="E771" s="562">
        <v>5</v>
      </c>
      <c r="F771" s="562" t="s">
        <v>184</v>
      </c>
      <c r="G771" s="562" t="s">
        <v>191</v>
      </c>
      <c r="H771" s="562" t="s">
        <v>191</v>
      </c>
    </row>
    <row r="772" spans="1:8" x14ac:dyDescent="0.2">
      <c r="A772" s="562" t="s">
        <v>219</v>
      </c>
      <c r="B772" s="562" t="s">
        <v>802</v>
      </c>
      <c r="C772" s="562" t="s">
        <v>830</v>
      </c>
      <c r="D772" s="562">
        <v>2</v>
      </c>
      <c r="E772" s="562">
        <v>4</v>
      </c>
      <c r="F772" s="562" t="s">
        <v>184</v>
      </c>
      <c r="G772" s="562" t="s">
        <v>191</v>
      </c>
      <c r="H772" s="562" t="s">
        <v>191</v>
      </c>
    </row>
    <row r="773" spans="1:8" x14ac:dyDescent="0.2">
      <c r="A773" s="562" t="s">
        <v>219</v>
      </c>
      <c r="B773" s="562" t="s">
        <v>802</v>
      </c>
      <c r="C773" s="562" t="s">
        <v>831</v>
      </c>
      <c r="D773" s="562">
        <v>1</v>
      </c>
      <c r="E773" s="562">
        <v>5</v>
      </c>
      <c r="F773" s="562" t="s">
        <v>184</v>
      </c>
      <c r="G773" s="562" t="s">
        <v>191</v>
      </c>
      <c r="H773" s="562" t="s">
        <v>191</v>
      </c>
    </row>
    <row r="774" spans="1:8" x14ac:dyDescent="0.2">
      <c r="A774" s="562" t="s">
        <v>219</v>
      </c>
      <c r="B774" s="562" t="s">
        <v>802</v>
      </c>
      <c r="C774" s="562" t="s">
        <v>832</v>
      </c>
      <c r="D774" s="562">
        <v>2</v>
      </c>
      <c r="E774" s="562">
        <v>5</v>
      </c>
      <c r="F774" s="562" t="s">
        <v>184</v>
      </c>
      <c r="G774" s="562" t="s">
        <v>191</v>
      </c>
      <c r="H774" s="562" t="s">
        <v>191</v>
      </c>
    </row>
    <row r="775" spans="1:8" x14ac:dyDescent="0.2">
      <c r="A775" s="562" t="s">
        <v>219</v>
      </c>
      <c r="B775" s="562" t="s">
        <v>802</v>
      </c>
      <c r="C775" s="562" t="s">
        <v>833</v>
      </c>
      <c r="D775" s="562">
        <v>1</v>
      </c>
      <c r="E775" s="562">
        <v>5</v>
      </c>
      <c r="F775" s="562" t="s">
        <v>184</v>
      </c>
      <c r="G775" s="562" t="s">
        <v>191</v>
      </c>
      <c r="H775" s="562" t="s">
        <v>191</v>
      </c>
    </row>
    <row r="776" spans="1:8" x14ac:dyDescent="0.2">
      <c r="A776" s="562" t="s">
        <v>219</v>
      </c>
      <c r="B776" s="562" t="s">
        <v>802</v>
      </c>
      <c r="C776" s="562" t="s">
        <v>834</v>
      </c>
      <c r="D776" s="562">
        <v>2</v>
      </c>
      <c r="E776" s="562">
        <v>4</v>
      </c>
      <c r="F776" s="562" t="s">
        <v>184</v>
      </c>
      <c r="G776" s="562" t="s">
        <v>191</v>
      </c>
      <c r="H776" s="562" t="s">
        <v>191</v>
      </c>
    </row>
    <row r="777" spans="1:8" x14ac:dyDescent="0.2">
      <c r="A777" s="562" t="s">
        <v>219</v>
      </c>
      <c r="B777" s="562" t="s">
        <v>802</v>
      </c>
      <c r="C777" s="562" t="s">
        <v>835</v>
      </c>
      <c r="D777" s="562">
        <v>2</v>
      </c>
      <c r="E777" s="562">
        <v>4</v>
      </c>
      <c r="F777" s="562" t="s">
        <v>184</v>
      </c>
      <c r="G777" s="562" t="s">
        <v>191</v>
      </c>
      <c r="H777" s="562" t="s">
        <v>191</v>
      </c>
    </row>
    <row r="778" spans="1:8" x14ac:dyDescent="0.2">
      <c r="A778" s="562" t="s">
        <v>219</v>
      </c>
      <c r="B778" s="562" t="s">
        <v>802</v>
      </c>
      <c r="C778" s="562" t="s">
        <v>836</v>
      </c>
      <c r="D778" s="562">
        <v>1</v>
      </c>
      <c r="E778" s="562">
        <v>5</v>
      </c>
      <c r="F778" s="562" t="s">
        <v>184</v>
      </c>
      <c r="G778" s="562" t="s">
        <v>191</v>
      </c>
      <c r="H778" s="562" t="s">
        <v>191</v>
      </c>
    </row>
    <row r="779" spans="1:8" x14ac:dyDescent="0.2">
      <c r="A779" s="562" t="s">
        <v>219</v>
      </c>
      <c r="B779" s="562" t="s">
        <v>802</v>
      </c>
      <c r="C779" s="562" t="s">
        <v>837</v>
      </c>
      <c r="D779" s="562">
        <v>1</v>
      </c>
      <c r="E779" s="562">
        <v>5</v>
      </c>
      <c r="F779" s="562" t="s">
        <v>184</v>
      </c>
      <c r="G779" s="562" t="s">
        <v>191</v>
      </c>
      <c r="H779" s="562" t="s">
        <v>191</v>
      </c>
    </row>
    <row r="780" spans="1:8" x14ac:dyDescent="0.2">
      <c r="A780" s="562" t="s">
        <v>219</v>
      </c>
      <c r="B780" s="562" t="s">
        <v>802</v>
      </c>
      <c r="C780" s="562" t="s">
        <v>413</v>
      </c>
      <c r="D780" s="562">
        <v>1</v>
      </c>
      <c r="E780" s="562">
        <v>5</v>
      </c>
      <c r="F780" s="562" t="s">
        <v>184</v>
      </c>
      <c r="G780" s="562" t="s">
        <v>191</v>
      </c>
      <c r="H780" s="562" t="s">
        <v>191</v>
      </c>
    </row>
    <row r="781" spans="1:8" x14ac:dyDescent="0.2">
      <c r="A781" s="562" t="s">
        <v>219</v>
      </c>
      <c r="B781" s="562" t="s">
        <v>802</v>
      </c>
      <c r="C781" s="562" t="s">
        <v>838</v>
      </c>
      <c r="D781" s="562">
        <v>2</v>
      </c>
      <c r="E781" s="562">
        <v>4</v>
      </c>
      <c r="F781" s="562" t="s">
        <v>184</v>
      </c>
      <c r="G781" s="562" t="s">
        <v>191</v>
      </c>
      <c r="H781" s="562" t="s">
        <v>191</v>
      </c>
    </row>
    <row r="782" spans="1:8" x14ac:dyDescent="0.2">
      <c r="A782" s="562" t="s">
        <v>219</v>
      </c>
      <c r="B782" s="562" t="s">
        <v>802</v>
      </c>
      <c r="C782" s="562" t="s">
        <v>839</v>
      </c>
      <c r="D782" s="562">
        <v>1</v>
      </c>
      <c r="E782" s="562">
        <v>5</v>
      </c>
      <c r="F782" s="562" t="s">
        <v>184</v>
      </c>
      <c r="G782" s="562" t="s">
        <v>191</v>
      </c>
      <c r="H782" s="562" t="s">
        <v>191</v>
      </c>
    </row>
    <row r="783" spans="1:8" x14ac:dyDescent="0.2">
      <c r="A783" s="562" t="s">
        <v>219</v>
      </c>
      <c r="B783" s="562" t="s">
        <v>802</v>
      </c>
      <c r="C783" s="562" t="s">
        <v>840</v>
      </c>
      <c r="D783" s="562">
        <v>2</v>
      </c>
      <c r="E783" s="562">
        <v>5</v>
      </c>
      <c r="F783" s="562" t="s">
        <v>184</v>
      </c>
      <c r="G783" s="562" t="s">
        <v>191</v>
      </c>
      <c r="H783" s="562" t="s">
        <v>191</v>
      </c>
    </row>
    <row r="784" spans="1:8" x14ac:dyDescent="0.2">
      <c r="A784" s="562" t="s">
        <v>219</v>
      </c>
      <c r="B784" s="562" t="s">
        <v>802</v>
      </c>
      <c r="C784" s="562" t="s">
        <v>796</v>
      </c>
      <c r="D784" s="562">
        <v>1</v>
      </c>
      <c r="E784" s="562">
        <v>5</v>
      </c>
      <c r="F784" s="562" t="s">
        <v>184</v>
      </c>
      <c r="G784" s="562" t="s">
        <v>191</v>
      </c>
      <c r="H784" s="562" t="s">
        <v>191</v>
      </c>
    </row>
    <row r="785" spans="1:8" x14ac:dyDescent="0.2">
      <c r="A785" s="562" t="s">
        <v>219</v>
      </c>
      <c r="B785" s="562" t="s">
        <v>802</v>
      </c>
      <c r="C785" s="562" t="s">
        <v>699</v>
      </c>
      <c r="D785" s="562">
        <v>1</v>
      </c>
      <c r="E785" s="562">
        <v>5</v>
      </c>
      <c r="F785" s="562" t="s">
        <v>184</v>
      </c>
      <c r="G785" s="562" t="s">
        <v>191</v>
      </c>
      <c r="H785" s="562" t="s">
        <v>191</v>
      </c>
    </row>
    <row r="786" spans="1:8" x14ac:dyDescent="0.2">
      <c r="A786" s="562" t="s">
        <v>219</v>
      </c>
      <c r="B786" s="562" t="s">
        <v>802</v>
      </c>
      <c r="C786" s="562" t="s">
        <v>841</v>
      </c>
      <c r="D786" s="562">
        <v>2</v>
      </c>
      <c r="E786" s="562">
        <v>4</v>
      </c>
      <c r="F786" s="562" t="s">
        <v>184</v>
      </c>
      <c r="G786" s="562" t="s">
        <v>191</v>
      </c>
      <c r="H786" s="562" t="s">
        <v>191</v>
      </c>
    </row>
    <row r="787" spans="1:8" x14ac:dyDescent="0.2">
      <c r="A787" s="562" t="s">
        <v>219</v>
      </c>
      <c r="B787" s="562" t="s">
        <v>802</v>
      </c>
      <c r="C787" s="562" t="s">
        <v>309</v>
      </c>
      <c r="D787" s="562">
        <v>1</v>
      </c>
      <c r="E787" s="562">
        <v>4</v>
      </c>
      <c r="F787" s="562" t="s">
        <v>184</v>
      </c>
      <c r="G787" s="562" t="s">
        <v>191</v>
      </c>
      <c r="H787" s="562" t="s">
        <v>191</v>
      </c>
    </row>
    <row r="788" spans="1:8" x14ac:dyDescent="0.2">
      <c r="A788" s="562" t="s">
        <v>219</v>
      </c>
      <c r="B788" s="562" t="s">
        <v>802</v>
      </c>
      <c r="C788" s="562" t="s">
        <v>700</v>
      </c>
      <c r="D788" s="562">
        <v>1</v>
      </c>
      <c r="E788" s="562">
        <v>5</v>
      </c>
      <c r="F788" s="562" t="s">
        <v>184</v>
      </c>
      <c r="G788" s="562" t="s">
        <v>191</v>
      </c>
      <c r="H788" s="562" t="s">
        <v>191</v>
      </c>
    </row>
    <row r="789" spans="1:8" x14ac:dyDescent="0.2">
      <c r="A789" s="562" t="s">
        <v>219</v>
      </c>
      <c r="B789" s="562" t="s">
        <v>802</v>
      </c>
      <c r="C789" s="562" t="s">
        <v>842</v>
      </c>
      <c r="D789" s="562">
        <v>1</v>
      </c>
      <c r="E789" s="562">
        <v>5</v>
      </c>
      <c r="F789" s="562" t="s">
        <v>184</v>
      </c>
      <c r="G789" s="562" t="s">
        <v>191</v>
      </c>
      <c r="H789" s="562" t="s">
        <v>191</v>
      </c>
    </row>
    <row r="790" spans="1:8" x14ac:dyDescent="0.2">
      <c r="A790" s="562" t="s">
        <v>219</v>
      </c>
      <c r="B790" s="562" t="s">
        <v>802</v>
      </c>
      <c r="C790" s="562" t="s">
        <v>415</v>
      </c>
      <c r="D790" s="562">
        <v>1</v>
      </c>
      <c r="E790" s="562">
        <v>5</v>
      </c>
      <c r="F790" s="562" t="s">
        <v>184</v>
      </c>
      <c r="G790" s="562" t="s">
        <v>191</v>
      </c>
      <c r="H790" s="562" t="s">
        <v>191</v>
      </c>
    </row>
    <row r="791" spans="1:8" x14ac:dyDescent="0.2">
      <c r="A791" s="562" t="s">
        <v>219</v>
      </c>
      <c r="B791" s="562" t="s">
        <v>802</v>
      </c>
      <c r="C791" s="562" t="s">
        <v>843</v>
      </c>
      <c r="D791" s="562">
        <v>1</v>
      </c>
      <c r="E791" s="562">
        <v>5</v>
      </c>
      <c r="F791" s="562" t="s">
        <v>184</v>
      </c>
      <c r="G791" s="562" t="s">
        <v>191</v>
      </c>
      <c r="H791" s="562" t="s">
        <v>191</v>
      </c>
    </row>
    <row r="792" spans="1:8" x14ac:dyDescent="0.2">
      <c r="A792" s="562" t="s">
        <v>221</v>
      </c>
      <c r="B792" s="562" t="s">
        <v>844</v>
      </c>
      <c r="C792" s="562" t="s">
        <v>845</v>
      </c>
      <c r="D792" s="562">
        <v>1</v>
      </c>
      <c r="E792" s="562">
        <v>5</v>
      </c>
      <c r="F792" s="562" t="s">
        <v>184</v>
      </c>
      <c r="G792" s="562" t="s">
        <v>191</v>
      </c>
      <c r="H792" s="562" t="s">
        <v>191</v>
      </c>
    </row>
    <row r="793" spans="1:8" x14ac:dyDescent="0.2">
      <c r="A793" s="562" t="s">
        <v>221</v>
      </c>
      <c r="B793" s="562" t="s">
        <v>844</v>
      </c>
      <c r="C793" s="562" t="s">
        <v>477</v>
      </c>
      <c r="D793" s="562">
        <v>1</v>
      </c>
      <c r="E793" s="562">
        <v>5</v>
      </c>
      <c r="F793" s="562" t="s">
        <v>184</v>
      </c>
      <c r="G793" s="562" t="s">
        <v>191</v>
      </c>
      <c r="H793" s="562" t="s">
        <v>191</v>
      </c>
    </row>
    <row r="794" spans="1:8" x14ac:dyDescent="0.2">
      <c r="A794" s="562" t="s">
        <v>221</v>
      </c>
      <c r="B794" s="562" t="s">
        <v>844</v>
      </c>
      <c r="C794" s="562" t="s">
        <v>846</v>
      </c>
      <c r="D794" s="562">
        <v>1</v>
      </c>
      <c r="E794" s="562">
        <v>6</v>
      </c>
      <c r="F794" s="562" t="s">
        <v>184</v>
      </c>
      <c r="G794" s="562" t="s">
        <v>191</v>
      </c>
      <c r="H794" s="562" t="s">
        <v>191</v>
      </c>
    </row>
    <row r="795" spans="1:8" x14ac:dyDescent="0.2">
      <c r="A795" s="562" t="s">
        <v>221</v>
      </c>
      <c r="B795" s="562" t="s">
        <v>844</v>
      </c>
      <c r="C795" s="562" t="s">
        <v>847</v>
      </c>
      <c r="D795" s="562">
        <v>1</v>
      </c>
      <c r="E795" s="562">
        <v>5</v>
      </c>
      <c r="F795" s="562" t="s">
        <v>184</v>
      </c>
      <c r="G795" s="562" t="s">
        <v>191</v>
      </c>
      <c r="H795" s="562" t="s">
        <v>191</v>
      </c>
    </row>
    <row r="796" spans="1:8" x14ac:dyDescent="0.2">
      <c r="A796" s="562" t="s">
        <v>221</v>
      </c>
      <c r="B796" s="562" t="s">
        <v>844</v>
      </c>
      <c r="C796" s="562" t="s">
        <v>848</v>
      </c>
      <c r="D796" s="562">
        <v>1</v>
      </c>
      <c r="E796" s="562">
        <v>5</v>
      </c>
      <c r="F796" s="562" t="s">
        <v>184</v>
      </c>
      <c r="G796" s="562" t="s">
        <v>191</v>
      </c>
      <c r="H796" s="562" t="s">
        <v>191</v>
      </c>
    </row>
    <row r="797" spans="1:8" x14ac:dyDescent="0.2">
      <c r="A797" s="562" t="s">
        <v>221</v>
      </c>
      <c r="B797" s="562" t="s">
        <v>844</v>
      </c>
      <c r="C797" s="562" t="s">
        <v>364</v>
      </c>
      <c r="D797" s="562">
        <v>1</v>
      </c>
      <c r="E797" s="562">
        <v>5</v>
      </c>
      <c r="F797" s="562" t="s">
        <v>184</v>
      </c>
      <c r="G797" s="562" t="s">
        <v>191</v>
      </c>
      <c r="H797" s="562" t="s">
        <v>191</v>
      </c>
    </row>
    <row r="798" spans="1:8" x14ac:dyDescent="0.2">
      <c r="A798" s="562" t="s">
        <v>221</v>
      </c>
      <c r="B798" s="562" t="s">
        <v>844</v>
      </c>
      <c r="C798" s="562" t="s">
        <v>849</v>
      </c>
      <c r="D798" s="562">
        <v>1</v>
      </c>
      <c r="E798" s="562">
        <v>6</v>
      </c>
      <c r="F798" s="562" t="s">
        <v>184</v>
      </c>
      <c r="G798" s="562" t="s">
        <v>191</v>
      </c>
      <c r="H798" s="562" t="s">
        <v>191</v>
      </c>
    </row>
    <row r="799" spans="1:8" x14ac:dyDescent="0.2">
      <c r="A799" s="562" t="s">
        <v>221</v>
      </c>
      <c r="B799" s="562" t="s">
        <v>844</v>
      </c>
      <c r="C799" s="562" t="s">
        <v>365</v>
      </c>
      <c r="D799" s="562">
        <v>1</v>
      </c>
      <c r="E799" s="562">
        <v>5</v>
      </c>
      <c r="F799" s="562" t="s">
        <v>184</v>
      </c>
      <c r="G799" s="562" t="s">
        <v>191</v>
      </c>
      <c r="H799" s="562" t="s">
        <v>191</v>
      </c>
    </row>
    <row r="800" spans="1:8" x14ac:dyDescent="0.2">
      <c r="A800" s="562" t="s">
        <v>221</v>
      </c>
      <c r="B800" s="562" t="s">
        <v>844</v>
      </c>
      <c r="C800" s="562" t="s">
        <v>850</v>
      </c>
      <c r="D800" s="562">
        <v>1</v>
      </c>
      <c r="E800" s="562">
        <v>6</v>
      </c>
      <c r="F800" s="562" t="s">
        <v>184</v>
      </c>
      <c r="G800" s="562" t="s">
        <v>191</v>
      </c>
      <c r="H800" s="562" t="s">
        <v>191</v>
      </c>
    </row>
    <row r="801" spans="1:8" x14ac:dyDescent="0.2">
      <c r="A801" s="562" t="s">
        <v>221</v>
      </c>
      <c r="B801" s="562" t="s">
        <v>844</v>
      </c>
      <c r="C801" s="562" t="s">
        <v>851</v>
      </c>
      <c r="D801" s="562">
        <v>1</v>
      </c>
      <c r="E801" s="562">
        <v>6</v>
      </c>
      <c r="F801" s="562" t="s">
        <v>184</v>
      </c>
      <c r="G801" s="562" t="s">
        <v>191</v>
      </c>
      <c r="H801" s="562" t="s">
        <v>191</v>
      </c>
    </row>
    <row r="802" spans="1:8" x14ac:dyDescent="0.2">
      <c r="A802" s="562" t="s">
        <v>221</v>
      </c>
      <c r="B802" s="562" t="s">
        <v>844</v>
      </c>
      <c r="C802" s="562" t="s">
        <v>852</v>
      </c>
      <c r="D802" s="562">
        <v>1</v>
      </c>
      <c r="E802" s="562">
        <v>6</v>
      </c>
      <c r="F802" s="562" t="s">
        <v>184</v>
      </c>
      <c r="G802" s="562" t="s">
        <v>191</v>
      </c>
      <c r="H802" s="562" t="s">
        <v>191</v>
      </c>
    </row>
    <row r="803" spans="1:8" x14ac:dyDescent="0.2">
      <c r="A803" s="562" t="s">
        <v>221</v>
      </c>
      <c r="B803" s="562" t="s">
        <v>844</v>
      </c>
      <c r="C803" s="562" t="s">
        <v>202</v>
      </c>
      <c r="D803" s="562">
        <v>1</v>
      </c>
      <c r="E803" s="562">
        <v>6</v>
      </c>
      <c r="F803" s="562" t="s">
        <v>184</v>
      </c>
      <c r="G803" s="562" t="s">
        <v>191</v>
      </c>
      <c r="H803" s="562" t="s">
        <v>191</v>
      </c>
    </row>
    <row r="804" spans="1:8" x14ac:dyDescent="0.2">
      <c r="A804" s="562" t="s">
        <v>221</v>
      </c>
      <c r="B804" s="562" t="s">
        <v>844</v>
      </c>
      <c r="C804" s="562" t="s">
        <v>204</v>
      </c>
      <c r="D804" s="562">
        <v>1</v>
      </c>
      <c r="E804" s="562">
        <v>6</v>
      </c>
      <c r="F804" s="562" t="s">
        <v>184</v>
      </c>
      <c r="G804" s="562" t="s">
        <v>191</v>
      </c>
      <c r="H804" s="562" t="s">
        <v>191</v>
      </c>
    </row>
    <row r="805" spans="1:8" x14ac:dyDescent="0.2">
      <c r="A805" s="562" t="s">
        <v>221</v>
      </c>
      <c r="B805" s="562" t="s">
        <v>844</v>
      </c>
      <c r="C805" s="562" t="s">
        <v>367</v>
      </c>
      <c r="D805" s="562">
        <v>1</v>
      </c>
      <c r="E805" s="562">
        <v>5</v>
      </c>
      <c r="F805" s="562" t="s">
        <v>184</v>
      </c>
      <c r="G805" s="562" t="s">
        <v>191</v>
      </c>
      <c r="H805" s="562" t="s">
        <v>191</v>
      </c>
    </row>
    <row r="806" spans="1:8" x14ac:dyDescent="0.2">
      <c r="A806" s="562" t="s">
        <v>221</v>
      </c>
      <c r="B806" s="562" t="s">
        <v>844</v>
      </c>
      <c r="C806" s="562" t="s">
        <v>752</v>
      </c>
      <c r="D806" s="562">
        <v>1</v>
      </c>
      <c r="E806" s="562">
        <v>5</v>
      </c>
      <c r="F806" s="562" t="s">
        <v>184</v>
      </c>
      <c r="G806" s="562" t="s">
        <v>191</v>
      </c>
      <c r="H806" s="562" t="s">
        <v>191</v>
      </c>
    </row>
    <row r="807" spans="1:8" x14ac:dyDescent="0.2">
      <c r="A807" s="562" t="s">
        <v>221</v>
      </c>
      <c r="B807" s="562" t="s">
        <v>844</v>
      </c>
      <c r="C807" s="562" t="s">
        <v>853</v>
      </c>
      <c r="D807" s="562">
        <v>1</v>
      </c>
      <c r="E807" s="562">
        <v>5</v>
      </c>
      <c r="F807" s="562" t="s">
        <v>184</v>
      </c>
      <c r="G807" s="562" t="s">
        <v>191</v>
      </c>
      <c r="H807" s="562" t="s">
        <v>191</v>
      </c>
    </row>
    <row r="808" spans="1:8" x14ac:dyDescent="0.2">
      <c r="A808" s="562" t="s">
        <v>221</v>
      </c>
      <c r="B808" s="562" t="s">
        <v>844</v>
      </c>
      <c r="C808" s="562" t="s">
        <v>854</v>
      </c>
      <c r="D808" s="562">
        <v>1</v>
      </c>
      <c r="E808" s="562">
        <v>6</v>
      </c>
      <c r="F808" s="562" t="s">
        <v>184</v>
      </c>
      <c r="G808" s="562" t="s">
        <v>191</v>
      </c>
      <c r="H808" s="562" t="s">
        <v>191</v>
      </c>
    </row>
    <row r="809" spans="1:8" x14ac:dyDescent="0.2">
      <c r="A809" s="562" t="s">
        <v>221</v>
      </c>
      <c r="B809" s="562" t="s">
        <v>844</v>
      </c>
      <c r="C809" s="562" t="s">
        <v>208</v>
      </c>
      <c r="D809" s="562">
        <v>1</v>
      </c>
      <c r="E809" s="562">
        <v>6</v>
      </c>
      <c r="F809" s="562" t="s">
        <v>184</v>
      </c>
      <c r="G809" s="562" t="s">
        <v>191</v>
      </c>
      <c r="H809" s="562" t="s">
        <v>191</v>
      </c>
    </row>
    <row r="810" spans="1:8" x14ac:dyDescent="0.2">
      <c r="A810" s="562" t="s">
        <v>221</v>
      </c>
      <c r="B810" s="562" t="s">
        <v>844</v>
      </c>
      <c r="C810" s="562" t="s">
        <v>855</v>
      </c>
      <c r="D810" s="562">
        <v>1</v>
      </c>
      <c r="E810" s="562">
        <v>6</v>
      </c>
      <c r="F810" s="562" t="s">
        <v>184</v>
      </c>
      <c r="G810" s="562" t="s">
        <v>191</v>
      </c>
      <c r="H810" s="562" t="s">
        <v>191</v>
      </c>
    </row>
    <row r="811" spans="1:8" x14ac:dyDescent="0.2">
      <c r="A811" s="562" t="s">
        <v>221</v>
      </c>
      <c r="B811" s="562" t="s">
        <v>844</v>
      </c>
      <c r="C811" s="562" t="s">
        <v>214</v>
      </c>
      <c r="D811" s="562">
        <v>1</v>
      </c>
      <c r="E811" s="562">
        <v>5</v>
      </c>
      <c r="F811" s="562" t="s">
        <v>184</v>
      </c>
      <c r="G811" s="562" t="s">
        <v>191</v>
      </c>
      <c r="H811" s="562" t="s">
        <v>191</v>
      </c>
    </row>
    <row r="812" spans="1:8" x14ac:dyDescent="0.2">
      <c r="A812" s="562" t="s">
        <v>221</v>
      </c>
      <c r="B812" s="562" t="s">
        <v>844</v>
      </c>
      <c r="C812" s="562" t="s">
        <v>216</v>
      </c>
      <c r="D812" s="562">
        <v>1</v>
      </c>
      <c r="E812" s="562">
        <v>6</v>
      </c>
      <c r="F812" s="562" t="s">
        <v>184</v>
      </c>
      <c r="G812" s="562" t="s">
        <v>191</v>
      </c>
      <c r="H812" s="562" t="s">
        <v>191</v>
      </c>
    </row>
    <row r="813" spans="1:8" x14ac:dyDescent="0.2">
      <c r="A813" s="562" t="s">
        <v>221</v>
      </c>
      <c r="B813" s="562" t="s">
        <v>844</v>
      </c>
      <c r="C813" s="562" t="s">
        <v>620</v>
      </c>
      <c r="D813" s="562">
        <v>1</v>
      </c>
      <c r="E813" s="562">
        <v>6</v>
      </c>
      <c r="F813" s="562" t="s">
        <v>184</v>
      </c>
      <c r="G813" s="562" t="s">
        <v>191</v>
      </c>
      <c r="H813" s="562" t="s">
        <v>191</v>
      </c>
    </row>
    <row r="814" spans="1:8" x14ac:dyDescent="0.2">
      <c r="A814" s="562" t="s">
        <v>221</v>
      </c>
      <c r="B814" s="562" t="s">
        <v>844</v>
      </c>
      <c r="C814" s="562" t="s">
        <v>755</v>
      </c>
      <c r="D814" s="562">
        <v>1</v>
      </c>
      <c r="E814" s="562">
        <v>5</v>
      </c>
      <c r="F814" s="562" t="s">
        <v>184</v>
      </c>
      <c r="G814" s="562" t="s">
        <v>191</v>
      </c>
      <c r="H814" s="562" t="s">
        <v>191</v>
      </c>
    </row>
    <row r="815" spans="1:8" x14ac:dyDescent="0.2">
      <c r="A815" s="562" t="s">
        <v>221</v>
      </c>
      <c r="B815" s="562" t="s">
        <v>844</v>
      </c>
      <c r="C815" s="562" t="s">
        <v>374</v>
      </c>
      <c r="D815" s="562">
        <v>1</v>
      </c>
      <c r="E815" s="562">
        <v>5</v>
      </c>
      <c r="F815" s="562" t="s">
        <v>184</v>
      </c>
      <c r="G815" s="562" t="s">
        <v>191</v>
      </c>
      <c r="H815" s="562" t="s">
        <v>191</v>
      </c>
    </row>
    <row r="816" spans="1:8" x14ac:dyDescent="0.2">
      <c r="A816" s="562" t="s">
        <v>221</v>
      </c>
      <c r="B816" s="562" t="s">
        <v>844</v>
      </c>
      <c r="C816" s="562" t="s">
        <v>236</v>
      </c>
      <c r="D816" s="562">
        <v>1</v>
      </c>
      <c r="E816" s="562">
        <v>5</v>
      </c>
      <c r="F816" s="562" t="s">
        <v>184</v>
      </c>
      <c r="G816" s="562" t="s">
        <v>191</v>
      </c>
      <c r="H816" s="562" t="s">
        <v>191</v>
      </c>
    </row>
    <row r="817" spans="1:8" x14ac:dyDescent="0.2">
      <c r="A817" s="562" t="s">
        <v>221</v>
      </c>
      <c r="B817" s="562" t="s">
        <v>844</v>
      </c>
      <c r="C817" s="562" t="s">
        <v>856</v>
      </c>
      <c r="D817" s="562">
        <v>1</v>
      </c>
      <c r="E817" s="562">
        <v>5</v>
      </c>
      <c r="F817" s="562" t="s">
        <v>184</v>
      </c>
      <c r="G817" s="562" t="s">
        <v>191</v>
      </c>
      <c r="H817" s="562" t="s">
        <v>191</v>
      </c>
    </row>
    <row r="818" spans="1:8" x14ac:dyDescent="0.2">
      <c r="A818" s="562" t="s">
        <v>221</v>
      </c>
      <c r="B818" s="562" t="s">
        <v>844</v>
      </c>
      <c r="C818" s="562" t="s">
        <v>629</v>
      </c>
      <c r="D818" s="562">
        <v>1</v>
      </c>
      <c r="E818" s="562">
        <v>5</v>
      </c>
      <c r="F818" s="562" t="s">
        <v>184</v>
      </c>
      <c r="G818" s="562" t="s">
        <v>191</v>
      </c>
      <c r="H818" s="562" t="s">
        <v>191</v>
      </c>
    </row>
    <row r="819" spans="1:8" x14ac:dyDescent="0.2">
      <c r="A819" s="562" t="s">
        <v>221</v>
      </c>
      <c r="B819" s="562" t="s">
        <v>844</v>
      </c>
      <c r="C819" s="562" t="s">
        <v>808</v>
      </c>
      <c r="D819" s="562">
        <v>1</v>
      </c>
      <c r="E819" s="562">
        <v>6</v>
      </c>
      <c r="F819" s="562" t="s">
        <v>184</v>
      </c>
      <c r="G819" s="562" t="s">
        <v>191</v>
      </c>
      <c r="H819" s="562" t="s">
        <v>191</v>
      </c>
    </row>
    <row r="820" spans="1:8" x14ac:dyDescent="0.2">
      <c r="A820" s="562" t="s">
        <v>221</v>
      </c>
      <c r="B820" s="562" t="s">
        <v>844</v>
      </c>
      <c r="C820" s="562" t="s">
        <v>857</v>
      </c>
      <c r="D820" s="562">
        <v>1</v>
      </c>
      <c r="E820" s="562">
        <v>5</v>
      </c>
      <c r="F820" s="562" t="s">
        <v>184</v>
      </c>
      <c r="G820" s="562" t="s">
        <v>191</v>
      </c>
      <c r="H820" s="562" t="s">
        <v>191</v>
      </c>
    </row>
    <row r="821" spans="1:8" x14ac:dyDescent="0.2">
      <c r="A821" s="562" t="s">
        <v>221</v>
      </c>
      <c r="B821" s="562" t="s">
        <v>844</v>
      </c>
      <c r="C821" s="562" t="s">
        <v>858</v>
      </c>
      <c r="D821" s="562">
        <v>1</v>
      </c>
      <c r="E821" s="562">
        <v>6</v>
      </c>
      <c r="F821" s="562" t="s">
        <v>184</v>
      </c>
      <c r="G821" s="562" t="s">
        <v>191</v>
      </c>
      <c r="H821" s="562" t="s">
        <v>191</v>
      </c>
    </row>
    <row r="822" spans="1:8" x14ac:dyDescent="0.2">
      <c r="A822" s="562" t="s">
        <v>221</v>
      </c>
      <c r="B822" s="562" t="s">
        <v>844</v>
      </c>
      <c r="C822" s="562" t="s">
        <v>859</v>
      </c>
      <c r="D822" s="562">
        <v>1</v>
      </c>
      <c r="E822" s="562">
        <v>5</v>
      </c>
      <c r="F822" s="562" t="s">
        <v>184</v>
      </c>
      <c r="G822" s="562" t="s">
        <v>191</v>
      </c>
      <c r="H822" s="562" t="s">
        <v>191</v>
      </c>
    </row>
    <row r="823" spans="1:8" x14ac:dyDescent="0.2">
      <c r="A823" s="562" t="s">
        <v>221</v>
      </c>
      <c r="B823" s="562" t="s">
        <v>844</v>
      </c>
      <c r="C823" s="562" t="s">
        <v>860</v>
      </c>
      <c r="D823" s="562">
        <v>1</v>
      </c>
      <c r="E823" s="562">
        <v>6</v>
      </c>
      <c r="F823" s="562" t="s">
        <v>184</v>
      </c>
      <c r="G823" s="562" t="s">
        <v>191</v>
      </c>
      <c r="H823" s="562" t="s">
        <v>191</v>
      </c>
    </row>
    <row r="824" spans="1:8" x14ac:dyDescent="0.2">
      <c r="A824" s="562" t="s">
        <v>221</v>
      </c>
      <c r="B824" s="562" t="s">
        <v>844</v>
      </c>
      <c r="C824" s="562" t="s">
        <v>246</v>
      </c>
      <c r="D824" s="562">
        <v>1</v>
      </c>
      <c r="E824" s="562">
        <v>6</v>
      </c>
      <c r="F824" s="562" t="s">
        <v>184</v>
      </c>
      <c r="G824" s="562" t="s">
        <v>191</v>
      </c>
      <c r="H824" s="562" t="s">
        <v>191</v>
      </c>
    </row>
    <row r="825" spans="1:8" x14ac:dyDescent="0.2">
      <c r="A825" s="562" t="s">
        <v>221</v>
      </c>
      <c r="B825" s="562" t="s">
        <v>844</v>
      </c>
      <c r="C825" s="562" t="s">
        <v>640</v>
      </c>
      <c r="D825" s="562">
        <v>1</v>
      </c>
      <c r="E825" s="562">
        <v>6</v>
      </c>
      <c r="F825" s="562" t="s">
        <v>184</v>
      </c>
      <c r="G825" s="562" t="s">
        <v>191</v>
      </c>
      <c r="H825" s="562" t="s">
        <v>191</v>
      </c>
    </row>
    <row r="826" spans="1:8" x14ac:dyDescent="0.2">
      <c r="A826" s="562" t="s">
        <v>221</v>
      </c>
      <c r="B826" s="562" t="s">
        <v>844</v>
      </c>
      <c r="C826" s="562" t="s">
        <v>248</v>
      </c>
      <c r="D826" s="562">
        <v>1</v>
      </c>
      <c r="E826" s="562">
        <v>6</v>
      </c>
      <c r="F826" s="562" t="s">
        <v>184</v>
      </c>
      <c r="G826" s="562" t="s">
        <v>191</v>
      </c>
      <c r="H826" s="562" t="s">
        <v>191</v>
      </c>
    </row>
    <row r="827" spans="1:8" x14ac:dyDescent="0.2">
      <c r="A827" s="562" t="s">
        <v>221</v>
      </c>
      <c r="B827" s="562" t="s">
        <v>844</v>
      </c>
      <c r="C827" s="562" t="s">
        <v>499</v>
      </c>
      <c r="D827" s="562">
        <v>1</v>
      </c>
      <c r="E827" s="562">
        <v>5</v>
      </c>
      <c r="F827" s="562" t="s">
        <v>184</v>
      </c>
      <c r="G827" s="562" t="s">
        <v>191</v>
      </c>
      <c r="H827" s="562" t="s">
        <v>191</v>
      </c>
    </row>
    <row r="828" spans="1:8" x14ac:dyDescent="0.2">
      <c r="A828" s="562" t="s">
        <v>221</v>
      </c>
      <c r="B828" s="562" t="s">
        <v>844</v>
      </c>
      <c r="C828" s="562" t="s">
        <v>252</v>
      </c>
      <c r="D828" s="562">
        <v>1</v>
      </c>
      <c r="E828" s="562">
        <v>5</v>
      </c>
      <c r="F828" s="562" t="s">
        <v>184</v>
      </c>
      <c r="G828" s="562" t="s">
        <v>191</v>
      </c>
      <c r="H828" s="562" t="s">
        <v>191</v>
      </c>
    </row>
    <row r="829" spans="1:8" x14ac:dyDescent="0.2">
      <c r="A829" s="562" t="s">
        <v>221</v>
      </c>
      <c r="B829" s="562" t="s">
        <v>844</v>
      </c>
      <c r="C829" s="562" t="s">
        <v>764</v>
      </c>
      <c r="D829" s="562">
        <v>1</v>
      </c>
      <c r="E829" s="562">
        <v>6</v>
      </c>
      <c r="F829" s="562" t="s">
        <v>184</v>
      </c>
      <c r="G829" s="562" t="s">
        <v>191</v>
      </c>
      <c r="H829" s="562" t="s">
        <v>191</v>
      </c>
    </row>
    <row r="830" spans="1:8" x14ac:dyDescent="0.2">
      <c r="A830" s="562" t="s">
        <v>221</v>
      </c>
      <c r="B830" s="562" t="s">
        <v>844</v>
      </c>
      <c r="C830" s="562" t="s">
        <v>861</v>
      </c>
      <c r="D830" s="562">
        <v>1</v>
      </c>
      <c r="E830" s="562">
        <v>5</v>
      </c>
      <c r="F830" s="562" t="s">
        <v>184</v>
      </c>
      <c r="G830" s="562" t="s">
        <v>191</v>
      </c>
      <c r="H830" s="562" t="s">
        <v>191</v>
      </c>
    </row>
    <row r="831" spans="1:8" x14ac:dyDescent="0.2">
      <c r="A831" s="562" t="s">
        <v>221</v>
      </c>
      <c r="B831" s="562" t="s">
        <v>844</v>
      </c>
      <c r="C831" s="562" t="s">
        <v>565</v>
      </c>
      <c r="D831" s="562">
        <v>1</v>
      </c>
      <c r="E831" s="562">
        <v>6</v>
      </c>
      <c r="F831" s="562" t="s">
        <v>184</v>
      </c>
      <c r="G831" s="562" t="s">
        <v>191</v>
      </c>
      <c r="H831" s="562" t="s">
        <v>191</v>
      </c>
    </row>
    <row r="832" spans="1:8" x14ac:dyDescent="0.2">
      <c r="A832" s="562" t="s">
        <v>221</v>
      </c>
      <c r="B832" s="562" t="s">
        <v>844</v>
      </c>
      <c r="C832" s="562" t="s">
        <v>650</v>
      </c>
      <c r="D832" s="562">
        <v>1</v>
      </c>
      <c r="E832" s="562">
        <v>6</v>
      </c>
      <c r="F832" s="562" t="s">
        <v>184</v>
      </c>
      <c r="G832" s="562" t="s">
        <v>191</v>
      </c>
      <c r="H832" s="562" t="s">
        <v>191</v>
      </c>
    </row>
    <row r="833" spans="1:8" x14ac:dyDescent="0.2">
      <c r="A833" s="562" t="s">
        <v>221</v>
      </c>
      <c r="B833" s="562" t="s">
        <v>844</v>
      </c>
      <c r="C833" s="562" t="s">
        <v>765</v>
      </c>
      <c r="D833" s="562">
        <v>1</v>
      </c>
      <c r="E833" s="562">
        <v>6</v>
      </c>
      <c r="F833" s="562" t="s">
        <v>184</v>
      </c>
      <c r="G833" s="562" t="s">
        <v>191</v>
      </c>
      <c r="H833" s="562" t="s">
        <v>191</v>
      </c>
    </row>
    <row r="834" spans="1:8" x14ac:dyDescent="0.2">
      <c r="A834" s="562" t="s">
        <v>221</v>
      </c>
      <c r="B834" s="562" t="s">
        <v>844</v>
      </c>
      <c r="C834" s="562" t="s">
        <v>813</v>
      </c>
      <c r="D834" s="562">
        <v>1</v>
      </c>
      <c r="E834" s="562">
        <v>5</v>
      </c>
      <c r="F834" s="562" t="s">
        <v>184</v>
      </c>
      <c r="G834" s="562" t="s">
        <v>191</v>
      </c>
      <c r="H834" s="562" t="s">
        <v>191</v>
      </c>
    </row>
    <row r="835" spans="1:8" x14ac:dyDescent="0.2">
      <c r="A835" s="562" t="s">
        <v>221</v>
      </c>
      <c r="B835" s="562" t="s">
        <v>844</v>
      </c>
      <c r="C835" s="562" t="s">
        <v>256</v>
      </c>
      <c r="D835" s="562">
        <v>1</v>
      </c>
      <c r="E835" s="562">
        <v>5</v>
      </c>
      <c r="F835" s="562" t="s">
        <v>184</v>
      </c>
      <c r="G835" s="562" t="s">
        <v>191</v>
      </c>
      <c r="H835" s="562" t="s">
        <v>191</v>
      </c>
    </row>
    <row r="836" spans="1:8" x14ac:dyDescent="0.2">
      <c r="A836" s="562" t="s">
        <v>221</v>
      </c>
      <c r="B836" s="562" t="s">
        <v>844</v>
      </c>
      <c r="C836" s="562" t="s">
        <v>385</v>
      </c>
      <c r="D836" s="562">
        <v>1</v>
      </c>
      <c r="E836" s="562">
        <v>6</v>
      </c>
      <c r="F836" s="562" t="s">
        <v>184</v>
      </c>
      <c r="G836" s="562" t="s">
        <v>191</v>
      </c>
      <c r="H836" s="562" t="s">
        <v>191</v>
      </c>
    </row>
    <row r="837" spans="1:8" x14ac:dyDescent="0.2">
      <c r="A837" s="562" t="s">
        <v>221</v>
      </c>
      <c r="B837" s="562" t="s">
        <v>844</v>
      </c>
      <c r="C837" s="562" t="s">
        <v>431</v>
      </c>
      <c r="D837" s="562">
        <v>1</v>
      </c>
      <c r="E837" s="562">
        <v>6</v>
      </c>
      <c r="F837" s="562" t="s">
        <v>184</v>
      </c>
      <c r="G837" s="562" t="s">
        <v>191</v>
      </c>
      <c r="H837" s="562" t="s">
        <v>191</v>
      </c>
    </row>
    <row r="838" spans="1:8" x14ac:dyDescent="0.2">
      <c r="A838" s="562" t="s">
        <v>221</v>
      </c>
      <c r="B838" s="562" t="s">
        <v>844</v>
      </c>
      <c r="C838" s="562" t="s">
        <v>862</v>
      </c>
      <c r="D838" s="562">
        <v>1</v>
      </c>
      <c r="E838" s="562">
        <v>6</v>
      </c>
      <c r="F838" s="562" t="s">
        <v>184</v>
      </c>
      <c r="G838" s="562" t="s">
        <v>191</v>
      </c>
      <c r="H838" s="562" t="s">
        <v>191</v>
      </c>
    </row>
    <row r="839" spans="1:8" x14ac:dyDescent="0.2">
      <c r="A839" s="562" t="s">
        <v>221</v>
      </c>
      <c r="B839" s="562" t="s">
        <v>844</v>
      </c>
      <c r="C839" s="562" t="s">
        <v>863</v>
      </c>
      <c r="D839" s="562">
        <v>1</v>
      </c>
      <c r="E839" s="562">
        <v>5</v>
      </c>
      <c r="F839" s="562" t="s">
        <v>184</v>
      </c>
      <c r="G839" s="562" t="s">
        <v>191</v>
      </c>
      <c r="H839" s="562" t="s">
        <v>191</v>
      </c>
    </row>
    <row r="840" spans="1:8" x14ac:dyDescent="0.2">
      <c r="A840" s="562" t="s">
        <v>221</v>
      </c>
      <c r="B840" s="562" t="s">
        <v>844</v>
      </c>
      <c r="C840" s="562" t="s">
        <v>259</v>
      </c>
      <c r="D840" s="562">
        <v>1</v>
      </c>
      <c r="E840" s="562">
        <v>5</v>
      </c>
      <c r="F840" s="562" t="s">
        <v>184</v>
      </c>
      <c r="G840" s="562" t="s">
        <v>191</v>
      </c>
      <c r="H840" s="562" t="s">
        <v>191</v>
      </c>
    </row>
    <row r="841" spans="1:8" x14ac:dyDescent="0.2">
      <c r="A841" s="562" t="s">
        <v>221</v>
      </c>
      <c r="B841" s="562" t="s">
        <v>844</v>
      </c>
      <c r="C841" s="562" t="s">
        <v>656</v>
      </c>
      <c r="D841" s="562">
        <v>1</v>
      </c>
      <c r="E841" s="562">
        <v>5</v>
      </c>
      <c r="F841" s="562" t="s">
        <v>184</v>
      </c>
      <c r="G841" s="562" t="s">
        <v>191</v>
      </c>
      <c r="H841" s="562" t="s">
        <v>191</v>
      </c>
    </row>
    <row r="842" spans="1:8" x14ac:dyDescent="0.2">
      <c r="A842" s="562" t="s">
        <v>221</v>
      </c>
      <c r="B842" s="562" t="s">
        <v>844</v>
      </c>
      <c r="C842" s="562" t="s">
        <v>261</v>
      </c>
      <c r="D842" s="562">
        <v>1</v>
      </c>
      <c r="E842" s="562">
        <v>5</v>
      </c>
      <c r="F842" s="562" t="s">
        <v>184</v>
      </c>
      <c r="G842" s="562" t="s">
        <v>191</v>
      </c>
      <c r="H842" s="562" t="s">
        <v>191</v>
      </c>
    </row>
    <row r="843" spans="1:8" x14ac:dyDescent="0.2">
      <c r="A843" s="562" t="s">
        <v>221</v>
      </c>
      <c r="B843" s="562" t="s">
        <v>844</v>
      </c>
      <c r="C843" s="562" t="s">
        <v>388</v>
      </c>
      <c r="D843" s="562">
        <v>1</v>
      </c>
      <c r="E843" s="562">
        <v>5</v>
      </c>
      <c r="F843" s="562" t="s">
        <v>184</v>
      </c>
      <c r="G843" s="562" t="s">
        <v>191</v>
      </c>
      <c r="H843" s="562" t="s">
        <v>191</v>
      </c>
    </row>
    <row r="844" spans="1:8" x14ac:dyDescent="0.2">
      <c r="A844" s="562" t="s">
        <v>221</v>
      </c>
      <c r="B844" s="562" t="s">
        <v>844</v>
      </c>
      <c r="C844" s="562" t="s">
        <v>659</v>
      </c>
      <c r="D844" s="562">
        <v>1</v>
      </c>
      <c r="E844" s="562">
        <v>5</v>
      </c>
      <c r="F844" s="562" t="s">
        <v>184</v>
      </c>
      <c r="G844" s="562" t="s">
        <v>191</v>
      </c>
      <c r="H844" s="562" t="s">
        <v>191</v>
      </c>
    </row>
    <row r="845" spans="1:8" x14ac:dyDescent="0.2">
      <c r="A845" s="562" t="s">
        <v>221</v>
      </c>
      <c r="B845" s="562" t="s">
        <v>844</v>
      </c>
      <c r="C845" s="562" t="s">
        <v>864</v>
      </c>
      <c r="D845" s="562">
        <v>1</v>
      </c>
      <c r="E845" s="562">
        <v>5</v>
      </c>
      <c r="F845" s="562" t="s">
        <v>184</v>
      </c>
      <c r="G845" s="562" t="s">
        <v>191</v>
      </c>
      <c r="H845" s="562" t="s">
        <v>191</v>
      </c>
    </row>
    <row r="846" spans="1:8" x14ac:dyDescent="0.2">
      <c r="A846" s="562" t="s">
        <v>221</v>
      </c>
      <c r="B846" s="562" t="s">
        <v>844</v>
      </c>
      <c r="C846" s="562" t="s">
        <v>865</v>
      </c>
      <c r="D846" s="562">
        <v>1</v>
      </c>
      <c r="E846" s="562">
        <v>6</v>
      </c>
      <c r="F846" s="562" t="s">
        <v>184</v>
      </c>
      <c r="G846" s="562" t="s">
        <v>191</v>
      </c>
      <c r="H846" s="562" t="s">
        <v>191</v>
      </c>
    </row>
    <row r="847" spans="1:8" x14ac:dyDescent="0.2">
      <c r="A847" s="562" t="s">
        <v>221</v>
      </c>
      <c r="B847" s="562" t="s">
        <v>844</v>
      </c>
      <c r="C847" s="562" t="s">
        <v>269</v>
      </c>
      <c r="D847" s="562">
        <v>1</v>
      </c>
      <c r="E847" s="562">
        <v>5</v>
      </c>
      <c r="F847" s="562" t="s">
        <v>184</v>
      </c>
      <c r="G847" s="562" t="s">
        <v>191</v>
      </c>
      <c r="H847" s="562" t="s">
        <v>191</v>
      </c>
    </row>
    <row r="848" spans="1:8" x14ac:dyDescent="0.2">
      <c r="A848" s="562" t="s">
        <v>221</v>
      </c>
      <c r="B848" s="562" t="s">
        <v>844</v>
      </c>
      <c r="C848" s="562" t="s">
        <v>866</v>
      </c>
      <c r="D848" s="562">
        <v>1</v>
      </c>
      <c r="E848" s="562">
        <v>5</v>
      </c>
      <c r="F848" s="562" t="s">
        <v>184</v>
      </c>
      <c r="G848" s="562" t="s">
        <v>191</v>
      </c>
      <c r="H848" s="562" t="s">
        <v>191</v>
      </c>
    </row>
    <row r="849" spans="1:8" x14ac:dyDescent="0.2">
      <c r="A849" s="562" t="s">
        <v>221</v>
      </c>
      <c r="B849" s="562" t="s">
        <v>844</v>
      </c>
      <c r="C849" s="562" t="s">
        <v>867</v>
      </c>
      <c r="D849" s="562">
        <v>1</v>
      </c>
      <c r="E849" s="562">
        <v>5</v>
      </c>
      <c r="F849" s="562" t="s">
        <v>184</v>
      </c>
      <c r="G849" s="562" t="s">
        <v>191</v>
      </c>
      <c r="H849" s="562" t="s">
        <v>191</v>
      </c>
    </row>
    <row r="850" spans="1:8" x14ac:dyDescent="0.2">
      <c r="A850" s="562" t="s">
        <v>221</v>
      </c>
      <c r="B850" s="562" t="s">
        <v>844</v>
      </c>
      <c r="C850" s="562" t="s">
        <v>868</v>
      </c>
      <c r="D850" s="562">
        <v>1</v>
      </c>
      <c r="E850" s="562">
        <v>5</v>
      </c>
      <c r="F850" s="562" t="s">
        <v>184</v>
      </c>
      <c r="G850" s="562" t="s">
        <v>191</v>
      </c>
      <c r="H850" s="562" t="s">
        <v>191</v>
      </c>
    </row>
    <row r="851" spans="1:8" x14ac:dyDescent="0.2">
      <c r="A851" s="562" t="s">
        <v>221</v>
      </c>
      <c r="B851" s="562" t="s">
        <v>844</v>
      </c>
      <c r="C851" s="562" t="s">
        <v>869</v>
      </c>
      <c r="D851" s="562">
        <v>1</v>
      </c>
      <c r="E851" s="562">
        <v>6</v>
      </c>
      <c r="F851" s="562" t="s">
        <v>184</v>
      </c>
      <c r="G851" s="562" t="s">
        <v>191</v>
      </c>
      <c r="H851" s="562" t="s">
        <v>191</v>
      </c>
    </row>
    <row r="852" spans="1:8" x14ac:dyDescent="0.2">
      <c r="A852" s="562" t="s">
        <v>221</v>
      </c>
      <c r="B852" s="562" t="s">
        <v>844</v>
      </c>
      <c r="C852" s="562" t="s">
        <v>277</v>
      </c>
      <c r="D852" s="562">
        <v>1</v>
      </c>
      <c r="E852" s="562">
        <v>5</v>
      </c>
      <c r="F852" s="562" t="s">
        <v>184</v>
      </c>
      <c r="G852" s="562" t="s">
        <v>191</v>
      </c>
      <c r="H852" s="562" t="s">
        <v>191</v>
      </c>
    </row>
    <row r="853" spans="1:8" x14ac:dyDescent="0.2">
      <c r="A853" s="562" t="s">
        <v>221</v>
      </c>
      <c r="B853" s="562" t="s">
        <v>844</v>
      </c>
      <c r="C853" s="562" t="s">
        <v>870</v>
      </c>
      <c r="D853" s="562">
        <v>1</v>
      </c>
      <c r="E853" s="562">
        <v>5</v>
      </c>
      <c r="F853" s="562" t="s">
        <v>184</v>
      </c>
      <c r="G853" s="562" t="s">
        <v>191</v>
      </c>
      <c r="H853" s="562" t="s">
        <v>191</v>
      </c>
    </row>
    <row r="854" spans="1:8" x14ac:dyDescent="0.2">
      <c r="A854" s="562" t="s">
        <v>221</v>
      </c>
      <c r="B854" s="562" t="s">
        <v>844</v>
      </c>
      <c r="C854" s="562" t="s">
        <v>281</v>
      </c>
      <c r="D854" s="562">
        <v>1</v>
      </c>
      <c r="E854" s="562">
        <v>5</v>
      </c>
      <c r="F854" s="562" t="s">
        <v>184</v>
      </c>
      <c r="G854" s="562" t="s">
        <v>191</v>
      </c>
      <c r="H854" s="562" t="s">
        <v>191</v>
      </c>
    </row>
    <row r="855" spans="1:8" x14ac:dyDescent="0.2">
      <c r="A855" s="562" t="s">
        <v>221</v>
      </c>
      <c r="B855" s="562" t="s">
        <v>844</v>
      </c>
      <c r="C855" s="562" t="s">
        <v>283</v>
      </c>
      <c r="D855" s="562">
        <v>1</v>
      </c>
      <c r="E855" s="562">
        <v>5</v>
      </c>
      <c r="F855" s="562" t="s">
        <v>184</v>
      </c>
      <c r="G855" s="562" t="s">
        <v>191</v>
      </c>
      <c r="H855" s="562" t="s">
        <v>191</v>
      </c>
    </row>
    <row r="856" spans="1:8" x14ac:dyDescent="0.2">
      <c r="A856" s="562" t="s">
        <v>221</v>
      </c>
      <c r="B856" s="562" t="s">
        <v>844</v>
      </c>
      <c r="C856" s="562" t="s">
        <v>871</v>
      </c>
      <c r="D856" s="562">
        <v>1</v>
      </c>
      <c r="E856" s="562">
        <v>5</v>
      </c>
      <c r="F856" s="562" t="s">
        <v>184</v>
      </c>
      <c r="G856" s="562" t="s">
        <v>191</v>
      </c>
      <c r="H856" s="562" t="s">
        <v>191</v>
      </c>
    </row>
    <row r="857" spans="1:8" x14ac:dyDescent="0.2">
      <c r="A857" s="562" t="s">
        <v>221</v>
      </c>
      <c r="B857" s="562" t="s">
        <v>844</v>
      </c>
      <c r="C857" s="562" t="s">
        <v>667</v>
      </c>
      <c r="D857" s="562">
        <v>1</v>
      </c>
      <c r="E857" s="562">
        <v>6</v>
      </c>
      <c r="F857" s="562" t="s">
        <v>184</v>
      </c>
      <c r="G857" s="562" t="s">
        <v>191</v>
      </c>
      <c r="H857" s="562" t="s">
        <v>191</v>
      </c>
    </row>
    <row r="858" spans="1:8" x14ac:dyDescent="0.2">
      <c r="A858" s="562" t="s">
        <v>221</v>
      </c>
      <c r="B858" s="562" t="s">
        <v>844</v>
      </c>
      <c r="C858" s="562" t="s">
        <v>872</v>
      </c>
      <c r="D858" s="562">
        <v>1</v>
      </c>
      <c r="E858" s="562">
        <v>5</v>
      </c>
      <c r="F858" s="562" t="s">
        <v>184</v>
      </c>
      <c r="G858" s="562" t="s">
        <v>191</v>
      </c>
      <c r="H858" s="562" t="s">
        <v>191</v>
      </c>
    </row>
    <row r="859" spans="1:8" x14ac:dyDescent="0.2">
      <c r="A859" s="562" t="s">
        <v>221</v>
      </c>
      <c r="B859" s="562" t="s">
        <v>844</v>
      </c>
      <c r="C859" s="562" t="s">
        <v>287</v>
      </c>
      <c r="D859" s="562">
        <v>1</v>
      </c>
      <c r="E859" s="562">
        <v>5</v>
      </c>
      <c r="F859" s="562" t="s">
        <v>184</v>
      </c>
      <c r="G859" s="562" t="s">
        <v>191</v>
      </c>
      <c r="H859" s="562" t="s">
        <v>191</v>
      </c>
    </row>
    <row r="860" spans="1:8" x14ac:dyDescent="0.2">
      <c r="A860" s="562" t="s">
        <v>221</v>
      </c>
      <c r="B860" s="562" t="s">
        <v>844</v>
      </c>
      <c r="C860" s="562" t="s">
        <v>289</v>
      </c>
      <c r="D860" s="562">
        <v>1</v>
      </c>
      <c r="E860" s="562">
        <v>5</v>
      </c>
      <c r="F860" s="562" t="s">
        <v>184</v>
      </c>
      <c r="G860" s="562" t="s">
        <v>191</v>
      </c>
      <c r="H860" s="562" t="s">
        <v>191</v>
      </c>
    </row>
    <row r="861" spans="1:8" x14ac:dyDescent="0.2">
      <c r="A861" s="562" t="s">
        <v>221</v>
      </c>
      <c r="B861" s="562" t="s">
        <v>844</v>
      </c>
      <c r="C861" s="562" t="s">
        <v>873</v>
      </c>
      <c r="D861" s="562">
        <v>1</v>
      </c>
      <c r="E861" s="562">
        <v>5</v>
      </c>
      <c r="F861" s="562" t="s">
        <v>184</v>
      </c>
      <c r="G861" s="562" t="s">
        <v>191</v>
      </c>
      <c r="H861" s="562" t="s">
        <v>191</v>
      </c>
    </row>
    <row r="862" spans="1:8" x14ac:dyDescent="0.2">
      <c r="A862" s="562" t="s">
        <v>221</v>
      </c>
      <c r="B862" s="562" t="s">
        <v>844</v>
      </c>
      <c r="C862" s="562" t="s">
        <v>874</v>
      </c>
      <c r="D862" s="562">
        <v>1</v>
      </c>
      <c r="E862" s="562">
        <v>6</v>
      </c>
      <c r="F862" s="562" t="s">
        <v>184</v>
      </c>
      <c r="G862" s="562" t="s">
        <v>191</v>
      </c>
      <c r="H862" s="562" t="s">
        <v>191</v>
      </c>
    </row>
    <row r="863" spans="1:8" x14ac:dyDescent="0.2">
      <c r="A863" s="562" t="s">
        <v>221</v>
      </c>
      <c r="B863" s="562" t="s">
        <v>844</v>
      </c>
      <c r="C863" s="562" t="s">
        <v>582</v>
      </c>
      <c r="D863" s="562">
        <v>1</v>
      </c>
      <c r="E863" s="562">
        <v>6</v>
      </c>
      <c r="F863" s="562" t="s">
        <v>184</v>
      </c>
      <c r="G863" s="562" t="s">
        <v>191</v>
      </c>
      <c r="H863" s="562" t="s">
        <v>191</v>
      </c>
    </row>
    <row r="864" spans="1:8" x14ac:dyDescent="0.2">
      <c r="A864" s="562" t="s">
        <v>221</v>
      </c>
      <c r="B864" s="562" t="s">
        <v>844</v>
      </c>
      <c r="C864" s="562" t="s">
        <v>875</v>
      </c>
      <c r="D864" s="562">
        <v>1</v>
      </c>
      <c r="E864" s="562">
        <v>5</v>
      </c>
      <c r="F864" s="562" t="s">
        <v>184</v>
      </c>
      <c r="G864" s="562" t="s">
        <v>191</v>
      </c>
      <c r="H864" s="562" t="s">
        <v>191</v>
      </c>
    </row>
    <row r="865" spans="1:8" x14ac:dyDescent="0.2">
      <c r="A865" s="562" t="s">
        <v>221</v>
      </c>
      <c r="B865" s="562" t="s">
        <v>844</v>
      </c>
      <c r="C865" s="562" t="s">
        <v>876</v>
      </c>
      <c r="D865" s="562">
        <v>1</v>
      </c>
      <c r="E865" s="562">
        <v>6</v>
      </c>
      <c r="F865" s="562" t="s">
        <v>184</v>
      </c>
      <c r="G865" s="562" t="s">
        <v>191</v>
      </c>
      <c r="H865" s="562" t="s">
        <v>191</v>
      </c>
    </row>
    <row r="866" spans="1:8" x14ac:dyDescent="0.2">
      <c r="A866" s="562" t="s">
        <v>221</v>
      </c>
      <c r="B866" s="562" t="s">
        <v>844</v>
      </c>
      <c r="C866" s="562" t="s">
        <v>877</v>
      </c>
      <c r="D866" s="562">
        <v>1</v>
      </c>
      <c r="E866" s="562">
        <v>6</v>
      </c>
      <c r="F866" s="562" t="s">
        <v>184</v>
      </c>
      <c r="G866" s="562" t="s">
        <v>191</v>
      </c>
      <c r="H866" s="562" t="s">
        <v>191</v>
      </c>
    </row>
    <row r="867" spans="1:8" x14ac:dyDescent="0.2">
      <c r="A867" s="562" t="s">
        <v>221</v>
      </c>
      <c r="B867" s="562" t="s">
        <v>844</v>
      </c>
      <c r="C867" s="562" t="s">
        <v>878</v>
      </c>
      <c r="D867" s="562">
        <v>1</v>
      </c>
      <c r="E867" s="562">
        <v>6</v>
      </c>
      <c r="F867" s="562" t="s">
        <v>184</v>
      </c>
      <c r="G867" s="562" t="s">
        <v>191</v>
      </c>
      <c r="H867" s="562" t="s">
        <v>191</v>
      </c>
    </row>
    <row r="868" spans="1:8" x14ac:dyDescent="0.2">
      <c r="A868" s="562" t="s">
        <v>221</v>
      </c>
      <c r="B868" s="562" t="s">
        <v>844</v>
      </c>
      <c r="C868" s="562" t="s">
        <v>401</v>
      </c>
      <c r="D868" s="562">
        <v>1</v>
      </c>
      <c r="E868" s="562">
        <v>5</v>
      </c>
      <c r="F868" s="562" t="s">
        <v>184</v>
      </c>
      <c r="G868" s="562" t="s">
        <v>191</v>
      </c>
      <c r="H868" s="562" t="s">
        <v>191</v>
      </c>
    </row>
    <row r="869" spans="1:8" x14ac:dyDescent="0.2">
      <c r="A869" s="562" t="s">
        <v>221</v>
      </c>
      <c r="B869" s="562" t="s">
        <v>844</v>
      </c>
      <c r="C869" s="562" t="s">
        <v>879</v>
      </c>
      <c r="D869" s="562">
        <v>1</v>
      </c>
      <c r="E869" s="562">
        <v>5</v>
      </c>
      <c r="F869" s="562" t="s">
        <v>184</v>
      </c>
      <c r="G869" s="562" t="s">
        <v>191</v>
      </c>
      <c r="H869" s="562" t="s">
        <v>191</v>
      </c>
    </row>
    <row r="870" spans="1:8" x14ac:dyDescent="0.2">
      <c r="A870" s="562" t="s">
        <v>221</v>
      </c>
      <c r="B870" s="562" t="s">
        <v>844</v>
      </c>
      <c r="C870" s="562" t="s">
        <v>880</v>
      </c>
      <c r="D870" s="562">
        <v>1</v>
      </c>
      <c r="E870" s="562">
        <v>5</v>
      </c>
      <c r="F870" s="562" t="s">
        <v>184</v>
      </c>
      <c r="G870" s="562" t="s">
        <v>191</v>
      </c>
      <c r="H870" s="562" t="s">
        <v>191</v>
      </c>
    </row>
    <row r="871" spans="1:8" x14ac:dyDescent="0.2">
      <c r="A871" s="562" t="s">
        <v>221</v>
      </c>
      <c r="B871" s="562" t="s">
        <v>844</v>
      </c>
      <c r="C871" s="562" t="s">
        <v>881</v>
      </c>
      <c r="D871" s="562">
        <v>1</v>
      </c>
      <c r="E871" s="562">
        <v>5</v>
      </c>
      <c r="F871" s="562" t="s">
        <v>184</v>
      </c>
      <c r="G871" s="562" t="s">
        <v>191</v>
      </c>
      <c r="H871" s="562" t="s">
        <v>191</v>
      </c>
    </row>
    <row r="872" spans="1:8" x14ac:dyDescent="0.2">
      <c r="A872" s="562" t="s">
        <v>221</v>
      </c>
      <c r="B872" s="562" t="s">
        <v>844</v>
      </c>
      <c r="C872" s="562" t="s">
        <v>882</v>
      </c>
      <c r="D872" s="562">
        <v>1</v>
      </c>
      <c r="E872" s="562">
        <v>6</v>
      </c>
      <c r="F872" s="562" t="s">
        <v>184</v>
      </c>
      <c r="G872" s="562" t="s">
        <v>191</v>
      </c>
      <c r="H872" s="562" t="s">
        <v>191</v>
      </c>
    </row>
    <row r="873" spans="1:8" x14ac:dyDescent="0.2">
      <c r="A873" s="562" t="s">
        <v>221</v>
      </c>
      <c r="B873" s="562" t="s">
        <v>844</v>
      </c>
      <c r="C873" s="562" t="s">
        <v>407</v>
      </c>
      <c r="D873" s="562">
        <v>1</v>
      </c>
      <c r="E873" s="562">
        <v>5</v>
      </c>
      <c r="F873" s="562" t="s">
        <v>184</v>
      </c>
      <c r="G873" s="562" t="s">
        <v>191</v>
      </c>
      <c r="H873" s="562" t="s">
        <v>191</v>
      </c>
    </row>
    <row r="874" spans="1:8" x14ac:dyDescent="0.2">
      <c r="A874" s="562" t="s">
        <v>221</v>
      </c>
      <c r="B874" s="562" t="s">
        <v>844</v>
      </c>
      <c r="C874" s="562" t="s">
        <v>303</v>
      </c>
      <c r="D874" s="562">
        <v>1</v>
      </c>
      <c r="E874" s="562">
        <v>5</v>
      </c>
      <c r="F874" s="562" t="s">
        <v>184</v>
      </c>
      <c r="G874" s="562" t="s">
        <v>191</v>
      </c>
      <c r="H874" s="562" t="s">
        <v>191</v>
      </c>
    </row>
    <row r="875" spans="1:8" x14ac:dyDescent="0.2">
      <c r="A875" s="562" t="s">
        <v>221</v>
      </c>
      <c r="B875" s="562" t="s">
        <v>844</v>
      </c>
      <c r="C875" s="562" t="s">
        <v>883</v>
      </c>
      <c r="D875" s="562">
        <v>1</v>
      </c>
      <c r="E875" s="562">
        <v>6</v>
      </c>
      <c r="F875" s="562" t="s">
        <v>184</v>
      </c>
      <c r="G875" s="562" t="s">
        <v>191</v>
      </c>
      <c r="H875" s="562" t="s">
        <v>191</v>
      </c>
    </row>
    <row r="876" spans="1:8" x14ac:dyDescent="0.2">
      <c r="A876" s="562" t="s">
        <v>221</v>
      </c>
      <c r="B876" s="562" t="s">
        <v>844</v>
      </c>
      <c r="C876" s="562" t="s">
        <v>884</v>
      </c>
      <c r="D876" s="562">
        <v>1</v>
      </c>
      <c r="E876" s="562">
        <v>5</v>
      </c>
      <c r="F876" s="562" t="s">
        <v>184</v>
      </c>
      <c r="G876" s="562" t="s">
        <v>191</v>
      </c>
      <c r="H876" s="562" t="s">
        <v>191</v>
      </c>
    </row>
    <row r="877" spans="1:8" x14ac:dyDescent="0.2">
      <c r="A877" s="562" t="s">
        <v>221</v>
      </c>
      <c r="B877" s="562" t="s">
        <v>844</v>
      </c>
      <c r="C877" s="562" t="s">
        <v>885</v>
      </c>
      <c r="D877" s="562">
        <v>1</v>
      </c>
      <c r="E877" s="562">
        <v>5</v>
      </c>
      <c r="F877" s="562" t="s">
        <v>184</v>
      </c>
      <c r="G877" s="562" t="s">
        <v>191</v>
      </c>
      <c r="H877" s="562" t="s">
        <v>191</v>
      </c>
    </row>
    <row r="878" spans="1:8" x14ac:dyDescent="0.2">
      <c r="A878" s="562" t="s">
        <v>221</v>
      </c>
      <c r="B878" s="562" t="s">
        <v>844</v>
      </c>
      <c r="C878" s="562" t="s">
        <v>593</v>
      </c>
      <c r="D878" s="562">
        <v>1</v>
      </c>
      <c r="E878" s="562">
        <v>5</v>
      </c>
      <c r="F878" s="562" t="s">
        <v>184</v>
      </c>
      <c r="G878" s="562" t="s">
        <v>191</v>
      </c>
      <c r="H878" s="562" t="s">
        <v>191</v>
      </c>
    </row>
    <row r="879" spans="1:8" x14ac:dyDescent="0.2">
      <c r="A879" s="562" t="s">
        <v>221</v>
      </c>
      <c r="B879" s="562" t="s">
        <v>844</v>
      </c>
      <c r="C879" s="562" t="s">
        <v>413</v>
      </c>
      <c r="D879" s="562">
        <v>1</v>
      </c>
      <c r="E879" s="562">
        <v>5</v>
      </c>
      <c r="F879" s="562" t="s">
        <v>184</v>
      </c>
      <c r="G879" s="562" t="s">
        <v>191</v>
      </c>
      <c r="H879" s="562" t="s">
        <v>191</v>
      </c>
    </row>
    <row r="880" spans="1:8" x14ac:dyDescent="0.2">
      <c r="A880" s="562" t="s">
        <v>221</v>
      </c>
      <c r="B880" s="562" t="s">
        <v>844</v>
      </c>
      <c r="C880" s="562" t="s">
        <v>414</v>
      </c>
      <c r="D880" s="562">
        <v>1</v>
      </c>
      <c r="E880" s="562">
        <v>5</v>
      </c>
      <c r="F880" s="562" t="s">
        <v>184</v>
      </c>
      <c r="G880" s="562" t="s">
        <v>191</v>
      </c>
      <c r="H880" s="562" t="s">
        <v>191</v>
      </c>
    </row>
    <row r="881" spans="1:8" x14ac:dyDescent="0.2">
      <c r="A881" s="562" t="s">
        <v>221</v>
      </c>
      <c r="B881" s="562" t="s">
        <v>844</v>
      </c>
      <c r="C881" s="562" t="s">
        <v>886</v>
      </c>
      <c r="D881" s="562">
        <v>1</v>
      </c>
      <c r="E881" s="562">
        <v>5</v>
      </c>
      <c r="F881" s="562" t="s">
        <v>184</v>
      </c>
      <c r="G881" s="562" t="s">
        <v>191</v>
      </c>
      <c r="H881" s="562" t="s">
        <v>191</v>
      </c>
    </row>
    <row r="882" spans="1:8" x14ac:dyDescent="0.2">
      <c r="A882" s="562" t="s">
        <v>221</v>
      </c>
      <c r="B882" s="562" t="s">
        <v>844</v>
      </c>
      <c r="C882" s="562" t="s">
        <v>699</v>
      </c>
      <c r="D882" s="562">
        <v>1</v>
      </c>
      <c r="E882" s="562">
        <v>5</v>
      </c>
      <c r="F882" s="562" t="s">
        <v>184</v>
      </c>
      <c r="G882" s="562" t="s">
        <v>191</v>
      </c>
      <c r="H882" s="562" t="s">
        <v>191</v>
      </c>
    </row>
    <row r="883" spans="1:8" x14ac:dyDescent="0.2">
      <c r="A883" s="562" t="s">
        <v>221</v>
      </c>
      <c r="B883" s="562" t="s">
        <v>844</v>
      </c>
      <c r="C883" s="562" t="s">
        <v>309</v>
      </c>
      <c r="D883" s="562">
        <v>1</v>
      </c>
      <c r="E883" s="562">
        <v>5</v>
      </c>
      <c r="F883" s="562" t="s">
        <v>184</v>
      </c>
      <c r="G883" s="562" t="s">
        <v>191</v>
      </c>
      <c r="H883" s="562" t="s">
        <v>191</v>
      </c>
    </row>
    <row r="884" spans="1:8" x14ac:dyDescent="0.2">
      <c r="A884" s="562" t="s">
        <v>221</v>
      </c>
      <c r="B884" s="562" t="s">
        <v>844</v>
      </c>
      <c r="C884" s="562" t="s">
        <v>700</v>
      </c>
      <c r="D884" s="562">
        <v>1</v>
      </c>
      <c r="E884" s="562">
        <v>5</v>
      </c>
      <c r="F884" s="562" t="s">
        <v>184</v>
      </c>
      <c r="G884" s="562" t="s">
        <v>191</v>
      </c>
      <c r="H884" s="562" t="s">
        <v>191</v>
      </c>
    </row>
    <row r="885" spans="1:8" x14ac:dyDescent="0.2">
      <c r="A885" s="562" t="s">
        <v>221</v>
      </c>
      <c r="B885" s="562" t="s">
        <v>844</v>
      </c>
      <c r="C885" s="562" t="s">
        <v>701</v>
      </c>
      <c r="D885" s="562">
        <v>1</v>
      </c>
      <c r="E885" s="562">
        <v>6</v>
      </c>
      <c r="F885" s="562" t="s">
        <v>184</v>
      </c>
      <c r="G885" s="562" t="s">
        <v>191</v>
      </c>
      <c r="H885" s="562" t="s">
        <v>191</v>
      </c>
    </row>
    <row r="886" spans="1:8" x14ac:dyDescent="0.2">
      <c r="A886" s="562" t="s">
        <v>221</v>
      </c>
      <c r="B886" s="562" t="s">
        <v>844</v>
      </c>
      <c r="C886" s="562" t="s">
        <v>800</v>
      </c>
      <c r="D886" s="562">
        <v>1</v>
      </c>
      <c r="E886" s="562">
        <v>6</v>
      </c>
      <c r="F886" s="562" t="s">
        <v>184</v>
      </c>
      <c r="G886" s="562" t="s">
        <v>191</v>
      </c>
      <c r="H886" s="562" t="s">
        <v>191</v>
      </c>
    </row>
    <row r="887" spans="1:8" x14ac:dyDescent="0.2">
      <c r="A887" s="562" t="s">
        <v>221</v>
      </c>
      <c r="B887" s="562" t="s">
        <v>844</v>
      </c>
      <c r="C887" s="562" t="s">
        <v>887</v>
      </c>
      <c r="D887" s="562">
        <v>1</v>
      </c>
      <c r="E887" s="562">
        <v>6</v>
      </c>
      <c r="F887" s="562" t="s">
        <v>184</v>
      </c>
      <c r="G887" s="562" t="s">
        <v>191</v>
      </c>
      <c r="H887" s="562" t="s">
        <v>191</v>
      </c>
    </row>
    <row r="888" spans="1:8" x14ac:dyDescent="0.2">
      <c r="A888" s="562" t="s">
        <v>221</v>
      </c>
      <c r="B888" s="562" t="s">
        <v>844</v>
      </c>
      <c r="C888" s="562" t="s">
        <v>888</v>
      </c>
      <c r="D888" s="562">
        <v>1</v>
      </c>
      <c r="E888" s="562">
        <v>5</v>
      </c>
      <c r="F888" s="562" t="s">
        <v>184</v>
      </c>
      <c r="G888" s="562" t="s">
        <v>191</v>
      </c>
      <c r="H888" s="562" t="s">
        <v>191</v>
      </c>
    </row>
    <row r="889" spans="1:8" x14ac:dyDescent="0.2">
      <c r="A889" s="562" t="s">
        <v>221</v>
      </c>
      <c r="B889" s="562" t="s">
        <v>844</v>
      </c>
      <c r="C889" s="562" t="s">
        <v>706</v>
      </c>
      <c r="D889" s="562">
        <v>1</v>
      </c>
      <c r="E889" s="562">
        <v>6</v>
      </c>
      <c r="F889" s="562" t="s">
        <v>184</v>
      </c>
      <c r="G889" s="562" t="s">
        <v>191</v>
      </c>
      <c r="H889" s="562" t="s">
        <v>191</v>
      </c>
    </row>
    <row r="890" spans="1:8" x14ac:dyDescent="0.2">
      <c r="A890" s="562" t="s">
        <v>221</v>
      </c>
      <c r="B890" s="562" t="s">
        <v>844</v>
      </c>
      <c r="C890" s="562" t="s">
        <v>889</v>
      </c>
      <c r="D890" s="562">
        <v>1</v>
      </c>
      <c r="E890" s="562">
        <v>6</v>
      </c>
      <c r="F890" s="562" t="s">
        <v>184</v>
      </c>
      <c r="G890" s="562" t="s">
        <v>191</v>
      </c>
      <c r="H890" s="562" t="s">
        <v>191</v>
      </c>
    </row>
    <row r="891" spans="1:8" x14ac:dyDescent="0.2">
      <c r="A891" s="562" t="s">
        <v>223</v>
      </c>
      <c r="B891" s="562" t="s">
        <v>890</v>
      </c>
      <c r="C891" s="562" t="s">
        <v>803</v>
      </c>
      <c r="D891" s="562">
        <v>2</v>
      </c>
      <c r="E891" s="562">
        <v>4</v>
      </c>
      <c r="F891" s="562" t="s">
        <v>184</v>
      </c>
      <c r="G891" s="562" t="s">
        <v>191</v>
      </c>
      <c r="H891" s="562" t="s">
        <v>191</v>
      </c>
    </row>
    <row r="892" spans="1:8" x14ac:dyDescent="0.2">
      <c r="A892" s="562" t="s">
        <v>223</v>
      </c>
      <c r="B892" s="562" t="s">
        <v>890</v>
      </c>
      <c r="C892" s="562" t="s">
        <v>891</v>
      </c>
      <c r="D892" s="562">
        <v>2</v>
      </c>
      <c r="E892" s="562">
        <v>4</v>
      </c>
      <c r="F892" s="562" t="s">
        <v>184</v>
      </c>
      <c r="G892" s="562" t="s">
        <v>191</v>
      </c>
      <c r="H892" s="562" t="s">
        <v>191</v>
      </c>
    </row>
    <row r="893" spans="1:8" x14ac:dyDescent="0.2">
      <c r="A893" s="562" t="s">
        <v>223</v>
      </c>
      <c r="B893" s="562" t="s">
        <v>890</v>
      </c>
      <c r="C893" s="562" t="s">
        <v>892</v>
      </c>
      <c r="D893" s="562">
        <v>1</v>
      </c>
      <c r="E893" s="562">
        <v>4</v>
      </c>
      <c r="F893" s="562" t="s">
        <v>184</v>
      </c>
      <c r="G893" s="562" t="s">
        <v>191</v>
      </c>
      <c r="H893" s="562" t="s">
        <v>191</v>
      </c>
    </row>
    <row r="894" spans="1:8" x14ac:dyDescent="0.2">
      <c r="A894" s="562" t="s">
        <v>223</v>
      </c>
      <c r="B894" s="562" t="s">
        <v>890</v>
      </c>
      <c r="C894" s="562" t="s">
        <v>893</v>
      </c>
      <c r="D894" s="562">
        <v>2</v>
      </c>
      <c r="E894" s="562">
        <v>4</v>
      </c>
      <c r="F894" s="562" t="s">
        <v>184</v>
      </c>
      <c r="G894" s="562" t="s">
        <v>191</v>
      </c>
      <c r="H894" s="562" t="s">
        <v>191</v>
      </c>
    </row>
    <row r="895" spans="1:8" x14ac:dyDescent="0.2">
      <c r="A895" s="562" t="s">
        <v>223</v>
      </c>
      <c r="B895" s="562" t="s">
        <v>890</v>
      </c>
      <c r="C895" s="562" t="s">
        <v>894</v>
      </c>
      <c r="D895" s="562">
        <v>1</v>
      </c>
      <c r="E895" s="562">
        <v>4</v>
      </c>
      <c r="F895" s="562" t="s">
        <v>184</v>
      </c>
      <c r="G895" s="562" t="s">
        <v>191</v>
      </c>
      <c r="H895" s="562" t="s">
        <v>191</v>
      </c>
    </row>
    <row r="896" spans="1:8" x14ac:dyDescent="0.2">
      <c r="A896" s="562" t="s">
        <v>223</v>
      </c>
      <c r="B896" s="562" t="s">
        <v>890</v>
      </c>
      <c r="C896" s="562" t="s">
        <v>895</v>
      </c>
      <c r="D896" s="562">
        <v>2</v>
      </c>
      <c r="E896" s="562">
        <v>4</v>
      </c>
      <c r="F896" s="562" t="s">
        <v>184</v>
      </c>
      <c r="G896" s="562" t="s">
        <v>191</v>
      </c>
      <c r="H896" s="562" t="s">
        <v>191</v>
      </c>
    </row>
    <row r="897" spans="1:8" x14ac:dyDescent="0.2">
      <c r="A897" s="562" t="s">
        <v>223</v>
      </c>
      <c r="B897" s="562" t="s">
        <v>890</v>
      </c>
      <c r="C897" s="562" t="s">
        <v>750</v>
      </c>
      <c r="D897" s="562">
        <v>1</v>
      </c>
      <c r="E897" s="562">
        <v>4</v>
      </c>
      <c r="F897" s="562" t="s">
        <v>184</v>
      </c>
      <c r="G897" s="562" t="s">
        <v>191</v>
      </c>
      <c r="H897" s="562" t="s">
        <v>191</v>
      </c>
    </row>
    <row r="898" spans="1:8" x14ac:dyDescent="0.2">
      <c r="A898" s="562" t="s">
        <v>223</v>
      </c>
      <c r="B898" s="562" t="s">
        <v>890</v>
      </c>
      <c r="C898" s="562" t="s">
        <v>202</v>
      </c>
      <c r="D898" s="562">
        <v>2</v>
      </c>
      <c r="E898" s="562">
        <v>4</v>
      </c>
      <c r="F898" s="562" t="s">
        <v>184</v>
      </c>
      <c r="G898" s="562" t="s">
        <v>191</v>
      </c>
      <c r="H898" s="562" t="s">
        <v>191</v>
      </c>
    </row>
    <row r="899" spans="1:8" x14ac:dyDescent="0.2">
      <c r="A899" s="562" t="s">
        <v>223</v>
      </c>
      <c r="B899" s="562" t="s">
        <v>890</v>
      </c>
      <c r="C899" s="562" t="s">
        <v>896</v>
      </c>
      <c r="D899" s="562">
        <v>2</v>
      </c>
      <c r="E899" s="562">
        <v>4</v>
      </c>
      <c r="F899" s="562" t="s">
        <v>184</v>
      </c>
      <c r="G899" s="562" t="s">
        <v>191</v>
      </c>
      <c r="H899" s="562" t="s">
        <v>191</v>
      </c>
    </row>
    <row r="900" spans="1:8" x14ac:dyDescent="0.2">
      <c r="A900" s="562" t="s">
        <v>223</v>
      </c>
      <c r="B900" s="562" t="s">
        <v>890</v>
      </c>
      <c r="C900" s="562" t="s">
        <v>897</v>
      </c>
      <c r="D900" s="562">
        <v>2</v>
      </c>
      <c r="E900" s="562">
        <v>4</v>
      </c>
      <c r="F900" s="562" t="s">
        <v>184</v>
      </c>
      <c r="G900" s="562" t="s">
        <v>191</v>
      </c>
      <c r="H900" s="562" t="s">
        <v>191</v>
      </c>
    </row>
    <row r="901" spans="1:8" x14ac:dyDescent="0.2">
      <c r="A901" s="562" t="s">
        <v>223</v>
      </c>
      <c r="B901" s="562" t="s">
        <v>890</v>
      </c>
      <c r="C901" s="562" t="s">
        <v>208</v>
      </c>
      <c r="D901" s="562">
        <v>2</v>
      </c>
      <c r="E901" s="562">
        <v>4</v>
      </c>
      <c r="F901" s="562" t="s">
        <v>184</v>
      </c>
      <c r="G901" s="562" t="s">
        <v>191</v>
      </c>
      <c r="H901" s="562" t="s">
        <v>191</v>
      </c>
    </row>
    <row r="902" spans="1:8" x14ac:dyDescent="0.2">
      <c r="A902" s="562" t="s">
        <v>223</v>
      </c>
      <c r="B902" s="562" t="s">
        <v>890</v>
      </c>
      <c r="C902" s="562" t="s">
        <v>486</v>
      </c>
      <c r="D902" s="562">
        <v>1</v>
      </c>
      <c r="E902" s="562">
        <v>5</v>
      </c>
      <c r="F902" s="562" t="s">
        <v>184</v>
      </c>
      <c r="G902" s="562" t="s">
        <v>191</v>
      </c>
      <c r="H902" s="562" t="s">
        <v>191</v>
      </c>
    </row>
    <row r="903" spans="1:8" x14ac:dyDescent="0.2">
      <c r="A903" s="562" t="s">
        <v>223</v>
      </c>
      <c r="B903" s="562" t="s">
        <v>890</v>
      </c>
      <c r="C903" s="562" t="s">
        <v>369</v>
      </c>
      <c r="D903" s="562">
        <v>2</v>
      </c>
      <c r="E903" s="562">
        <v>4</v>
      </c>
      <c r="F903" s="562" t="s">
        <v>184</v>
      </c>
      <c r="G903" s="562" t="s">
        <v>191</v>
      </c>
      <c r="H903" s="562" t="s">
        <v>191</v>
      </c>
    </row>
    <row r="904" spans="1:8" x14ac:dyDescent="0.2">
      <c r="A904" s="562" t="s">
        <v>223</v>
      </c>
      <c r="B904" s="562" t="s">
        <v>890</v>
      </c>
      <c r="C904" s="562" t="s">
        <v>216</v>
      </c>
      <c r="D904" s="562">
        <v>1</v>
      </c>
      <c r="E904" s="562">
        <v>4</v>
      </c>
      <c r="F904" s="562" t="s">
        <v>184</v>
      </c>
      <c r="G904" s="562" t="s">
        <v>191</v>
      </c>
      <c r="H904" s="562" t="s">
        <v>191</v>
      </c>
    </row>
    <row r="905" spans="1:8" x14ac:dyDescent="0.2">
      <c r="A905" s="562" t="s">
        <v>223</v>
      </c>
      <c r="B905" s="562" t="s">
        <v>890</v>
      </c>
      <c r="C905" s="562" t="s">
        <v>898</v>
      </c>
      <c r="D905" s="562">
        <v>1</v>
      </c>
      <c r="E905" s="562">
        <v>5</v>
      </c>
      <c r="F905" s="562" t="s">
        <v>184</v>
      </c>
      <c r="G905" s="562" t="s">
        <v>191</v>
      </c>
      <c r="H905" s="562" t="s">
        <v>191</v>
      </c>
    </row>
    <row r="906" spans="1:8" x14ac:dyDescent="0.2">
      <c r="A906" s="562" t="s">
        <v>223</v>
      </c>
      <c r="B906" s="562" t="s">
        <v>890</v>
      </c>
      <c r="C906" s="562" t="s">
        <v>899</v>
      </c>
      <c r="D906" s="562">
        <v>2</v>
      </c>
      <c r="E906" s="562">
        <v>4</v>
      </c>
      <c r="F906" s="562" t="s">
        <v>184</v>
      </c>
      <c r="G906" s="562" t="s">
        <v>191</v>
      </c>
      <c r="H906" s="562" t="s">
        <v>191</v>
      </c>
    </row>
    <row r="907" spans="1:8" x14ac:dyDescent="0.2">
      <c r="A907" s="562" t="s">
        <v>223</v>
      </c>
      <c r="B907" s="562" t="s">
        <v>890</v>
      </c>
      <c r="C907" s="562" t="s">
        <v>900</v>
      </c>
      <c r="D907" s="562">
        <v>2</v>
      </c>
      <c r="E907" s="562">
        <v>4</v>
      </c>
      <c r="F907" s="562" t="s">
        <v>184</v>
      </c>
      <c r="G907" s="562" t="s">
        <v>191</v>
      </c>
      <c r="H907" s="562" t="s">
        <v>191</v>
      </c>
    </row>
    <row r="908" spans="1:8" x14ac:dyDescent="0.2">
      <c r="A908" s="562" t="s">
        <v>223</v>
      </c>
      <c r="B908" s="562" t="s">
        <v>890</v>
      </c>
      <c r="C908" s="562" t="s">
        <v>901</v>
      </c>
      <c r="D908" s="562">
        <v>2</v>
      </c>
      <c r="E908" s="562">
        <v>4</v>
      </c>
      <c r="F908" s="562" t="s">
        <v>184</v>
      </c>
      <c r="G908" s="562" t="s">
        <v>191</v>
      </c>
      <c r="H908" s="562" t="s">
        <v>191</v>
      </c>
    </row>
    <row r="909" spans="1:8" x14ac:dyDescent="0.2">
      <c r="A909" s="562" t="s">
        <v>223</v>
      </c>
      <c r="B909" s="562" t="s">
        <v>890</v>
      </c>
      <c r="C909" s="562" t="s">
        <v>374</v>
      </c>
      <c r="D909" s="562">
        <v>2</v>
      </c>
      <c r="E909" s="562">
        <v>4</v>
      </c>
      <c r="F909" s="562" t="s">
        <v>184</v>
      </c>
      <c r="G909" s="562" t="s">
        <v>191</v>
      </c>
      <c r="H909" s="562" t="s">
        <v>191</v>
      </c>
    </row>
    <row r="910" spans="1:8" x14ac:dyDescent="0.2">
      <c r="A910" s="562" t="s">
        <v>223</v>
      </c>
      <c r="B910" s="562" t="s">
        <v>890</v>
      </c>
      <c r="C910" s="562" t="s">
        <v>629</v>
      </c>
      <c r="D910" s="562">
        <v>1</v>
      </c>
      <c r="E910" s="562">
        <v>5</v>
      </c>
      <c r="F910" s="562" t="s">
        <v>184</v>
      </c>
      <c r="G910" s="562" t="s">
        <v>191</v>
      </c>
      <c r="H910" s="562" t="s">
        <v>191</v>
      </c>
    </row>
    <row r="911" spans="1:8" x14ac:dyDescent="0.2">
      <c r="A911" s="562" t="s">
        <v>223</v>
      </c>
      <c r="B911" s="562" t="s">
        <v>890</v>
      </c>
      <c r="C911" s="562" t="s">
        <v>858</v>
      </c>
      <c r="D911" s="562">
        <v>1</v>
      </c>
      <c r="E911" s="562">
        <v>4</v>
      </c>
      <c r="F911" s="562" t="s">
        <v>184</v>
      </c>
      <c r="G911" s="562" t="s">
        <v>191</v>
      </c>
      <c r="H911" s="562" t="s">
        <v>191</v>
      </c>
    </row>
    <row r="912" spans="1:8" x14ac:dyDescent="0.2">
      <c r="A912" s="562" t="s">
        <v>223</v>
      </c>
      <c r="B912" s="562" t="s">
        <v>890</v>
      </c>
      <c r="C912" s="562" t="s">
        <v>902</v>
      </c>
      <c r="D912" s="562">
        <v>2</v>
      </c>
      <c r="E912" s="562">
        <v>4</v>
      </c>
      <c r="F912" s="562" t="s">
        <v>184</v>
      </c>
      <c r="G912" s="562" t="s">
        <v>191</v>
      </c>
      <c r="H912" s="562" t="s">
        <v>191</v>
      </c>
    </row>
    <row r="913" spans="1:8" x14ac:dyDescent="0.2">
      <c r="A913" s="562" t="s">
        <v>223</v>
      </c>
      <c r="B913" s="562" t="s">
        <v>890</v>
      </c>
      <c r="C913" s="562" t="s">
        <v>495</v>
      </c>
      <c r="D913" s="562">
        <v>1</v>
      </c>
      <c r="E913" s="562">
        <v>4</v>
      </c>
      <c r="F913" s="562" t="s">
        <v>184</v>
      </c>
      <c r="G913" s="562" t="s">
        <v>191</v>
      </c>
      <c r="H913" s="562" t="s">
        <v>191</v>
      </c>
    </row>
    <row r="914" spans="1:8" x14ac:dyDescent="0.2">
      <c r="A914" s="562" t="s">
        <v>223</v>
      </c>
      <c r="B914" s="562" t="s">
        <v>890</v>
      </c>
      <c r="C914" s="562" t="s">
        <v>761</v>
      </c>
      <c r="D914" s="562">
        <v>2</v>
      </c>
      <c r="E914" s="562">
        <v>4</v>
      </c>
      <c r="F914" s="562" t="s">
        <v>184</v>
      </c>
      <c r="G914" s="562" t="s">
        <v>191</v>
      </c>
      <c r="H914" s="562" t="s">
        <v>191</v>
      </c>
    </row>
    <row r="915" spans="1:8" x14ac:dyDescent="0.2">
      <c r="A915" s="562" t="s">
        <v>223</v>
      </c>
      <c r="B915" s="562" t="s">
        <v>890</v>
      </c>
      <c r="C915" s="562" t="s">
        <v>903</v>
      </c>
      <c r="D915" s="562">
        <v>2</v>
      </c>
      <c r="E915" s="562">
        <v>4</v>
      </c>
      <c r="F915" s="562" t="s">
        <v>184</v>
      </c>
      <c r="G915" s="562" t="s">
        <v>191</v>
      </c>
      <c r="H915" s="562" t="s">
        <v>191</v>
      </c>
    </row>
    <row r="916" spans="1:8" x14ac:dyDescent="0.2">
      <c r="A916" s="562" t="s">
        <v>223</v>
      </c>
      <c r="B916" s="562" t="s">
        <v>890</v>
      </c>
      <c r="C916" s="562" t="s">
        <v>904</v>
      </c>
      <c r="D916" s="562">
        <v>1</v>
      </c>
      <c r="E916" s="562">
        <v>5</v>
      </c>
      <c r="F916" s="562" t="s">
        <v>184</v>
      </c>
      <c r="G916" s="562" t="s">
        <v>191</v>
      </c>
      <c r="H916" s="562" t="s">
        <v>191</v>
      </c>
    </row>
    <row r="917" spans="1:8" x14ac:dyDescent="0.2">
      <c r="A917" s="562" t="s">
        <v>223</v>
      </c>
      <c r="B917" s="562" t="s">
        <v>890</v>
      </c>
      <c r="C917" s="562" t="s">
        <v>905</v>
      </c>
      <c r="D917" s="562">
        <v>1</v>
      </c>
      <c r="E917" s="562">
        <v>4</v>
      </c>
      <c r="F917" s="562" t="s">
        <v>184</v>
      </c>
      <c r="G917" s="562" t="s">
        <v>191</v>
      </c>
      <c r="H917" s="562" t="s">
        <v>191</v>
      </c>
    </row>
    <row r="918" spans="1:8" x14ac:dyDescent="0.2">
      <c r="A918" s="562" t="s">
        <v>223</v>
      </c>
      <c r="B918" s="562" t="s">
        <v>890</v>
      </c>
      <c r="C918" s="562" t="s">
        <v>906</v>
      </c>
      <c r="D918" s="562">
        <v>1</v>
      </c>
      <c r="E918" s="562">
        <v>4</v>
      </c>
      <c r="F918" s="562" t="s">
        <v>184</v>
      </c>
      <c r="G918" s="562" t="s">
        <v>191</v>
      </c>
      <c r="H918" s="562" t="s">
        <v>191</v>
      </c>
    </row>
    <row r="919" spans="1:8" x14ac:dyDescent="0.2">
      <c r="A919" s="562" t="s">
        <v>223</v>
      </c>
      <c r="B919" s="562" t="s">
        <v>890</v>
      </c>
      <c r="C919" s="562" t="s">
        <v>762</v>
      </c>
      <c r="D919" s="562">
        <v>1</v>
      </c>
      <c r="E919" s="562">
        <v>4</v>
      </c>
      <c r="F919" s="562" t="s">
        <v>184</v>
      </c>
      <c r="G919" s="562" t="s">
        <v>191</v>
      </c>
      <c r="H919" s="562" t="s">
        <v>191</v>
      </c>
    </row>
    <row r="920" spans="1:8" x14ac:dyDescent="0.2">
      <c r="A920" s="562" t="s">
        <v>223</v>
      </c>
      <c r="B920" s="562" t="s">
        <v>890</v>
      </c>
      <c r="C920" s="562" t="s">
        <v>248</v>
      </c>
      <c r="D920" s="562">
        <v>2</v>
      </c>
      <c r="E920" s="562">
        <v>4</v>
      </c>
      <c r="F920" s="562" t="s">
        <v>184</v>
      </c>
      <c r="G920" s="562" t="s">
        <v>191</v>
      </c>
      <c r="H920" s="562" t="s">
        <v>191</v>
      </c>
    </row>
    <row r="921" spans="1:8" x14ac:dyDescent="0.2">
      <c r="A921" s="562" t="s">
        <v>223</v>
      </c>
      <c r="B921" s="562" t="s">
        <v>890</v>
      </c>
      <c r="C921" s="562" t="s">
        <v>907</v>
      </c>
      <c r="D921" s="562">
        <v>1</v>
      </c>
      <c r="E921" s="562">
        <v>4</v>
      </c>
      <c r="F921" s="562" t="s">
        <v>184</v>
      </c>
      <c r="G921" s="562" t="s">
        <v>191</v>
      </c>
      <c r="H921" s="562" t="s">
        <v>191</v>
      </c>
    </row>
    <row r="922" spans="1:8" x14ac:dyDescent="0.2">
      <c r="A922" s="562" t="s">
        <v>223</v>
      </c>
      <c r="B922" s="562" t="s">
        <v>890</v>
      </c>
      <c r="C922" s="562" t="s">
        <v>908</v>
      </c>
      <c r="D922" s="562">
        <v>1</v>
      </c>
      <c r="E922" s="562">
        <v>5</v>
      </c>
      <c r="F922" s="562" t="s">
        <v>184</v>
      </c>
      <c r="G922" s="562" t="s">
        <v>191</v>
      </c>
      <c r="H922" s="562" t="s">
        <v>191</v>
      </c>
    </row>
    <row r="923" spans="1:8" x14ac:dyDescent="0.2">
      <c r="A923" s="562" t="s">
        <v>223</v>
      </c>
      <c r="B923" s="562" t="s">
        <v>890</v>
      </c>
      <c r="C923" s="562" t="s">
        <v>349</v>
      </c>
      <c r="D923" s="562">
        <v>1</v>
      </c>
      <c r="E923" s="562">
        <v>5</v>
      </c>
      <c r="F923" s="562" t="s">
        <v>184</v>
      </c>
      <c r="G923" s="562" t="s">
        <v>191</v>
      </c>
      <c r="H923" s="562" t="s">
        <v>191</v>
      </c>
    </row>
    <row r="924" spans="1:8" x14ac:dyDescent="0.2">
      <c r="A924" s="562" t="s">
        <v>223</v>
      </c>
      <c r="B924" s="562" t="s">
        <v>890</v>
      </c>
      <c r="C924" s="562" t="s">
        <v>382</v>
      </c>
      <c r="D924" s="562">
        <v>1</v>
      </c>
      <c r="E924" s="562">
        <v>4</v>
      </c>
      <c r="F924" s="562" t="s">
        <v>184</v>
      </c>
      <c r="G924" s="562" t="s">
        <v>191</v>
      </c>
      <c r="H924" s="562" t="s">
        <v>191</v>
      </c>
    </row>
    <row r="925" spans="1:8" x14ac:dyDescent="0.2">
      <c r="A925" s="562" t="s">
        <v>223</v>
      </c>
      <c r="B925" s="562" t="s">
        <v>890</v>
      </c>
      <c r="C925" s="562" t="s">
        <v>909</v>
      </c>
      <c r="D925" s="562">
        <v>1</v>
      </c>
      <c r="E925" s="562">
        <v>4</v>
      </c>
      <c r="F925" s="562" t="s">
        <v>184</v>
      </c>
      <c r="G925" s="562" t="s">
        <v>191</v>
      </c>
      <c r="H925" s="562" t="s">
        <v>191</v>
      </c>
    </row>
    <row r="926" spans="1:8" x14ac:dyDescent="0.2">
      <c r="A926" s="562" t="s">
        <v>223</v>
      </c>
      <c r="B926" s="562" t="s">
        <v>890</v>
      </c>
      <c r="C926" s="562" t="s">
        <v>910</v>
      </c>
      <c r="D926" s="562">
        <v>1</v>
      </c>
      <c r="E926" s="562">
        <v>5</v>
      </c>
      <c r="F926" s="562" t="s">
        <v>184</v>
      </c>
      <c r="G926" s="562" t="s">
        <v>191</v>
      </c>
      <c r="H926" s="562" t="s">
        <v>191</v>
      </c>
    </row>
    <row r="927" spans="1:8" x14ac:dyDescent="0.2">
      <c r="A927" s="562" t="s">
        <v>223</v>
      </c>
      <c r="B927" s="562" t="s">
        <v>890</v>
      </c>
      <c r="C927" s="562" t="s">
        <v>911</v>
      </c>
      <c r="D927" s="562">
        <v>2</v>
      </c>
      <c r="E927" s="562">
        <v>4</v>
      </c>
      <c r="F927" s="562" t="s">
        <v>184</v>
      </c>
      <c r="G927" s="562" t="s">
        <v>191</v>
      </c>
      <c r="H927" s="562" t="s">
        <v>191</v>
      </c>
    </row>
    <row r="928" spans="1:8" x14ac:dyDescent="0.2">
      <c r="A928" s="562" t="s">
        <v>223</v>
      </c>
      <c r="B928" s="562" t="s">
        <v>890</v>
      </c>
      <c r="C928" s="562" t="s">
        <v>565</v>
      </c>
      <c r="D928" s="562">
        <v>1</v>
      </c>
      <c r="E928" s="562">
        <v>5</v>
      </c>
      <c r="F928" s="562" t="s">
        <v>184</v>
      </c>
      <c r="G928" s="562" t="s">
        <v>191</v>
      </c>
      <c r="H928" s="562" t="s">
        <v>191</v>
      </c>
    </row>
    <row r="929" spans="1:8" x14ac:dyDescent="0.2">
      <c r="A929" s="562" t="s">
        <v>223</v>
      </c>
      <c r="B929" s="562" t="s">
        <v>890</v>
      </c>
      <c r="C929" s="562" t="s">
        <v>912</v>
      </c>
      <c r="D929" s="562">
        <v>2</v>
      </c>
      <c r="E929" s="562">
        <v>4</v>
      </c>
      <c r="F929" s="562" t="s">
        <v>184</v>
      </c>
      <c r="G929" s="562" t="s">
        <v>191</v>
      </c>
      <c r="H929" s="562" t="s">
        <v>191</v>
      </c>
    </row>
    <row r="930" spans="1:8" x14ac:dyDescent="0.2">
      <c r="A930" s="562" t="s">
        <v>223</v>
      </c>
      <c r="B930" s="562" t="s">
        <v>890</v>
      </c>
      <c r="C930" s="562" t="s">
        <v>913</v>
      </c>
      <c r="D930" s="562">
        <v>2</v>
      </c>
      <c r="E930" s="562">
        <v>4</v>
      </c>
      <c r="F930" s="562" t="s">
        <v>184</v>
      </c>
      <c r="G930" s="562" t="s">
        <v>191</v>
      </c>
      <c r="H930" s="562" t="s">
        <v>191</v>
      </c>
    </row>
    <row r="931" spans="1:8" x14ac:dyDescent="0.2">
      <c r="A931" s="562" t="s">
        <v>223</v>
      </c>
      <c r="B931" s="562" t="s">
        <v>890</v>
      </c>
      <c r="C931" s="562" t="s">
        <v>914</v>
      </c>
      <c r="D931" s="562">
        <v>1</v>
      </c>
      <c r="E931" s="562">
        <v>4</v>
      </c>
      <c r="F931" s="562" t="s">
        <v>184</v>
      </c>
      <c r="G931" s="562" t="s">
        <v>191</v>
      </c>
      <c r="H931" s="562" t="s">
        <v>191</v>
      </c>
    </row>
    <row r="932" spans="1:8" x14ac:dyDescent="0.2">
      <c r="A932" s="562" t="s">
        <v>223</v>
      </c>
      <c r="B932" s="562" t="s">
        <v>890</v>
      </c>
      <c r="C932" s="562" t="s">
        <v>915</v>
      </c>
      <c r="D932" s="562">
        <v>1</v>
      </c>
      <c r="E932" s="562">
        <v>4</v>
      </c>
      <c r="F932" s="562" t="s">
        <v>184</v>
      </c>
      <c r="G932" s="562" t="s">
        <v>191</v>
      </c>
      <c r="H932" s="562" t="s">
        <v>191</v>
      </c>
    </row>
    <row r="933" spans="1:8" x14ac:dyDescent="0.2">
      <c r="A933" s="562" t="s">
        <v>223</v>
      </c>
      <c r="B933" s="562" t="s">
        <v>890</v>
      </c>
      <c r="C933" s="562" t="s">
        <v>259</v>
      </c>
      <c r="D933" s="562">
        <v>1</v>
      </c>
      <c r="E933" s="562">
        <v>4</v>
      </c>
      <c r="F933" s="562" t="s">
        <v>184</v>
      </c>
      <c r="G933" s="562" t="s">
        <v>191</v>
      </c>
      <c r="H933" s="562" t="s">
        <v>191</v>
      </c>
    </row>
    <row r="934" spans="1:8" x14ac:dyDescent="0.2">
      <c r="A934" s="562" t="s">
        <v>223</v>
      </c>
      <c r="B934" s="562" t="s">
        <v>890</v>
      </c>
      <c r="C934" s="562" t="s">
        <v>261</v>
      </c>
      <c r="D934" s="562">
        <v>2</v>
      </c>
      <c r="E934" s="562">
        <v>4</v>
      </c>
      <c r="F934" s="562" t="s">
        <v>184</v>
      </c>
      <c r="G934" s="562" t="s">
        <v>191</v>
      </c>
      <c r="H934" s="562" t="s">
        <v>191</v>
      </c>
    </row>
    <row r="935" spans="1:8" x14ac:dyDescent="0.2">
      <c r="A935" s="562" t="s">
        <v>223</v>
      </c>
      <c r="B935" s="562" t="s">
        <v>890</v>
      </c>
      <c r="C935" s="562" t="s">
        <v>916</v>
      </c>
      <c r="D935" s="562">
        <v>1</v>
      </c>
      <c r="E935" s="562">
        <v>5</v>
      </c>
      <c r="F935" s="562" t="s">
        <v>184</v>
      </c>
      <c r="G935" s="562" t="s">
        <v>191</v>
      </c>
      <c r="H935" s="562" t="s">
        <v>191</v>
      </c>
    </row>
    <row r="936" spans="1:8" x14ac:dyDescent="0.2">
      <c r="A936" s="562" t="s">
        <v>223</v>
      </c>
      <c r="B936" s="562" t="s">
        <v>890</v>
      </c>
      <c r="C936" s="562" t="s">
        <v>388</v>
      </c>
      <c r="D936" s="562">
        <v>1</v>
      </c>
      <c r="E936" s="562">
        <v>4</v>
      </c>
      <c r="F936" s="562" t="s">
        <v>184</v>
      </c>
      <c r="G936" s="562" t="s">
        <v>191</v>
      </c>
      <c r="H936" s="562" t="s">
        <v>191</v>
      </c>
    </row>
    <row r="937" spans="1:8" x14ac:dyDescent="0.2">
      <c r="A937" s="562" t="s">
        <v>223</v>
      </c>
      <c r="B937" s="562" t="s">
        <v>890</v>
      </c>
      <c r="C937" s="562" t="s">
        <v>917</v>
      </c>
      <c r="D937" s="562">
        <v>1</v>
      </c>
      <c r="E937" s="562">
        <v>4</v>
      </c>
      <c r="F937" s="562" t="s">
        <v>184</v>
      </c>
      <c r="G937" s="562" t="s">
        <v>191</v>
      </c>
      <c r="H937" s="562" t="s">
        <v>191</v>
      </c>
    </row>
    <row r="938" spans="1:8" x14ac:dyDescent="0.2">
      <c r="A938" s="562" t="s">
        <v>223</v>
      </c>
      <c r="B938" s="562" t="s">
        <v>890</v>
      </c>
      <c r="C938" s="562" t="s">
        <v>918</v>
      </c>
      <c r="D938" s="562">
        <v>1</v>
      </c>
      <c r="E938" s="562">
        <v>4</v>
      </c>
      <c r="F938" s="562" t="s">
        <v>184</v>
      </c>
      <c r="G938" s="562" t="s">
        <v>191</v>
      </c>
      <c r="H938" s="562" t="s">
        <v>191</v>
      </c>
    </row>
    <row r="939" spans="1:8" x14ac:dyDescent="0.2">
      <c r="A939" s="562" t="s">
        <v>223</v>
      </c>
      <c r="B939" s="562" t="s">
        <v>890</v>
      </c>
      <c r="C939" s="562" t="s">
        <v>506</v>
      </c>
      <c r="D939" s="562">
        <v>1</v>
      </c>
      <c r="E939" s="562">
        <v>4</v>
      </c>
      <c r="F939" s="562" t="s">
        <v>184</v>
      </c>
      <c r="G939" s="562" t="s">
        <v>191</v>
      </c>
      <c r="H939" s="562" t="s">
        <v>191</v>
      </c>
    </row>
    <row r="940" spans="1:8" x14ac:dyDescent="0.2">
      <c r="A940" s="562" t="s">
        <v>223</v>
      </c>
      <c r="B940" s="562" t="s">
        <v>890</v>
      </c>
      <c r="C940" s="562" t="s">
        <v>919</v>
      </c>
      <c r="D940" s="562">
        <v>2</v>
      </c>
      <c r="E940" s="562">
        <v>4</v>
      </c>
      <c r="F940" s="562" t="s">
        <v>184</v>
      </c>
      <c r="G940" s="562" t="s">
        <v>191</v>
      </c>
      <c r="H940" s="562" t="s">
        <v>191</v>
      </c>
    </row>
    <row r="941" spans="1:8" x14ac:dyDescent="0.2">
      <c r="A941" s="562" t="s">
        <v>223</v>
      </c>
      <c r="B941" s="562" t="s">
        <v>890</v>
      </c>
      <c r="C941" s="562" t="s">
        <v>920</v>
      </c>
      <c r="D941" s="562">
        <v>1</v>
      </c>
      <c r="E941" s="562">
        <v>5</v>
      </c>
      <c r="F941" s="562" t="s">
        <v>184</v>
      </c>
      <c r="G941" s="562" t="s">
        <v>191</v>
      </c>
      <c r="H941" s="562" t="s">
        <v>191</v>
      </c>
    </row>
    <row r="942" spans="1:8" x14ac:dyDescent="0.2">
      <c r="A942" s="562" t="s">
        <v>223</v>
      </c>
      <c r="B942" s="562" t="s">
        <v>890</v>
      </c>
      <c r="C942" s="562" t="s">
        <v>921</v>
      </c>
      <c r="D942" s="562">
        <v>1</v>
      </c>
      <c r="E942" s="562">
        <v>4</v>
      </c>
      <c r="F942" s="562" t="s">
        <v>184</v>
      </c>
      <c r="G942" s="562" t="s">
        <v>191</v>
      </c>
      <c r="H942" s="562" t="s">
        <v>191</v>
      </c>
    </row>
    <row r="943" spans="1:8" x14ac:dyDescent="0.2">
      <c r="A943" s="562" t="s">
        <v>223</v>
      </c>
      <c r="B943" s="562" t="s">
        <v>890</v>
      </c>
      <c r="C943" s="562" t="s">
        <v>390</v>
      </c>
      <c r="D943" s="562">
        <v>1</v>
      </c>
      <c r="E943" s="562">
        <v>4</v>
      </c>
      <c r="F943" s="562" t="s">
        <v>184</v>
      </c>
      <c r="G943" s="562" t="s">
        <v>191</v>
      </c>
      <c r="H943" s="562" t="s">
        <v>191</v>
      </c>
    </row>
    <row r="944" spans="1:8" x14ac:dyDescent="0.2">
      <c r="A944" s="562" t="s">
        <v>223</v>
      </c>
      <c r="B944" s="562" t="s">
        <v>890</v>
      </c>
      <c r="C944" s="562" t="s">
        <v>866</v>
      </c>
      <c r="D944" s="562">
        <v>2</v>
      </c>
      <c r="E944" s="562">
        <v>4</v>
      </c>
      <c r="F944" s="562" t="s">
        <v>184</v>
      </c>
      <c r="G944" s="562" t="s">
        <v>191</v>
      </c>
      <c r="H944" s="562" t="s">
        <v>191</v>
      </c>
    </row>
    <row r="945" spans="1:8" x14ac:dyDescent="0.2">
      <c r="A945" s="562" t="s">
        <v>223</v>
      </c>
      <c r="B945" s="562" t="s">
        <v>890</v>
      </c>
      <c r="C945" s="562" t="s">
        <v>392</v>
      </c>
      <c r="D945" s="562">
        <v>1</v>
      </c>
      <c r="E945" s="562">
        <v>5</v>
      </c>
      <c r="F945" s="562" t="s">
        <v>184</v>
      </c>
      <c r="G945" s="562" t="s">
        <v>191</v>
      </c>
      <c r="H945" s="562" t="s">
        <v>191</v>
      </c>
    </row>
    <row r="946" spans="1:8" x14ac:dyDescent="0.2">
      <c r="A946" s="562" t="s">
        <v>223</v>
      </c>
      <c r="B946" s="562" t="s">
        <v>890</v>
      </c>
      <c r="C946" s="562" t="s">
        <v>869</v>
      </c>
      <c r="D946" s="562">
        <v>2</v>
      </c>
      <c r="E946" s="562">
        <v>4</v>
      </c>
      <c r="F946" s="562" t="s">
        <v>184</v>
      </c>
      <c r="G946" s="562" t="s">
        <v>191</v>
      </c>
      <c r="H946" s="562" t="s">
        <v>191</v>
      </c>
    </row>
    <row r="947" spans="1:8" x14ac:dyDescent="0.2">
      <c r="A947" s="562" t="s">
        <v>223</v>
      </c>
      <c r="B947" s="562" t="s">
        <v>890</v>
      </c>
      <c r="C947" s="562" t="s">
        <v>281</v>
      </c>
      <c r="D947" s="562">
        <v>1</v>
      </c>
      <c r="E947" s="562">
        <v>4</v>
      </c>
      <c r="F947" s="562" t="s">
        <v>184</v>
      </c>
      <c r="G947" s="562" t="s">
        <v>191</v>
      </c>
      <c r="H947" s="562" t="s">
        <v>191</v>
      </c>
    </row>
    <row r="948" spans="1:8" x14ac:dyDescent="0.2">
      <c r="A948" s="562" t="s">
        <v>223</v>
      </c>
      <c r="B948" s="562" t="s">
        <v>890</v>
      </c>
      <c r="C948" s="562" t="s">
        <v>283</v>
      </c>
      <c r="D948" s="562">
        <v>1</v>
      </c>
      <c r="E948" s="562">
        <v>4</v>
      </c>
      <c r="F948" s="562" t="s">
        <v>184</v>
      </c>
      <c r="G948" s="562" t="s">
        <v>191</v>
      </c>
      <c r="H948" s="562" t="s">
        <v>191</v>
      </c>
    </row>
    <row r="949" spans="1:8" x14ac:dyDescent="0.2">
      <c r="A949" s="562" t="s">
        <v>223</v>
      </c>
      <c r="B949" s="562" t="s">
        <v>890</v>
      </c>
      <c r="C949" s="562" t="s">
        <v>922</v>
      </c>
      <c r="D949" s="562">
        <v>1</v>
      </c>
      <c r="E949" s="562">
        <v>4</v>
      </c>
      <c r="F949" s="562" t="s">
        <v>184</v>
      </c>
      <c r="G949" s="562" t="s">
        <v>191</v>
      </c>
      <c r="H949" s="562" t="s">
        <v>191</v>
      </c>
    </row>
    <row r="950" spans="1:8" x14ac:dyDescent="0.2">
      <c r="A950" s="562" t="s">
        <v>223</v>
      </c>
      <c r="B950" s="562" t="s">
        <v>890</v>
      </c>
      <c r="C950" s="562" t="s">
        <v>923</v>
      </c>
      <c r="D950" s="562">
        <v>1</v>
      </c>
      <c r="E950" s="562">
        <v>4</v>
      </c>
      <c r="F950" s="562" t="s">
        <v>184</v>
      </c>
      <c r="G950" s="562" t="s">
        <v>191</v>
      </c>
      <c r="H950" s="562" t="s">
        <v>191</v>
      </c>
    </row>
    <row r="951" spans="1:8" x14ac:dyDescent="0.2">
      <c r="A951" s="562" t="s">
        <v>223</v>
      </c>
      <c r="B951" s="562" t="s">
        <v>890</v>
      </c>
      <c r="C951" s="562" t="s">
        <v>821</v>
      </c>
      <c r="D951" s="562">
        <v>2</v>
      </c>
      <c r="E951" s="562">
        <v>4</v>
      </c>
      <c r="F951" s="562" t="s">
        <v>184</v>
      </c>
      <c r="G951" s="562" t="s">
        <v>191</v>
      </c>
      <c r="H951" s="562" t="s">
        <v>191</v>
      </c>
    </row>
    <row r="952" spans="1:8" x14ac:dyDescent="0.2">
      <c r="A952" s="562" t="s">
        <v>223</v>
      </c>
      <c r="B952" s="562" t="s">
        <v>890</v>
      </c>
      <c r="C952" s="562" t="s">
        <v>667</v>
      </c>
      <c r="D952" s="562">
        <v>1</v>
      </c>
      <c r="E952" s="562">
        <v>5</v>
      </c>
      <c r="F952" s="562" t="s">
        <v>184</v>
      </c>
      <c r="G952" s="562" t="s">
        <v>191</v>
      </c>
      <c r="H952" s="562" t="s">
        <v>191</v>
      </c>
    </row>
    <row r="953" spans="1:8" x14ac:dyDescent="0.2">
      <c r="A953" s="562" t="s">
        <v>223</v>
      </c>
      <c r="B953" s="562" t="s">
        <v>890</v>
      </c>
      <c r="C953" s="562" t="s">
        <v>289</v>
      </c>
      <c r="D953" s="562">
        <v>2</v>
      </c>
      <c r="E953" s="562">
        <v>4</v>
      </c>
      <c r="F953" s="562" t="s">
        <v>184</v>
      </c>
      <c r="G953" s="562" t="s">
        <v>191</v>
      </c>
      <c r="H953" s="562" t="s">
        <v>191</v>
      </c>
    </row>
    <row r="954" spans="1:8" x14ac:dyDescent="0.2">
      <c r="A954" s="562" t="s">
        <v>223</v>
      </c>
      <c r="B954" s="562" t="s">
        <v>890</v>
      </c>
      <c r="C954" s="562" t="s">
        <v>924</v>
      </c>
      <c r="D954" s="562">
        <v>2</v>
      </c>
      <c r="E954" s="562">
        <v>4</v>
      </c>
      <c r="F954" s="562" t="s">
        <v>184</v>
      </c>
      <c r="G954" s="562" t="s">
        <v>191</v>
      </c>
      <c r="H954" s="562" t="s">
        <v>191</v>
      </c>
    </row>
    <row r="955" spans="1:8" x14ac:dyDescent="0.2">
      <c r="A955" s="562" t="s">
        <v>223</v>
      </c>
      <c r="B955" s="562" t="s">
        <v>890</v>
      </c>
      <c r="C955" s="562" t="s">
        <v>925</v>
      </c>
      <c r="D955" s="562">
        <v>2</v>
      </c>
      <c r="E955" s="562">
        <v>4</v>
      </c>
      <c r="F955" s="562" t="s">
        <v>184</v>
      </c>
      <c r="G955" s="562" t="s">
        <v>191</v>
      </c>
      <c r="H955" s="562" t="s">
        <v>191</v>
      </c>
    </row>
    <row r="956" spans="1:8" x14ac:dyDescent="0.2">
      <c r="A956" s="562" t="s">
        <v>223</v>
      </c>
      <c r="B956" s="562" t="s">
        <v>890</v>
      </c>
      <c r="C956" s="562" t="s">
        <v>926</v>
      </c>
      <c r="D956" s="562">
        <v>1</v>
      </c>
      <c r="E956" s="562">
        <v>4</v>
      </c>
      <c r="F956" s="562" t="s">
        <v>184</v>
      </c>
      <c r="G956" s="562" t="s">
        <v>191</v>
      </c>
      <c r="H956" s="562" t="s">
        <v>191</v>
      </c>
    </row>
    <row r="957" spans="1:8" x14ac:dyDescent="0.2">
      <c r="A957" s="562" t="s">
        <v>223</v>
      </c>
      <c r="B957" s="562" t="s">
        <v>890</v>
      </c>
      <c r="C957" s="562" t="s">
        <v>927</v>
      </c>
      <c r="D957" s="562">
        <v>2</v>
      </c>
      <c r="E957" s="562">
        <v>4</v>
      </c>
      <c r="F957" s="562" t="s">
        <v>184</v>
      </c>
      <c r="G957" s="562" t="s">
        <v>191</v>
      </c>
      <c r="H957" s="562" t="s">
        <v>191</v>
      </c>
    </row>
    <row r="958" spans="1:8" x14ac:dyDescent="0.2">
      <c r="A958" s="562" t="s">
        <v>223</v>
      </c>
      <c r="B958" s="562" t="s">
        <v>890</v>
      </c>
      <c r="C958" s="562" t="s">
        <v>928</v>
      </c>
      <c r="D958" s="562">
        <v>1</v>
      </c>
      <c r="E958" s="562">
        <v>5</v>
      </c>
      <c r="F958" s="562" t="s">
        <v>184</v>
      </c>
      <c r="G958" s="562" t="s">
        <v>191</v>
      </c>
      <c r="H958" s="562" t="s">
        <v>191</v>
      </c>
    </row>
    <row r="959" spans="1:8" x14ac:dyDescent="0.2">
      <c r="A959" s="562" t="s">
        <v>223</v>
      </c>
      <c r="B959" s="562" t="s">
        <v>890</v>
      </c>
      <c r="C959" s="562" t="s">
        <v>929</v>
      </c>
      <c r="D959" s="562">
        <v>1</v>
      </c>
      <c r="E959" s="562">
        <v>5</v>
      </c>
      <c r="F959" s="562" t="s">
        <v>184</v>
      </c>
      <c r="G959" s="562" t="s">
        <v>191</v>
      </c>
      <c r="H959" s="562" t="s">
        <v>191</v>
      </c>
    </row>
    <row r="960" spans="1:8" x14ac:dyDescent="0.2">
      <c r="A960" s="562" t="s">
        <v>223</v>
      </c>
      <c r="B960" s="562" t="s">
        <v>890</v>
      </c>
      <c r="C960" s="562" t="s">
        <v>930</v>
      </c>
      <c r="D960" s="562">
        <v>2</v>
      </c>
      <c r="E960" s="562">
        <v>4</v>
      </c>
      <c r="F960" s="562" t="s">
        <v>184</v>
      </c>
      <c r="G960" s="562" t="s">
        <v>191</v>
      </c>
      <c r="H960" s="562" t="s">
        <v>191</v>
      </c>
    </row>
    <row r="961" spans="1:8" x14ac:dyDescent="0.2">
      <c r="A961" s="562" t="s">
        <v>223</v>
      </c>
      <c r="B961" s="562" t="s">
        <v>890</v>
      </c>
      <c r="C961" s="562" t="s">
        <v>931</v>
      </c>
      <c r="D961" s="562">
        <v>1</v>
      </c>
      <c r="E961" s="562">
        <v>5</v>
      </c>
      <c r="F961" s="562" t="s">
        <v>184</v>
      </c>
      <c r="G961" s="562" t="s">
        <v>191</v>
      </c>
      <c r="H961" s="562" t="s">
        <v>191</v>
      </c>
    </row>
    <row r="962" spans="1:8" x14ac:dyDescent="0.2">
      <c r="A962" s="562" t="s">
        <v>223</v>
      </c>
      <c r="B962" s="562" t="s">
        <v>890</v>
      </c>
      <c r="C962" s="562" t="s">
        <v>932</v>
      </c>
      <c r="D962" s="562">
        <v>1</v>
      </c>
      <c r="E962" s="562">
        <v>4</v>
      </c>
      <c r="F962" s="562" t="s">
        <v>184</v>
      </c>
      <c r="G962" s="562" t="s">
        <v>191</v>
      </c>
      <c r="H962" s="562" t="s">
        <v>191</v>
      </c>
    </row>
    <row r="963" spans="1:8" x14ac:dyDescent="0.2">
      <c r="A963" s="562" t="s">
        <v>223</v>
      </c>
      <c r="B963" s="562" t="s">
        <v>890</v>
      </c>
      <c r="C963" s="562" t="s">
        <v>933</v>
      </c>
      <c r="D963" s="562">
        <v>1</v>
      </c>
      <c r="E963" s="562">
        <v>4</v>
      </c>
      <c r="F963" s="562" t="s">
        <v>184</v>
      </c>
      <c r="G963" s="562" t="s">
        <v>191</v>
      </c>
      <c r="H963" s="562" t="s">
        <v>191</v>
      </c>
    </row>
    <row r="964" spans="1:8" x14ac:dyDescent="0.2">
      <c r="A964" s="562" t="s">
        <v>223</v>
      </c>
      <c r="B964" s="562" t="s">
        <v>890</v>
      </c>
      <c r="C964" s="562" t="s">
        <v>399</v>
      </c>
      <c r="D964" s="562">
        <v>1</v>
      </c>
      <c r="E964" s="562">
        <v>5</v>
      </c>
      <c r="F964" s="562" t="s">
        <v>184</v>
      </c>
      <c r="G964" s="562" t="s">
        <v>191</v>
      </c>
      <c r="H964" s="562" t="s">
        <v>191</v>
      </c>
    </row>
    <row r="965" spans="1:8" x14ac:dyDescent="0.2">
      <c r="A965" s="562" t="s">
        <v>223</v>
      </c>
      <c r="B965" s="562" t="s">
        <v>890</v>
      </c>
      <c r="C965" s="562" t="s">
        <v>934</v>
      </c>
      <c r="D965" s="562">
        <v>1</v>
      </c>
      <c r="E965" s="562">
        <v>4</v>
      </c>
      <c r="F965" s="562" t="s">
        <v>184</v>
      </c>
      <c r="G965" s="562" t="s">
        <v>191</v>
      </c>
      <c r="H965" s="562" t="s">
        <v>191</v>
      </c>
    </row>
    <row r="966" spans="1:8" x14ac:dyDescent="0.2">
      <c r="A966" s="562" t="s">
        <v>223</v>
      </c>
      <c r="B966" s="562" t="s">
        <v>890</v>
      </c>
      <c r="C966" s="562" t="s">
        <v>935</v>
      </c>
      <c r="D966" s="562">
        <v>1</v>
      </c>
      <c r="E966" s="562">
        <v>4</v>
      </c>
      <c r="F966" s="562" t="s">
        <v>184</v>
      </c>
      <c r="G966" s="562" t="s">
        <v>191</v>
      </c>
      <c r="H966" s="562" t="s">
        <v>191</v>
      </c>
    </row>
    <row r="967" spans="1:8" x14ac:dyDescent="0.2">
      <c r="A967" s="562" t="s">
        <v>223</v>
      </c>
      <c r="B967" s="562" t="s">
        <v>890</v>
      </c>
      <c r="C967" s="562" t="s">
        <v>936</v>
      </c>
      <c r="D967" s="562">
        <v>1</v>
      </c>
      <c r="E967" s="562">
        <v>5</v>
      </c>
      <c r="F967" s="562" t="s">
        <v>184</v>
      </c>
      <c r="G967" s="562" t="s">
        <v>191</v>
      </c>
      <c r="H967" s="562" t="s">
        <v>191</v>
      </c>
    </row>
    <row r="968" spans="1:8" x14ac:dyDescent="0.2">
      <c r="A968" s="562" t="s">
        <v>223</v>
      </c>
      <c r="B968" s="562" t="s">
        <v>890</v>
      </c>
      <c r="C968" s="562" t="s">
        <v>937</v>
      </c>
      <c r="D968" s="562">
        <v>2</v>
      </c>
      <c r="E968" s="562">
        <v>4</v>
      </c>
      <c r="F968" s="562" t="s">
        <v>184</v>
      </c>
      <c r="G968" s="562" t="s">
        <v>191</v>
      </c>
      <c r="H968" s="562" t="s">
        <v>191</v>
      </c>
    </row>
    <row r="969" spans="1:8" x14ac:dyDescent="0.2">
      <c r="A969" s="562" t="s">
        <v>223</v>
      </c>
      <c r="B969" s="562" t="s">
        <v>890</v>
      </c>
      <c r="C969" s="562" t="s">
        <v>938</v>
      </c>
      <c r="D969" s="562">
        <v>1</v>
      </c>
      <c r="E969" s="562">
        <v>5</v>
      </c>
      <c r="F969" s="562" t="s">
        <v>184</v>
      </c>
      <c r="G969" s="562" t="s">
        <v>191</v>
      </c>
      <c r="H969" s="562" t="s">
        <v>191</v>
      </c>
    </row>
    <row r="970" spans="1:8" x14ac:dyDescent="0.2">
      <c r="A970" s="562" t="s">
        <v>223</v>
      </c>
      <c r="B970" s="562" t="s">
        <v>890</v>
      </c>
      <c r="C970" s="562" t="s">
        <v>939</v>
      </c>
      <c r="D970" s="562">
        <v>1</v>
      </c>
      <c r="E970" s="562">
        <v>4</v>
      </c>
      <c r="F970" s="562" t="s">
        <v>184</v>
      </c>
      <c r="G970" s="562" t="s">
        <v>191</v>
      </c>
      <c r="H970" s="562" t="s">
        <v>191</v>
      </c>
    </row>
    <row r="971" spans="1:8" x14ac:dyDescent="0.2">
      <c r="A971" s="562" t="s">
        <v>223</v>
      </c>
      <c r="B971" s="562" t="s">
        <v>890</v>
      </c>
      <c r="C971" s="562" t="s">
        <v>940</v>
      </c>
      <c r="D971" s="562">
        <v>1</v>
      </c>
      <c r="E971" s="562">
        <v>4</v>
      </c>
      <c r="F971" s="562" t="s">
        <v>184</v>
      </c>
      <c r="G971" s="562" t="s">
        <v>191</v>
      </c>
      <c r="H971" s="562" t="s">
        <v>191</v>
      </c>
    </row>
    <row r="972" spans="1:8" x14ac:dyDescent="0.2">
      <c r="A972" s="562" t="s">
        <v>223</v>
      </c>
      <c r="B972" s="562" t="s">
        <v>890</v>
      </c>
      <c r="C972" s="562" t="s">
        <v>941</v>
      </c>
      <c r="D972" s="562">
        <v>1</v>
      </c>
      <c r="E972" s="562">
        <v>5</v>
      </c>
      <c r="F972" s="562" t="s">
        <v>184</v>
      </c>
      <c r="G972" s="562" t="s">
        <v>191</v>
      </c>
      <c r="H972" s="562" t="s">
        <v>191</v>
      </c>
    </row>
    <row r="973" spans="1:8" x14ac:dyDescent="0.2">
      <c r="A973" s="562" t="s">
        <v>223</v>
      </c>
      <c r="B973" s="562" t="s">
        <v>890</v>
      </c>
      <c r="C973" s="562" t="s">
        <v>829</v>
      </c>
      <c r="D973" s="562">
        <v>1</v>
      </c>
      <c r="E973" s="562">
        <v>4</v>
      </c>
      <c r="F973" s="562" t="s">
        <v>184</v>
      </c>
      <c r="G973" s="562" t="s">
        <v>191</v>
      </c>
      <c r="H973" s="562" t="s">
        <v>191</v>
      </c>
    </row>
    <row r="974" spans="1:8" x14ac:dyDescent="0.2">
      <c r="A974" s="562" t="s">
        <v>223</v>
      </c>
      <c r="B974" s="562" t="s">
        <v>890</v>
      </c>
      <c r="C974" s="562" t="s">
        <v>301</v>
      </c>
      <c r="D974" s="562">
        <v>1</v>
      </c>
      <c r="E974" s="562">
        <v>4</v>
      </c>
      <c r="F974" s="562" t="s">
        <v>184</v>
      </c>
      <c r="G974" s="562" t="s">
        <v>191</v>
      </c>
      <c r="H974" s="562" t="s">
        <v>191</v>
      </c>
    </row>
    <row r="975" spans="1:8" x14ac:dyDescent="0.2">
      <c r="A975" s="562" t="s">
        <v>223</v>
      </c>
      <c r="B975" s="562" t="s">
        <v>890</v>
      </c>
      <c r="C975" s="562" t="s">
        <v>406</v>
      </c>
      <c r="D975" s="562">
        <v>1</v>
      </c>
      <c r="E975" s="562">
        <v>4</v>
      </c>
      <c r="F975" s="562" t="s">
        <v>184</v>
      </c>
      <c r="G975" s="562" t="s">
        <v>191</v>
      </c>
      <c r="H975" s="562" t="s">
        <v>191</v>
      </c>
    </row>
    <row r="976" spans="1:8" x14ac:dyDescent="0.2">
      <c r="A976" s="562" t="s">
        <v>223</v>
      </c>
      <c r="B976" s="562" t="s">
        <v>890</v>
      </c>
      <c r="C976" s="562" t="s">
        <v>407</v>
      </c>
      <c r="D976" s="562">
        <v>1</v>
      </c>
      <c r="E976" s="562">
        <v>5</v>
      </c>
      <c r="F976" s="562" t="s">
        <v>184</v>
      </c>
      <c r="G976" s="562" t="s">
        <v>191</v>
      </c>
      <c r="H976" s="562" t="s">
        <v>191</v>
      </c>
    </row>
    <row r="977" spans="1:8" x14ac:dyDescent="0.2">
      <c r="A977" s="562" t="s">
        <v>223</v>
      </c>
      <c r="B977" s="562" t="s">
        <v>890</v>
      </c>
      <c r="C977" s="562" t="s">
        <v>528</v>
      </c>
      <c r="D977" s="562">
        <v>2</v>
      </c>
      <c r="E977" s="562">
        <v>4</v>
      </c>
      <c r="F977" s="562" t="s">
        <v>184</v>
      </c>
      <c r="G977" s="562" t="s">
        <v>191</v>
      </c>
      <c r="H977" s="562" t="s">
        <v>191</v>
      </c>
    </row>
    <row r="978" spans="1:8" x14ac:dyDescent="0.2">
      <c r="A978" s="562" t="s">
        <v>223</v>
      </c>
      <c r="B978" s="562" t="s">
        <v>890</v>
      </c>
      <c r="C978" s="562" t="s">
        <v>942</v>
      </c>
      <c r="D978" s="562">
        <v>2</v>
      </c>
      <c r="E978" s="562">
        <v>4</v>
      </c>
      <c r="F978" s="562" t="s">
        <v>184</v>
      </c>
      <c r="G978" s="562" t="s">
        <v>191</v>
      </c>
      <c r="H978" s="562" t="s">
        <v>191</v>
      </c>
    </row>
    <row r="979" spans="1:8" x14ac:dyDescent="0.2">
      <c r="A979" s="562" t="s">
        <v>223</v>
      </c>
      <c r="B979" s="562" t="s">
        <v>890</v>
      </c>
      <c r="C979" s="562" t="s">
        <v>943</v>
      </c>
      <c r="D979" s="562">
        <v>2</v>
      </c>
      <c r="E979" s="562">
        <v>4</v>
      </c>
      <c r="F979" s="562" t="s">
        <v>184</v>
      </c>
      <c r="G979" s="562" t="s">
        <v>191</v>
      </c>
      <c r="H979" s="562" t="s">
        <v>191</v>
      </c>
    </row>
    <row r="980" spans="1:8" x14ac:dyDescent="0.2">
      <c r="A980" s="562" t="s">
        <v>223</v>
      </c>
      <c r="B980" s="562" t="s">
        <v>890</v>
      </c>
      <c r="C980" s="562" t="s">
        <v>944</v>
      </c>
      <c r="D980" s="562">
        <v>1</v>
      </c>
      <c r="E980" s="562">
        <v>5</v>
      </c>
      <c r="F980" s="562" t="s">
        <v>184</v>
      </c>
      <c r="G980" s="562" t="s">
        <v>191</v>
      </c>
      <c r="H980" s="562" t="s">
        <v>191</v>
      </c>
    </row>
    <row r="981" spans="1:8" x14ac:dyDescent="0.2">
      <c r="A981" s="562" t="s">
        <v>223</v>
      </c>
      <c r="B981" s="562" t="s">
        <v>890</v>
      </c>
      <c r="C981" s="562" t="s">
        <v>945</v>
      </c>
      <c r="D981" s="562">
        <v>1</v>
      </c>
      <c r="E981" s="562">
        <v>5</v>
      </c>
      <c r="F981" s="562" t="s">
        <v>184</v>
      </c>
      <c r="G981" s="562" t="s">
        <v>191</v>
      </c>
      <c r="H981" s="562" t="s">
        <v>191</v>
      </c>
    </row>
    <row r="982" spans="1:8" x14ac:dyDescent="0.2">
      <c r="A982" s="562" t="s">
        <v>223</v>
      </c>
      <c r="B982" s="562" t="s">
        <v>890</v>
      </c>
      <c r="C982" s="562" t="s">
        <v>946</v>
      </c>
      <c r="D982" s="562">
        <v>1</v>
      </c>
      <c r="E982" s="562">
        <v>5</v>
      </c>
      <c r="F982" s="562" t="s">
        <v>184</v>
      </c>
      <c r="G982" s="562" t="s">
        <v>191</v>
      </c>
      <c r="H982" s="562" t="s">
        <v>191</v>
      </c>
    </row>
    <row r="983" spans="1:8" x14ac:dyDescent="0.2">
      <c r="A983" s="562" t="s">
        <v>223</v>
      </c>
      <c r="B983" s="562" t="s">
        <v>890</v>
      </c>
      <c r="C983" s="562" t="s">
        <v>947</v>
      </c>
      <c r="D983" s="562">
        <v>2</v>
      </c>
      <c r="E983" s="562">
        <v>4</v>
      </c>
      <c r="F983" s="562" t="s">
        <v>184</v>
      </c>
      <c r="G983" s="562" t="s">
        <v>191</v>
      </c>
      <c r="H983" s="562" t="s">
        <v>191</v>
      </c>
    </row>
    <row r="984" spans="1:8" x14ac:dyDescent="0.2">
      <c r="A984" s="562" t="s">
        <v>223</v>
      </c>
      <c r="B984" s="562" t="s">
        <v>890</v>
      </c>
      <c r="C984" s="562" t="s">
        <v>948</v>
      </c>
      <c r="D984" s="562">
        <v>1</v>
      </c>
      <c r="E984" s="562">
        <v>4</v>
      </c>
      <c r="F984" s="562" t="s">
        <v>184</v>
      </c>
      <c r="G984" s="562" t="s">
        <v>191</v>
      </c>
      <c r="H984" s="562" t="s">
        <v>191</v>
      </c>
    </row>
    <row r="985" spans="1:8" x14ac:dyDescent="0.2">
      <c r="A985" s="562" t="s">
        <v>223</v>
      </c>
      <c r="B985" s="562" t="s">
        <v>890</v>
      </c>
      <c r="C985" s="562" t="s">
        <v>949</v>
      </c>
      <c r="D985" s="562">
        <v>2</v>
      </c>
      <c r="E985" s="562">
        <v>4</v>
      </c>
      <c r="F985" s="562" t="s">
        <v>184</v>
      </c>
      <c r="G985" s="562" t="s">
        <v>191</v>
      </c>
      <c r="H985" s="562" t="s">
        <v>191</v>
      </c>
    </row>
    <row r="986" spans="1:8" x14ac:dyDescent="0.2">
      <c r="A986" s="562" t="s">
        <v>223</v>
      </c>
      <c r="B986" s="562" t="s">
        <v>890</v>
      </c>
      <c r="C986" s="562" t="s">
        <v>950</v>
      </c>
      <c r="D986" s="562">
        <v>2</v>
      </c>
      <c r="E986" s="562">
        <v>4</v>
      </c>
      <c r="F986" s="562" t="s">
        <v>184</v>
      </c>
      <c r="G986" s="562" t="s">
        <v>191</v>
      </c>
      <c r="H986" s="562" t="s">
        <v>191</v>
      </c>
    </row>
    <row r="987" spans="1:8" x14ac:dyDescent="0.2">
      <c r="A987" s="562" t="s">
        <v>223</v>
      </c>
      <c r="B987" s="562" t="s">
        <v>890</v>
      </c>
      <c r="C987" s="562" t="s">
        <v>689</v>
      </c>
      <c r="D987" s="562">
        <v>1</v>
      </c>
      <c r="E987" s="562">
        <v>5</v>
      </c>
      <c r="F987" s="562" t="s">
        <v>184</v>
      </c>
      <c r="G987" s="562" t="s">
        <v>191</v>
      </c>
      <c r="H987" s="562" t="s">
        <v>191</v>
      </c>
    </row>
    <row r="988" spans="1:8" x14ac:dyDescent="0.2">
      <c r="A988" s="562" t="s">
        <v>223</v>
      </c>
      <c r="B988" s="562" t="s">
        <v>890</v>
      </c>
      <c r="C988" s="562" t="s">
        <v>951</v>
      </c>
      <c r="D988" s="562">
        <v>1</v>
      </c>
      <c r="E988" s="562">
        <v>5</v>
      </c>
      <c r="F988" s="562" t="s">
        <v>184</v>
      </c>
      <c r="G988" s="562" t="s">
        <v>191</v>
      </c>
      <c r="H988" s="562" t="s">
        <v>191</v>
      </c>
    </row>
    <row r="989" spans="1:8" x14ac:dyDescent="0.2">
      <c r="A989" s="562" t="s">
        <v>223</v>
      </c>
      <c r="B989" s="562" t="s">
        <v>890</v>
      </c>
      <c r="C989" s="562" t="s">
        <v>952</v>
      </c>
      <c r="D989" s="562">
        <v>2</v>
      </c>
      <c r="E989" s="562">
        <v>4</v>
      </c>
      <c r="F989" s="562" t="s">
        <v>184</v>
      </c>
      <c r="G989" s="562" t="s">
        <v>191</v>
      </c>
      <c r="H989" s="562" t="s">
        <v>191</v>
      </c>
    </row>
    <row r="990" spans="1:8" x14ac:dyDescent="0.2">
      <c r="A990" s="562" t="s">
        <v>223</v>
      </c>
      <c r="B990" s="562" t="s">
        <v>890</v>
      </c>
      <c r="C990" s="562" t="s">
        <v>953</v>
      </c>
      <c r="D990" s="562">
        <v>1</v>
      </c>
      <c r="E990" s="562">
        <v>5</v>
      </c>
      <c r="F990" s="562" t="s">
        <v>184</v>
      </c>
      <c r="G990" s="562" t="s">
        <v>191</v>
      </c>
      <c r="H990" s="562" t="s">
        <v>191</v>
      </c>
    </row>
    <row r="991" spans="1:8" x14ac:dyDescent="0.2">
      <c r="A991" s="562" t="s">
        <v>223</v>
      </c>
      <c r="B991" s="562" t="s">
        <v>890</v>
      </c>
      <c r="C991" s="562" t="s">
        <v>309</v>
      </c>
      <c r="D991" s="562">
        <v>1</v>
      </c>
      <c r="E991" s="562">
        <v>4</v>
      </c>
      <c r="F991" s="562" t="s">
        <v>184</v>
      </c>
      <c r="G991" s="562" t="s">
        <v>191</v>
      </c>
      <c r="H991" s="562" t="s">
        <v>191</v>
      </c>
    </row>
    <row r="992" spans="1:8" x14ac:dyDescent="0.2">
      <c r="A992" s="562" t="s">
        <v>223</v>
      </c>
      <c r="B992" s="562" t="s">
        <v>890</v>
      </c>
      <c r="C992" s="562" t="s">
        <v>954</v>
      </c>
      <c r="D992" s="562">
        <v>1</v>
      </c>
      <c r="E992" s="562">
        <v>5</v>
      </c>
      <c r="F992" s="562" t="s">
        <v>184</v>
      </c>
      <c r="G992" s="562" t="s">
        <v>191</v>
      </c>
      <c r="H992" s="562" t="s">
        <v>191</v>
      </c>
    </row>
    <row r="993" spans="1:8" x14ac:dyDescent="0.2">
      <c r="A993" s="562" t="s">
        <v>223</v>
      </c>
      <c r="B993" s="562" t="s">
        <v>890</v>
      </c>
      <c r="C993" s="562" t="s">
        <v>955</v>
      </c>
      <c r="D993" s="562">
        <v>2</v>
      </c>
      <c r="E993" s="562">
        <v>4</v>
      </c>
      <c r="F993" s="562" t="s">
        <v>184</v>
      </c>
      <c r="G993" s="562" t="s">
        <v>191</v>
      </c>
      <c r="H993" s="562" t="s">
        <v>191</v>
      </c>
    </row>
    <row r="994" spans="1:8" x14ac:dyDescent="0.2">
      <c r="A994" s="562" t="s">
        <v>223</v>
      </c>
      <c r="B994" s="562" t="s">
        <v>890</v>
      </c>
      <c r="C994" s="562" t="s">
        <v>956</v>
      </c>
      <c r="D994" s="562">
        <v>2</v>
      </c>
      <c r="E994" s="562">
        <v>4</v>
      </c>
      <c r="F994" s="562" t="s">
        <v>184</v>
      </c>
      <c r="G994" s="562" t="s">
        <v>191</v>
      </c>
      <c r="H994" s="562" t="s">
        <v>191</v>
      </c>
    </row>
    <row r="995" spans="1:8" x14ac:dyDescent="0.2">
      <c r="A995" s="562" t="s">
        <v>223</v>
      </c>
      <c r="B995" s="562" t="s">
        <v>890</v>
      </c>
      <c r="C995" s="562" t="s">
        <v>957</v>
      </c>
      <c r="D995" s="562">
        <v>1</v>
      </c>
      <c r="E995" s="562">
        <v>4</v>
      </c>
      <c r="F995" s="562" t="s">
        <v>184</v>
      </c>
      <c r="G995" s="562" t="s">
        <v>191</v>
      </c>
      <c r="H995" s="562" t="s">
        <v>191</v>
      </c>
    </row>
    <row r="996" spans="1:8" x14ac:dyDescent="0.2">
      <c r="A996" s="562" t="s">
        <v>225</v>
      </c>
      <c r="B996" s="562" t="s">
        <v>958</v>
      </c>
      <c r="C996" s="562" t="s">
        <v>845</v>
      </c>
      <c r="D996" s="562">
        <v>1</v>
      </c>
      <c r="E996" s="562">
        <v>4</v>
      </c>
      <c r="F996" s="562" t="s">
        <v>184</v>
      </c>
      <c r="G996" s="562" t="s">
        <v>191</v>
      </c>
      <c r="H996" s="562" t="s">
        <v>191</v>
      </c>
    </row>
    <row r="997" spans="1:8" x14ac:dyDescent="0.2">
      <c r="A997" s="562" t="s">
        <v>225</v>
      </c>
      <c r="B997" s="562" t="s">
        <v>958</v>
      </c>
      <c r="C997" s="562" t="s">
        <v>803</v>
      </c>
      <c r="D997" s="562">
        <v>1</v>
      </c>
      <c r="E997" s="562">
        <v>4</v>
      </c>
      <c r="F997" s="562" t="s">
        <v>184</v>
      </c>
      <c r="G997" s="562" t="s">
        <v>191</v>
      </c>
      <c r="H997" s="562" t="s">
        <v>191</v>
      </c>
    </row>
    <row r="998" spans="1:8" x14ac:dyDescent="0.2">
      <c r="A998" s="562" t="s">
        <v>225</v>
      </c>
      <c r="B998" s="562" t="s">
        <v>958</v>
      </c>
      <c r="C998" s="562" t="s">
        <v>891</v>
      </c>
      <c r="D998" s="562">
        <v>2</v>
      </c>
      <c r="E998" s="562">
        <v>4</v>
      </c>
      <c r="F998" s="562" t="s">
        <v>184</v>
      </c>
      <c r="G998" s="562" t="s">
        <v>191</v>
      </c>
      <c r="H998" s="562" t="s">
        <v>191</v>
      </c>
    </row>
    <row r="999" spans="1:8" x14ac:dyDescent="0.2">
      <c r="A999" s="562" t="s">
        <v>225</v>
      </c>
      <c r="B999" s="562" t="s">
        <v>958</v>
      </c>
      <c r="C999" s="562" t="s">
        <v>959</v>
      </c>
      <c r="D999" s="562">
        <v>3</v>
      </c>
      <c r="E999" s="562">
        <v>4</v>
      </c>
      <c r="F999" s="562" t="s">
        <v>184</v>
      </c>
      <c r="G999" s="562" t="s">
        <v>191</v>
      </c>
      <c r="H999" s="562" t="s">
        <v>191</v>
      </c>
    </row>
    <row r="1000" spans="1:8" x14ac:dyDescent="0.2">
      <c r="A1000" s="562" t="s">
        <v>225</v>
      </c>
      <c r="B1000" s="562" t="s">
        <v>958</v>
      </c>
      <c r="C1000" s="562" t="s">
        <v>960</v>
      </c>
      <c r="D1000" s="562">
        <v>1</v>
      </c>
      <c r="E1000" s="562">
        <v>4</v>
      </c>
      <c r="F1000" s="562" t="s">
        <v>184</v>
      </c>
      <c r="G1000" s="562" t="s">
        <v>191</v>
      </c>
      <c r="H1000" s="562" t="s">
        <v>191</v>
      </c>
    </row>
    <row r="1001" spans="1:8" x14ac:dyDescent="0.2">
      <c r="A1001" s="562" t="s">
        <v>225</v>
      </c>
      <c r="B1001" s="562" t="s">
        <v>958</v>
      </c>
      <c r="C1001" s="562" t="s">
        <v>961</v>
      </c>
      <c r="D1001" s="562">
        <v>2</v>
      </c>
      <c r="E1001" s="562">
        <v>4</v>
      </c>
      <c r="F1001" s="562" t="s">
        <v>184</v>
      </c>
      <c r="G1001" s="562" t="s">
        <v>191</v>
      </c>
      <c r="H1001" s="562" t="s">
        <v>191</v>
      </c>
    </row>
    <row r="1002" spans="1:8" x14ac:dyDescent="0.2">
      <c r="A1002" s="562" t="s">
        <v>225</v>
      </c>
      <c r="B1002" s="562" t="s">
        <v>958</v>
      </c>
      <c r="C1002" s="562" t="s">
        <v>962</v>
      </c>
      <c r="D1002" s="562">
        <v>2</v>
      </c>
      <c r="E1002" s="562">
        <v>4</v>
      </c>
      <c r="F1002" s="562" t="s">
        <v>184</v>
      </c>
      <c r="G1002" s="562" t="s">
        <v>191</v>
      </c>
      <c r="H1002" s="562" t="s">
        <v>191</v>
      </c>
    </row>
    <row r="1003" spans="1:8" x14ac:dyDescent="0.2">
      <c r="A1003" s="562" t="s">
        <v>225</v>
      </c>
      <c r="B1003" s="562" t="s">
        <v>958</v>
      </c>
      <c r="C1003" s="562" t="s">
        <v>365</v>
      </c>
      <c r="D1003" s="562">
        <v>2</v>
      </c>
      <c r="E1003" s="562">
        <v>4</v>
      </c>
      <c r="F1003" s="562" t="s">
        <v>184</v>
      </c>
      <c r="G1003" s="562" t="s">
        <v>191</v>
      </c>
      <c r="H1003" s="562" t="s">
        <v>191</v>
      </c>
    </row>
    <row r="1004" spans="1:8" x14ac:dyDescent="0.2">
      <c r="A1004" s="562" t="s">
        <v>225</v>
      </c>
      <c r="B1004" s="562" t="s">
        <v>958</v>
      </c>
      <c r="C1004" s="562" t="s">
        <v>895</v>
      </c>
      <c r="D1004" s="562">
        <v>1</v>
      </c>
      <c r="E1004" s="562">
        <v>4</v>
      </c>
      <c r="F1004" s="562" t="s">
        <v>184</v>
      </c>
      <c r="G1004" s="562" t="s">
        <v>191</v>
      </c>
      <c r="H1004" s="562" t="s">
        <v>191</v>
      </c>
    </row>
    <row r="1005" spans="1:8" x14ac:dyDescent="0.2">
      <c r="A1005" s="562" t="s">
        <v>225</v>
      </c>
      <c r="B1005" s="562" t="s">
        <v>958</v>
      </c>
      <c r="C1005" s="562" t="s">
        <v>963</v>
      </c>
      <c r="D1005" s="562">
        <v>2</v>
      </c>
      <c r="E1005" s="562">
        <v>4</v>
      </c>
      <c r="F1005" s="562" t="s">
        <v>184</v>
      </c>
      <c r="G1005" s="562" t="s">
        <v>191</v>
      </c>
      <c r="H1005" s="562" t="s">
        <v>191</v>
      </c>
    </row>
    <row r="1006" spans="1:8" x14ac:dyDescent="0.2">
      <c r="A1006" s="562" t="s">
        <v>225</v>
      </c>
      <c r="B1006" s="562" t="s">
        <v>958</v>
      </c>
      <c r="C1006" s="562" t="s">
        <v>964</v>
      </c>
      <c r="D1006" s="562">
        <v>1</v>
      </c>
      <c r="E1006" s="562">
        <v>4</v>
      </c>
      <c r="F1006" s="562" t="s">
        <v>184</v>
      </c>
      <c r="G1006" s="562" t="s">
        <v>191</v>
      </c>
      <c r="H1006" s="562" t="s">
        <v>191</v>
      </c>
    </row>
    <row r="1007" spans="1:8" x14ac:dyDescent="0.2">
      <c r="A1007" s="562" t="s">
        <v>225</v>
      </c>
      <c r="B1007" s="562" t="s">
        <v>958</v>
      </c>
      <c r="C1007" s="562" t="s">
        <v>965</v>
      </c>
      <c r="D1007" s="562">
        <v>2</v>
      </c>
      <c r="E1007" s="562">
        <v>4</v>
      </c>
      <c r="F1007" s="562" t="s">
        <v>184</v>
      </c>
      <c r="G1007" s="562" t="s">
        <v>191</v>
      </c>
      <c r="H1007" s="562" t="s">
        <v>191</v>
      </c>
    </row>
    <row r="1008" spans="1:8" x14ac:dyDescent="0.2">
      <c r="A1008" s="562" t="s">
        <v>225</v>
      </c>
      <c r="B1008" s="562" t="s">
        <v>958</v>
      </c>
      <c r="C1008" s="562" t="s">
        <v>966</v>
      </c>
      <c r="D1008" s="562">
        <v>2</v>
      </c>
      <c r="E1008" s="562">
        <v>4</v>
      </c>
      <c r="F1008" s="562" t="s">
        <v>184</v>
      </c>
      <c r="G1008" s="562" t="s">
        <v>191</v>
      </c>
      <c r="H1008" s="562" t="s">
        <v>191</v>
      </c>
    </row>
    <row r="1009" spans="1:8" x14ac:dyDescent="0.2">
      <c r="A1009" s="562" t="s">
        <v>225</v>
      </c>
      <c r="B1009" s="562" t="s">
        <v>958</v>
      </c>
      <c r="C1009" s="562" t="s">
        <v>967</v>
      </c>
      <c r="D1009" s="562">
        <v>2</v>
      </c>
      <c r="E1009" s="562">
        <v>4</v>
      </c>
      <c r="F1009" s="562" t="s">
        <v>184</v>
      </c>
      <c r="G1009" s="562" t="s">
        <v>191</v>
      </c>
      <c r="H1009" s="562" t="s">
        <v>191</v>
      </c>
    </row>
    <row r="1010" spans="1:8" x14ac:dyDescent="0.2">
      <c r="A1010" s="562" t="s">
        <v>225</v>
      </c>
      <c r="B1010" s="562" t="s">
        <v>958</v>
      </c>
      <c r="C1010" s="562" t="s">
        <v>968</v>
      </c>
      <c r="D1010" s="562">
        <v>1</v>
      </c>
      <c r="E1010" s="562">
        <v>4</v>
      </c>
      <c r="F1010" s="562" t="s">
        <v>184</v>
      </c>
      <c r="G1010" s="562" t="s">
        <v>191</v>
      </c>
      <c r="H1010" s="562" t="s">
        <v>191</v>
      </c>
    </row>
    <row r="1011" spans="1:8" x14ac:dyDescent="0.2">
      <c r="A1011" s="562" t="s">
        <v>225</v>
      </c>
      <c r="B1011" s="562" t="s">
        <v>958</v>
      </c>
      <c r="C1011" s="562" t="s">
        <v>202</v>
      </c>
      <c r="D1011" s="562">
        <v>2</v>
      </c>
      <c r="E1011" s="562">
        <v>4</v>
      </c>
      <c r="F1011" s="562" t="s">
        <v>184</v>
      </c>
      <c r="G1011" s="562" t="s">
        <v>191</v>
      </c>
      <c r="H1011" s="562" t="s">
        <v>191</v>
      </c>
    </row>
    <row r="1012" spans="1:8" x14ac:dyDescent="0.2">
      <c r="A1012" s="562" t="s">
        <v>225</v>
      </c>
      <c r="B1012" s="562" t="s">
        <v>958</v>
      </c>
      <c r="C1012" s="562" t="s">
        <v>969</v>
      </c>
      <c r="D1012" s="562">
        <v>2</v>
      </c>
      <c r="E1012" s="562">
        <v>4</v>
      </c>
      <c r="F1012" s="562" t="s">
        <v>184</v>
      </c>
      <c r="G1012" s="562" t="s">
        <v>191</v>
      </c>
      <c r="H1012" s="562" t="s">
        <v>191</v>
      </c>
    </row>
    <row r="1013" spans="1:8" x14ac:dyDescent="0.2">
      <c r="A1013" s="562" t="s">
        <v>225</v>
      </c>
      <c r="B1013" s="562" t="s">
        <v>958</v>
      </c>
      <c r="C1013" s="562" t="s">
        <v>970</v>
      </c>
      <c r="D1013" s="562">
        <v>3</v>
      </c>
      <c r="E1013" s="562">
        <v>4</v>
      </c>
      <c r="F1013" s="562" t="s">
        <v>184</v>
      </c>
      <c r="G1013" s="562" t="s">
        <v>191</v>
      </c>
      <c r="H1013" s="562" t="s">
        <v>191</v>
      </c>
    </row>
    <row r="1014" spans="1:8" x14ac:dyDescent="0.2">
      <c r="A1014" s="562" t="s">
        <v>225</v>
      </c>
      <c r="B1014" s="562" t="s">
        <v>958</v>
      </c>
      <c r="C1014" s="562" t="s">
        <v>971</v>
      </c>
      <c r="D1014" s="562">
        <v>2</v>
      </c>
      <c r="E1014" s="562">
        <v>4</v>
      </c>
      <c r="F1014" s="562" t="s">
        <v>184</v>
      </c>
      <c r="G1014" s="562" t="s">
        <v>191</v>
      </c>
      <c r="H1014" s="562" t="s">
        <v>191</v>
      </c>
    </row>
    <row r="1015" spans="1:8" x14ac:dyDescent="0.2">
      <c r="A1015" s="562" t="s">
        <v>225</v>
      </c>
      <c r="B1015" s="562" t="s">
        <v>958</v>
      </c>
      <c r="C1015" s="562" t="s">
        <v>972</v>
      </c>
      <c r="D1015" s="562">
        <v>3</v>
      </c>
      <c r="E1015" s="562">
        <v>4</v>
      </c>
      <c r="F1015" s="562" t="s">
        <v>184</v>
      </c>
      <c r="G1015" s="562" t="s">
        <v>191</v>
      </c>
      <c r="H1015" s="562" t="s">
        <v>191</v>
      </c>
    </row>
    <row r="1016" spans="1:8" x14ac:dyDescent="0.2">
      <c r="A1016" s="562" t="s">
        <v>225</v>
      </c>
      <c r="B1016" s="562" t="s">
        <v>958</v>
      </c>
      <c r="C1016" s="562" t="s">
        <v>367</v>
      </c>
      <c r="D1016" s="562">
        <v>2</v>
      </c>
      <c r="E1016" s="562">
        <v>4</v>
      </c>
      <c r="F1016" s="562" t="s">
        <v>184</v>
      </c>
      <c r="G1016" s="562" t="s">
        <v>191</v>
      </c>
      <c r="H1016" s="562" t="s">
        <v>191</v>
      </c>
    </row>
    <row r="1017" spans="1:8" x14ac:dyDescent="0.2">
      <c r="A1017" s="562" t="s">
        <v>225</v>
      </c>
      <c r="B1017" s="562" t="s">
        <v>958</v>
      </c>
      <c r="C1017" s="562" t="s">
        <v>973</v>
      </c>
      <c r="D1017" s="562">
        <v>2</v>
      </c>
      <c r="E1017" s="562">
        <v>4</v>
      </c>
      <c r="F1017" s="562" t="s">
        <v>184</v>
      </c>
      <c r="G1017" s="562" t="s">
        <v>191</v>
      </c>
      <c r="H1017" s="562" t="s">
        <v>191</v>
      </c>
    </row>
    <row r="1018" spans="1:8" x14ac:dyDescent="0.2">
      <c r="A1018" s="562" t="s">
        <v>225</v>
      </c>
      <c r="B1018" s="562" t="s">
        <v>958</v>
      </c>
      <c r="C1018" s="562" t="s">
        <v>974</v>
      </c>
      <c r="D1018" s="562">
        <v>1</v>
      </c>
      <c r="E1018" s="562">
        <v>4</v>
      </c>
      <c r="F1018" s="562" t="s">
        <v>184</v>
      </c>
      <c r="G1018" s="562" t="s">
        <v>191</v>
      </c>
      <c r="H1018" s="562" t="s">
        <v>191</v>
      </c>
    </row>
    <row r="1019" spans="1:8" x14ac:dyDescent="0.2">
      <c r="A1019" s="562" t="s">
        <v>225</v>
      </c>
      <c r="B1019" s="562" t="s">
        <v>958</v>
      </c>
      <c r="C1019" s="562" t="s">
        <v>754</v>
      </c>
      <c r="D1019" s="562">
        <v>2</v>
      </c>
      <c r="E1019" s="562">
        <v>4</v>
      </c>
      <c r="F1019" s="562" t="s">
        <v>184</v>
      </c>
      <c r="G1019" s="562" t="s">
        <v>191</v>
      </c>
      <c r="H1019" s="562" t="s">
        <v>191</v>
      </c>
    </row>
    <row r="1020" spans="1:8" x14ac:dyDescent="0.2">
      <c r="A1020" s="562" t="s">
        <v>225</v>
      </c>
      <c r="B1020" s="562" t="s">
        <v>958</v>
      </c>
      <c r="C1020" s="562" t="s">
        <v>369</v>
      </c>
      <c r="D1020" s="562">
        <v>1</v>
      </c>
      <c r="E1020" s="562">
        <v>4</v>
      </c>
      <c r="F1020" s="562" t="s">
        <v>184</v>
      </c>
      <c r="G1020" s="562" t="s">
        <v>191</v>
      </c>
      <c r="H1020" s="562" t="s">
        <v>191</v>
      </c>
    </row>
    <row r="1021" spans="1:8" x14ac:dyDescent="0.2">
      <c r="A1021" s="562" t="s">
        <v>225</v>
      </c>
      <c r="B1021" s="562" t="s">
        <v>958</v>
      </c>
      <c r="C1021" s="562" t="s">
        <v>216</v>
      </c>
      <c r="D1021" s="562">
        <v>2</v>
      </c>
      <c r="E1021" s="562">
        <v>4</v>
      </c>
      <c r="F1021" s="562" t="s">
        <v>184</v>
      </c>
      <c r="G1021" s="562" t="s">
        <v>191</v>
      </c>
      <c r="H1021" s="562" t="s">
        <v>191</v>
      </c>
    </row>
    <row r="1022" spans="1:8" x14ac:dyDescent="0.2">
      <c r="A1022" s="562" t="s">
        <v>225</v>
      </c>
      <c r="B1022" s="562" t="s">
        <v>958</v>
      </c>
      <c r="C1022" s="562" t="s">
        <v>755</v>
      </c>
      <c r="D1022" s="562">
        <v>2</v>
      </c>
      <c r="E1022" s="562">
        <v>4</v>
      </c>
      <c r="F1022" s="562" t="s">
        <v>184</v>
      </c>
      <c r="G1022" s="562" t="s">
        <v>191</v>
      </c>
      <c r="H1022" s="562" t="s">
        <v>191</v>
      </c>
    </row>
    <row r="1023" spans="1:8" x14ac:dyDescent="0.2">
      <c r="A1023" s="562" t="s">
        <v>225</v>
      </c>
      <c r="B1023" s="562" t="s">
        <v>958</v>
      </c>
      <c r="C1023" s="562" t="s">
        <v>375</v>
      </c>
      <c r="D1023" s="562">
        <v>2</v>
      </c>
      <c r="E1023" s="562">
        <v>4</v>
      </c>
      <c r="F1023" s="562" t="s">
        <v>184</v>
      </c>
      <c r="G1023" s="562" t="s">
        <v>191</v>
      </c>
      <c r="H1023" s="562" t="s">
        <v>191</v>
      </c>
    </row>
    <row r="1024" spans="1:8" x14ac:dyDescent="0.2">
      <c r="A1024" s="562" t="s">
        <v>225</v>
      </c>
      <c r="B1024" s="562" t="s">
        <v>958</v>
      </c>
      <c r="C1024" s="562" t="s">
        <v>757</v>
      </c>
      <c r="D1024" s="562">
        <v>1</v>
      </c>
      <c r="E1024" s="562">
        <v>4</v>
      </c>
      <c r="F1024" s="562" t="s">
        <v>184</v>
      </c>
      <c r="G1024" s="562" t="s">
        <v>191</v>
      </c>
      <c r="H1024" s="562" t="s">
        <v>191</v>
      </c>
    </row>
    <row r="1025" spans="1:8" x14ac:dyDescent="0.2">
      <c r="A1025" s="562" t="s">
        <v>225</v>
      </c>
      <c r="B1025" s="562" t="s">
        <v>958</v>
      </c>
      <c r="C1025" s="562" t="s">
        <v>806</v>
      </c>
      <c r="D1025" s="562">
        <v>2</v>
      </c>
      <c r="E1025" s="562">
        <v>4</v>
      </c>
      <c r="F1025" s="562" t="s">
        <v>184</v>
      </c>
      <c r="G1025" s="562" t="s">
        <v>191</v>
      </c>
      <c r="H1025" s="562" t="s">
        <v>191</v>
      </c>
    </row>
    <row r="1026" spans="1:8" x14ac:dyDescent="0.2">
      <c r="A1026" s="562" t="s">
        <v>225</v>
      </c>
      <c r="B1026" s="562" t="s">
        <v>958</v>
      </c>
      <c r="C1026" s="562" t="s">
        <v>975</v>
      </c>
      <c r="D1026" s="562">
        <v>2</v>
      </c>
      <c r="E1026" s="562">
        <v>4</v>
      </c>
      <c r="F1026" s="562" t="s">
        <v>184</v>
      </c>
      <c r="G1026" s="562" t="s">
        <v>191</v>
      </c>
      <c r="H1026" s="562" t="s">
        <v>191</v>
      </c>
    </row>
    <row r="1027" spans="1:8" x14ac:dyDescent="0.2">
      <c r="A1027" s="562" t="s">
        <v>225</v>
      </c>
      <c r="B1027" s="562" t="s">
        <v>958</v>
      </c>
      <c r="C1027" s="562" t="s">
        <v>976</v>
      </c>
      <c r="D1027" s="562">
        <v>2</v>
      </c>
      <c r="E1027" s="562">
        <v>4</v>
      </c>
      <c r="F1027" s="562" t="s">
        <v>184</v>
      </c>
      <c r="G1027" s="562" t="s">
        <v>191</v>
      </c>
      <c r="H1027" s="562" t="s">
        <v>191</v>
      </c>
    </row>
    <row r="1028" spans="1:8" x14ac:dyDescent="0.2">
      <c r="A1028" s="562" t="s">
        <v>225</v>
      </c>
      <c r="B1028" s="562" t="s">
        <v>958</v>
      </c>
      <c r="C1028" s="562" t="s">
        <v>977</v>
      </c>
      <c r="D1028" s="562">
        <v>2</v>
      </c>
      <c r="E1028" s="562">
        <v>4</v>
      </c>
      <c r="F1028" s="562" t="s">
        <v>184</v>
      </c>
      <c r="G1028" s="562" t="s">
        <v>191</v>
      </c>
      <c r="H1028" s="562" t="s">
        <v>191</v>
      </c>
    </row>
    <row r="1029" spans="1:8" x14ac:dyDescent="0.2">
      <c r="A1029" s="562" t="s">
        <v>225</v>
      </c>
      <c r="B1029" s="562" t="s">
        <v>958</v>
      </c>
      <c r="C1029" s="562" t="s">
        <v>246</v>
      </c>
      <c r="D1029" s="562">
        <v>1</v>
      </c>
      <c r="E1029" s="562">
        <v>4</v>
      </c>
      <c r="F1029" s="562" t="s">
        <v>184</v>
      </c>
      <c r="G1029" s="562" t="s">
        <v>191</v>
      </c>
      <c r="H1029" s="562" t="s">
        <v>191</v>
      </c>
    </row>
    <row r="1030" spans="1:8" x14ac:dyDescent="0.2">
      <c r="A1030" s="562" t="s">
        <v>225</v>
      </c>
      <c r="B1030" s="562" t="s">
        <v>958</v>
      </c>
      <c r="C1030" s="562" t="s">
        <v>978</v>
      </c>
      <c r="D1030" s="562">
        <v>2</v>
      </c>
      <c r="E1030" s="562">
        <v>4</v>
      </c>
      <c r="F1030" s="562" t="s">
        <v>184</v>
      </c>
      <c r="G1030" s="562" t="s">
        <v>191</v>
      </c>
      <c r="H1030" s="562" t="s">
        <v>191</v>
      </c>
    </row>
    <row r="1031" spans="1:8" x14ac:dyDescent="0.2">
      <c r="A1031" s="562" t="s">
        <v>225</v>
      </c>
      <c r="B1031" s="562" t="s">
        <v>958</v>
      </c>
      <c r="C1031" s="562" t="s">
        <v>640</v>
      </c>
      <c r="D1031" s="562">
        <v>2</v>
      </c>
      <c r="E1031" s="562">
        <v>4</v>
      </c>
      <c r="F1031" s="562" t="s">
        <v>184</v>
      </c>
      <c r="G1031" s="562" t="s">
        <v>191</v>
      </c>
      <c r="H1031" s="562" t="s">
        <v>191</v>
      </c>
    </row>
    <row r="1032" spans="1:8" x14ac:dyDescent="0.2">
      <c r="A1032" s="562" t="s">
        <v>225</v>
      </c>
      <c r="B1032" s="562" t="s">
        <v>958</v>
      </c>
      <c r="C1032" s="562" t="s">
        <v>248</v>
      </c>
      <c r="D1032" s="562">
        <v>1</v>
      </c>
      <c r="E1032" s="562">
        <v>4</v>
      </c>
      <c r="F1032" s="562" t="s">
        <v>184</v>
      </c>
      <c r="G1032" s="562" t="s">
        <v>191</v>
      </c>
      <c r="H1032" s="562" t="s">
        <v>191</v>
      </c>
    </row>
    <row r="1033" spans="1:8" x14ac:dyDescent="0.2">
      <c r="A1033" s="562" t="s">
        <v>225</v>
      </c>
      <c r="B1033" s="562" t="s">
        <v>958</v>
      </c>
      <c r="C1033" s="562" t="s">
        <v>380</v>
      </c>
      <c r="D1033" s="562">
        <v>3</v>
      </c>
      <c r="E1033" s="562">
        <v>4</v>
      </c>
      <c r="F1033" s="562" t="s">
        <v>184</v>
      </c>
      <c r="G1033" s="562" t="s">
        <v>191</v>
      </c>
      <c r="H1033" s="562" t="s">
        <v>191</v>
      </c>
    </row>
    <row r="1034" spans="1:8" x14ac:dyDescent="0.2">
      <c r="A1034" s="562" t="s">
        <v>225</v>
      </c>
      <c r="B1034" s="562" t="s">
        <v>958</v>
      </c>
      <c r="C1034" s="562" t="s">
        <v>763</v>
      </c>
      <c r="D1034" s="562">
        <v>2</v>
      </c>
      <c r="E1034" s="562">
        <v>4</v>
      </c>
      <c r="F1034" s="562" t="s">
        <v>184</v>
      </c>
      <c r="G1034" s="562" t="s">
        <v>191</v>
      </c>
      <c r="H1034" s="562" t="s">
        <v>191</v>
      </c>
    </row>
    <row r="1035" spans="1:8" x14ac:dyDescent="0.2">
      <c r="A1035" s="562" t="s">
        <v>225</v>
      </c>
      <c r="B1035" s="562" t="s">
        <v>958</v>
      </c>
      <c r="C1035" s="562" t="s">
        <v>979</v>
      </c>
      <c r="D1035" s="562">
        <v>2</v>
      </c>
      <c r="E1035" s="562">
        <v>4</v>
      </c>
      <c r="F1035" s="562" t="s">
        <v>184</v>
      </c>
      <c r="G1035" s="562" t="s">
        <v>191</v>
      </c>
      <c r="H1035" s="562" t="s">
        <v>191</v>
      </c>
    </row>
    <row r="1036" spans="1:8" x14ac:dyDescent="0.2">
      <c r="A1036" s="562" t="s">
        <v>225</v>
      </c>
      <c r="B1036" s="562" t="s">
        <v>958</v>
      </c>
      <c r="C1036" s="562" t="s">
        <v>382</v>
      </c>
      <c r="D1036" s="562">
        <v>2</v>
      </c>
      <c r="E1036" s="562">
        <v>4</v>
      </c>
      <c r="F1036" s="562" t="s">
        <v>184</v>
      </c>
      <c r="G1036" s="562" t="s">
        <v>191</v>
      </c>
      <c r="H1036" s="562" t="s">
        <v>191</v>
      </c>
    </row>
    <row r="1037" spans="1:8" x14ac:dyDescent="0.2">
      <c r="A1037" s="562" t="s">
        <v>225</v>
      </c>
      <c r="B1037" s="562" t="s">
        <v>958</v>
      </c>
      <c r="C1037" s="562" t="s">
        <v>980</v>
      </c>
      <c r="D1037" s="562">
        <v>3</v>
      </c>
      <c r="E1037" s="562">
        <v>4</v>
      </c>
      <c r="F1037" s="562" t="s">
        <v>184</v>
      </c>
      <c r="G1037" s="562" t="s">
        <v>191</v>
      </c>
      <c r="H1037" s="562" t="s">
        <v>191</v>
      </c>
    </row>
    <row r="1038" spans="1:8" x14ac:dyDescent="0.2">
      <c r="A1038" s="562" t="s">
        <v>225</v>
      </c>
      <c r="B1038" s="562" t="s">
        <v>958</v>
      </c>
      <c r="C1038" s="562" t="s">
        <v>981</v>
      </c>
      <c r="D1038" s="562">
        <v>2</v>
      </c>
      <c r="E1038" s="562">
        <v>4</v>
      </c>
      <c r="F1038" s="562" t="s">
        <v>184</v>
      </c>
      <c r="G1038" s="562" t="s">
        <v>191</v>
      </c>
      <c r="H1038" s="562" t="s">
        <v>191</v>
      </c>
    </row>
    <row r="1039" spans="1:8" x14ac:dyDescent="0.2">
      <c r="A1039" s="562" t="s">
        <v>225</v>
      </c>
      <c r="B1039" s="562" t="s">
        <v>958</v>
      </c>
      <c r="C1039" s="562" t="s">
        <v>982</v>
      </c>
      <c r="D1039" s="562">
        <v>1</v>
      </c>
      <c r="E1039" s="562">
        <v>4</v>
      </c>
      <c r="F1039" s="562" t="s">
        <v>184</v>
      </c>
      <c r="G1039" s="562" t="s">
        <v>191</v>
      </c>
      <c r="H1039" s="562" t="s">
        <v>191</v>
      </c>
    </row>
    <row r="1040" spans="1:8" x14ac:dyDescent="0.2">
      <c r="A1040" s="562" t="s">
        <v>225</v>
      </c>
      <c r="B1040" s="562" t="s">
        <v>958</v>
      </c>
      <c r="C1040" s="562" t="s">
        <v>983</v>
      </c>
      <c r="D1040" s="562">
        <v>2</v>
      </c>
      <c r="E1040" s="562">
        <v>4</v>
      </c>
      <c r="F1040" s="562" t="s">
        <v>184</v>
      </c>
      <c r="G1040" s="562" t="s">
        <v>191</v>
      </c>
      <c r="H1040" s="562" t="s">
        <v>191</v>
      </c>
    </row>
    <row r="1041" spans="1:8" x14ac:dyDescent="0.2">
      <c r="A1041" s="562" t="s">
        <v>225</v>
      </c>
      <c r="B1041" s="562" t="s">
        <v>958</v>
      </c>
      <c r="C1041" s="562" t="s">
        <v>650</v>
      </c>
      <c r="D1041" s="562">
        <v>2</v>
      </c>
      <c r="E1041" s="562">
        <v>4</v>
      </c>
      <c r="F1041" s="562" t="s">
        <v>184</v>
      </c>
      <c r="G1041" s="562" t="s">
        <v>191</v>
      </c>
      <c r="H1041" s="562" t="s">
        <v>191</v>
      </c>
    </row>
    <row r="1042" spans="1:8" x14ac:dyDescent="0.2">
      <c r="A1042" s="562" t="s">
        <v>225</v>
      </c>
      <c r="B1042" s="562" t="s">
        <v>958</v>
      </c>
      <c r="C1042" s="562" t="s">
        <v>765</v>
      </c>
      <c r="D1042" s="562">
        <v>2</v>
      </c>
      <c r="E1042" s="562">
        <v>4</v>
      </c>
      <c r="F1042" s="562" t="s">
        <v>184</v>
      </c>
      <c r="G1042" s="562" t="s">
        <v>191</v>
      </c>
      <c r="H1042" s="562" t="s">
        <v>191</v>
      </c>
    </row>
    <row r="1043" spans="1:8" x14ac:dyDescent="0.2">
      <c r="A1043" s="562" t="s">
        <v>225</v>
      </c>
      <c r="B1043" s="562" t="s">
        <v>958</v>
      </c>
      <c r="C1043" s="562" t="s">
        <v>984</v>
      </c>
      <c r="D1043" s="562">
        <v>2</v>
      </c>
      <c r="E1043" s="562">
        <v>4</v>
      </c>
      <c r="F1043" s="562" t="s">
        <v>184</v>
      </c>
      <c r="G1043" s="562" t="s">
        <v>191</v>
      </c>
      <c r="H1043" s="562" t="s">
        <v>191</v>
      </c>
    </row>
    <row r="1044" spans="1:8" x14ac:dyDescent="0.2">
      <c r="A1044" s="562" t="s">
        <v>225</v>
      </c>
      <c r="B1044" s="562" t="s">
        <v>958</v>
      </c>
      <c r="C1044" s="562" t="s">
        <v>813</v>
      </c>
      <c r="D1044" s="562">
        <v>1</v>
      </c>
      <c r="E1044" s="562">
        <v>4</v>
      </c>
      <c r="F1044" s="562" t="s">
        <v>184</v>
      </c>
      <c r="G1044" s="562" t="s">
        <v>191</v>
      </c>
      <c r="H1044" s="562" t="s">
        <v>191</v>
      </c>
    </row>
    <row r="1045" spans="1:8" x14ac:dyDescent="0.2">
      <c r="A1045" s="562" t="s">
        <v>225</v>
      </c>
      <c r="B1045" s="562" t="s">
        <v>958</v>
      </c>
      <c r="C1045" s="562" t="s">
        <v>653</v>
      </c>
      <c r="D1045" s="562">
        <v>1</v>
      </c>
      <c r="E1045" s="562">
        <v>4</v>
      </c>
      <c r="F1045" s="562" t="s">
        <v>184</v>
      </c>
      <c r="G1045" s="562" t="s">
        <v>191</v>
      </c>
      <c r="H1045" s="562" t="s">
        <v>191</v>
      </c>
    </row>
    <row r="1046" spans="1:8" x14ac:dyDescent="0.2">
      <c r="A1046" s="562" t="s">
        <v>225</v>
      </c>
      <c r="B1046" s="562" t="s">
        <v>958</v>
      </c>
      <c r="C1046" s="562" t="s">
        <v>766</v>
      </c>
      <c r="D1046" s="562">
        <v>2</v>
      </c>
      <c r="E1046" s="562">
        <v>4</v>
      </c>
      <c r="F1046" s="562" t="s">
        <v>184</v>
      </c>
      <c r="G1046" s="562" t="s">
        <v>191</v>
      </c>
      <c r="H1046" s="562" t="s">
        <v>191</v>
      </c>
    </row>
    <row r="1047" spans="1:8" x14ac:dyDescent="0.2">
      <c r="A1047" s="562" t="s">
        <v>225</v>
      </c>
      <c r="B1047" s="562" t="s">
        <v>958</v>
      </c>
      <c r="C1047" s="562" t="s">
        <v>256</v>
      </c>
      <c r="D1047" s="562">
        <v>2</v>
      </c>
      <c r="E1047" s="562">
        <v>4</v>
      </c>
      <c r="F1047" s="562" t="s">
        <v>184</v>
      </c>
      <c r="G1047" s="562" t="s">
        <v>191</v>
      </c>
      <c r="H1047" s="562" t="s">
        <v>191</v>
      </c>
    </row>
    <row r="1048" spans="1:8" x14ac:dyDescent="0.2">
      <c r="A1048" s="562" t="s">
        <v>225</v>
      </c>
      <c r="B1048" s="562" t="s">
        <v>958</v>
      </c>
      <c r="C1048" s="562" t="s">
        <v>985</v>
      </c>
      <c r="D1048" s="562">
        <v>3</v>
      </c>
      <c r="E1048" s="562">
        <v>4</v>
      </c>
      <c r="F1048" s="562" t="s">
        <v>184</v>
      </c>
      <c r="G1048" s="562" t="s">
        <v>191</v>
      </c>
      <c r="H1048" s="562" t="s">
        <v>191</v>
      </c>
    </row>
    <row r="1049" spans="1:8" x14ac:dyDescent="0.2">
      <c r="A1049" s="562" t="s">
        <v>225</v>
      </c>
      <c r="B1049" s="562" t="s">
        <v>958</v>
      </c>
      <c r="C1049" s="562" t="s">
        <v>986</v>
      </c>
      <c r="D1049" s="562">
        <v>2</v>
      </c>
      <c r="E1049" s="562">
        <v>4</v>
      </c>
      <c r="F1049" s="562" t="s">
        <v>184</v>
      </c>
      <c r="G1049" s="562" t="s">
        <v>191</v>
      </c>
      <c r="H1049" s="562" t="s">
        <v>191</v>
      </c>
    </row>
    <row r="1050" spans="1:8" x14ac:dyDescent="0.2">
      <c r="A1050" s="562" t="s">
        <v>225</v>
      </c>
      <c r="B1050" s="562" t="s">
        <v>958</v>
      </c>
      <c r="C1050" s="562" t="s">
        <v>259</v>
      </c>
      <c r="D1050" s="562">
        <v>2</v>
      </c>
      <c r="E1050" s="562">
        <v>4</v>
      </c>
      <c r="F1050" s="562" t="s">
        <v>184</v>
      </c>
      <c r="G1050" s="562" t="s">
        <v>191</v>
      </c>
      <c r="H1050" s="562" t="s">
        <v>191</v>
      </c>
    </row>
    <row r="1051" spans="1:8" x14ac:dyDescent="0.2">
      <c r="A1051" s="562" t="s">
        <v>225</v>
      </c>
      <c r="B1051" s="562" t="s">
        <v>958</v>
      </c>
      <c r="C1051" s="562" t="s">
        <v>261</v>
      </c>
      <c r="D1051" s="562">
        <v>1</v>
      </c>
      <c r="E1051" s="562">
        <v>4</v>
      </c>
      <c r="F1051" s="562" t="s">
        <v>184</v>
      </c>
      <c r="G1051" s="562" t="s">
        <v>191</v>
      </c>
      <c r="H1051" s="562" t="s">
        <v>191</v>
      </c>
    </row>
    <row r="1052" spans="1:8" x14ac:dyDescent="0.2">
      <c r="A1052" s="562" t="s">
        <v>225</v>
      </c>
      <c r="B1052" s="562" t="s">
        <v>958</v>
      </c>
      <c r="C1052" s="562" t="s">
        <v>987</v>
      </c>
      <c r="D1052" s="562">
        <v>1</v>
      </c>
      <c r="E1052" s="562">
        <v>4</v>
      </c>
      <c r="F1052" s="562" t="s">
        <v>184</v>
      </c>
      <c r="G1052" s="562" t="s">
        <v>191</v>
      </c>
      <c r="H1052" s="562" t="s">
        <v>191</v>
      </c>
    </row>
    <row r="1053" spans="1:8" x14ac:dyDescent="0.2">
      <c r="A1053" s="562" t="s">
        <v>225</v>
      </c>
      <c r="B1053" s="562" t="s">
        <v>958</v>
      </c>
      <c r="C1053" s="562" t="s">
        <v>388</v>
      </c>
      <c r="D1053" s="562">
        <v>2</v>
      </c>
      <c r="E1053" s="562">
        <v>4</v>
      </c>
      <c r="F1053" s="562" t="s">
        <v>184</v>
      </c>
      <c r="G1053" s="562" t="s">
        <v>191</v>
      </c>
      <c r="H1053" s="562" t="s">
        <v>191</v>
      </c>
    </row>
    <row r="1054" spans="1:8" x14ac:dyDescent="0.2">
      <c r="A1054" s="562" t="s">
        <v>225</v>
      </c>
      <c r="B1054" s="562" t="s">
        <v>958</v>
      </c>
      <c r="C1054" s="562" t="s">
        <v>988</v>
      </c>
      <c r="D1054" s="562">
        <v>2</v>
      </c>
      <c r="E1054" s="562">
        <v>4</v>
      </c>
      <c r="F1054" s="562" t="s">
        <v>184</v>
      </c>
      <c r="G1054" s="562" t="s">
        <v>191</v>
      </c>
      <c r="H1054" s="562" t="s">
        <v>191</v>
      </c>
    </row>
    <row r="1055" spans="1:8" x14ac:dyDescent="0.2">
      <c r="A1055" s="562" t="s">
        <v>225</v>
      </c>
      <c r="B1055" s="562" t="s">
        <v>958</v>
      </c>
      <c r="C1055" s="562" t="s">
        <v>989</v>
      </c>
      <c r="D1055" s="562">
        <v>2</v>
      </c>
      <c r="E1055" s="562">
        <v>4</v>
      </c>
      <c r="F1055" s="562" t="s">
        <v>184</v>
      </c>
      <c r="G1055" s="562" t="s">
        <v>191</v>
      </c>
      <c r="H1055" s="562" t="s">
        <v>191</v>
      </c>
    </row>
    <row r="1056" spans="1:8" x14ac:dyDescent="0.2">
      <c r="A1056" s="562" t="s">
        <v>225</v>
      </c>
      <c r="B1056" s="562" t="s">
        <v>958</v>
      </c>
      <c r="C1056" s="562" t="s">
        <v>773</v>
      </c>
      <c r="D1056" s="562">
        <v>2</v>
      </c>
      <c r="E1056" s="562">
        <v>4</v>
      </c>
      <c r="F1056" s="562" t="s">
        <v>184</v>
      </c>
      <c r="G1056" s="562" t="s">
        <v>191</v>
      </c>
      <c r="H1056" s="562" t="s">
        <v>191</v>
      </c>
    </row>
    <row r="1057" spans="1:8" x14ac:dyDescent="0.2">
      <c r="A1057" s="562" t="s">
        <v>225</v>
      </c>
      <c r="B1057" s="562" t="s">
        <v>958</v>
      </c>
      <c r="C1057" s="562" t="s">
        <v>990</v>
      </c>
      <c r="D1057" s="562">
        <v>2</v>
      </c>
      <c r="E1057" s="562">
        <v>4</v>
      </c>
      <c r="F1057" s="562" t="s">
        <v>184</v>
      </c>
      <c r="G1057" s="562" t="s">
        <v>191</v>
      </c>
      <c r="H1057" s="562" t="s">
        <v>191</v>
      </c>
    </row>
    <row r="1058" spans="1:8" x14ac:dyDescent="0.2">
      <c r="A1058" s="562" t="s">
        <v>225</v>
      </c>
      <c r="B1058" s="562" t="s">
        <v>958</v>
      </c>
      <c r="C1058" s="562" t="s">
        <v>991</v>
      </c>
      <c r="D1058" s="562">
        <v>2</v>
      </c>
      <c r="E1058" s="562">
        <v>4</v>
      </c>
      <c r="F1058" s="562" t="s">
        <v>184</v>
      </c>
      <c r="G1058" s="562" t="s">
        <v>191</v>
      </c>
      <c r="H1058" s="562" t="s">
        <v>191</v>
      </c>
    </row>
    <row r="1059" spans="1:8" x14ac:dyDescent="0.2">
      <c r="A1059" s="562" t="s">
        <v>225</v>
      </c>
      <c r="B1059" s="562" t="s">
        <v>958</v>
      </c>
      <c r="C1059" s="562" t="s">
        <v>267</v>
      </c>
      <c r="D1059" s="562">
        <v>2</v>
      </c>
      <c r="E1059" s="562">
        <v>4</v>
      </c>
      <c r="F1059" s="562" t="s">
        <v>184</v>
      </c>
      <c r="G1059" s="562" t="s">
        <v>191</v>
      </c>
      <c r="H1059" s="562" t="s">
        <v>191</v>
      </c>
    </row>
    <row r="1060" spans="1:8" x14ac:dyDescent="0.2">
      <c r="A1060" s="562" t="s">
        <v>225</v>
      </c>
      <c r="B1060" s="562" t="s">
        <v>958</v>
      </c>
      <c r="C1060" s="562" t="s">
        <v>269</v>
      </c>
      <c r="D1060" s="562">
        <v>2</v>
      </c>
      <c r="E1060" s="562">
        <v>4</v>
      </c>
      <c r="F1060" s="562" t="s">
        <v>184</v>
      </c>
      <c r="G1060" s="562" t="s">
        <v>191</v>
      </c>
      <c r="H1060" s="562" t="s">
        <v>191</v>
      </c>
    </row>
    <row r="1061" spans="1:8" x14ac:dyDescent="0.2">
      <c r="A1061" s="562" t="s">
        <v>225</v>
      </c>
      <c r="B1061" s="562" t="s">
        <v>958</v>
      </c>
      <c r="C1061" s="562" t="s">
        <v>992</v>
      </c>
      <c r="D1061" s="562">
        <v>2</v>
      </c>
      <c r="E1061" s="562">
        <v>4</v>
      </c>
      <c r="F1061" s="562" t="s">
        <v>184</v>
      </c>
      <c r="G1061" s="562" t="s">
        <v>191</v>
      </c>
      <c r="H1061" s="562" t="s">
        <v>191</v>
      </c>
    </row>
    <row r="1062" spans="1:8" x14ac:dyDescent="0.2">
      <c r="A1062" s="562" t="s">
        <v>225</v>
      </c>
      <c r="B1062" s="562" t="s">
        <v>958</v>
      </c>
      <c r="C1062" s="562" t="s">
        <v>993</v>
      </c>
      <c r="D1062" s="562">
        <v>2</v>
      </c>
      <c r="E1062" s="562">
        <v>4</v>
      </c>
      <c r="F1062" s="562" t="s">
        <v>184</v>
      </c>
      <c r="G1062" s="562" t="s">
        <v>191</v>
      </c>
      <c r="H1062" s="562" t="s">
        <v>191</v>
      </c>
    </row>
    <row r="1063" spans="1:8" x14ac:dyDescent="0.2">
      <c r="A1063" s="562" t="s">
        <v>225</v>
      </c>
      <c r="B1063" s="562" t="s">
        <v>958</v>
      </c>
      <c r="C1063" s="562" t="s">
        <v>736</v>
      </c>
      <c r="D1063" s="562">
        <v>2</v>
      </c>
      <c r="E1063" s="562">
        <v>4</v>
      </c>
      <c r="F1063" s="562" t="s">
        <v>184</v>
      </c>
      <c r="G1063" s="562" t="s">
        <v>191</v>
      </c>
      <c r="H1063" s="562" t="s">
        <v>191</v>
      </c>
    </row>
    <row r="1064" spans="1:8" x14ac:dyDescent="0.2">
      <c r="A1064" s="562" t="s">
        <v>225</v>
      </c>
      <c r="B1064" s="562" t="s">
        <v>958</v>
      </c>
      <c r="C1064" s="562" t="s">
        <v>390</v>
      </c>
      <c r="D1064" s="562">
        <v>1</v>
      </c>
      <c r="E1064" s="562">
        <v>4</v>
      </c>
      <c r="F1064" s="562" t="s">
        <v>184</v>
      </c>
      <c r="G1064" s="562" t="s">
        <v>191</v>
      </c>
      <c r="H1064" s="562" t="s">
        <v>191</v>
      </c>
    </row>
    <row r="1065" spans="1:8" x14ac:dyDescent="0.2">
      <c r="A1065" s="562" t="s">
        <v>225</v>
      </c>
      <c r="B1065" s="562" t="s">
        <v>958</v>
      </c>
      <c r="C1065" s="562" t="s">
        <v>775</v>
      </c>
      <c r="D1065" s="562">
        <v>2</v>
      </c>
      <c r="E1065" s="562">
        <v>4</v>
      </c>
      <c r="F1065" s="562" t="s">
        <v>184</v>
      </c>
      <c r="G1065" s="562" t="s">
        <v>191</v>
      </c>
      <c r="H1065" s="562" t="s">
        <v>191</v>
      </c>
    </row>
    <row r="1066" spans="1:8" x14ac:dyDescent="0.2">
      <c r="A1066" s="562" t="s">
        <v>225</v>
      </c>
      <c r="B1066" s="562" t="s">
        <v>958</v>
      </c>
      <c r="C1066" s="562" t="s">
        <v>392</v>
      </c>
      <c r="D1066" s="562">
        <v>2</v>
      </c>
      <c r="E1066" s="562">
        <v>4</v>
      </c>
      <c r="F1066" s="562" t="s">
        <v>184</v>
      </c>
      <c r="G1066" s="562" t="s">
        <v>191</v>
      </c>
      <c r="H1066" s="562" t="s">
        <v>191</v>
      </c>
    </row>
    <row r="1067" spans="1:8" x14ac:dyDescent="0.2">
      <c r="A1067" s="562" t="s">
        <v>225</v>
      </c>
      <c r="B1067" s="562" t="s">
        <v>958</v>
      </c>
      <c r="C1067" s="562" t="s">
        <v>869</v>
      </c>
      <c r="D1067" s="562">
        <v>2</v>
      </c>
      <c r="E1067" s="562">
        <v>4</v>
      </c>
      <c r="F1067" s="562" t="s">
        <v>184</v>
      </c>
      <c r="G1067" s="562" t="s">
        <v>191</v>
      </c>
      <c r="H1067" s="562" t="s">
        <v>191</v>
      </c>
    </row>
    <row r="1068" spans="1:8" x14ac:dyDescent="0.2">
      <c r="A1068" s="562" t="s">
        <v>225</v>
      </c>
      <c r="B1068" s="562" t="s">
        <v>958</v>
      </c>
      <c r="C1068" s="562" t="s">
        <v>277</v>
      </c>
      <c r="D1068" s="562">
        <v>2</v>
      </c>
      <c r="E1068" s="562">
        <v>4</v>
      </c>
      <c r="F1068" s="562" t="s">
        <v>184</v>
      </c>
      <c r="G1068" s="562" t="s">
        <v>191</v>
      </c>
      <c r="H1068" s="562" t="s">
        <v>191</v>
      </c>
    </row>
    <row r="1069" spans="1:8" x14ac:dyDescent="0.2">
      <c r="A1069" s="562" t="s">
        <v>225</v>
      </c>
      <c r="B1069" s="562" t="s">
        <v>958</v>
      </c>
      <c r="C1069" s="562" t="s">
        <v>994</v>
      </c>
      <c r="D1069" s="562">
        <v>2</v>
      </c>
      <c r="E1069" s="562">
        <v>4</v>
      </c>
      <c r="F1069" s="562" t="s">
        <v>184</v>
      </c>
      <c r="G1069" s="562" t="s">
        <v>191</v>
      </c>
      <c r="H1069" s="562" t="s">
        <v>191</v>
      </c>
    </row>
    <row r="1070" spans="1:8" x14ac:dyDescent="0.2">
      <c r="A1070" s="562" t="s">
        <v>225</v>
      </c>
      <c r="B1070" s="562" t="s">
        <v>958</v>
      </c>
      <c r="C1070" s="562" t="s">
        <v>281</v>
      </c>
      <c r="D1070" s="562">
        <v>1</v>
      </c>
      <c r="E1070" s="562">
        <v>4</v>
      </c>
      <c r="F1070" s="562" t="s">
        <v>184</v>
      </c>
      <c r="G1070" s="562" t="s">
        <v>191</v>
      </c>
      <c r="H1070" s="562" t="s">
        <v>191</v>
      </c>
    </row>
    <row r="1071" spans="1:8" x14ac:dyDescent="0.2">
      <c r="A1071" s="562" t="s">
        <v>225</v>
      </c>
      <c r="B1071" s="562" t="s">
        <v>958</v>
      </c>
      <c r="C1071" s="562" t="s">
        <v>283</v>
      </c>
      <c r="D1071" s="562">
        <v>3</v>
      </c>
      <c r="E1071" s="562">
        <v>4</v>
      </c>
      <c r="F1071" s="562" t="s">
        <v>184</v>
      </c>
      <c r="G1071" s="562" t="s">
        <v>191</v>
      </c>
      <c r="H1071" s="562" t="s">
        <v>191</v>
      </c>
    </row>
    <row r="1072" spans="1:8" x14ac:dyDescent="0.2">
      <c r="A1072" s="562" t="s">
        <v>225</v>
      </c>
      <c r="B1072" s="562" t="s">
        <v>958</v>
      </c>
      <c r="C1072" s="562" t="s">
        <v>577</v>
      </c>
      <c r="D1072" s="562">
        <v>2</v>
      </c>
      <c r="E1072" s="562">
        <v>4</v>
      </c>
      <c r="F1072" s="562" t="s">
        <v>184</v>
      </c>
      <c r="G1072" s="562" t="s">
        <v>191</v>
      </c>
      <c r="H1072" s="562" t="s">
        <v>191</v>
      </c>
    </row>
    <row r="1073" spans="1:8" x14ac:dyDescent="0.2">
      <c r="A1073" s="562" t="s">
        <v>225</v>
      </c>
      <c r="B1073" s="562" t="s">
        <v>958</v>
      </c>
      <c r="C1073" s="562" t="s">
        <v>777</v>
      </c>
      <c r="D1073" s="562">
        <v>2</v>
      </c>
      <c r="E1073" s="562">
        <v>4</v>
      </c>
      <c r="F1073" s="562" t="s">
        <v>184</v>
      </c>
      <c r="G1073" s="562" t="s">
        <v>191</v>
      </c>
      <c r="H1073" s="562" t="s">
        <v>191</v>
      </c>
    </row>
    <row r="1074" spans="1:8" x14ac:dyDescent="0.2">
      <c r="A1074" s="562" t="s">
        <v>225</v>
      </c>
      <c r="B1074" s="562" t="s">
        <v>958</v>
      </c>
      <c r="C1074" s="562" t="s">
        <v>995</v>
      </c>
      <c r="D1074" s="562">
        <v>3</v>
      </c>
      <c r="E1074" s="562">
        <v>4</v>
      </c>
      <c r="F1074" s="562" t="s">
        <v>184</v>
      </c>
      <c r="G1074" s="562" t="s">
        <v>191</v>
      </c>
      <c r="H1074" s="562" t="s">
        <v>191</v>
      </c>
    </row>
    <row r="1075" spans="1:8" x14ac:dyDescent="0.2">
      <c r="A1075" s="562" t="s">
        <v>225</v>
      </c>
      <c r="B1075" s="562" t="s">
        <v>958</v>
      </c>
      <c r="C1075" s="562" t="s">
        <v>996</v>
      </c>
      <c r="D1075" s="562">
        <v>2</v>
      </c>
      <c r="E1075" s="562">
        <v>4</v>
      </c>
      <c r="F1075" s="562" t="s">
        <v>184</v>
      </c>
      <c r="G1075" s="562" t="s">
        <v>191</v>
      </c>
      <c r="H1075" s="562" t="s">
        <v>191</v>
      </c>
    </row>
    <row r="1076" spans="1:8" x14ac:dyDescent="0.2">
      <c r="A1076" s="562" t="s">
        <v>225</v>
      </c>
      <c r="B1076" s="562" t="s">
        <v>958</v>
      </c>
      <c r="C1076" s="562" t="s">
        <v>781</v>
      </c>
      <c r="D1076" s="562">
        <v>2</v>
      </c>
      <c r="E1076" s="562">
        <v>4</v>
      </c>
      <c r="F1076" s="562" t="s">
        <v>184</v>
      </c>
      <c r="G1076" s="562" t="s">
        <v>191</v>
      </c>
      <c r="H1076" s="562" t="s">
        <v>191</v>
      </c>
    </row>
    <row r="1077" spans="1:8" x14ac:dyDescent="0.2">
      <c r="A1077" s="562" t="s">
        <v>225</v>
      </c>
      <c r="B1077" s="562" t="s">
        <v>958</v>
      </c>
      <c r="C1077" s="562" t="s">
        <v>923</v>
      </c>
      <c r="D1077" s="562">
        <v>2</v>
      </c>
      <c r="E1077" s="562">
        <v>4</v>
      </c>
      <c r="F1077" s="562" t="s">
        <v>184</v>
      </c>
      <c r="G1077" s="562" t="s">
        <v>191</v>
      </c>
      <c r="H1077" s="562" t="s">
        <v>191</v>
      </c>
    </row>
    <row r="1078" spans="1:8" x14ac:dyDescent="0.2">
      <c r="A1078" s="562" t="s">
        <v>225</v>
      </c>
      <c r="B1078" s="562" t="s">
        <v>958</v>
      </c>
      <c r="C1078" s="562" t="s">
        <v>997</v>
      </c>
      <c r="D1078" s="562">
        <v>2</v>
      </c>
      <c r="E1078" s="562">
        <v>4</v>
      </c>
      <c r="F1078" s="562" t="s">
        <v>184</v>
      </c>
      <c r="G1078" s="562" t="s">
        <v>191</v>
      </c>
      <c r="H1078" s="562" t="s">
        <v>191</v>
      </c>
    </row>
    <row r="1079" spans="1:8" x14ac:dyDescent="0.2">
      <c r="A1079" s="562" t="s">
        <v>225</v>
      </c>
      <c r="B1079" s="562" t="s">
        <v>958</v>
      </c>
      <c r="C1079" s="562" t="s">
        <v>783</v>
      </c>
      <c r="D1079" s="562">
        <v>1</v>
      </c>
      <c r="E1079" s="562">
        <v>4</v>
      </c>
      <c r="F1079" s="562" t="s">
        <v>184</v>
      </c>
      <c r="G1079" s="562" t="s">
        <v>191</v>
      </c>
      <c r="H1079" s="562" t="s">
        <v>191</v>
      </c>
    </row>
    <row r="1080" spans="1:8" x14ac:dyDescent="0.2">
      <c r="A1080" s="562" t="s">
        <v>225</v>
      </c>
      <c r="B1080" s="562" t="s">
        <v>958</v>
      </c>
      <c r="C1080" s="562" t="s">
        <v>998</v>
      </c>
      <c r="D1080" s="562">
        <v>1</v>
      </c>
      <c r="E1080" s="562">
        <v>4</v>
      </c>
      <c r="F1080" s="562" t="s">
        <v>184</v>
      </c>
      <c r="G1080" s="562" t="s">
        <v>191</v>
      </c>
      <c r="H1080" s="562" t="s">
        <v>191</v>
      </c>
    </row>
    <row r="1081" spans="1:8" x14ac:dyDescent="0.2">
      <c r="A1081" s="562" t="s">
        <v>225</v>
      </c>
      <c r="B1081" s="562" t="s">
        <v>958</v>
      </c>
      <c r="C1081" s="562" t="s">
        <v>287</v>
      </c>
      <c r="D1081" s="562">
        <v>1</v>
      </c>
      <c r="E1081" s="562">
        <v>4</v>
      </c>
      <c r="F1081" s="562" t="s">
        <v>184</v>
      </c>
      <c r="G1081" s="562" t="s">
        <v>191</v>
      </c>
      <c r="H1081" s="562" t="s">
        <v>191</v>
      </c>
    </row>
    <row r="1082" spans="1:8" x14ac:dyDescent="0.2">
      <c r="A1082" s="562" t="s">
        <v>225</v>
      </c>
      <c r="B1082" s="562" t="s">
        <v>958</v>
      </c>
      <c r="C1082" s="562" t="s">
        <v>289</v>
      </c>
      <c r="D1082" s="562">
        <v>2</v>
      </c>
      <c r="E1082" s="562">
        <v>4</v>
      </c>
      <c r="F1082" s="562" t="s">
        <v>184</v>
      </c>
      <c r="G1082" s="562" t="s">
        <v>191</v>
      </c>
      <c r="H1082" s="562" t="s">
        <v>191</v>
      </c>
    </row>
    <row r="1083" spans="1:8" x14ac:dyDescent="0.2">
      <c r="A1083" s="562" t="s">
        <v>225</v>
      </c>
      <c r="B1083" s="562" t="s">
        <v>958</v>
      </c>
      <c r="C1083" s="562" t="s">
        <v>291</v>
      </c>
      <c r="D1083" s="562">
        <v>2</v>
      </c>
      <c r="E1083" s="562">
        <v>4</v>
      </c>
      <c r="F1083" s="562" t="s">
        <v>184</v>
      </c>
      <c r="G1083" s="562" t="s">
        <v>191</v>
      </c>
      <c r="H1083" s="562" t="s">
        <v>191</v>
      </c>
    </row>
    <row r="1084" spans="1:8" x14ac:dyDescent="0.2">
      <c r="A1084" s="562" t="s">
        <v>225</v>
      </c>
      <c r="B1084" s="562" t="s">
        <v>958</v>
      </c>
      <c r="C1084" s="562" t="s">
        <v>999</v>
      </c>
      <c r="D1084" s="562">
        <v>2</v>
      </c>
      <c r="E1084" s="562">
        <v>4</v>
      </c>
      <c r="F1084" s="562" t="s">
        <v>184</v>
      </c>
      <c r="G1084" s="562" t="s">
        <v>191</v>
      </c>
      <c r="H1084" s="562" t="s">
        <v>191</v>
      </c>
    </row>
    <row r="1085" spans="1:8" x14ac:dyDescent="0.2">
      <c r="A1085" s="562" t="s">
        <v>225</v>
      </c>
      <c r="B1085" s="562" t="s">
        <v>958</v>
      </c>
      <c r="C1085" s="562" t="s">
        <v>1000</v>
      </c>
      <c r="D1085" s="562">
        <v>1</v>
      </c>
      <c r="E1085" s="562">
        <v>4</v>
      </c>
      <c r="F1085" s="562" t="s">
        <v>184</v>
      </c>
      <c r="G1085" s="562" t="s">
        <v>191</v>
      </c>
      <c r="H1085" s="562" t="s">
        <v>191</v>
      </c>
    </row>
    <row r="1086" spans="1:8" x14ac:dyDescent="0.2">
      <c r="A1086" s="562" t="s">
        <v>225</v>
      </c>
      <c r="B1086" s="562" t="s">
        <v>958</v>
      </c>
      <c r="C1086" s="562" t="s">
        <v>1001</v>
      </c>
      <c r="D1086" s="562">
        <v>2</v>
      </c>
      <c r="E1086" s="562">
        <v>4</v>
      </c>
      <c r="F1086" s="562" t="s">
        <v>184</v>
      </c>
      <c r="G1086" s="562" t="s">
        <v>191</v>
      </c>
      <c r="H1086" s="562" t="s">
        <v>191</v>
      </c>
    </row>
    <row r="1087" spans="1:8" x14ac:dyDescent="0.2">
      <c r="A1087" s="562" t="s">
        <v>225</v>
      </c>
      <c r="B1087" s="562" t="s">
        <v>958</v>
      </c>
      <c r="C1087" s="562" t="s">
        <v>823</v>
      </c>
      <c r="D1087" s="562">
        <v>2</v>
      </c>
      <c r="E1087" s="562">
        <v>4</v>
      </c>
      <c r="F1087" s="562" t="s">
        <v>184</v>
      </c>
      <c r="G1087" s="562" t="s">
        <v>191</v>
      </c>
      <c r="H1087" s="562" t="s">
        <v>191</v>
      </c>
    </row>
    <row r="1088" spans="1:8" x14ac:dyDescent="0.2">
      <c r="A1088" s="562" t="s">
        <v>225</v>
      </c>
      <c r="B1088" s="562" t="s">
        <v>958</v>
      </c>
      <c r="C1088" s="562" t="s">
        <v>1002</v>
      </c>
      <c r="D1088" s="562">
        <v>2</v>
      </c>
      <c r="E1088" s="562">
        <v>4</v>
      </c>
      <c r="F1088" s="562" t="s">
        <v>184</v>
      </c>
      <c r="G1088" s="562" t="s">
        <v>191</v>
      </c>
      <c r="H1088" s="562" t="s">
        <v>191</v>
      </c>
    </row>
    <row r="1089" spans="1:8" x14ac:dyDescent="0.2">
      <c r="A1089" s="562" t="s">
        <v>225</v>
      </c>
      <c r="B1089" s="562" t="s">
        <v>958</v>
      </c>
      <c r="C1089" s="562" t="s">
        <v>824</v>
      </c>
      <c r="D1089" s="562">
        <v>2</v>
      </c>
      <c r="E1089" s="562">
        <v>4</v>
      </c>
      <c r="F1089" s="562" t="s">
        <v>184</v>
      </c>
      <c r="G1089" s="562" t="s">
        <v>191</v>
      </c>
      <c r="H1089" s="562" t="s">
        <v>191</v>
      </c>
    </row>
    <row r="1090" spans="1:8" x14ac:dyDescent="0.2">
      <c r="A1090" s="562" t="s">
        <v>225</v>
      </c>
      <c r="B1090" s="562" t="s">
        <v>958</v>
      </c>
      <c r="C1090" s="562" t="s">
        <v>1003</v>
      </c>
      <c r="D1090" s="562">
        <v>2</v>
      </c>
      <c r="E1090" s="562">
        <v>4</v>
      </c>
      <c r="F1090" s="562" t="s">
        <v>184</v>
      </c>
      <c r="G1090" s="562" t="s">
        <v>191</v>
      </c>
      <c r="H1090" s="562" t="s">
        <v>191</v>
      </c>
    </row>
    <row r="1091" spans="1:8" x14ac:dyDescent="0.2">
      <c r="A1091" s="562" t="s">
        <v>225</v>
      </c>
      <c r="B1091" s="562" t="s">
        <v>958</v>
      </c>
      <c r="C1091" s="562" t="s">
        <v>1004</v>
      </c>
      <c r="D1091" s="562">
        <v>1</v>
      </c>
      <c r="E1091" s="562">
        <v>4</v>
      </c>
      <c r="F1091" s="562" t="s">
        <v>184</v>
      </c>
      <c r="G1091" s="562" t="s">
        <v>191</v>
      </c>
      <c r="H1091" s="562" t="s">
        <v>191</v>
      </c>
    </row>
    <row r="1092" spans="1:8" x14ac:dyDescent="0.2">
      <c r="A1092" s="562" t="s">
        <v>225</v>
      </c>
      <c r="B1092" s="562" t="s">
        <v>958</v>
      </c>
      <c r="C1092" s="562" t="s">
        <v>293</v>
      </c>
      <c r="D1092" s="562">
        <v>2</v>
      </c>
      <c r="E1092" s="562">
        <v>4</v>
      </c>
      <c r="F1092" s="562" t="s">
        <v>184</v>
      </c>
      <c r="G1092" s="562" t="s">
        <v>191</v>
      </c>
      <c r="H1092" s="562" t="s">
        <v>191</v>
      </c>
    </row>
    <row r="1093" spans="1:8" x14ac:dyDescent="0.2">
      <c r="A1093" s="562" t="s">
        <v>225</v>
      </c>
      <c r="B1093" s="562" t="s">
        <v>958</v>
      </c>
      <c r="C1093" s="562" t="s">
        <v>297</v>
      </c>
      <c r="D1093" s="562">
        <v>2</v>
      </c>
      <c r="E1093" s="562">
        <v>4</v>
      </c>
      <c r="F1093" s="562" t="s">
        <v>184</v>
      </c>
      <c r="G1093" s="562" t="s">
        <v>191</v>
      </c>
      <c r="H1093" s="562" t="s">
        <v>191</v>
      </c>
    </row>
    <row r="1094" spans="1:8" x14ac:dyDescent="0.2">
      <c r="A1094" s="562" t="s">
        <v>225</v>
      </c>
      <c r="B1094" s="562" t="s">
        <v>958</v>
      </c>
      <c r="C1094" s="562" t="s">
        <v>1005</v>
      </c>
      <c r="D1094" s="562">
        <v>2</v>
      </c>
      <c r="E1094" s="562">
        <v>4</v>
      </c>
      <c r="F1094" s="562" t="s">
        <v>184</v>
      </c>
      <c r="G1094" s="562" t="s">
        <v>191</v>
      </c>
      <c r="H1094" s="562" t="s">
        <v>191</v>
      </c>
    </row>
    <row r="1095" spans="1:8" x14ac:dyDescent="0.2">
      <c r="A1095" s="562" t="s">
        <v>225</v>
      </c>
      <c r="B1095" s="562" t="s">
        <v>958</v>
      </c>
      <c r="C1095" s="562" t="s">
        <v>404</v>
      </c>
      <c r="D1095" s="562">
        <v>1</v>
      </c>
      <c r="E1095" s="562">
        <v>4</v>
      </c>
      <c r="F1095" s="562" t="s">
        <v>184</v>
      </c>
      <c r="G1095" s="562" t="s">
        <v>191</v>
      </c>
      <c r="H1095" s="562" t="s">
        <v>191</v>
      </c>
    </row>
    <row r="1096" spans="1:8" x14ac:dyDescent="0.2">
      <c r="A1096" s="562" t="s">
        <v>225</v>
      </c>
      <c r="B1096" s="562" t="s">
        <v>958</v>
      </c>
      <c r="C1096" s="562" t="s">
        <v>1006</v>
      </c>
      <c r="D1096" s="562">
        <v>1</v>
      </c>
      <c r="E1096" s="562">
        <v>4</v>
      </c>
      <c r="F1096" s="562" t="s">
        <v>184</v>
      </c>
      <c r="G1096" s="562" t="s">
        <v>191</v>
      </c>
      <c r="H1096" s="562" t="s">
        <v>191</v>
      </c>
    </row>
    <row r="1097" spans="1:8" x14ac:dyDescent="0.2">
      <c r="A1097" s="562" t="s">
        <v>225</v>
      </c>
      <c r="B1097" s="562" t="s">
        <v>958</v>
      </c>
      <c r="C1097" s="562" t="s">
        <v>1007</v>
      </c>
      <c r="D1097" s="562">
        <v>2</v>
      </c>
      <c r="E1097" s="562">
        <v>4</v>
      </c>
      <c r="F1097" s="562" t="s">
        <v>184</v>
      </c>
      <c r="G1097" s="562" t="s">
        <v>191</v>
      </c>
      <c r="H1097" s="562" t="s">
        <v>191</v>
      </c>
    </row>
    <row r="1098" spans="1:8" x14ac:dyDescent="0.2">
      <c r="A1098" s="562" t="s">
        <v>225</v>
      </c>
      <c r="B1098" s="562" t="s">
        <v>958</v>
      </c>
      <c r="C1098" s="562" t="s">
        <v>1008</v>
      </c>
      <c r="D1098" s="562">
        <v>2</v>
      </c>
      <c r="E1098" s="562">
        <v>4</v>
      </c>
      <c r="F1098" s="562" t="s">
        <v>184</v>
      </c>
      <c r="G1098" s="562" t="s">
        <v>191</v>
      </c>
      <c r="H1098" s="562" t="s">
        <v>191</v>
      </c>
    </row>
    <row r="1099" spans="1:8" x14ac:dyDescent="0.2">
      <c r="A1099" s="562" t="s">
        <v>225</v>
      </c>
      <c r="B1099" s="562" t="s">
        <v>958</v>
      </c>
      <c r="C1099" s="562" t="s">
        <v>301</v>
      </c>
      <c r="D1099" s="562">
        <v>1</v>
      </c>
      <c r="E1099" s="562">
        <v>4</v>
      </c>
      <c r="F1099" s="562" t="s">
        <v>184</v>
      </c>
      <c r="G1099" s="562" t="s">
        <v>191</v>
      </c>
      <c r="H1099" s="562" t="s">
        <v>191</v>
      </c>
    </row>
    <row r="1100" spans="1:8" x14ac:dyDescent="0.2">
      <c r="A1100" s="562" t="s">
        <v>225</v>
      </c>
      <c r="B1100" s="562" t="s">
        <v>958</v>
      </c>
      <c r="C1100" s="562" t="s">
        <v>407</v>
      </c>
      <c r="D1100" s="562">
        <v>1</v>
      </c>
      <c r="E1100" s="562">
        <v>4</v>
      </c>
      <c r="F1100" s="562" t="s">
        <v>184</v>
      </c>
      <c r="G1100" s="562" t="s">
        <v>191</v>
      </c>
      <c r="H1100" s="562" t="s">
        <v>191</v>
      </c>
    </row>
    <row r="1101" spans="1:8" x14ac:dyDescent="0.2">
      <c r="A1101" s="562" t="s">
        <v>225</v>
      </c>
      <c r="B1101" s="562" t="s">
        <v>958</v>
      </c>
      <c r="C1101" s="562" t="s">
        <v>303</v>
      </c>
      <c r="D1101" s="562">
        <v>2</v>
      </c>
      <c r="E1101" s="562">
        <v>4</v>
      </c>
      <c r="F1101" s="562" t="s">
        <v>184</v>
      </c>
      <c r="G1101" s="562" t="s">
        <v>191</v>
      </c>
      <c r="H1101" s="562" t="s">
        <v>191</v>
      </c>
    </row>
    <row r="1102" spans="1:8" x14ac:dyDescent="0.2">
      <c r="A1102" s="562" t="s">
        <v>225</v>
      </c>
      <c r="B1102" s="562" t="s">
        <v>958</v>
      </c>
      <c r="C1102" s="562" t="s">
        <v>1009</v>
      </c>
      <c r="D1102" s="562">
        <v>2</v>
      </c>
      <c r="E1102" s="562">
        <v>4</v>
      </c>
      <c r="F1102" s="562" t="s">
        <v>184</v>
      </c>
      <c r="G1102" s="562" t="s">
        <v>191</v>
      </c>
      <c r="H1102" s="562" t="s">
        <v>191</v>
      </c>
    </row>
    <row r="1103" spans="1:8" x14ac:dyDescent="0.2">
      <c r="A1103" s="562" t="s">
        <v>225</v>
      </c>
      <c r="B1103" s="562" t="s">
        <v>958</v>
      </c>
      <c r="C1103" s="562" t="s">
        <v>830</v>
      </c>
      <c r="D1103" s="562">
        <v>2</v>
      </c>
      <c r="E1103" s="562">
        <v>4</v>
      </c>
      <c r="F1103" s="562" t="s">
        <v>184</v>
      </c>
      <c r="G1103" s="562" t="s">
        <v>191</v>
      </c>
      <c r="H1103" s="562" t="s">
        <v>191</v>
      </c>
    </row>
    <row r="1104" spans="1:8" x14ac:dyDescent="0.2">
      <c r="A1104" s="562" t="s">
        <v>225</v>
      </c>
      <c r="B1104" s="562" t="s">
        <v>958</v>
      </c>
      <c r="C1104" s="562" t="s">
        <v>593</v>
      </c>
      <c r="D1104" s="562">
        <v>1</v>
      </c>
      <c r="E1104" s="562">
        <v>4</v>
      </c>
      <c r="F1104" s="562" t="s">
        <v>184</v>
      </c>
      <c r="G1104" s="562" t="s">
        <v>191</v>
      </c>
      <c r="H1104" s="562" t="s">
        <v>191</v>
      </c>
    </row>
    <row r="1105" spans="1:8" x14ac:dyDescent="0.2">
      <c r="A1105" s="562" t="s">
        <v>225</v>
      </c>
      <c r="B1105" s="562" t="s">
        <v>958</v>
      </c>
      <c r="C1105" s="562" t="s">
        <v>1010</v>
      </c>
      <c r="D1105" s="562">
        <v>2</v>
      </c>
      <c r="E1105" s="562">
        <v>4</v>
      </c>
      <c r="F1105" s="562" t="s">
        <v>184</v>
      </c>
      <c r="G1105" s="562" t="s">
        <v>191</v>
      </c>
      <c r="H1105" s="562" t="s">
        <v>191</v>
      </c>
    </row>
    <row r="1106" spans="1:8" x14ac:dyDescent="0.2">
      <c r="A1106" s="562" t="s">
        <v>225</v>
      </c>
      <c r="B1106" s="562" t="s">
        <v>958</v>
      </c>
      <c r="C1106" s="562" t="s">
        <v>1011</v>
      </c>
      <c r="D1106" s="562">
        <v>2</v>
      </c>
      <c r="E1106" s="562">
        <v>4</v>
      </c>
      <c r="F1106" s="562" t="s">
        <v>184</v>
      </c>
      <c r="G1106" s="562" t="s">
        <v>191</v>
      </c>
      <c r="H1106" s="562" t="s">
        <v>191</v>
      </c>
    </row>
    <row r="1107" spans="1:8" x14ac:dyDescent="0.2">
      <c r="A1107" s="562" t="s">
        <v>225</v>
      </c>
      <c r="B1107" s="562" t="s">
        <v>958</v>
      </c>
      <c r="C1107" s="562" t="s">
        <v>1012</v>
      </c>
      <c r="D1107" s="562">
        <v>2</v>
      </c>
      <c r="E1107" s="562">
        <v>4</v>
      </c>
      <c r="F1107" s="562" t="s">
        <v>184</v>
      </c>
      <c r="G1107" s="562" t="s">
        <v>191</v>
      </c>
      <c r="H1107" s="562" t="s">
        <v>191</v>
      </c>
    </row>
    <row r="1108" spans="1:8" x14ac:dyDescent="0.2">
      <c r="A1108" s="562" t="s">
        <v>225</v>
      </c>
      <c r="B1108" s="562" t="s">
        <v>958</v>
      </c>
      <c r="C1108" s="562" t="s">
        <v>413</v>
      </c>
      <c r="D1108" s="562">
        <v>2</v>
      </c>
      <c r="E1108" s="562">
        <v>4</v>
      </c>
      <c r="F1108" s="562" t="s">
        <v>184</v>
      </c>
      <c r="G1108" s="562" t="s">
        <v>191</v>
      </c>
      <c r="H1108" s="562" t="s">
        <v>191</v>
      </c>
    </row>
    <row r="1109" spans="1:8" x14ac:dyDescent="0.2">
      <c r="A1109" s="562" t="s">
        <v>225</v>
      </c>
      <c r="B1109" s="562" t="s">
        <v>958</v>
      </c>
      <c r="C1109" s="562" t="s">
        <v>699</v>
      </c>
      <c r="D1109" s="562">
        <v>1</v>
      </c>
      <c r="E1109" s="562">
        <v>4</v>
      </c>
      <c r="F1109" s="562" t="s">
        <v>184</v>
      </c>
      <c r="G1109" s="562" t="s">
        <v>191</v>
      </c>
      <c r="H1109" s="562" t="s">
        <v>191</v>
      </c>
    </row>
    <row r="1110" spans="1:8" x14ac:dyDescent="0.2">
      <c r="A1110" s="562" t="s">
        <v>225</v>
      </c>
      <c r="B1110" s="562" t="s">
        <v>958</v>
      </c>
      <c r="C1110" s="562" t="s">
        <v>309</v>
      </c>
      <c r="D1110" s="562">
        <v>2</v>
      </c>
      <c r="E1110" s="562">
        <v>4</v>
      </c>
      <c r="F1110" s="562" t="s">
        <v>184</v>
      </c>
      <c r="G1110" s="562" t="s">
        <v>191</v>
      </c>
      <c r="H1110" s="562" t="s">
        <v>191</v>
      </c>
    </row>
    <row r="1111" spans="1:8" x14ac:dyDescent="0.2">
      <c r="A1111" s="562" t="s">
        <v>225</v>
      </c>
      <c r="B1111" s="562" t="s">
        <v>958</v>
      </c>
      <c r="C1111" s="562" t="s">
        <v>700</v>
      </c>
      <c r="D1111" s="562">
        <v>2</v>
      </c>
      <c r="E1111" s="562">
        <v>4</v>
      </c>
      <c r="F1111" s="562" t="s">
        <v>184</v>
      </c>
      <c r="G1111" s="562" t="s">
        <v>191</v>
      </c>
      <c r="H1111" s="562" t="s">
        <v>191</v>
      </c>
    </row>
    <row r="1112" spans="1:8" x14ac:dyDescent="0.2">
      <c r="A1112" s="562" t="s">
        <v>225</v>
      </c>
      <c r="B1112" s="562" t="s">
        <v>958</v>
      </c>
      <c r="C1112" s="562" t="s">
        <v>701</v>
      </c>
      <c r="D1112" s="562">
        <v>2</v>
      </c>
      <c r="E1112" s="562">
        <v>4</v>
      </c>
      <c r="F1112" s="562" t="s">
        <v>184</v>
      </c>
      <c r="G1112" s="562" t="s">
        <v>191</v>
      </c>
      <c r="H1112" s="562" t="s">
        <v>191</v>
      </c>
    </row>
    <row r="1113" spans="1:8" x14ac:dyDescent="0.2">
      <c r="A1113" s="562" t="s">
        <v>225</v>
      </c>
      <c r="B1113" s="562" t="s">
        <v>958</v>
      </c>
      <c r="C1113" s="562" t="s">
        <v>843</v>
      </c>
      <c r="D1113" s="562">
        <v>2</v>
      </c>
      <c r="E1113" s="562">
        <v>4</v>
      </c>
      <c r="F1113" s="562" t="s">
        <v>184</v>
      </c>
      <c r="G1113" s="562" t="s">
        <v>191</v>
      </c>
      <c r="H1113" s="562" t="s">
        <v>191</v>
      </c>
    </row>
    <row r="1114" spans="1:8" x14ac:dyDescent="0.2">
      <c r="A1114" s="562" t="s">
        <v>225</v>
      </c>
      <c r="B1114" s="562" t="s">
        <v>958</v>
      </c>
      <c r="C1114" s="562" t="s">
        <v>1013</v>
      </c>
      <c r="D1114" s="562">
        <v>2</v>
      </c>
      <c r="E1114" s="562">
        <v>4</v>
      </c>
      <c r="F1114" s="562" t="s">
        <v>184</v>
      </c>
      <c r="G1114" s="562" t="s">
        <v>191</v>
      </c>
      <c r="H1114" s="562" t="s">
        <v>191</v>
      </c>
    </row>
    <row r="1115" spans="1:8" x14ac:dyDescent="0.2">
      <c r="A1115" s="562" t="s">
        <v>225</v>
      </c>
      <c r="B1115" s="562" t="s">
        <v>958</v>
      </c>
      <c r="C1115" s="562" t="s">
        <v>801</v>
      </c>
      <c r="D1115" s="562">
        <v>1</v>
      </c>
      <c r="E1115" s="562">
        <v>4</v>
      </c>
      <c r="F1115" s="562" t="s">
        <v>184</v>
      </c>
      <c r="G1115" s="562" t="s">
        <v>191</v>
      </c>
      <c r="H1115" s="562" t="s">
        <v>191</v>
      </c>
    </row>
    <row r="1116" spans="1:8" x14ac:dyDescent="0.2">
      <c r="A1116" s="562" t="s">
        <v>227</v>
      </c>
      <c r="B1116" s="562" t="s">
        <v>1014</v>
      </c>
      <c r="C1116" s="562" t="s">
        <v>1015</v>
      </c>
      <c r="D1116" s="562">
        <v>3</v>
      </c>
      <c r="E1116" s="562">
        <v>2</v>
      </c>
      <c r="F1116" s="562" t="s">
        <v>184</v>
      </c>
      <c r="G1116" s="562" t="s">
        <v>190</v>
      </c>
      <c r="H1116" s="562" t="s">
        <v>191</v>
      </c>
    </row>
    <row r="1117" spans="1:8" x14ac:dyDescent="0.2">
      <c r="A1117" s="562" t="s">
        <v>227</v>
      </c>
      <c r="B1117" s="562" t="s">
        <v>1014</v>
      </c>
      <c r="C1117" s="562" t="s">
        <v>803</v>
      </c>
      <c r="D1117" s="562">
        <v>3</v>
      </c>
      <c r="E1117" s="562">
        <v>2</v>
      </c>
      <c r="F1117" s="562" t="s">
        <v>184</v>
      </c>
      <c r="G1117" s="562" t="s">
        <v>190</v>
      </c>
      <c r="H1117" s="562" t="s">
        <v>191</v>
      </c>
    </row>
    <row r="1118" spans="1:8" x14ac:dyDescent="0.2">
      <c r="A1118" s="562" t="s">
        <v>227</v>
      </c>
      <c r="B1118" s="562" t="s">
        <v>1014</v>
      </c>
      <c r="C1118" s="562" t="s">
        <v>1016</v>
      </c>
      <c r="D1118" s="562">
        <v>3</v>
      </c>
      <c r="E1118" s="562">
        <v>2</v>
      </c>
      <c r="F1118" s="562" t="s">
        <v>184</v>
      </c>
      <c r="G1118" s="562" t="s">
        <v>190</v>
      </c>
      <c r="H1118" s="562" t="s">
        <v>191</v>
      </c>
    </row>
    <row r="1119" spans="1:8" x14ac:dyDescent="0.2">
      <c r="A1119" s="562" t="s">
        <v>227</v>
      </c>
      <c r="B1119" s="562" t="s">
        <v>1014</v>
      </c>
      <c r="C1119" s="562" t="s">
        <v>1017</v>
      </c>
      <c r="D1119" s="562">
        <v>3</v>
      </c>
      <c r="E1119" s="562">
        <v>2</v>
      </c>
      <c r="F1119" s="562" t="s">
        <v>184</v>
      </c>
      <c r="G1119" s="562" t="s">
        <v>190</v>
      </c>
      <c r="H1119" s="562" t="s">
        <v>191</v>
      </c>
    </row>
    <row r="1120" spans="1:8" x14ac:dyDescent="0.2">
      <c r="A1120" s="562" t="s">
        <v>227</v>
      </c>
      <c r="B1120" s="562" t="s">
        <v>1014</v>
      </c>
      <c r="C1120" s="562" t="s">
        <v>1018</v>
      </c>
      <c r="D1120" s="562">
        <v>3</v>
      </c>
      <c r="E1120" s="562">
        <v>2</v>
      </c>
      <c r="F1120" s="562" t="s">
        <v>184</v>
      </c>
      <c r="G1120" s="562" t="s">
        <v>190</v>
      </c>
      <c r="H1120" s="562" t="s">
        <v>191</v>
      </c>
    </row>
    <row r="1121" spans="1:8" x14ac:dyDescent="0.2">
      <c r="A1121" s="562" t="s">
        <v>227</v>
      </c>
      <c r="B1121" s="562" t="s">
        <v>1014</v>
      </c>
      <c r="C1121" s="562" t="s">
        <v>1019</v>
      </c>
      <c r="D1121" s="562">
        <v>3</v>
      </c>
      <c r="E1121" s="562">
        <v>2</v>
      </c>
      <c r="F1121" s="562" t="s">
        <v>184</v>
      </c>
      <c r="G1121" s="562" t="s">
        <v>190</v>
      </c>
      <c r="H1121" s="562" t="s">
        <v>191</v>
      </c>
    </row>
    <row r="1122" spans="1:8" x14ac:dyDescent="0.2">
      <c r="A1122" s="562" t="s">
        <v>227</v>
      </c>
      <c r="B1122" s="562" t="s">
        <v>1014</v>
      </c>
      <c r="C1122" s="562" t="s">
        <v>1020</v>
      </c>
      <c r="D1122" s="562">
        <v>3</v>
      </c>
      <c r="E1122" s="562">
        <v>3</v>
      </c>
      <c r="F1122" s="562" t="s">
        <v>184</v>
      </c>
      <c r="G1122" s="562" t="s">
        <v>190</v>
      </c>
      <c r="H1122" s="562" t="s">
        <v>191</v>
      </c>
    </row>
    <row r="1123" spans="1:8" x14ac:dyDescent="0.2">
      <c r="A1123" s="562" t="s">
        <v>227</v>
      </c>
      <c r="B1123" s="562" t="s">
        <v>1014</v>
      </c>
      <c r="C1123" s="562" t="s">
        <v>1021</v>
      </c>
      <c r="D1123" s="562">
        <v>3</v>
      </c>
      <c r="E1123" s="562">
        <v>3</v>
      </c>
      <c r="F1123" s="562" t="s">
        <v>184</v>
      </c>
      <c r="G1123" s="562" t="s">
        <v>190</v>
      </c>
      <c r="H1123" s="562" t="s">
        <v>191</v>
      </c>
    </row>
    <row r="1124" spans="1:8" x14ac:dyDescent="0.2">
      <c r="A1124" s="562" t="s">
        <v>227</v>
      </c>
      <c r="B1124" s="562" t="s">
        <v>1014</v>
      </c>
      <c r="C1124" s="562" t="s">
        <v>1022</v>
      </c>
      <c r="D1124" s="562">
        <v>3</v>
      </c>
      <c r="E1124" s="562">
        <v>3</v>
      </c>
      <c r="F1124" s="562" t="s">
        <v>184</v>
      </c>
      <c r="G1124" s="562" t="s">
        <v>190</v>
      </c>
      <c r="H1124" s="562" t="s">
        <v>191</v>
      </c>
    </row>
    <row r="1125" spans="1:8" x14ac:dyDescent="0.2">
      <c r="A1125" s="562" t="s">
        <v>227</v>
      </c>
      <c r="B1125" s="562" t="s">
        <v>1014</v>
      </c>
      <c r="C1125" s="562" t="s">
        <v>1023</v>
      </c>
      <c r="D1125" s="562">
        <v>3</v>
      </c>
      <c r="E1125" s="562">
        <v>2</v>
      </c>
      <c r="F1125" s="562" t="s">
        <v>184</v>
      </c>
      <c r="G1125" s="562" t="s">
        <v>190</v>
      </c>
      <c r="H1125" s="562" t="s">
        <v>191</v>
      </c>
    </row>
    <row r="1126" spans="1:8" x14ac:dyDescent="0.2">
      <c r="A1126" s="562" t="s">
        <v>227</v>
      </c>
      <c r="B1126" s="562" t="s">
        <v>1014</v>
      </c>
      <c r="C1126" s="562" t="s">
        <v>969</v>
      </c>
      <c r="D1126" s="562">
        <v>3</v>
      </c>
      <c r="E1126" s="562">
        <v>3</v>
      </c>
      <c r="F1126" s="562" t="s">
        <v>184</v>
      </c>
      <c r="G1126" s="562" t="s">
        <v>190</v>
      </c>
      <c r="H1126" s="562" t="s">
        <v>191</v>
      </c>
    </row>
    <row r="1127" spans="1:8" x14ac:dyDescent="0.2">
      <c r="A1127" s="562" t="s">
        <v>227</v>
      </c>
      <c r="B1127" s="562" t="s">
        <v>1014</v>
      </c>
      <c r="C1127" s="562" t="s">
        <v>1024</v>
      </c>
      <c r="D1127" s="562">
        <v>3</v>
      </c>
      <c r="E1127" s="562">
        <v>2</v>
      </c>
      <c r="F1127" s="562" t="s">
        <v>184</v>
      </c>
      <c r="G1127" s="562" t="s">
        <v>190</v>
      </c>
      <c r="H1127" s="562" t="s">
        <v>191</v>
      </c>
    </row>
    <row r="1128" spans="1:8" x14ac:dyDescent="0.2">
      <c r="A1128" s="562" t="s">
        <v>227</v>
      </c>
      <c r="B1128" s="562" t="s">
        <v>1014</v>
      </c>
      <c r="C1128" s="562" t="s">
        <v>1025</v>
      </c>
      <c r="D1128" s="562">
        <v>3</v>
      </c>
      <c r="E1128" s="562">
        <v>3</v>
      </c>
      <c r="F1128" s="562" t="s">
        <v>184</v>
      </c>
      <c r="G1128" s="562" t="s">
        <v>190</v>
      </c>
      <c r="H1128" s="562" t="s">
        <v>191</v>
      </c>
    </row>
    <row r="1129" spans="1:8" x14ac:dyDescent="0.2">
      <c r="A1129" s="562" t="s">
        <v>227</v>
      </c>
      <c r="B1129" s="562" t="s">
        <v>1014</v>
      </c>
      <c r="C1129" s="562" t="s">
        <v>1026</v>
      </c>
      <c r="D1129" s="562">
        <v>3</v>
      </c>
      <c r="E1129" s="562">
        <v>3</v>
      </c>
      <c r="F1129" s="562" t="s">
        <v>184</v>
      </c>
      <c r="G1129" s="562" t="s">
        <v>190</v>
      </c>
      <c r="H1129" s="562" t="s">
        <v>191</v>
      </c>
    </row>
    <row r="1130" spans="1:8" x14ac:dyDescent="0.2">
      <c r="A1130" s="562" t="s">
        <v>227</v>
      </c>
      <c r="B1130" s="562" t="s">
        <v>1014</v>
      </c>
      <c r="C1130" s="562" t="s">
        <v>1027</v>
      </c>
      <c r="D1130" s="562">
        <v>3</v>
      </c>
      <c r="E1130" s="562">
        <v>3</v>
      </c>
      <c r="F1130" s="562" t="s">
        <v>184</v>
      </c>
      <c r="G1130" s="562" t="s">
        <v>190</v>
      </c>
      <c r="H1130" s="562" t="s">
        <v>191</v>
      </c>
    </row>
    <row r="1131" spans="1:8" x14ac:dyDescent="0.2">
      <c r="A1131" s="562" t="s">
        <v>227</v>
      </c>
      <c r="B1131" s="562" t="s">
        <v>1014</v>
      </c>
      <c r="C1131" s="562" t="s">
        <v>557</v>
      </c>
      <c r="D1131" s="562">
        <v>3</v>
      </c>
      <c r="E1131" s="562">
        <v>3</v>
      </c>
      <c r="F1131" s="562" t="s">
        <v>184</v>
      </c>
      <c r="G1131" s="562" t="s">
        <v>190</v>
      </c>
      <c r="H1131" s="562" t="s">
        <v>191</v>
      </c>
    </row>
    <row r="1132" spans="1:8" x14ac:dyDescent="0.2">
      <c r="A1132" s="562" t="s">
        <v>227</v>
      </c>
      <c r="B1132" s="562" t="s">
        <v>1014</v>
      </c>
      <c r="C1132" s="562" t="s">
        <v>1028</v>
      </c>
      <c r="D1132" s="562">
        <v>3</v>
      </c>
      <c r="E1132" s="562">
        <v>2</v>
      </c>
      <c r="F1132" s="562" t="s">
        <v>184</v>
      </c>
      <c r="G1132" s="562" t="s">
        <v>190</v>
      </c>
      <c r="H1132" s="562" t="s">
        <v>191</v>
      </c>
    </row>
    <row r="1133" spans="1:8" x14ac:dyDescent="0.2">
      <c r="A1133" s="562" t="s">
        <v>227</v>
      </c>
      <c r="B1133" s="562" t="s">
        <v>1014</v>
      </c>
      <c r="C1133" s="562" t="s">
        <v>1029</v>
      </c>
      <c r="D1133" s="562">
        <v>3</v>
      </c>
      <c r="E1133" s="562">
        <v>3</v>
      </c>
      <c r="F1133" s="562" t="s">
        <v>184</v>
      </c>
      <c r="G1133" s="562" t="s">
        <v>191</v>
      </c>
      <c r="H1133" s="562" t="s">
        <v>191</v>
      </c>
    </row>
    <row r="1134" spans="1:8" x14ac:dyDescent="0.2">
      <c r="A1134" s="562" t="s">
        <v>227</v>
      </c>
      <c r="B1134" s="562" t="s">
        <v>1014</v>
      </c>
      <c r="C1134" s="562" t="s">
        <v>1030</v>
      </c>
      <c r="D1134" s="562">
        <v>3</v>
      </c>
      <c r="E1134" s="562">
        <v>2</v>
      </c>
      <c r="F1134" s="562" t="s">
        <v>184</v>
      </c>
      <c r="G1134" s="562" t="s">
        <v>190</v>
      </c>
      <c r="H1134" s="562" t="s">
        <v>191</v>
      </c>
    </row>
    <row r="1135" spans="1:8" x14ac:dyDescent="0.2">
      <c r="A1135" s="562" t="s">
        <v>227</v>
      </c>
      <c r="B1135" s="562" t="s">
        <v>1014</v>
      </c>
      <c r="C1135" s="562" t="s">
        <v>1031</v>
      </c>
      <c r="D1135" s="562">
        <v>3</v>
      </c>
      <c r="E1135" s="562">
        <v>2</v>
      </c>
      <c r="F1135" s="562" t="s">
        <v>184</v>
      </c>
      <c r="G1135" s="562" t="s">
        <v>190</v>
      </c>
      <c r="H1135" s="562" t="s">
        <v>191</v>
      </c>
    </row>
    <row r="1136" spans="1:8" x14ac:dyDescent="0.2">
      <c r="A1136" s="562" t="s">
        <v>227</v>
      </c>
      <c r="B1136" s="562" t="s">
        <v>1014</v>
      </c>
      <c r="C1136" s="562" t="s">
        <v>248</v>
      </c>
      <c r="D1136" s="562">
        <v>3</v>
      </c>
      <c r="E1136" s="562">
        <v>3</v>
      </c>
      <c r="F1136" s="562" t="s">
        <v>184</v>
      </c>
      <c r="G1136" s="562" t="s">
        <v>190</v>
      </c>
      <c r="H1136" s="562" t="s">
        <v>191</v>
      </c>
    </row>
    <row r="1137" spans="1:8" x14ac:dyDescent="0.2">
      <c r="A1137" s="562" t="s">
        <v>227</v>
      </c>
      <c r="B1137" s="562" t="s">
        <v>1014</v>
      </c>
      <c r="C1137" s="562" t="s">
        <v>382</v>
      </c>
      <c r="D1137" s="562">
        <v>3</v>
      </c>
      <c r="E1137" s="562">
        <v>3</v>
      </c>
      <c r="F1137" s="562" t="s">
        <v>184</v>
      </c>
      <c r="G1137" s="562" t="s">
        <v>190</v>
      </c>
      <c r="H1137" s="562" t="s">
        <v>191</v>
      </c>
    </row>
    <row r="1138" spans="1:8" x14ac:dyDescent="0.2">
      <c r="A1138" s="562" t="s">
        <v>227</v>
      </c>
      <c r="B1138" s="562" t="s">
        <v>1014</v>
      </c>
      <c r="C1138" s="562" t="s">
        <v>1032</v>
      </c>
      <c r="D1138" s="562">
        <v>3</v>
      </c>
      <c r="E1138" s="562">
        <v>2</v>
      </c>
      <c r="F1138" s="562" t="s">
        <v>184</v>
      </c>
      <c r="G1138" s="562" t="s">
        <v>190</v>
      </c>
      <c r="H1138" s="562" t="s">
        <v>191</v>
      </c>
    </row>
    <row r="1139" spans="1:8" x14ac:dyDescent="0.2">
      <c r="A1139" s="562" t="s">
        <v>227</v>
      </c>
      <c r="B1139" s="562" t="s">
        <v>1014</v>
      </c>
      <c r="C1139" s="562" t="s">
        <v>1033</v>
      </c>
      <c r="D1139" s="562">
        <v>3</v>
      </c>
      <c r="E1139" s="562">
        <v>2</v>
      </c>
      <c r="F1139" s="562" t="s">
        <v>184</v>
      </c>
      <c r="G1139" s="562" t="s">
        <v>190</v>
      </c>
      <c r="H1139" s="562" t="s">
        <v>191</v>
      </c>
    </row>
    <row r="1140" spans="1:8" x14ac:dyDescent="0.2">
      <c r="A1140" s="562" t="s">
        <v>227</v>
      </c>
      <c r="B1140" s="562" t="s">
        <v>1014</v>
      </c>
      <c r="C1140" s="562" t="s">
        <v>259</v>
      </c>
      <c r="D1140" s="562">
        <v>3</v>
      </c>
      <c r="E1140" s="562">
        <v>3</v>
      </c>
      <c r="F1140" s="562" t="s">
        <v>184</v>
      </c>
      <c r="G1140" s="562" t="s">
        <v>190</v>
      </c>
      <c r="H1140" s="562" t="s">
        <v>191</v>
      </c>
    </row>
    <row r="1141" spans="1:8" x14ac:dyDescent="0.2">
      <c r="A1141" s="562" t="s">
        <v>227</v>
      </c>
      <c r="B1141" s="562" t="s">
        <v>1014</v>
      </c>
      <c r="C1141" s="562" t="s">
        <v>261</v>
      </c>
      <c r="D1141" s="562">
        <v>3</v>
      </c>
      <c r="E1141" s="562">
        <v>2</v>
      </c>
      <c r="F1141" s="562" t="s">
        <v>184</v>
      </c>
      <c r="G1141" s="562" t="s">
        <v>190</v>
      </c>
      <c r="H1141" s="562" t="s">
        <v>191</v>
      </c>
    </row>
    <row r="1142" spans="1:8" x14ac:dyDescent="0.2">
      <c r="A1142" s="562" t="s">
        <v>227</v>
      </c>
      <c r="B1142" s="562" t="s">
        <v>1014</v>
      </c>
      <c r="C1142" s="562" t="s">
        <v>1034</v>
      </c>
      <c r="D1142" s="562">
        <v>3</v>
      </c>
      <c r="E1142" s="562">
        <v>2</v>
      </c>
      <c r="F1142" s="562" t="s">
        <v>184</v>
      </c>
      <c r="G1142" s="562" t="s">
        <v>190</v>
      </c>
      <c r="H1142" s="562" t="s">
        <v>191</v>
      </c>
    </row>
    <row r="1143" spans="1:8" x14ac:dyDescent="0.2">
      <c r="A1143" s="562" t="s">
        <v>227</v>
      </c>
      <c r="B1143" s="562" t="s">
        <v>1014</v>
      </c>
      <c r="C1143" s="562" t="s">
        <v>774</v>
      </c>
      <c r="D1143" s="562">
        <v>3</v>
      </c>
      <c r="E1143" s="562">
        <v>3</v>
      </c>
      <c r="F1143" s="562" t="s">
        <v>184</v>
      </c>
      <c r="G1143" s="562" t="s">
        <v>190</v>
      </c>
      <c r="H1143" s="562" t="s">
        <v>191</v>
      </c>
    </row>
    <row r="1144" spans="1:8" x14ac:dyDescent="0.2">
      <c r="A1144" s="562" t="s">
        <v>227</v>
      </c>
      <c r="B1144" s="562" t="s">
        <v>1014</v>
      </c>
      <c r="C1144" s="562" t="s">
        <v>389</v>
      </c>
      <c r="D1144" s="562">
        <v>3</v>
      </c>
      <c r="E1144" s="562">
        <v>2</v>
      </c>
      <c r="F1144" s="562" t="s">
        <v>184</v>
      </c>
      <c r="G1144" s="562" t="s">
        <v>190</v>
      </c>
      <c r="H1144" s="562" t="s">
        <v>191</v>
      </c>
    </row>
    <row r="1145" spans="1:8" x14ac:dyDescent="0.2">
      <c r="A1145" s="562" t="s">
        <v>227</v>
      </c>
      <c r="B1145" s="562" t="s">
        <v>1014</v>
      </c>
      <c r="C1145" s="562" t="s">
        <v>1035</v>
      </c>
      <c r="D1145" s="562">
        <v>3</v>
      </c>
      <c r="E1145" s="562">
        <v>2</v>
      </c>
      <c r="F1145" s="562" t="s">
        <v>184</v>
      </c>
      <c r="G1145" s="562" t="s">
        <v>190</v>
      </c>
      <c r="H1145" s="562" t="s">
        <v>191</v>
      </c>
    </row>
    <row r="1146" spans="1:8" x14ac:dyDescent="0.2">
      <c r="A1146" s="562" t="s">
        <v>227</v>
      </c>
      <c r="B1146" s="562" t="s">
        <v>1014</v>
      </c>
      <c r="C1146" s="562" t="s">
        <v>390</v>
      </c>
      <c r="D1146" s="562">
        <v>3</v>
      </c>
      <c r="E1146" s="562">
        <v>3</v>
      </c>
      <c r="F1146" s="562" t="s">
        <v>184</v>
      </c>
      <c r="G1146" s="562" t="s">
        <v>190</v>
      </c>
      <c r="H1146" s="562" t="s">
        <v>191</v>
      </c>
    </row>
    <row r="1147" spans="1:8" x14ac:dyDescent="0.2">
      <c r="A1147" s="562" t="s">
        <v>227</v>
      </c>
      <c r="B1147" s="562" t="s">
        <v>1014</v>
      </c>
      <c r="C1147" s="562" t="s">
        <v>775</v>
      </c>
      <c r="D1147" s="562">
        <v>3</v>
      </c>
      <c r="E1147" s="562">
        <v>2</v>
      </c>
      <c r="F1147" s="562" t="s">
        <v>184</v>
      </c>
      <c r="G1147" s="562" t="s">
        <v>190</v>
      </c>
      <c r="H1147" s="562" t="s">
        <v>191</v>
      </c>
    </row>
    <row r="1148" spans="1:8" x14ac:dyDescent="0.2">
      <c r="A1148" s="562" t="s">
        <v>227</v>
      </c>
      <c r="B1148" s="562" t="s">
        <v>1014</v>
      </c>
      <c r="C1148" s="562" t="s">
        <v>277</v>
      </c>
      <c r="D1148" s="562">
        <v>3</v>
      </c>
      <c r="E1148" s="562">
        <v>3</v>
      </c>
      <c r="F1148" s="562" t="s">
        <v>184</v>
      </c>
      <c r="G1148" s="562" t="s">
        <v>190</v>
      </c>
      <c r="H1148" s="562" t="s">
        <v>191</v>
      </c>
    </row>
    <row r="1149" spans="1:8" x14ac:dyDescent="0.2">
      <c r="A1149" s="562" t="s">
        <v>227</v>
      </c>
      <c r="B1149" s="562" t="s">
        <v>1014</v>
      </c>
      <c r="C1149" s="562" t="s">
        <v>1036</v>
      </c>
      <c r="D1149" s="562">
        <v>3</v>
      </c>
      <c r="E1149" s="562">
        <v>3</v>
      </c>
      <c r="F1149" s="562" t="s">
        <v>184</v>
      </c>
      <c r="G1149" s="562" t="s">
        <v>191</v>
      </c>
      <c r="H1149" s="562" t="s">
        <v>191</v>
      </c>
    </row>
    <row r="1150" spans="1:8" x14ac:dyDescent="0.2">
      <c r="A1150" s="562" t="s">
        <v>227</v>
      </c>
      <c r="B1150" s="562" t="s">
        <v>1014</v>
      </c>
      <c r="C1150" s="562" t="s">
        <v>1037</v>
      </c>
      <c r="D1150" s="562">
        <v>3</v>
      </c>
      <c r="E1150" s="562">
        <v>3</v>
      </c>
      <c r="F1150" s="562" t="s">
        <v>184</v>
      </c>
      <c r="G1150" s="562" t="s">
        <v>190</v>
      </c>
      <c r="H1150" s="562" t="s">
        <v>191</v>
      </c>
    </row>
    <row r="1151" spans="1:8" x14ac:dyDescent="0.2">
      <c r="A1151" s="562" t="s">
        <v>227</v>
      </c>
      <c r="B1151" s="562" t="s">
        <v>1014</v>
      </c>
      <c r="C1151" s="562" t="s">
        <v>1038</v>
      </c>
      <c r="D1151" s="562">
        <v>3</v>
      </c>
      <c r="E1151" s="562">
        <v>2</v>
      </c>
      <c r="F1151" s="562" t="s">
        <v>184</v>
      </c>
      <c r="G1151" s="562" t="s">
        <v>190</v>
      </c>
      <c r="H1151" s="562" t="s">
        <v>191</v>
      </c>
    </row>
    <row r="1152" spans="1:8" x14ac:dyDescent="0.2">
      <c r="A1152" s="562" t="s">
        <v>227</v>
      </c>
      <c r="B1152" s="562" t="s">
        <v>1014</v>
      </c>
      <c r="C1152" s="562" t="s">
        <v>398</v>
      </c>
      <c r="D1152" s="562">
        <v>3</v>
      </c>
      <c r="E1152" s="562">
        <v>3</v>
      </c>
      <c r="F1152" s="562" t="s">
        <v>184</v>
      </c>
      <c r="G1152" s="562" t="s">
        <v>190</v>
      </c>
      <c r="H1152" s="562" t="s">
        <v>191</v>
      </c>
    </row>
    <row r="1153" spans="1:8" x14ac:dyDescent="0.2">
      <c r="A1153" s="562" t="s">
        <v>227</v>
      </c>
      <c r="B1153" s="562" t="s">
        <v>1014</v>
      </c>
      <c r="C1153" s="562" t="s">
        <v>1039</v>
      </c>
      <c r="D1153" s="562">
        <v>3</v>
      </c>
      <c r="E1153" s="562">
        <v>2</v>
      </c>
      <c r="F1153" s="562" t="s">
        <v>184</v>
      </c>
      <c r="G1153" s="562" t="s">
        <v>190</v>
      </c>
      <c r="H1153" s="562" t="s">
        <v>191</v>
      </c>
    </row>
    <row r="1154" spans="1:8" x14ac:dyDescent="0.2">
      <c r="A1154" s="562" t="s">
        <v>227</v>
      </c>
      <c r="B1154" s="562" t="s">
        <v>1014</v>
      </c>
      <c r="C1154" s="562" t="s">
        <v>1040</v>
      </c>
      <c r="D1154" s="562">
        <v>3</v>
      </c>
      <c r="E1154" s="562">
        <v>2</v>
      </c>
      <c r="F1154" s="562" t="s">
        <v>184</v>
      </c>
      <c r="G1154" s="562" t="s">
        <v>190</v>
      </c>
      <c r="H1154" s="562" t="s">
        <v>191</v>
      </c>
    </row>
    <row r="1155" spans="1:8" x14ac:dyDescent="0.2">
      <c r="A1155" s="562" t="s">
        <v>227</v>
      </c>
      <c r="B1155" s="562" t="s">
        <v>1014</v>
      </c>
      <c r="C1155" s="562" t="s">
        <v>1041</v>
      </c>
      <c r="D1155" s="562">
        <v>3</v>
      </c>
      <c r="E1155" s="562">
        <v>2</v>
      </c>
      <c r="F1155" s="562" t="s">
        <v>184</v>
      </c>
      <c r="G1155" s="562" t="s">
        <v>190</v>
      </c>
      <c r="H1155" s="562" t="s">
        <v>191</v>
      </c>
    </row>
    <row r="1156" spans="1:8" x14ac:dyDescent="0.2">
      <c r="A1156" s="562" t="s">
        <v>227</v>
      </c>
      <c r="B1156" s="562" t="s">
        <v>1014</v>
      </c>
      <c r="C1156" s="562" t="s">
        <v>1042</v>
      </c>
      <c r="D1156" s="562">
        <v>3</v>
      </c>
      <c r="E1156" s="562">
        <v>3</v>
      </c>
      <c r="F1156" s="562" t="s">
        <v>184</v>
      </c>
      <c r="G1156" s="562" t="s">
        <v>190</v>
      </c>
      <c r="H1156" s="562" t="s">
        <v>191</v>
      </c>
    </row>
    <row r="1157" spans="1:8" x14ac:dyDescent="0.2">
      <c r="A1157" s="562" t="s">
        <v>227</v>
      </c>
      <c r="B1157" s="562" t="s">
        <v>1014</v>
      </c>
      <c r="C1157" s="562" t="s">
        <v>788</v>
      </c>
      <c r="D1157" s="562">
        <v>3</v>
      </c>
      <c r="E1157" s="562">
        <v>3</v>
      </c>
      <c r="F1157" s="562" t="s">
        <v>184</v>
      </c>
      <c r="G1157" s="562" t="s">
        <v>190</v>
      </c>
      <c r="H1157" s="562" t="s">
        <v>191</v>
      </c>
    </row>
    <row r="1158" spans="1:8" x14ac:dyDescent="0.2">
      <c r="A1158" s="562" t="s">
        <v>227</v>
      </c>
      <c r="B1158" s="562" t="s">
        <v>1014</v>
      </c>
      <c r="C1158" s="562" t="s">
        <v>1043</v>
      </c>
      <c r="D1158" s="562">
        <v>3</v>
      </c>
      <c r="E1158" s="562">
        <v>3</v>
      </c>
      <c r="F1158" s="562" t="s">
        <v>184</v>
      </c>
      <c r="G1158" s="562" t="s">
        <v>190</v>
      </c>
      <c r="H1158" s="562" t="s">
        <v>191</v>
      </c>
    </row>
    <row r="1159" spans="1:8" x14ac:dyDescent="0.2">
      <c r="A1159" s="562" t="s">
        <v>227</v>
      </c>
      <c r="B1159" s="562" t="s">
        <v>1014</v>
      </c>
      <c r="C1159" s="562" t="s">
        <v>1044</v>
      </c>
      <c r="D1159" s="562">
        <v>3</v>
      </c>
      <c r="E1159" s="562">
        <v>2</v>
      </c>
      <c r="F1159" s="562" t="s">
        <v>184</v>
      </c>
      <c r="G1159" s="562" t="s">
        <v>190</v>
      </c>
      <c r="H1159" s="562" t="s">
        <v>191</v>
      </c>
    </row>
    <row r="1160" spans="1:8" x14ac:dyDescent="0.2">
      <c r="A1160" s="562" t="s">
        <v>227</v>
      </c>
      <c r="B1160" s="562" t="s">
        <v>1014</v>
      </c>
      <c r="C1160" s="562" t="s">
        <v>1045</v>
      </c>
      <c r="D1160" s="562">
        <v>3</v>
      </c>
      <c r="E1160" s="562">
        <v>2</v>
      </c>
      <c r="F1160" s="562" t="s">
        <v>184</v>
      </c>
      <c r="G1160" s="562" t="s">
        <v>190</v>
      </c>
      <c r="H1160" s="562" t="s">
        <v>191</v>
      </c>
    </row>
    <row r="1161" spans="1:8" x14ac:dyDescent="0.2">
      <c r="A1161" s="562" t="s">
        <v>227</v>
      </c>
      <c r="B1161" s="562" t="s">
        <v>1014</v>
      </c>
      <c r="C1161" s="562" t="s">
        <v>1046</v>
      </c>
      <c r="D1161" s="562">
        <v>3</v>
      </c>
      <c r="E1161" s="562">
        <v>2</v>
      </c>
      <c r="F1161" s="562" t="s">
        <v>184</v>
      </c>
      <c r="G1161" s="562" t="s">
        <v>190</v>
      </c>
      <c r="H1161" s="562" t="s">
        <v>191</v>
      </c>
    </row>
    <row r="1162" spans="1:8" x14ac:dyDescent="0.2">
      <c r="A1162" s="562" t="s">
        <v>227</v>
      </c>
      <c r="B1162" s="562" t="s">
        <v>1014</v>
      </c>
      <c r="C1162" s="562" t="s">
        <v>1047</v>
      </c>
      <c r="D1162" s="562">
        <v>3</v>
      </c>
      <c r="E1162" s="562">
        <v>2</v>
      </c>
      <c r="F1162" s="562" t="s">
        <v>184</v>
      </c>
      <c r="G1162" s="562" t="s">
        <v>190</v>
      </c>
      <c r="H1162" s="562" t="s">
        <v>191</v>
      </c>
    </row>
    <row r="1163" spans="1:8" x14ac:dyDescent="0.2">
      <c r="A1163" s="562" t="s">
        <v>227</v>
      </c>
      <c r="B1163" s="562" t="s">
        <v>1014</v>
      </c>
      <c r="C1163" s="562" t="s">
        <v>1048</v>
      </c>
      <c r="D1163" s="562">
        <v>3</v>
      </c>
      <c r="E1163" s="562">
        <v>2</v>
      </c>
      <c r="F1163" s="562" t="s">
        <v>184</v>
      </c>
      <c r="G1163" s="562" t="s">
        <v>190</v>
      </c>
      <c r="H1163" s="562" t="s">
        <v>191</v>
      </c>
    </row>
    <row r="1164" spans="1:8" x14ac:dyDescent="0.2">
      <c r="A1164" s="562" t="s">
        <v>227</v>
      </c>
      <c r="B1164" s="562" t="s">
        <v>1014</v>
      </c>
      <c r="C1164" s="562" t="s">
        <v>1049</v>
      </c>
      <c r="D1164" s="562">
        <v>3</v>
      </c>
      <c r="E1164" s="562">
        <v>2</v>
      </c>
      <c r="F1164" s="562" t="s">
        <v>184</v>
      </c>
      <c r="G1164" s="562" t="s">
        <v>190</v>
      </c>
      <c r="H1164" s="562" t="s">
        <v>191</v>
      </c>
    </row>
    <row r="1165" spans="1:8" x14ac:dyDescent="0.2">
      <c r="A1165" s="562" t="s">
        <v>227</v>
      </c>
      <c r="B1165" s="562" t="s">
        <v>1014</v>
      </c>
      <c r="C1165" s="562" t="s">
        <v>1050</v>
      </c>
      <c r="D1165" s="562">
        <v>3</v>
      </c>
      <c r="E1165" s="562">
        <v>2</v>
      </c>
      <c r="F1165" s="562" t="s">
        <v>184</v>
      </c>
      <c r="G1165" s="562" t="s">
        <v>190</v>
      </c>
      <c r="H1165" s="562" t="s">
        <v>191</v>
      </c>
    </row>
    <row r="1166" spans="1:8" x14ac:dyDescent="0.2">
      <c r="A1166" s="562" t="s">
        <v>227</v>
      </c>
      <c r="B1166" s="562" t="s">
        <v>1014</v>
      </c>
      <c r="C1166" s="562" t="s">
        <v>1051</v>
      </c>
      <c r="D1166" s="562">
        <v>3</v>
      </c>
      <c r="E1166" s="562">
        <v>2</v>
      </c>
      <c r="F1166" s="562" t="s">
        <v>184</v>
      </c>
      <c r="G1166" s="562" t="s">
        <v>190</v>
      </c>
      <c r="H1166" s="562" t="s">
        <v>191</v>
      </c>
    </row>
    <row r="1167" spans="1:8" x14ac:dyDescent="0.2">
      <c r="A1167" s="562" t="s">
        <v>227</v>
      </c>
      <c r="B1167" s="562" t="s">
        <v>1014</v>
      </c>
      <c r="C1167" s="562" t="s">
        <v>1052</v>
      </c>
      <c r="D1167" s="562">
        <v>3</v>
      </c>
      <c r="E1167" s="562">
        <v>2</v>
      </c>
      <c r="F1167" s="562" t="s">
        <v>184</v>
      </c>
      <c r="G1167" s="562" t="s">
        <v>190</v>
      </c>
      <c r="H1167" s="562" t="s">
        <v>191</v>
      </c>
    </row>
    <row r="1168" spans="1:8" x14ac:dyDescent="0.2">
      <c r="A1168" s="562" t="s">
        <v>227</v>
      </c>
      <c r="B1168" s="562" t="s">
        <v>1014</v>
      </c>
      <c r="C1168" s="562" t="s">
        <v>1053</v>
      </c>
      <c r="D1168" s="562">
        <v>3</v>
      </c>
      <c r="E1168" s="562">
        <v>2</v>
      </c>
      <c r="F1168" s="562" t="s">
        <v>184</v>
      </c>
      <c r="G1168" s="562" t="s">
        <v>190</v>
      </c>
      <c r="H1168" s="562" t="s">
        <v>191</v>
      </c>
    </row>
    <row r="1169" spans="1:8" x14ac:dyDescent="0.2">
      <c r="A1169" s="562" t="s">
        <v>227</v>
      </c>
      <c r="B1169" s="562" t="s">
        <v>1014</v>
      </c>
      <c r="C1169" s="562" t="s">
        <v>1054</v>
      </c>
      <c r="D1169" s="562">
        <v>3</v>
      </c>
      <c r="E1169" s="562">
        <v>3</v>
      </c>
      <c r="F1169" s="562" t="s">
        <v>184</v>
      </c>
      <c r="G1169" s="562" t="s">
        <v>190</v>
      </c>
      <c r="H1169" s="562" t="s">
        <v>191</v>
      </c>
    </row>
    <row r="1170" spans="1:8" x14ac:dyDescent="0.2">
      <c r="A1170" s="562" t="s">
        <v>227</v>
      </c>
      <c r="B1170" s="562" t="s">
        <v>1014</v>
      </c>
      <c r="C1170" s="562" t="s">
        <v>1055</v>
      </c>
      <c r="D1170" s="562">
        <v>3</v>
      </c>
      <c r="E1170" s="562">
        <v>2</v>
      </c>
      <c r="F1170" s="562" t="s">
        <v>184</v>
      </c>
      <c r="G1170" s="562" t="s">
        <v>190</v>
      </c>
      <c r="H1170" s="562" t="s">
        <v>191</v>
      </c>
    </row>
    <row r="1171" spans="1:8" x14ac:dyDescent="0.2">
      <c r="A1171" s="562" t="s">
        <v>227</v>
      </c>
      <c r="B1171" s="562" t="s">
        <v>1014</v>
      </c>
      <c r="C1171" s="562" t="s">
        <v>413</v>
      </c>
      <c r="D1171" s="562">
        <v>3</v>
      </c>
      <c r="E1171" s="562">
        <v>3</v>
      </c>
      <c r="F1171" s="562" t="s">
        <v>184</v>
      </c>
      <c r="G1171" s="562" t="s">
        <v>190</v>
      </c>
      <c r="H1171" s="562" t="s">
        <v>191</v>
      </c>
    </row>
    <row r="1172" spans="1:8" x14ac:dyDescent="0.2">
      <c r="A1172" s="562" t="s">
        <v>227</v>
      </c>
      <c r="B1172" s="562" t="s">
        <v>1014</v>
      </c>
      <c r="C1172" s="562" t="s">
        <v>795</v>
      </c>
      <c r="D1172" s="562">
        <v>3</v>
      </c>
      <c r="E1172" s="562">
        <v>2</v>
      </c>
      <c r="F1172" s="562" t="s">
        <v>184</v>
      </c>
      <c r="G1172" s="562" t="s">
        <v>190</v>
      </c>
      <c r="H1172" s="562" t="s">
        <v>191</v>
      </c>
    </row>
    <row r="1173" spans="1:8" x14ac:dyDescent="0.2">
      <c r="A1173" s="562" t="s">
        <v>227</v>
      </c>
      <c r="B1173" s="562" t="s">
        <v>1014</v>
      </c>
      <c r="C1173" s="562" t="s">
        <v>1056</v>
      </c>
      <c r="D1173" s="562">
        <v>3</v>
      </c>
      <c r="E1173" s="562">
        <v>3</v>
      </c>
      <c r="F1173" s="562" t="s">
        <v>184</v>
      </c>
      <c r="G1173" s="562" t="s">
        <v>190</v>
      </c>
      <c r="H1173" s="562" t="s">
        <v>191</v>
      </c>
    </row>
    <row r="1174" spans="1:8" x14ac:dyDescent="0.2">
      <c r="A1174" s="562" t="s">
        <v>227</v>
      </c>
      <c r="B1174" s="562" t="s">
        <v>1014</v>
      </c>
      <c r="C1174" s="562" t="s">
        <v>309</v>
      </c>
      <c r="D1174" s="562">
        <v>3</v>
      </c>
      <c r="E1174" s="562">
        <v>2</v>
      </c>
      <c r="F1174" s="562" t="s">
        <v>184</v>
      </c>
      <c r="G1174" s="562" t="s">
        <v>190</v>
      </c>
      <c r="H1174" s="562" t="s">
        <v>191</v>
      </c>
    </row>
    <row r="1175" spans="1:8" x14ac:dyDescent="0.2">
      <c r="A1175" s="562" t="s">
        <v>227</v>
      </c>
      <c r="B1175" s="562" t="s">
        <v>1014</v>
      </c>
      <c r="C1175" s="562" t="s">
        <v>701</v>
      </c>
      <c r="D1175" s="562">
        <v>3</v>
      </c>
      <c r="E1175" s="562">
        <v>3</v>
      </c>
      <c r="F1175" s="562" t="s">
        <v>184</v>
      </c>
      <c r="G1175" s="562" t="s">
        <v>190</v>
      </c>
      <c r="H1175" s="562" t="s">
        <v>191</v>
      </c>
    </row>
    <row r="1176" spans="1:8" x14ac:dyDescent="0.2">
      <c r="A1176" s="562" t="s">
        <v>227</v>
      </c>
      <c r="B1176" s="562" t="s">
        <v>1014</v>
      </c>
      <c r="C1176" s="562" t="s">
        <v>1057</v>
      </c>
      <c r="D1176" s="562">
        <v>3</v>
      </c>
      <c r="E1176" s="562">
        <v>2</v>
      </c>
      <c r="F1176" s="562" t="s">
        <v>184</v>
      </c>
      <c r="G1176" s="562" t="s">
        <v>190</v>
      </c>
      <c r="H1176" s="562" t="s">
        <v>191</v>
      </c>
    </row>
    <row r="1177" spans="1:8" x14ac:dyDescent="0.2">
      <c r="A1177" s="562" t="s">
        <v>227</v>
      </c>
      <c r="B1177" s="562" t="s">
        <v>1014</v>
      </c>
      <c r="C1177" s="562" t="s">
        <v>1058</v>
      </c>
      <c r="D1177" s="562">
        <v>3</v>
      </c>
      <c r="E1177" s="562">
        <v>3</v>
      </c>
      <c r="F1177" s="562" t="s">
        <v>184</v>
      </c>
      <c r="G1177" s="562" t="s">
        <v>191</v>
      </c>
      <c r="H1177" s="562" t="s">
        <v>191</v>
      </c>
    </row>
    <row r="1178" spans="1:8" x14ac:dyDescent="0.2">
      <c r="A1178" s="562" t="s">
        <v>227</v>
      </c>
      <c r="B1178" s="562" t="s">
        <v>1014</v>
      </c>
      <c r="C1178" s="562" t="s">
        <v>1059</v>
      </c>
      <c r="D1178" s="562">
        <v>3</v>
      </c>
      <c r="E1178" s="562">
        <v>2</v>
      </c>
      <c r="F1178" s="562" t="s">
        <v>184</v>
      </c>
      <c r="G1178" s="562" t="s">
        <v>190</v>
      </c>
      <c r="H1178" s="562" t="s">
        <v>191</v>
      </c>
    </row>
    <row r="1179" spans="1:8" x14ac:dyDescent="0.2">
      <c r="A1179" s="562" t="s">
        <v>227</v>
      </c>
      <c r="B1179" s="562" t="s">
        <v>1014</v>
      </c>
      <c r="C1179" s="562" t="s">
        <v>1060</v>
      </c>
      <c r="D1179" s="562">
        <v>3</v>
      </c>
      <c r="E1179" s="562">
        <v>3</v>
      </c>
      <c r="F1179" s="562" t="s">
        <v>184</v>
      </c>
      <c r="G1179" s="562" t="s">
        <v>190</v>
      </c>
      <c r="H1179" s="562" t="s">
        <v>191</v>
      </c>
    </row>
    <row r="1180" spans="1:8" x14ac:dyDescent="0.2">
      <c r="A1180" s="562" t="s">
        <v>229</v>
      </c>
      <c r="B1180" s="562" t="s">
        <v>1061</v>
      </c>
      <c r="C1180" s="562" t="s">
        <v>1062</v>
      </c>
      <c r="D1180" s="562">
        <v>1</v>
      </c>
      <c r="E1180" s="562">
        <v>6</v>
      </c>
      <c r="F1180" s="562" t="s">
        <v>184</v>
      </c>
      <c r="G1180" s="562" t="s">
        <v>191</v>
      </c>
      <c r="H1180" s="562" t="s">
        <v>191</v>
      </c>
    </row>
    <row r="1181" spans="1:8" x14ac:dyDescent="0.2">
      <c r="A1181" s="562" t="s">
        <v>229</v>
      </c>
      <c r="B1181" s="562" t="s">
        <v>1061</v>
      </c>
      <c r="C1181" s="562" t="s">
        <v>1063</v>
      </c>
      <c r="D1181" s="562">
        <v>1</v>
      </c>
      <c r="E1181" s="562">
        <v>7</v>
      </c>
      <c r="F1181" s="562" t="s">
        <v>191</v>
      </c>
      <c r="G1181" s="562" t="s">
        <v>191</v>
      </c>
      <c r="H1181" s="562" t="s">
        <v>191</v>
      </c>
    </row>
    <row r="1182" spans="1:8" x14ac:dyDescent="0.2">
      <c r="A1182" s="562" t="s">
        <v>229</v>
      </c>
      <c r="B1182" s="562" t="s">
        <v>1061</v>
      </c>
      <c r="C1182" s="562" t="s">
        <v>757</v>
      </c>
      <c r="D1182" s="562">
        <v>1</v>
      </c>
      <c r="E1182" s="562">
        <v>6</v>
      </c>
      <c r="F1182" s="562" t="s">
        <v>184</v>
      </c>
      <c r="G1182" s="562" t="s">
        <v>191</v>
      </c>
      <c r="H1182" s="562" t="s">
        <v>191</v>
      </c>
    </row>
    <row r="1183" spans="1:8" x14ac:dyDescent="0.2">
      <c r="A1183" s="562" t="s">
        <v>229</v>
      </c>
      <c r="B1183" s="562" t="s">
        <v>1061</v>
      </c>
      <c r="C1183" s="562" t="s">
        <v>248</v>
      </c>
      <c r="D1183" s="562">
        <v>1</v>
      </c>
      <c r="E1183" s="562">
        <v>6</v>
      </c>
      <c r="F1183" s="562" t="s">
        <v>184</v>
      </c>
      <c r="G1183" s="562" t="s">
        <v>191</v>
      </c>
      <c r="H1183" s="562" t="s">
        <v>191</v>
      </c>
    </row>
    <row r="1184" spans="1:8" x14ac:dyDescent="0.2">
      <c r="A1184" s="562" t="s">
        <v>229</v>
      </c>
      <c r="B1184" s="562" t="s">
        <v>1061</v>
      </c>
      <c r="C1184" s="562" t="s">
        <v>650</v>
      </c>
      <c r="D1184" s="562">
        <v>1</v>
      </c>
      <c r="E1184" s="562">
        <v>6</v>
      </c>
      <c r="F1184" s="562" t="s">
        <v>184</v>
      </c>
      <c r="G1184" s="562" t="s">
        <v>191</v>
      </c>
      <c r="H1184" s="562" t="s">
        <v>191</v>
      </c>
    </row>
    <row r="1185" spans="1:8" x14ac:dyDescent="0.2">
      <c r="A1185" s="562" t="s">
        <v>229</v>
      </c>
      <c r="B1185" s="562" t="s">
        <v>1061</v>
      </c>
      <c r="C1185" s="562" t="s">
        <v>1064</v>
      </c>
      <c r="D1185" s="562">
        <v>1</v>
      </c>
      <c r="E1185" s="562">
        <v>6</v>
      </c>
      <c r="F1185" s="562" t="s">
        <v>184</v>
      </c>
      <c r="G1185" s="562" t="s">
        <v>191</v>
      </c>
      <c r="H1185" s="562" t="s">
        <v>191</v>
      </c>
    </row>
    <row r="1186" spans="1:8" x14ac:dyDescent="0.2">
      <c r="A1186" s="562" t="s">
        <v>229</v>
      </c>
      <c r="B1186" s="562" t="s">
        <v>1061</v>
      </c>
      <c r="C1186" s="562" t="s">
        <v>773</v>
      </c>
      <c r="D1186" s="562">
        <v>2</v>
      </c>
      <c r="E1186" s="562">
        <v>6</v>
      </c>
      <c r="F1186" s="562" t="s">
        <v>184</v>
      </c>
      <c r="G1186" s="562" t="s">
        <v>191</v>
      </c>
      <c r="H1186" s="562" t="s">
        <v>191</v>
      </c>
    </row>
    <row r="1187" spans="1:8" x14ac:dyDescent="0.2">
      <c r="A1187" s="562" t="s">
        <v>229</v>
      </c>
      <c r="B1187" s="562" t="s">
        <v>1061</v>
      </c>
      <c r="C1187" s="562" t="s">
        <v>390</v>
      </c>
      <c r="D1187" s="562">
        <v>1</v>
      </c>
      <c r="E1187" s="562">
        <v>6</v>
      </c>
      <c r="F1187" s="562" t="s">
        <v>184</v>
      </c>
      <c r="G1187" s="562" t="s">
        <v>191</v>
      </c>
      <c r="H1187" s="562" t="s">
        <v>191</v>
      </c>
    </row>
    <row r="1188" spans="1:8" x14ac:dyDescent="0.2">
      <c r="A1188" s="562" t="s">
        <v>229</v>
      </c>
      <c r="B1188" s="562" t="s">
        <v>1061</v>
      </c>
      <c r="C1188" s="562" t="s">
        <v>1065</v>
      </c>
      <c r="D1188" s="562">
        <v>1</v>
      </c>
      <c r="E1188" s="562">
        <v>6</v>
      </c>
      <c r="F1188" s="562" t="s">
        <v>184</v>
      </c>
      <c r="G1188" s="562" t="s">
        <v>191</v>
      </c>
      <c r="H1188" s="562" t="s">
        <v>191</v>
      </c>
    </row>
    <row r="1189" spans="1:8" x14ac:dyDescent="0.2">
      <c r="A1189" s="562" t="s">
        <v>229</v>
      </c>
      <c r="B1189" s="562" t="s">
        <v>1061</v>
      </c>
      <c r="C1189" s="562" t="s">
        <v>1066</v>
      </c>
      <c r="D1189" s="562">
        <v>1</v>
      </c>
      <c r="E1189" s="562">
        <v>6</v>
      </c>
      <c r="F1189" s="562" t="s">
        <v>184</v>
      </c>
      <c r="G1189" s="562" t="s">
        <v>191</v>
      </c>
      <c r="H1189" s="562" t="s">
        <v>191</v>
      </c>
    </row>
    <row r="1190" spans="1:8" x14ac:dyDescent="0.2">
      <c r="A1190" s="562" t="s">
        <v>229</v>
      </c>
      <c r="B1190" s="562" t="s">
        <v>1061</v>
      </c>
      <c r="C1190" s="562" t="s">
        <v>1067</v>
      </c>
      <c r="D1190" s="562">
        <v>1</v>
      </c>
      <c r="E1190" s="562">
        <v>6</v>
      </c>
      <c r="F1190" s="562" t="s">
        <v>184</v>
      </c>
      <c r="G1190" s="562" t="s">
        <v>191</v>
      </c>
      <c r="H1190" s="562" t="s">
        <v>191</v>
      </c>
    </row>
    <row r="1191" spans="1:8" x14ac:dyDescent="0.2">
      <c r="A1191" s="562" t="s">
        <v>229</v>
      </c>
      <c r="B1191" s="562" t="s">
        <v>1061</v>
      </c>
      <c r="C1191" s="562" t="s">
        <v>1068</v>
      </c>
      <c r="D1191" s="562">
        <v>2</v>
      </c>
      <c r="E1191" s="562">
        <v>6</v>
      </c>
      <c r="F1191" s="562" t="s">
        <v>184</v>
      </c>
      <c r="G1191" s="562" t="s">
        <v>191</v>
      </c>
      <c r="H1191" s="562" t="s">
        <v>191</v>
      </c>
    </row>
    <row r="1192" spans="1:8" x14ac:dyDescent="0.2">
      <c r="A1192" s="562" t="s">
        <v>229</v>
      </c>
      <c r="B1192" s="562" t="s">
        <v>1061</v>
      </c>
      <c r="C1192" s="562" t="s">
        <v>1069</v>
      </c>
      <c r="D1192" s="562">
        <v>1</v>
      </c>
      <c r="E1192" s="562">
        <v>6</v>
      </c>
      <c r="F1192" s="562" t="s">
        <v>184</v>
      </c>
      <c r="G1192" s="562" t="s">
        <v>191</v>
      </c>
      <c r="H1192" s="562" t="s">
        <v>191</v>
      </c>
    </row>
    <row r="1193" spans="1:8" x14ac:dyDescent="0.2">
      <c r="A1193" s="562" t="s">
        <v>229</v>
      </c>
      <c r="B1193" s="562" t="s">
        <v>1061</v>
      </c>
      <c r="C1193" s="562" t="s">
        <v>1070</v>
      </c>
      <c r="D1193" s="562">
        <v>2</v>
      </c>
      <c r="E1193" s="562">
        <v>6</v>
      </c>
      <c r="F1193" s="562" t="s">
        <v>184</v>
      </c>
      <c r="G1193" s="562" t="s">
        <v>191</v>
      </c>
      <c r="H1193" s="562" t="s">
        <v>191</v>
      </c>
    </row>
    <row r="1194" spans="1:8" x14ac:dyDescent="0.2">
      <c r="A1194" s="562" t="s">
        <v>229</v>
      </c>
      <c r="B1194" s="562" t="s">
        <v>1061</v>
      </c>
      <c r="C1194" s="562" t="s">
        <v>309</v>
      </c>
      <c r="D1194" s="562">
        <v>2</v>
      </c>
      <c r="E1194" s="562">
        <v>6</v>
      </c>
      <c r="F1194" s="562" t="s">
        <v>184</v>
      </c>
      <c r="G1194" s="562" t="s">
        <v>191</v>
      </c>
      <c r="H1194" s="562" t="s">
        <v>191</v>
      </c>
    </row>
    <row r="1195" spans="1:8" x14ac:dyDescent="0.2">
      <c r="A1195" s="562" t="s">
        <v>229</v>
      </c>
      <c r="B1195" s="562" t="s">
        <v>1061</v>
      </c>
      <c r="C1195" s="562" t="s">
        <v>1071</v>
      </c>
      <c r="D1195" s="562">
        <v>1</v>
      </c>
      <c r="E1195" s="562">
        <v>6</v>
      </c>
      <c r="F1195" s="562" t="s">
        <v>184</v>
      </c>
      <c r="G1195" s="562" t="s">
        <v>191</v>
      </c>
      <c r="H1195" s="562" t="s">
        <v>191</v>
      </c>
    </row>
    <row r="1196" spans="1:8" x14ac:dyDescent="0.2">
      <c r="A1196" s="562" t="s">
        <v>231</v>
      </c>
      <c r="B1196" s="562" t="s">
        <v>1072</v>
      </c>
      <c r="C1196" s="562" t="s">
        <v>1073</v>
      </c>
      <c r="D1196" s="562">
        <v>2</v>
      </c>
      <c r="E1196" s="562">
        <v>4</v>
      </c>
      <c r="F1196" s="562" t="s">
        <v>184</v>
      </c>
      <c r="G1196" s="562" t="s">
        <v>191</v>
      </c>
      <c r="H1196" s="562" t="s">
        <v>191</v>
      </c>
    </row>
    <row r="1197" spans="1:8" x14ac:dyDescent="0.2">
      <c r="A1197" s="562" t="s">
        <v>231</v>
      </c>
      <c r="B1197" s="562" t="s">
        <v>1072</v>
      </c>
      <c r="C1197" s="562" t="s">
        <v>1074</v>
      </c>
      <c r="D1197" s="562">
        <v>2</v>
      </c>
      <c r="E1197" s="562">
        <v>4</v>
      </c>
      <c r="F1197" s="562" t="s">
        <v>184</v>
      </c>
      <c r="G1197" s="562" t="s">
        <v>191</v>
      </c>
      <c r="H1197" s="562" t="s">
        <v>191</v>
      </c>
    </row>
    <row r="1198" spans="1:8" x14ac:dyDescent="0.2">
      <c r="A1198" s="562" t="s">
        <v>231</v>
      </c>
      <c r="B1198" s="562" t="s">
        <v>1072</v>
      </c>
      <c r="C1198" s="562" t="s">
        <v>1075</v>
      </c>
      <c r="D1198" s="562">
        <v>1</v>
      </c>
      <c r="E1198" s="562">
        <v>4</v>
      </c>
      <c r="F1198" s="562" t="s">
        <v>184</v>
      </c>
      <c r="G1198" s="562" t="s">
        <v>191</v>
      </c>
      <c r="H1198" s="562" t="s">
        <v>191</v>
      </c>
    </row>
    <row r="1199" spans="1:8" x14ac:dyDescent="0.2">
      <c r="A1199" s="562" t="s">
        <v>231</v>
      </c>
      <c r="B1199" s="562" t="s">
        <v>1072</v>
      </c>
      <c r="C1199" s="562" t="s">
        <v>1076</v>
      </c>
      <c r="D1199" s="562">
        <v>2</v>
      </c>
      <c r="E1199" s="562">
        <v>4</v>
      </c>
      <c r="F1199" s="562" t="s">
        <v>184</v>
      </c>
      <c r="G1199" s="562" t="s">
        <v>191</v>
      </c>
      <c r="H1199" s="562" t="s">
        <v>191</v>
      </c>
    </row>
    <row r="1200" spans="1:8" x14ac:dyDescent="0.2">
      <c r="A1200" s="562" t="s">
        <v>231</v>
      </c>
      <c r="B1200" s="562" t="s">
        <v>1072</v>
      </c>
      <c r="C1200" s="562" t="s">
        <v>1077</v>
      </c>
      <c r="D1200" s="562">
        <v>1</v>
      </c>
      <c r="E1200" s="562">
        <v>4</v>
      </c>
      <c r="F1200" s="562" t="s">
        <v>184</v>
      </c>
      <c r="G1200" s="562" t="s">
        <v>191</v>
      </c>
      <c r="H1200" s="562" t="s">
        <v>191</v>
      </c>
    </row>
    <row r="1201" spans="1:8" x14ac:dyDescent="0.2">
      <c r="A1201" s="562" t="s">
        <v>231</v>
      </c>
      <c r="B1201" s="562" t="s">
        <v>1072</v>
      </c>
      <c r="C1201" s="562" t="s">
        <v>1078</v>
      </c>
      <c r="D1201" s="562">
        <v>3</v>
      </c>
      <c r="E1201" s="562">
        <v>4</v>
      </c>
      <c r="F1201" s="562" t="s">
        <v>184</v>
      </c>
      <c r="G1201" s="562" t="s">
        <v>191</v>
      </c>
      <c r="H1201" s="562" t="s">
        <v>191</v>
      </c>
    </row>
    <row r="1202" spans="1:8" x14ac:dyDescent="0.2">
      <c r="A1202" s="562" t="s">
        <v>231</v>
      </c>
      <c r="B1202" s="562" t="s">
        <v>1072</v>
      </c>
      <c r="C1202" s="562" t="s">
        <v>367</v>
      </c>
      <c r="D1202" s="562">
        <v>1</v>
      </c>
      <c r="E1202" s="562">
        <v>4</v>
      </c>
      <c r="F1202" s="562" t="s">
        <v>184</v>
      </c>
      <c r="G1202" s="562" t="s">
        <v>191</v>
      </c>
      <c r="H1202" s="562" t="s">
        <v>191</v>
      </c>
    </row>
    <row r="1203" spans="1:8" x14ac:dyDescent="0.2">
      <c r="A1203" s="562" t="s">
        <v>231</v>
      </c>
      <c r="B1203" s="562" t="s">
        <v>1072</v>
      </c>
      <c r="C1203" s="562" t="s">
        <v>1079</v>
      </c>
      <c r="D1203" s="562">
        <v>2</v>
      </c>
      <c r="E1203" s="562">
        <v>4</v>
      </c>
      <c r="F1203" s="562" t="s">
        <v>184</v>
      </c>
      <c r="G1203" s="562" t="s">
        <v>191</v>
      </c>
      <c r="H1203" s="562" t="s">
        <v>191</v>
      </c>
    </row>
    <row r="1204" spans="1:8" x14ac:dyDescent="0.2">
      <c r="A1204" s="562" t="s">
        <v>231</v>
      </c>
      <c r="B1204" s="562" t="s">
        <v>1072</v>
      </c>
      <c r="C1204" s="562" t="s">
        <v>1080</v>
      </c>
      <c r="D1204" s="562">
        <v>2</v>
      </c>
      <c r="E1204" s="562">
        <v>4</v>
      </c>
      <c r="F1204" s="562" t="s">
        <v>184</v>
      </c>
      <c r="G1204" s="562" t="s">
        <v>191</v>
      </c>
      <c r="H1204" s="562" t="s">
        <v>191</v>
      </c>
    </row>
    <row r="1205" spans="1:8" x14ac:dyDescent="0.2">
      <c r="A1205" s="562" t="s">
        <v>231</v>
      </c>
      <c r="B1205" s="562" t="s">
        <v>1072</v>
      </c>
      <c r="C1205" s="562" t="s">
        <v>1081</v>
      </c>
      <c r="D1205" s="562">
        <v>3</v>
      </c>
      <c r="E1205" s="562">
        <v>4</v>
      </c>
      <c r="F1205" s="562" t="s">
        <v>184</v>
      </c>
      <c r="G1205" s="562" t="s">
        <v>191</v>
      </c>
      <c r="H1205" s="562" t="s">
        <v>191</v>
      </c>
    </row>
    <row r="1206" spans="1:8" x14ac:dyDescent="0.2">
      <c r="A1206" s="562" t="s">
        <v>231</v>
      </c>
      <c r="B1206" s="562" t="s">
        <v>1072</v>
      </c>
      <c r="C1206" s="562" t="s">
        <v>1082</v>
      </c>
      <c r="D1206" s="562">
        <v>1</v>
      </c>
      <c r="E1206" s="562">
        <v>4</v>
      </c>
      <c r="F1206" s="562" t="s">
        <v>184</v>
      </c>
      <c r="G1206" s="562" t="s">
        <v>191</v>
      </c>
      <c r="H1206" s="562" t="s">
        <v>191</v>
      </c>
    </row>
    <row r="1207" spans="1:8" x14ac:dyDescent="0.2">
      <c r="A1207" s="562" t="s">
        <v>231</v>
      </c>
      <c r="B1207" s="562" t="s">
        <v>1072</v>
      </c>
      <c r="C1207" s="562" t="s">
        <v>1083</v>
      </c>
      <c r="D1207" s="562">
        <v>2</v>
      </c>
      <c r="E1207" s="562">
        <v>5</v>
      </c>
      <c r="F1207" s="562" t="s">
        <v>184</v>
      </c>
      <c r="G1207" s="562" t="s">
        <v>191</v>
      </c>
      <c r="H1207" s="562" t="s">
        <v>191</v>
      </c>
    </row>
    <row r="1208" spans="1:8" x14ac:dyDescent="0.2">
      <c r="A1208" s="562" t="s">
        <v>231</v>
      </c>
      <c r="B1208" s="562" t="s">
        <v>1072</v>
      </c>
      <c r="C1208" s="562" t="s">
        <v>1084</v>
      </c>
      <c r="D1208" s="562">
        <v>1</v>
      </c>
      <c r="E1208" s="562">
        <v>4</v>
      </c>
      <c r="F1208" s="562" t="s">
        <v>184</v>
      </c>
      <c r="G1208" s="562" t="s">
        <v>191</v>
      </c>
      <c r="H1208" s="562" t="s">
        <v>191</v>
      </c>
    </row>
    <row r="1209" spans="1:8" x14ac:dyDescent="0.2">
      <c r="A1209" s="562" t="s">
        <v>231</v>
      </c>
      <c r="B1209" s="562" t="s">
        <v>1072</v>
      </c>
      <c r="C1209" s="562" t="s">
        <v>385</v>
      </c>
      <c r="D1209" s="562">
        <v>1</v>
      </c>
      <c r="E1209" s="562">
        <v>4</v>
      </c>
      <c r="F1209" s="562" t="s">
        <v>184</v>
      </c>
      <c r="G1209" s="562" t="s">
        <v>191</v>
      </c>
      <c r="H1209" s="562" t="s">
        <v>191</v>
      </c>
    </row>
    <row r="1210" spans="1:8" x14ac:dyDescent="0.2">
      <c r="A1210" s="562" t="s">
        <v>231</v>
      </c>
      <c r="B1210" s="562" t="s">
        <v>1072</v>
      </c>
      <c r="C1210" s="562" t="s">
        <v>542</v>
      </c>
      <c r="D1210" s="562">
        <v>3</v>
      </c>
      <c r="E1210" s="562">
        <v>4</v>
      </c>
      <c r="F1210" s="562" t="s">
        <v>184</v>
      </c>
      <c r="G1210" s="562" t="s">
        <v>191</v>
      </c>
      <c r="H1210" s="562" t="s">
        <v>191</v>
      </c>
    </row>
    <row r="1211" spans="1:8" x14ac:dyDescent="0.2">
      <c r="A1211" s="562" t="s">
        <v>231</v>
      </c>
      <c r="B1211" s="562" t="s">
        <v>1072</v>
      </c>
      <c r="C1211" s="562" t="s">
        <v>289</v>
      </c>
      <c r="D1211" s="562">
        <v>1</v>
      </c>
      <c r="E1211" s="562">
        <v>4</v>
      </c>
      <c r="F1211" s="562" t="s">
        <v>184</v>
      </c>
      <c r="G1211" s="562" t="s">
        <v>191</v>
      </c>
      <c r="H1211" s="562" t="s">
        <v>191</v>
      </c>
    </row>
    <row r="1212" spans="1:8" x14ac:dyDescent="0.2">
      <c r="A1212" s="562" t="s">
        <v>231</v>
      </c>
      <c r="B1212" s="562" t="s">
        <v>1072</v>
      </c>
      <c r="C1212" s="562" t="s">
        <v>1085</v>
      </c>
      <c r="D1212" s="562">
        <v>2</v>
      </c>
      <c r="E1212" s="562">
        <v>4</v>
      </c>
      <c r="F1212" s="562" t="s">
        <v>184</v>
      </c>
      <c r="G1212" s="562" t="s">
        <v>191</v>
      </c>
      <c r="H1212" s="562" t="s">
        <v>191</v>
      </c>
    </row>
    <row r="1213" spans="1:8" x14ac:dyDescent="0.2">
      <c r="A1213" s="562" t="s">
        <v>231</v>
      </c>
      <c r="B1213" s="562" t="s">
        <v>1072</v>
      </c>
      <c r="C1213" s="562" t="s">
        <v>1086</v>
      </c>
      <c r="D1213" s="562">
        <v>3</v>
      </c>
      <c r="E1213" s="562">
        <v>4</v>
      </c>
      <c r="F1213" s="562" t="s">
        <v>184</v>
      </c>
      <c r="G1213" s="562" t="s">
        <v>191</v>
      </c>
      <c r="H1213" s="562" t="s">
        <v>191</v>
      </c>
    </row>
    <row r="1214" spans="1:8" x14ac:dyDescent="0.2">
      <c r="A1214" s="562" t="s">
        <v>231</v>
      </c>
      <c r="B1214" s="562" t="s">
        <v>1072</v>
      </c>
      <c r="C1214" s="562" t="s">
        <v>1087</v>
      </c>
      <c r="D1214" s="562">
        <v>2</v>
      </c>
      <c r="E1214" s="562">
        <v>4</v>
      </c>
      <c r="F1214" s="562" t="s">
        <v>184</v>
      </c>
      <c r="G1214" s="562" t="s">
        <v>191</v>
      </c>
      <c r="H1214" s="562" t="s">
        <v>191</v>
      </c>
    </row>
    <row r="1215" spans="1:8" x14ac:dyDescent="0.2">
      <c r="A1215" s="562" t="s">
        <v>231</v>
      </c>
      <c r="B1215" s="562" t="s">
        <v>1072</v>
      </c>
      <c r="C1215" s="562" t="s">
        <v>1069</v>
      </c>
      <c r="D1215" s="562">
        <v>3</v>
      </c>
      <c r="E1215" s="562">
        <v>4</v>
      </c>
      <c r="F1215" s="562" t="s">
        <v>184</v>
      </c>
      <c r="G1215" s="562" t="s">
        <v>191</v>
      </c>
      <c r="H1215" s="562" t="s">
        <v>191</v>
      </c>
    </row>
    <row r="1216" spans="1:8" x14ac:dyDescent="0.2">
      <c r="A1216" s="562" t="s">
        <v>231</v>
      </c>
      <c r="B1216" s="562" t="s">
        <v>1072</v>
      </c>
      <c r="C1216" s="562" t="s">
        <v>684</v>
      </c>
      <c r="D1216" s="562">
        <v>3</v>
      </c>
      <c r="E1216" s="562">
        <v>4</v>
      </c>
      <c r="F1216" s="562" t="s">
        <v>184</v>
      </c>
      <c r="G1216" s="562" t="s">
        <v>191</v>
      </c>
      <c r="H1216" s="562" t="s">
        <v>191</v>
      </c>
    </row>
    <row r="1217" spans="1:8" x14ac:dyDescent="0.2">
      <c r="A1217" s="562" t="s">
        <v>231</v>
      </c>
      <c r="B1217" s="562" t="s">
        <v>1072</v>
      </c>
      <c r="C1217" s="562" t="s">
        <v>309</v>
      </c>
      <c r="D1217" s="562">
        <v>1</v>
      </c>
      <c r="E1217" s="562">
        <v>4</v>
      </c>
      <c r="F1217" s="562" t="s">
        <v>184</v>
      </c>
      <c r="G1217" s="562" t="s">
        <v>191</v>
      </c>
      <c r="H1217" s="562" t="s">
        <v>191</v>
      </c>
    </row>
    <row r="1218" spans="1:8" x14ac:dyDescent="0.2">
      <c r="A1218" s="562" t="s">
        <v>231</v>
      </c>
      <c r="B1218" s="562" t="s">
        <v>1072</v>
      </c>
      <c r="C1218" s="562" t="s">
        <v>1088</v>
      </c>
      <c r="D1218" s="562">
        <v>3</v>
      </c>
      <c r="E1218" s="562">
        <v>4</v>
      </c>
      <c r="F1218" s="562" t="s">
        <v>184</v>
      </c>
      <c r="G1218" s="562" t="s">
        <v>191</v>
      </c>
      <c r="H1218" s="562" t="s">
        <v>191</v>
      </c>
    </row>
    <row r="1219" spans="1:8" x14ac:dyDescent="0.2">
      <c r="A1219" s="562" t="s">
        <v>231</v>
      </c>
      <c r="B1219" s="562" t="s">
        <v>1072</v>
      </c>
      <c r="C1219" s="562" t="s">
        <v>1089</v>
      </c>
      <c r="D1219" s="562">
        <v>3</v>
      </c>
      <c r="E1219" s="562">
        <v>4</v>
      </c>
      <c r="F1219" s="562" t="s">
        <v>184</v>
      </c>
      <c r="G1219" s="562" t="s">
        <v>191</v>
      </c>
      <c r="H1219" s="562" t="s">
        <v>191</v>
      </c>
    </row>
    <row r="1220" spans="1:8" x14ac:dyDescent="0.2">
      <c r="A1220" s="562" t="s">
        <v>233</v>
      </c>
      <c r="B1220" s="562" t="s">
        <v>1090</v>
      </c>
      <c r="C1220" s="562" t="s">
        <v>1091</v>
      </c>
      <c r="D1220" s="562">
        <v>2</v>
      </c>
      <c r="E1220" s="562">
        <v>5</v>
      </c>
      <c r="F1220" s="562" t="s">
        <v>184</v>
      </c>
      <c r="G1220" s="562" t="s">
        <v>191</v>
      </c>
      <c r="H1220" s="562" t="s">
        <v>191</v>
      </c>
    </row>
    <row r="1221" spans="1:8" x14ac:dyDescent="0.2">
      <c r="A1221" s="562" t="s">
        <v>233</v>
      </c>
      <c r="B1221" s="562" t="s">
        <v>1090</v>
      </c>
      <c r="C1221" s="562" t="s">
        <v>1092</v>
      </c>
      <c r="D1221" s="562">
        <v>2</v>
      </c>
      <c r="E1221" s="562">
        <v>5</v>
      </c>
      <c r="F1221" s="562" t="s">
        <v>184</v>
      </c>
      <c r="G1221" s="562" t="s">
        <v>191</v>
      </c>
      <c r="H1221" s="562" t="s">
        <v>191</v>
      </c>
    </row>
    <row r="1222" spans="1:8" x14ac:dyDescent="0.2">
      <c r="A1222" s="562" t="s">
        <v>233</v>
      </c>
      <c r="B1222" s="562" t="s">
        <v>1090</v>
      </c>
      <c r="C1222" s="562" t="s">
        <v>1093</v>
      </c>
      <c r="D1222" s="562">
        <v>2</v>
      </c>
      <c r="E1222" s="562">
        <v>5</v>
      </c>
      <c r="F1222" s="562" t="s">
        <v>184</v>
      </c>
      <c r="G1222" s="562" t="s">
        <v>191</v>
      </c>
      <c r="H1222" s="562" t="s">
        <v>191</v>
      </c>
    </row>
    <row r="1223" spans="1:8" x14ac:dyDescent="0.2">
      <c r="A1223" s="562" t="s">
        <v>233</v>
      </c>
      <c r="B1223" s="562" t="s">
        <v>1090</v>
      </c>
      <c r="C1223" s="562" t="s">
        <v>1094</v>
      </c>
      <c r="D1223" s="562">
        <v>2</v>
      </c>
      <c r="E1223" s="562">
        <v>5</v>
      </c>
      <c r="F1223" s="562" t="s">
        <v>184</v>
      </c>
      <c r="G1223" s="562" t="s">
        <v>191</v>
      </c>
      <c r="H1223" s="562" t="s">
        <v>191</v>
      </c>
    </row>
    <row r="1224" spans="1:8" x14ac:dyDescent="0.2">
      <c r="A1224" s="562" t="s">
        <v>233</v>
      </c>
      <c r="B1224" s="562" t="s">
        <v>1090</v>
      </c>
      <c r="C1224" s="562" t="s">
        <v>1095</v>
      </c>
      <c r="D1224" s="562">
        <v>1</v>
      </c>
      <c r="E1224" s="562">
        <v>5</v>
      </c>
      <c r="F1224" s="562" t="s">
        <v>184</v>
      </c>
      <c r="G1224" s="562" t="s">
        <v>191</v>
      </c>
      <c r="H1224" s="562" t="s">
        <v>191</v>
      </c>
    </row>
    <row r="1225" spans="1:8" x14ac:dyDescent="0.2">
      <c r="A1225" s="562" t="s">
        <v>233</v>
      </c>
      <c r="B1225" s="562" t="s">
        <v>1090</v>
      </c>
      <c r="C1225" s="562" t="s">
        <v>248</v>
      </c>
      <c r="D1225" s="562">
        <v>2</v>
      </c>
      <c r="E1225" s="562">
        <v>5</v>
      </c>
      <c r="F1225" s="562" t="s">
        <v>184</v>
      </c>
      <c r="G1225" s="562" t="s">
        <v>191</v>
      </c>
      <c r="H1225" s="562" t="s">
        <v>191</v>
      </c>
    </row>
    <row r="1226" spans="1:8" x14ac:dyDescent="0.2">
      <c r="A1226" s="562" t="s">
        <v>233</v>
      </c>
      <c r="B1226" s="562" t="s">
        <v>1090</v>
      </c>
      <c r="C1226" s="562" t="s">
        <v>1096</v>
      </c>
      <c r="D1226" s="562">
        <v>2</v>
      </c>
      <c r="E1226" s="562">
        <v>5</v>
      </c>
      <c r="F1226" s="562" t="s">
        <v>184</v>
      </c>
      <c r="G1226" s="562" t="s">
        <v>191</v>
      </c>
      <c r="H1226" s="562" t="s">
        <v>191</v>
      </c>
    </row>
    <row r="1227" spans="1:8" x14ac:dyDescent="0.2">
      <c r="A1227" s="562" t="s">
        <v>233</v>
      </c>
      <c r="B1227" s="562" t="s">
        <v>1090</v>
      </c>
      <c r="C1227" s="562" t="s">
        <v>1097</v>
      </c>
      <c r="D1227" s="562">
        <v>2</v>
      </c>
      <c r="E1227" s="562">
        <v>5</v>
      </c>
      <c r="F1227" s="562" t="s">
        <v>184</v>
      </c>
      <c r="G1227" s="562" t="s">
        <v>191</v>
      </c>
      <c r="H1227" s="562" t="s">
        <v>191</v>
      </c>
    </row>
    <row r="1228" spans="1:8" x14ac:dyDescent="0.2">
      <c r="A1228" s="562" t="s">
        <v>233</v>
      </c>
      <c r="B1228" s="562" t="s">
        <v>1090</v>
      </c>
      <c r="C1228" s="562" t="s">
        <v>536</v>
      </c>
      <c r="D1228" s="562">
        <v>1</v>
      </c>
      <c r="E1228" s="562">
        <v>5</v>
      </c>
      <c r="F1228" s="562" t="s">
        <v>184</v>
      </c>
      <c r="G1228" s="562" t="s">
        <v>191</v>
      </c>
      <c r="H1228" s="562" t="s">
        <v>191</v>
      </c>
    </row>
    <row r="1229" spans="1:8" x14ac:dyDescent="0.2">
      <c r="A1229" s="562" t="s">
        <v>233</v>
      </c>
      <c r="B1229" s="562" t="s">
        <v>1090</v>
      </c>
      <c r="C1229" s="562" t="s">
        <v>1098</v>
      </c>
      <c r="D1229" s="562">
        <v>2</v>
      </c>
      <c r="E1229" s="562">
        <v>5</v>
      </c>
      <c r="F1229" s="562" t="s">
        <v>184</v>
      </c>
      <c r="G1229" s="562" t="s">
        <v>191</v>
      </c>
      <c r="H1229" s="562" t="s">
        <v>191</v>
      </c>
    </row>
    <row r="1230" spans="1:8" x14ac:dyDescent="0.2">
      <c r="A1230" s="562" t="s">
        <v>233</v>
      </c>
      <c r="B1230" s="562" t="s">
        <v>1090</v>
      </c>
      <c r="C1230" s="562" t="s">
        <v>1099</v>
      </c>
      <c r="D1230" s="562">
        <v>2</v>
      </c>
      <c r="E1230" s="562">
        <v>5</v>
      </c>
      <c r="F1230" s="562" t="s">
        <v>184</v>
      </c>
      <c r="G1230" s="562" t="s">
        <v>191</v>
      </c>
      <c r="H1230" s="562" t="s">
        <v>191</v>
      </c>
    </row>
    <row r="1231" spans="1:8" x14ac:dyDescent="0.2">
      <c r="A1231" s="562" t="s">
        <v>233</v>
      </c>
      <c r="B1231" s="562" t="s">
        <v>1090</v>
      </c>
      <c r="C1231" s="562" t="s">
        <v>877</v>
      </c>
      <c r="D1231" s="562">
        <v>2</v>
      </c>
      <c r="E1231" s="562">
        <v>5</v>
      </c>
      <c r="F1231" s="562" t="s">
        <v>184</v>
      </c>
      <c r="G1231" s="562" t="s">
        <v>191</v>
      </c>
      <c r="H1231" s="562" t="s">
        <v>191</v>
      </c>
    </row>
    <row r="1232" spans="1:8" x14ac:dyDescent="0.2">
      <c r="A1232" s="562" t="s">
        <v>233</v>
      </c>
      <c r="B1232" s="562" t="s">
        <v>1090</v>
      </c>
      <c r="C1232" s="562" t="s">
        <v>1100</v>
      </c>
      <c r="D1232" s="562">
        <v>3</v>
      </c>
      <c r="E1232" s="562">
        <v>5</v>
      </c>
      <c r="F1232" s="562" t="s">
        <v>184</v>
      </c>
      <c r="G1232" s="562" t="s">
        <v>191</v>
      </c>
      <c r="H1232" s="562" t="s">
        <v>191</v>
      </c>
    </row>
    <row r="1233" spans="1:8" x14ac:dyDescent="0.2">
      <c r="A1233" s="562" t="s">
        <v>233</v>
      </c>
      <c r="B1233" s="562" t="s">
        <v>1090</v>
      </c>
      <c r="C1233" s="562" t="s">
        <v>1089</v>
      </c>
      <c r="D1233" s="562">
        <v>1</v>
      </c>
      <c r="E1233" s="562">
        <v>5</v>
      </c>
      <c r="F1233" s="562" t="s">
        <v>184</v>
      </c>
      <c r="G1233" s="562" t="s">
        <v>191</v>
      </c>
      <c r="H1233" s="562" t="s">
        <v>191</v>
      </c>
    </row>
    <row r="1234" spans="1:8" x14ac:dyDescent="0.2">
      <c r="A1234" s="562" t="s">
        <v>235</v>
      </c>
      <c r="B1234" s="562" t="s">
        <v>1101</v>
      </c>
      <c r="C1234" s="562" t="s">
        <v>1102</v>
      </c>
      <c r="D1234" s="562">
        <v>2</v>
      </c>
      <c r="E1234" s="562">
        <v>6</v>
      </c>
      <c r="F1234" s="562" t="s">
        <v>184</v>
      </c>
      <c r="G1234" s="562" t="s">
        <v>191</v>
      </c>
      <c r="H1234" s="562" t="s">
        <v>191</v>
      </c>
    </row>
    <row r="1235" spans="1:8" x14ac:dyDescent="0.2">
      <c r="A1235" s="562" t="s">
        <v>235</v>
      </c>
      <c r="B1235" s="562" t="s">
        <v>1101</v>
      </c>
      <c r="C1235" s="562" t="s">
        <v>1103</v>
      </c>
      <c r="D1235" s="562">
        <v>2</v>
      </c>
      <c r="E1235" s="562">
        <v>6</v>
      </c>
      <c r="F1235" s="562" t="s">
        <v>184</v>
      </c>
      <c r="G1235" s="562" t="s">
        <v>191</v>
      </c>
      <c r="H1235" s="562" t="s">
        <v>191</v>
      </c>
    </row>
    <row r="1236" spans="1:8" x14ac:dyDescent="0.2">
      <c r="A1236" s="562" t="s">
        <v>235</v>
      </c>
      <c r="B1236" s="562" t="s">
        <v>1101</v>
      </c>
      <c r="C1236" s="562" t="s">
        <v>1104</v>
      </c>
      <c r="D1236" s="562">
        <v>3</v>
      </c>
      <c r="E1236" s="562">
        <v>5</v>
      </c>
      <c r="F1236" s="562" t="s">
        <v>184</v>
      </c>
      <c r="G1236" s="562" t="s">
        <v>191</v>
      </c>
      <c r="H1236" s="562" t="s">
        <v>191</v>
      </c>
    </row>
    <row r="1237" spans="1:8" x14ac:dyDescent="0.2">
      <c r="A1237" s="562" t="s">
        <v>235</v>
      </c>
      <c r="B1237" s="562" t="s">
        <v>1101</v>
      </c>
      <c r="C1237" s="562" t="s">
        <v>1105</v>
      </c>
      <c r="D1237" s="562">
        <v>2</v>
      </c>
      <c r="E1237" s="562">
        <v>6</v>
      </c>
      <c r="F1237" s="562" t="s">
        <v>184</v>
      </c>
      <c r="G1237" s="562" t="s">
        <v>191</v>
      </c>
      <c r="H1237" s="562" t="s">
        <v>191</v>
      </c>
    </row>
    <row r="1238" spans="1:8" x14ac:dyDescent="0.2">
      <c r="A1238" s="562" t="s">
        <v>235</v>
      </c>
      <c r="B1238" s="562" t="s">
        <v>1101</v>
      </c>
      <c r="C1238" s="562" t="s">
        <v>1106</v>
      </c>
      <c r="D1238" s="562">
        <v>2</v>
      </c>
      <c r="E1238" s="562">
        <v>6</v>
      </c>
      <c r="F1238" s="562" t="s">
        <v>184</v>
      </c>
      <c r="G1238" s="562" t="s">
        <v>191</v>
      </c>
      <c r="H1238" s="562" t="s">
        <v>191</v>
      </c>
    </row>
    <row r="1239" spans="1:8" x14ac:dyDescent="0.2">
      <c r="A1239" s="562" t="s">
        <v>235</v>
      </c>
      <c r="B1239" s="562" t="s">
        <v>1101</v>
      </c>
      <c r="C1239" s="562" t="s">
        <v>1107</v>
      </c>
      <c r="D1239" s="562">
        <v>3</v>
      </c>
      <c r="E1239" s="562">
        <v>6</v>
      </c>
      <c r="F1239" s="562" t="s">
        <v>184</v>
      </c>
      <c r="G1239" s="562" t="s">
        <v>191</v>
      </c>
      <c r="H1239" s="562" t="s">
        <v>191</v>
      </c>
    </row>
    <row r="1240" spans="1:8" x14ac:dyDescent="0.2">
      <c r="A1240" s="562" t="s">
        <v>235</v>
      </c>
      <c r="B1240" s="562" t="s">
        <v>1101</v>
      </c>
      <c r="C1240" s="562" t="s">
        <v>1108</v>
      </c>
      <c r="D1240" s="562">
        <v>2</v>
      </c>
      <c r="E1240" s="562">
        <v>7</v>
      </c>
      <c r="F1240" s="562" t="s">
        <v>191</v>
      </c>
      <c r="G1240" s="562" t="s">
        <v>191</v>
      </c>
      <c r="H1240" s="562" t="s">
        <v>191</v>
      </c>
    </row>
    <row r="1241" spans="1:8" x14ac:dyDescent="0.2">
      <c r="A1241" s="562" t="s">
        <v>235</v>
      </c>
      <c r="B1241" s="562" t="s">
        <v>1101</v>
      </c>
      <c r="C1241" s="562" t="s">
        <v>1109</v>
      </c>
      <c r="D1241" s="562">
        <v>2</v>
      </c>
      <c r="E1241" s="562">
        <v>5</v>
      </c>
      <c r="F1241" s="562" t="s">
        <v>184</v>
      </c>
      <c r="G1241" s="562" t="s">
        <v>191</v>
      </c>
      <c r="H1241" s="562" t="s">
        <v>191</v>
      </c>
    </row>
    <row r="1242" spans="1:8" x14ac:dyDescent="0.2">
      <c r="A1242" s="562" t="s">
        <v>235</v>
      </c>
      <c r="B1242" s="562" t="s">
        <v>1101</v>
      </c>
      <c r="C1242" s="562" t="s">
        <v>550</v>
      </c>
      <c r="D1242" s="562">
        <v>3</v>
      </c>
      <c r="E1242" s="562">
        <v>5</v>
      </c>
      <c r="F1242" s="562" t="s">
        <v>184</v>
      </c>
      <c r="G1242" s="562" t="s">
        <v>191</v>
      </c>
      <c r="H1242" s="562" t="s">
        <v>191</v>
      </c>
    </row>
    <row r="1243" spans="1:8" x14ac:dyDescent="0.2">
      <c r="A1243" s="562" t="s">
        <v>235</v>
      </c>
      <c r="B1243" s="562" t="s">
        <v>1101</v>
      </c>
      <c r="C1243" s="562" t="s">
        <v>1110</v>
      </c>
      <c r="D1243" s="562">
        <v>3</v>
      </c>
      <c r="E1243" s="562">
        <v>6</v>
      </c>
      <c r="F1243" s="562" t="s">
        <v>184</v>
      </c>
      <c r="G1243" s="562" t="s">
        <v>191</v>
      </c>
      <c r="H1243" s="562" t="s">
        <v>191</v>
      </c>
    </row>
    <row r="1244" spans="1:8" x14ac:dyDescent="0.2">
      <c r="A1244" s="562" t="s">
        <v>235</v>
      </c>
      <c r="B1244" s="562" t="s">
        <v>1101</v>
      </c>
      <c r="C1244" s="562" t="s">
        <v>605</v>
      </c>
      <c r="D1244" s="562">
        <v>3</v>
      </c>
      <c r="E1244" s="562">
        <v>5</v>
      </c>
      <c r="F1244" s="562" t="s">
        <v>184</v>
      </c>
      <c r="G1244" s="562" t="s">
        <v>191</v>
      </c>
      <c r="H1244" s="562" t="s">
        <v>191</v>
      </c>
    </row>
    <row r="1245" spans="1:8" x14ac:dyDescent="0.2">
      <c r="A1245" s="562" t="s">
        <v>235</v>
      </c>
      <c r="B1245" s="562" t="s">
        <v>1101</v>
      </c>
      <c r="C1245" s="562" t="s">
        <v>1111</v>
      </c>
      <c r="D1245" s="562">
        <v>1</v>
      </c>
      <c r="E1245" s="562">
        <v>5</v>
      </c>
      <c r="F1245" s="562" t="s">
        <v>184</v>
      </c>
      <c r="G1245" s="562" t="s">
        <v>191</v>
      </c>
      <c r="H1245" s="562" t="s">
        <v>191</v>
      </c>
    </row>
    <row r="1246" spans="1:8" x14ac:dyDescent="0.2">
      <c r="A1246" s="562" t="s">
        <v>235</v>
      </c>
      <c r="B1246" s="562" t="s">
        <v>1101</v>
      </c>
      <c r="C1246" s="562" t="s">
        <v>204</v>
      </c>
      <c r="D1246" s="562">
        <v>1</v>
      </c>
      <c r="E1246" s="562">
        <v>5</v>
      </c>
      <c r="F1246" s="562" t="s">
        <v>184</v>
      </c>
      <c r="G1246" s="562" t="s">
        <v>191</v>
      </c>
      <c r="H1246" s="562" t="s">
        <v>191</v>
      </c>
    </row>
    <row r="1247" spans="1:8" x14ac:dyDescent="0.2">
      <c r="A1247" s="562" t="s">
        <v>235</v>
      </c>
      <c r="B1247" s="562" t="s">
        <v>1101</v>
      </c>
      <c r="C1247" s="562" t="s">
        <v>752</v>
      </c>
      <c r="D1247" s="562">
        <v>1</v>
      </c>
      <c r="E1247" s="562">
        <v>5</v>
      </c>
      <c r="F1247" s="562" t="s">
        <v>184</v>
      </c>
      <c r="G1247" s="562" t="s">
        <v>191</v>
      </c>
      <c r="H1247" s="562" t="s">
        <v>191</v>
      </c>
    </row>
    <row r="1248" spans="1:8" x14ac:dyDescent="0.2">
      <c r="A1248" s="562" t="s">
        <v>235</v>
      </c>
      <c r="B1248" s="562" t="s">
        <v>1101</v>
      </c>
      <c r="C1248" s="562" t="s">
        <v>1112</v>
      </c>
      <c r="D1248" s="562">
        <v>2</v>
      </c>
      <c r="E1248" s="562">
        <v>6</v>
      </c>
      <c r="F1248" s="562" t="s">
        <v>184</v>
      </c>
      <c r="G1248" s="562" t="s">
        <v>191</v>
      </c>
      <c r="H1248" s="562" t="s">
        <v>191</v>
      </c>
    </row>
    <row r="1249" spans="1:8" x14ac:dyDescent="0.2">
      <c r="A1249" s="562" t="s">
        <v>235</v>
      </c>
      <c r="B1249" s="562" t="s">
        <v>1101</v>
      </c>
      <c r="C1249" s="562" t="s">
        <v>1113</v>
      </c>
      <c r="D1249" s="562">
        <v>3</v>
      </c>
      <c r="E1249" s="562">
        <v>6</v>
      </c>
      <c r="F1249" s="562" t="s">
        <v>184</v>
      </c>
      <c r="G1249" s="562" t="s">
        <v>191</v>
      </c>
      <c r="H1249" s="562" t="s">
        <v>191</v>
      </c>
    </row>
    <row r="1250" spans="1:8" x14ac:dyDescent="0.2">
      <c r="A1250" s="562" t="s">
        <v>235</v>
      </c>
      <c r="B1250" s="562" t="s">
        <v>1101</v>
      </c>
      <c r="C1250" s="562" t="s">
        <v>1114</v>
      </c>
      <c r="D1250" s="562">
        <v>3</v>
      </c>
      <c r="E1250" s="562">
        <v>7</v>
      </c>
      <c r="F1250" s="562" t="s">
        <v>191</v>
      </c>
      <c r="G1250" s="562" t="s">
        <v>191</v>
      </c>
      <c r="H1250" s="562" t="s">
        <v>191</v>
      </c>
    </row>
    <row r="1251" spans="1:8" x14ac:dyDescent="0.2">
      <c r="A1251" s="562" t="s">
        <v>235</v>
      </c>
      <c r="B1251" s="562" t="s">
        <v>1101</v>
      </c>
      <c r="C1251" s="562" t="s">
        <v>1115</v>
      </c>
      <c r="D1251" s="562">
        <v>3</v>
      </c>
      <c r="E1251" s="562">
        <v>6</v>
      </c>
      <c r="F1251" s="562" t="s">
        <v>184</v>
      </c>
      <c r="G1251" s="562" t="s">
        <v>191</v>
      </c>
      <c r="H1251" s="562" t="s">
        <v>191</v>
      </c>
    </row>
    <row r="1252" spans="1:8" x14ac:dyDescent="0.2">
      <c r="A1252" s="562" t="s">
        <v>235</v>
      </c>
      <c r="B1252" s="562" t="s">
        <v>1101</v>
      </c>
      <c r="C1252" s="562" t="s">
        <v>755</v>
      </c>
      <c r="D1252" s="562">
        <v>2</v>
      </c>
      <c r="E1252" s="562">
        <v>5</v>
      </c>
      <c r="F1252" s="562" t="s">
        <v>184</v>
      </c>
      <c r="G1252" s="562" t="s">
        <v>191</v>
      </c>
      <c r="H1252" s="562" t="s">
        <v>191</v>
      </c>
    </row>
    <row r="1253" spans="1:8" x14ac:dyDescent="0.2">
      <c r="A1253" s="562" t="s">
        <v>235</v>
      </c>
      <c r="B1253" s="562" t="s">
        <v>1101</v>
      </c>
      <c r="C1253" s="562" t="s">
        <v>374</v>
      </c>
      <c r="D1253" s="562">
        <v>3</v>
      </c>
      <c r="E1253" s="562">
        <v>6</v>
      </c>
      <c r="F1253" s="562" t="s">
        <v>184</v>
      </c>
      <c r="G1253" s="562" t="s">
        <v>191</v>
      </c>
      <c r="H1253" s="562" t="s">
        <v>191</v>
      </c>
    </row>
    <row r="1254" spans="1:8" x14ac:dyDescent="0.2">
      <c r="A1254" s="562" t="s">
        <v>235</v>
      </c>
      <c r="B1254" s="562" t="s">
        <v>1101</v>
      </c>
      <c r="C1254" s="562" t="s">
        <v>492</v>
      </c>
      <c r="D1254" s="562">
        <v>3</v>
      </c>
      <c r="E1254" s="562">
        <v>6</v>
      </c>
      <c r="F1254" s="562" t="s">
        <v>184</v>
      </c>
      <c r="G1254" s="562" t="s">
        <v>191</v>
      </c>
      <c r="H1254" s="562" t="s">
        <v>191</v>
      </c>
    </row>
    <row r="1255" spans="1:8" x14ac:dyDescent="0.2">
      <c r="A1255" s="562" t="s">
        <v>235</v>
      </c>
      <c r="B1255" s="562" t="s">
        <v>1101</v>
      </c>
      <c r="C1255" s="562" t="s">
        <v>858</v>
      </c>
      <c r="D1255" s="562">
        <v>2</v>
      </c>
      <c r="E1255" s="562">
        <v>6</v>
      </c>
      <c r="F1255" s="562" t="s">
        <v>184</v>
      </c>
      <c r="G1255" s="562" t="s">
        <v>191</v>
      </c>
      <c r="H1255" s="562" t="s">
        <v>191</v>
      </c>
    </row>
    <row r="1256" spans="1:8" x14ac:dyDescent="0.2">
      <c r="A1256" s="562" t="s">
        <v>235</v>
      </c>
      <c r="B1256" s="562" t="s">
        <v>1101</v>
      </c>
      <c r="C1256" s="562" t="s">
        <v>1116</v>
      </c>
      <c r="D1256" s="562">
        <v>2</v>
      </c>
      <c r="E1256" s="562">
        <v>5</v>
      </c>
      <c r="F1256" s="562" t="s">
        <v>184</v>
      </c>
      <c r="G1256" s="562" t="s">
        <v>191</v>
      </c>
      <c r="H1256" s="562" t="s">
        <v>191</v>
      </c>
    </row>
    <row r="1257" spans="1:8" x14ac:dyDescent="0.2">
      <c r="A1257" s="562" t="s">
        <v>235</v>
      </c>
      <c r="B1257" s="562" t="s">
        <v>1101</v>
      </c>
      <c r="C1257" s="562" t="s">
        <v>860</v>
      </c>
      <c r="D1257" s="562">
        <v>2</v>
      </c>
      <c r="E1257" s="562">
        <v>6</v>
      </c>
      <c r="F1257" s="562" t="s">
        <v>184</v>
      </c>
      <c r="G1257" s="562" t="s">
        <v>191</v>
      </c>
      <c r="H1257" s="562" t="s">
        <v>191</v>
      </c>
    </row>
    <row r="1258" spans="1:8" x14ac:dyDescent="0.2">
      <c r="A1258" s="562" t="s">
        <v>235</v>
      </c>
      <c r="B1258" s="562" t="s">
        <v>1101</v>
      </c>
      <c r="C1258" s="562" t="s">
        <v>1117</v>
      </c>
      <c r="D1258" s="562">
        <v>2</v>
      </c>
      <c r="E1258" s="562">
        <v>5</v>
      </c>
      <c r="F1258" s="562" t="s">
        <v>184</v>
      </c>
      <c r="G1258" s="562" t="s">
        <v>191</v>
      </c>
      <c r="H1258" s="562" t="s">
        <v>191</v>
      </c>
    </row>
    <row r="1259" spans="1:8" x14ac:dyDescent="0.2">
      <c r="A1259" s="562" t="s">
        <v>235</v>
      </c>
      <c r="B1259" s="562" t="s">
        <v>1101</v>
      </c>
      <c r="C1259" s="562" t="s">
        <v>1118</v>
      </c>
      <c r="D1259" s="562">
        <v>3</v>
      </c>
      <c r="E1259" s="562">
        <v>6</v>
      </c>
      <c r="F1259" s="562" t="s">
        <v>184</v>
      </c>
      <c r="G1259" s="562" t="s">
        <v>191</v>
      </c>
      <c r="H1259" s="562" t="s">
        <v>191</v>
      </c>
    </row>
    <row r="1260" spans="1:8" x14ac:dyDescent="0.2">
      <c r="A1260" s="562" t="s">
        <v>235</v>
      </c>
      <c r="B1260" s="562" t="s">
        <v>1101</v>
      </c>
      <c r="C1260" s="562" t="s">
        <v>1119</v>
      </c>
      <c r="D1260" s="562">
        <v>2</v>
      </c>
      <c r="E1260" s="562">
        <v>7</v>
      </c>
      <c r="F1260" s="562" t="s">
        <v>191</v>
      </c>
      <c r="G1260" s="562" t="s">
        <v>191</v>
      </c>
      <c r="H1260" s="562" t="s">
        <v>191</v>
      </c>
    </row>
    <row r="1261" spans="1:8" x14ac:dyDescent="0.2">
      <c r="A1261" s="562" t="s">
        <v>235</v>
      </c>
      <c r="B1261" s="562" t="s">
        <v>1101</v>
      </c>
      <c r="C1261" s="562" t="s">
        <v>1120</v>
      </c>
      <c r="D1261" s="562">
        <v>3</v>
      </c>
      <c r="E1261" s="562">
        <v>6</v>
      </c>
      <c r="F1261" s="562" t="s">
        <v>184</v>
      </c>
      <c r="G1261" s="562" t="s">
        <v>191</v>
      </c>
      <c r="H1261" s="562" t="s">
        <v>191</v>
      </c>
    </row>
    <row r="1262" spans="1:8" x14ac:dyDescent="0.2">
      <c r="A1262" s="562" t="s">
        <v>235</v>
      </c>
      <c r="B1262" s="562" t="s">
        <v>1101</v>
      </c>
      <c r="C1262" s="562" t="s">
        <v>1121</v>
      </c>
      <c r="D1262" s="562">
        <v>3</v>
      </c>
      <c r="E1262" s="562">
        <v>5</v>
      </c>
      <c r="F1262" s="562" t="s">
        <v>184</v>
      </c>
      <c r="G1262" s="562" t="s">
        <v>191</v>
      </c>
      <c r="H1262" s="562" t="s">
        <v>191</v>
      </c>
    </row>
    <row r="1263" spans="1:8" x14ac:dyDescent="0.2">
      <c r="A1263" s="562" t="s">
        <v>235</v>
      </c>
      <c r="B1263" s="562" t="s">
        <v>1101</v>
      </c>
      <c r="C1263" s="562" t="s">
        <v>1122</v>
      </c>
      <c r="D1263" s="562">
        <v>1</v>
      </c>
      <c r="E1263" s="562">
        <v>5</v>
      </c>
      <c r="F1263" s="562" t="s">
        <v>184</v>
      </c>
      <c r="G1263" s="562" t="s">
        <v>191</v>
      </c>
      <c r="H1263" s="562" t="s">
        <v>191</v>
      </c>
    </row>
    <row r="1264" spans="1:8" x14ac:dyDescent="0.2">
      <c r="A1264" s="562" t="s">
        <v>235</v>
      </c>
      <c r="B1264" s="562" t="s">
        <v>1101</v>
      </c>
      <c r="C1264" s="562" t="s">
        <v>1123</v>
      </c>
      <c r="D1264" s="562">
        <v>2</v>
      </c>
      <c r="E1264" s="562">
        <v>7</v>
      </c>
      <c r="F1264" s="562" t="s">
        <v>191</v>
      </c>
      <c r="G1264" s="562" t="s">
        <v>191</v>
      </c>
      <c r="H1264" s="562" t="s">
        <v>191</v>
      </c>
    </row>
    <row r="1265" spans="1:8" x14ac:dyDescent="0.2">
      <c r="A1265" s="562" t="s">
        <v>235</v>
      </c>
      <c r="B1265" s="562" t="s">
        <v>1101</v>
      </c>
      <c r="C1265" s="562" t="s">
        <v>1124</v>
      </c>
      <c r="D1265" s="562">
        <v>3</v>
      </c>
      <c r="E1265" s="562">
        <v>6</v>
      </c>
      <c r="F1265" s="562" t="s">
        <v>184</v>
      </c>
      <c r="G1265" s="562" t="s">
        <v>191</v>
      </c>
      <c r="H1265" s="562" t="s">
        <v>191</v>
      </c>
    </row>
    <row r="1266" spans="1:8" x14ac:dyDescent="0.2">
      <c r="A1266" s="562" t="s">
        <v>235</v>
      </c>
      <c r="B1266" s="562" t="s">
        <v>1101</v>
      </c>
      <c r="C1266" s="562" t="s">
        <v>1125</v>
      </c>
      <c r="D1266" s="562">
        <v>2</v>
      </c>
      <c r="E1266" s="562">
        <v>5</v>
      </c>
      <c r="F1266" s="562" t="s">
        <v>184</v>
      </c>
      <c r="G1266" s="562" t="s">
        <v>191</v>
      </c>
      <c r="H1266" s="562" t="s">
        <v>191</v>
      </c>
    </row>
    <row r="1267" spans="1:8" x14ac:dyDescent="0.2">
      <c r="A1267" s="562" t="s">
        <v>235</v>
      </c>
      <c r="B1267" s="562" t="s">
        <v>1101</v>
      </c>
      <c r="C1267" s="562" t="s">
        <v>1126</v>
      </c>
      <c r="D1267" s="562">
        <v>2</v>
      </c>
      <c r="E1267" s="562">
        <v>5</v>
      </c>
      <c r="F1267" s="562" t="s">
        <v>184</v>
      </c>
      <c r="G1267" s="562" t="s">
        <v>191</v>
      </c>
      <c r="H1267" s="562" t="s">
        <v>191</v>
      </c>
    </row>
    <row r="1268" spans="1:8" x14ac:dyDescent="0.2">
      <c r="A1268" s="562" t="s">
        <v>235</v>
      </c>
      <c r="B1268" s="562" t="s">
        <v>1101</v>
      </c>
      <c r="C1268" s="562" t="s">
        <v>1127</v>
      </c>
      <c r="D1268" s="562">
        <v>3</v>
      </c>
      <c r="E1268" s="562">
        <v>6</v>
      </c>
      <c r="F1268" s="562" t="s">
        <v>184</v>
      </c>
      <c r="G1268" s="562" t="s">
        <v>191</v>
      </c>
      <c r="H1268" s="562" t="s">
        <v>191</v>
      </c>
    </row>
    <row r="1269" spans="1:8" x14ac:dyDescent="0.2">
      <c r="A1269" s="562" t="s">
        <v>235</v>
      </c>
      <c r="B1269" s="562" t="s">
        <v>1101</v>
      </c>
      <c r="C1269" s="562" t="s">
        <v>1128</v>
      </c>
      <c r="D1269" s="562">
        <v>2</v>
      </c>
      <c r="E1269" s="562">
        <v>7</v>
      </c>
      <c r="F1269" s="562" t="s">
        <v>191</v>
      </c>
      <c r="G1269" s="562" t="s">
        <v>191</v>
      </c>
      <c r="H1269" s="562" t="s">
        <v>191</v>
      </c>
    </row>
    <row r="1270" spans="1:8" x14ac:dyDescent="0.2">
      <c r="A1270" s="562" t="s">
        <v>235</v>
      </c>
      <c r="B1270" s="562" t="s">
        <v>1101</v>
      </c>
      <c r="C1270" s="562" t="s">
        <v>1129</v>
      </c>
      <c r="D1270" s="562">
        <v>3</v>
      </c>
      <c r="E1270" s="562">
        <v>6</v>
      </c>
      <c r="F1270" s="562" t="s">
        <v>184</v>
      </c>
      <c r="G1270" s="562" t="s">
        <v>191</v>
      </c>
      <c r="H1270" s="562" t="s">
        <v>191</v>
      </c>
    </row>
    <row r="1271" spans="1:8" x14ac:dyDescent="0.2">
      <c r="A1271" s="562" t="s">
        <v>235</v>
      </c>
      <c r="B1271" s="562" t="s">
        <v>1101</v>
      </c>
      <c r="C1271" s="562" t="s">
        <v>259</v>
      </c>
      <c r="D1271" s="562">
        <v>1</v>
      </c>
      <c r="E1271" s="562">
        <v>5</v>
      </c>
      <c r="F1271" s="562" t="s">
        <v>184</v>
      </c>
      <c r="G1271" s="562" t="s">
        <v>191</v>
      </c>
      <c r="H1271" s="562" t="s">
        <v>191</v>
      </c>
    </row>
    <row r="1272" spans="1:8" x14ac:dyDescent="0.2">
      <c r="A1272" s="562" t="s">
        <v>235</v>
      </c>
      <c r="B1272" s="562" t="s">
        <v>1101</v>
      </c>
      <c r="C1272" s="562" t="s">
        <v>1130</v>
      </c>
      <c r="D1272" s="562">
        <v>1</v>
      </c>
      <c r="E1272" s="562">
        <v>5</v>
      </c>
      <c r="F1272" s="562" t="s">
        <v>184</v>
      </c>
      <c r="G1272" s="562" t="s">
        <v>191</v>
      </c>
      <c r="H1272" s="562" t="s">
        <v>191</v>
      </c>
    </row>
    <row r="1273" spans="1:8" x14ac:dyDescent="0.2">
      <c r="A1273" s="562" t="s">
        <v>235</v>
      </c>
      <c r="B1273" s="562" t="s">
        <v>1101</v>
      </c>
      <c r="C1273" s="562" t="s">
        <v>1131</v>
      </c>
      <c r="D1273" s="562">
        <v>3</v>
      </c>
      <c r="E1273" s="562">
        <v>6</v>
      </c>
      <c r="F1273" s="562" t="s">
        <v>184</v>
      </c>
      <c r="G1273" s="562" t="s">
        <v>191</v>
      </c>
      <c r="H1273" s="562" t="s">
        <v>191</v>
      </c>
    </row>
    <row r="1274" spans="1:8" x14ac:dyDescent="0.2">
      <c r="A1274" s="562" t="s">
        <v>235</v>
      </c>
      <c r="B1274" s="562" t="s">
        <v>1101</v>
      </c>
      <c r="C1274" s="562" t="s">
        <v>542</v>
      </c>
      <c r="D1274" s="562">
        <v>2</v>
      </c>
      <c r="E1274" s="562">
        <v>5</v>
      </c>
      <c r="F1274" s="562" t="s">
        <v>184</v>
      </c>
      <c r="G1274" s="562" t="s">
        <v>191</v>
      </c>
      <c r="H1274" s="562" t="s">
        <v>191</v>
      </c>
    </row>
    <row r="1275" spans="1:8" x14ac:dyDescent="0.2">
      <c r="A1275" s="562" t="s">
        <v>235</v>
      </c>
      <c r="B1275" s="562" t="s">
        <v>1101</v>
      </c>
      <c r="C1275" s="562" t="s">
        <v>1132</v>
      </c>
      <c r="D1275" s="562">
        <v>2</v>
      </c>
      <c r="E1275" s="562">
        <v>7</v>
      </c>
      <c r="F1275" s="562" t="s">
        <v>191</v>
      </c>
      <c r="G1275" s="562" t="s">
        <v>191</v>
      </c>
      <c r="H1275" s="562" t="s">
        <v>191</v>
      </c>
    </row>
    <row r="1276" spans="1:8" x14ac:dyDescent="0.2">
      <c r="A1276" s="562" t="s">
        <v>235</v>
      </c>
      <c r="B1276" s="562" t="s">
        <v>1101</v>
      </c>
      <c r="C1276" s="562" t="s">
        <v>436</v>
      </c>
      <c r="D1276" s="562">
        <v>3</v>
      </c>
      <c r="E1276" s="562">
        <v>6</v>
      </c>
      <c r="F1276" s="562" t="s">
        <v>184</v>
      </c>
      <c r="G1276" s="562" t="s">
        <v>191</v>
      </c>
      <c r="H1276" s="562" t="s">
        <v>191</v>
      </c>
    </row>
    <row r="1277" spans="1:8" x14ac:dyDescent="0.2">
      <c r="A1277" s="562" t="s">
        <v>235</v>
      </c>
      <c r="B1277" s="562" t="s">
        <v>1101</v>
      </c>
      <c r="C1277" s="562" t="s">
        <v>1133</v>
      </c>
      <c r="D1277" s="562">
        <v>2</v>
      </c>
      <c r="E1277" s="562">
        <v>5</v>
      </c>
      <c r="F1277" s="562" t="s">
        <v>184</v>
      </c>
      <c r="G1277" s="562" t="s">
        <v>191</v>
      </c>
      <c r="H1277" s="562" t="s">
        <v>191</v>
      </c>
    </row>
    <row r="1278" spans="1:8" x14ac:dyDescent="0.2">
      <c r="A1278" s="562" t="s">
        <v>235</v>
      </c>
      <c r="B1278" s="562" t="s">
        <v>1101</v>
      </c>
      <c r="C1278" s="562" t="s">
        <v>1134</v>
      </c>
      <c r="D1278" s="562">
        <v>2</v>
      </c>
      <c r="E1278" s="562">
        <v>6</v>
      </c>
      <c r="F1278" s="562" t="s">
        <v>184</v>
      </c>
      <c r="G1278" s="562" t="s">
        <v>191</v>
      </c>
      <c r="H1278" s="562" t="s">
        <v>191</v>
      </c>
    </row>
    <row r="1279" spans="1:8" x14ac:dyDescent="0.2">
      <c r="A1279" s="562" t="s">
        <v>235</v>
      </c>
      <c r="B1279" s="562" t="s">
        <v>1101</v>
      </c>
      <c r="C1279" s="562" t="s">
        <v>1135</v>
      </c>
      <c r="D1279" s="562">
        <v>1</v>
      </c>
      <c r="E1279" s="562">
        <v>5</v>
      </c>
      <c r="F1279" s="562" t="s">
        <v>184</v>
      </c>
      <c r="G1279" s="562" t="s">
        <v>191</v>
      </c>
      <c r="H1279" s="562" t="s">
        <v>191</v>
      </c>
    </row>
    <row r="1280" spans="1:8" x14ac:dyDescent="0.2">
      <c r="A1280" s="562" t="s">
        <v>235</v>
      </c>
      <c r="B1280" s="562" t="s">
        <v>1101</v>
      </c>
      <c r="C1280" s="562" t="s">
        <v>775</v>
      </c>
      <c r="D1280" s="562">
        <v>2</v>
      </c>
      <c r="E1280" s="562">
        <v>5</v>
      </c>
      <c r="F1280" s="562" t="s">
        <v>184</v>
      </c>
      <c r="G1280" s="562" t="s">
        <v>191</v>
      </c>
      <c r="H1280" s="562" t="s">
        <v>191</v>
      </c>
    </row>
    <row r="1281" spans="1:8" x14ac:dyDescent="0.2">
      <c r="A1281" s="562" t="s">
        <v>235</v>
      </c>
      <c r="B1281" s="562" t="s">
        <v>1101</v>
      </c>
      <c r="C1281" s="562" t="s">
        <v>1136</v>
      </c>
      <c r="D1281" s="562">
        <v>3</v>
      </c>
      <c r="E1281" s="562">
        <v>7</v>
      </c>
      <c r="F1281" s="562" t="s">
        <v>191</v>
      </c>
      <c r="G1281" s="562" t="s">
        <v>191</v>
      </c>
      <c r="H1281" s="562" t="s">
        <v>191</v>
      </c>
    </row>
    <row r="1282" spans="1:8" x14ac:dyDescent="0.2">
      <c r="A1282" s="562" t="s">
        <v>235</v>
      </c>
      <c r="B1282" s="562" t="s">
        <v>1101</v>
      </c>
      <c r="C1282" s="562" t="s">
        <v>1137</v>
      </c>
      <c r="D1282" s="562">
        <v>3</v>
      </c>
      <c r="E1282" s="562">
        <v>7</v>
      </c>
      <c r="F1282" s="562" t="s">
        <v>191</v>
      </c>
      <c r="G1282" s="562" t="s">
        <v>191</v>
      </c>
      <c r="H1282" s="562" t="s">
        <v>191</v>
      </c>
    </row>
    <row r="1283" spans="1:8" x14ac:dyDescent="0.2">
      <c r="A1283" s="562" t="s">
        <v>235</v>
      </c>
      <c r="B1283" s="562" t="s">
        <v>1101</v>
      </c>
      <c r="C1283" s="562" t="s">
        <v>1138</v>
      </c>
      <c r="D1283" s="562">
        <v>3</v>
      </c>
      <c r="E1283" s="562">
        <v>5</v>
      </c>
      <c r="F1283" s="562" t="s">
        <v>184</v>
      </c>
      <c r="G1283" s="562" t="s">
        <v>191</v>
      </c>
      <c r="H1283" s="562" t="s">
        <v>191</v>
      </c>
    </row>
    <row r="1284" spans="1:8" x14ac:dyDescent="0.2">
      <c r="A1284" s="562" t="s">
        <v>235</v>
      </c>
      <c r="B1284" s="562" t="s">
        <v>1101</v>
      </c>
      <c r="C1284" s="562" t="s">
        <v>1139</v>
      </c>
      <c r="D1284" s="562">
        <v>3</v>
      </c>
      <c r="E1284" s="562">
        <v>6</v>
      </c>
      <c r="F1284" s="562" t="s">
        <v>184</v>
      </c>
      <c r="G1284" s="562" t="s">
        <v>191</v>
      </c>
      <c r="H1284" s="562" t="s">
        <v>191</v>
      </c>
    </row>
    <row r="1285" spans="1:8" x14ac:dyDescent="0.2">
      <c r="A1285" s="562" t="s">
        <v>235</v>
      </c>
      <c r="B1285" s="562" t="s">
        <v>1101</v>
      </c>
      <c r="C1285" s="562" t="s">
        <v>1140</v>
      </c>
      <c r="D1285" s="562">
        <v>2</v>
      </c>
      <c r="E1285" s="562">
        <v>6</v>
      </c>
      <c r="F1285" s="562" t="s">
        <v>184</v>
      </c>
      <c r="G1285" s="562" t="s">
        <v>191</v>
      </c>
      <c r="H1285" s="562" t="s">
        <v>191</v>
      </c>
    </row>
    <row r="1286" spans="1:8" x14ac:dyDescent="0.2">
      <c r="A1286" s="562" t="s">
        <v>235</v>
      </c>
      <c r="B1286" s="562" t="s">
        <v>1101</v>
      </c>
      <c r="C1286" s="562" t="s">
        <v>777</v>
      </c>
      <c r="D1286" s="562">
        <v>3</v>
      </c>
      <c r="E1286" s="562">
        <v>6</v>
      </c>
      <c r="F1286" s="562" t="s">
        <v>184</v>
      </c>
      <c r="G1286" s="562" t="s">
        <v>191</v>
      </c>
      <c r="H1286" s="562" t="s">
        <v>191</v>
      </c>
    </row>
    <row r="1287" spans="1:8" x14ac:dyDescent="0.2">
      <c r="A1287" s="562" t="s">
        <v>235</v>
      </c>
      <c r="B1287" s="562" t="s">
        <v>1101</v>
      </c>
      <c r="C1287" s="562" t="s">
        <v>1141</v>
      </c>
      <c r="D1287" s="562">
        <v>3</v>
      </c>
      <c r="E1287" s="562">
        <v>6</v>
      </c>
      <c r="F1287" s="562" t="s">
        <v>184</v>
      </c>
      <c r="G1287" s="562" t="s">
        <v>191</v>
      </c>
      <c r="H1287" s="562" t="s">
        <v>191</v>
      </c>
    </row>
    <row r="1288" spans="1:8" x14ac:dyDescent="0.2">
      <c r="A1288" s="562" t="s">
        <v>235</v>
      </c>
      <c r="B1288" s="562" t="s">
        <v>1101</v>
      </c>
      <c r="C1288" s="562" t="s">
        <v>1142</v>
      </c>
      <c r="D1288" s="562">
        <v>2</v>
      </c>
      <c r="E1288" s="562">
        <v>6</v>
      </c>
      <c r="F1288" s="562" t="s">
        <v>184</v>
      </c>
      <c r="G1288" s="562" t="s">
        <v>191</v>
      </c>
      <c r="H1288" s="562" t="s">
        <v>191</v>
      </c>
    </row>
    <row r="1289" spans="1:8" x14ac:dyDescent="0.2">
      <c r="A1289" s="562" t="s">
        <v>235</v>
      </c>
      <c r="B1289" s="562" t="s">
        <v>1101</v>
      </c>
      <c r="C1289" s="562" t="s">
        <v>1143</v>
      </c>
      <c r="D1289" s="562">
        <v>3</v>
      </c>
      <c r="E1289" s="562">
        <v>5</v>
      </c>
      <c r="F1289" s="562" t="s">
        <v>184</v>
      </c>
      <c r="G1289" s="562" t="s">
        <v>191</v>
      </c>
      <c r="H1289" s="562" t="s">
        <v>191</v>
      </c>
    </row>
    <row r="1290" spans="1:8" x14ac:dyDescent="0.2">
      <c r="A1290" s="562" t="s">
        <v>235</v>
      </c>
      <c r="B1290" s="562" t="s">
        <v>1101</v>
      </c>
      <c r="C1290" s="562" t="s">
        <v>1144</v>
      </c>
      <c r="D1290" s="562">
        <v>3</v>
      </c>
      <c r="E1290" s="562">
        <v>6</v>
      </c>
      <c r="F1290" s="562" t="s">
        <v>184</v>
      </c>
      <c r="G1290" s="562" t="s">
        <v>191</v>
      </c>
      <c r="H1290" s="562" t="s">
        <v>191</v>
      </c>
    </row>
    <row r="1291" spans="1:8" x14ac:dyDescent="0.2">
      <c r="A1291" s="562" t="s">
        <v>235</v>
      </c>
      <c r="B1291" s="562" t="s">
        <v>1101</v>
      </c>
      <c r="C1291" s="562" t="s">
        <v>287</v>
      </c>
      <c r="D1291" s="562">
        <v>2</v>
      </c>
      <c r="E1291" s="562">
        <v>5</v>
      </c>
      <c r="F1291" s="562" t="s">
        <v>184</v>
      </c>
      <c r="G1291" s="562" t="s">
        <v>191</v>
      </c>
      <c r="H1291" s="562" t="s">
        <v>191</v>
      </c>
    </row>
    <row r="1292" spans="1:8" x14ac:dyDescent="0.2">
      <c r="A1292" s="562" t="s">
        <v>235</v>
      </c>
      <c r="B1292" s="562" t="s">
        <v>1101</v>
      </c>
      <c r="C1292" s="562" t="s">
        <v>1145</v>
      </c>
      <c r="D1292" s="562">
        <v>2</v>
      </c>
      <c r="E1292" s="562">
        <v>5</v>
      </c>
      <c r="F1292" s="562" t="s">
        <v>184</v>
      </c>
      <c r="G1292" s="562" t="s">
        <v>191</v>
      </c>
      <c r="H1292" s="562" t="s">
        <v>191</v>
      </c>
    </row>
    <row r="1293" spans="1:8" x14ac:dyDescent="0.2">
      <c r="A1293" s="562" t="s">
        <v>235</v>
      </c>
      <c r="B1293" s="562" t="s">
        <v>1101</v>
      </c>
      <c r="C1293" s="562" t="s">
        <v>1146</v>
      </c>
      <c r="D1293" s="562">
        <v>2</v>
      </c>
      <c r="E1293" s="562">
        <v>6</v>
      </c>
      <c r="F1293" s="562" t="s">
        <v>184</v>
      </c>
      <c r="G1293" s="562" t="s">
        <v>191</v>
      </c>
      <c r="H1293" s="562" t="s">
        <v>191</v>
      </c>
    </row>
    <row r="1294" spans="1:8" x14ac:dyDescent="0.2">
      <c r="A1294" s="562" t="s">
        <v>235</v>
      </c>
      <c r="B1294" s="562" t="s">
        <v>1101</v>
      </c>
      <c r="C1294" s="562" t="s">
        <v>1147</v>
      </c>
      <c r="D1294" s="562">
        <v>3</v>
      </c>
      <c r="E1294" s="562">
        <v>5</v>
      </c>
      <c r="F1294" s="562" t="s">
        <v>184</v>
      </c>
      <c r="G1294" s="562" t="s">
        <v>191</v>
      </c>
      <c r="H1294" s="562" t="s">
        <v>191</v>
      </c>
    </row>
    <row r="1295" spans="1:8" x14ac:dyDescent="0.2">
      <c r="A1295" s="562" t="s">
        <v>235</v>
      </c>
      <c r="B1295" s="562" t="s">
        <v>1101</v>
      </c>
      <c r="C1295" s="562" t="s">
        <v>1148</v>
      </c>
      <c r="D1295" s="562">
        <v>3</v>
      </c>
      <c r="E1295" s="562">
        <v>6</v>
      </c>
      <c r="F1295" s="562" t="s">
        <v>184</v>
      </c>
      <c r="G1295" s="562" t="s">
        <v>191</v>
      </c>
      <c r="H1295" s="562" t="s">
        <v>191</v>
      </c>
    </row>
    <row r="1296" spans="1:8" x14ac:dyDescent="0.2">
      <c r="A1296" s="562" t="s">
        <v>235</v>
      </c>
      <c r="B1296" s="562" t="s">
        <v>1101</v>
      </c>
      <c r="C1296" s="562" t="s">
        <v>1149</v>
      </c>
      <c r="D1296" s="562">
        <v>2</v>
      </c>
      <c r="E1296" s="562">
        <v>5</v>
      </c>
      <c r="F1296" s="562" t="s">
        <v>184</v>
      </c>
      <c r="G1296" s="562" t="s">
        <v>191</v>
      </c>
      <c r="H1296" s="562" t="s">
        <v>191</v>
      </c>
    </row>
    <row r="1297" spans="1:8" x14ac:dyDescent="0.2">
      <c r="A1297" s="562" t="s">
        <v>235</v>
      </c>
      <c r="B1297" s="562" t="s">
        <v>1101</v>
      </c>
      <c r="C1297" s="562" t="s">
        <v>1150</v>
      </c>
      <c r="D1297" s="562">
        <v>3</v>
      </c>
      <c r="E1297" s="562">
        <v>6</v>
      </c>
      <c r="F1297" s="562" t="s">
        <v>184</v>
      </c>
      <c r="G1297" s="562" t="s">
        <v>191</v>
      </c>
      <c r="H1297" s="562" t="s">
        <v>191</v>
      </c>
    </row>
    <row r="1298" spans="1:8" x14ac:dyDescent="0.2">
      <c r="A1298" s="562" t="s">
        <v>235</v>
      </c>
      <c r="B1298" s="562" t="s">
        <v>1101</v>
      </c>
      <c r="C1298" s="562" t="s">
        <v>1151</v>
      </c>
      <c r="D1298" s="562">
        <v>3</v>
      </c>
      <c r="E1298" s="562">
        <v>6</v>
      </c>
      <c r="F1298" s="562" t="s">
        <v>184</v>
      </c>
      <c r="G1298" s="562" t="s">
        <v>191</v>
      </c>
      <c r="H1298" s="562" t="s">
        <v>191</v>
      </c>
    </row>
    <row r="1299" spans="1:8" x14ac:dyDescent="0.2">
      <c r="A1299" s="562" t="s">
        <v>235</v>
      </c>
      <c r="B1299" s="562" t="s">
        <v>1101</v>
      </c>
      <c r="C1299" s="562" t="s">
        <v>1152</v>
      </c>
      <c r="D1299" s="562">
        <v>3</v>
      </c>
      <c r="E1299" s="562">
        <v>7</v>
      </c>
      <c r="F1299" s="562" t="s">
        <v>191</v>
      </c>
      <c r="G1299" s="562" t="s">
        <v>191</v>
      </c>
      <c r="H1299" s="562" t="s">
        <v>191</v>
      </c>
    </row>
    <row r="1300" spans="1:8" x14ac:dyDescent="0.2">
      <c r="A1300" s="562" t="s">
        <v>235</v>
      </c>
      <c r="B1300" s="562" t="s">
        <v>1101</v>
      </c>
      <c r="C1300" s="562" t="s">
        <v>582</v>
      </c>
      <c r="D1300" s="562">
        <v>3</v>
      </c>
      <c r="E1300" s="562">
        <v>6</v>
      </c>
      <c r="F1300" s="562" t="s">
        <v>184</v>
      </c>
      <c r="G1300" s="562" t="s">
        <v>191</v>
      </c>
      <c r="H1300" s="562" t="s">
        <v>191</v>
      </c>
    </row>
    <row r="1301" spans="1:8" x14ac:dyDescent="0.2">
      <c r="A1301" s="562" t="s">
        <v>235</v>
      </c>
      <c r="B1301" s="562" t="s">
        <v>1101</v>
      </c>
      <c r="C1301" s="562" t="s">
        <v>1153</v>
      </c>
      <c r="D1301" s="562">
        <v>3</v>
      </c>
      <c r="E1301" s="562">
        <v>6</v>
      </c>
      <c r="F1301" s="562" t="s">
        <v>184</v>
      </c>
      <c r="G1301" s="562" t="s">
        <v>191</v>
      </c>
      <c r="H1301" s="562" t="s">
        <v>191</v>
      </c>
    </row>
    <row r="1302" spans="1:8" x14ac:dyDescent="0.2">
      <c r="A1302" s="562" t="s">
        <v>235</v>
      </c>
      <c r="B1302" s="562" t="s">
        <v>1101</v>
      </c>
      <c r="C1302" s="562" t="s">
        <v>1154</v>
      </c>
      <c r="D1302" s="562">
        <v>2</v>
      </c>
      <c r="E1302" s="562">
        <v>6</v>
      </c>
      <c r="F1302" s="562" t="s">
        <v>184</v>
      </c>
      <c r="G1302" s="562" t="s">
        <v>191</v>
      </c>
      <c r="H1302" s="562" t="s">
        <v>191</v>
      </c>
    </row>
    <row r="1303" spans="1:8" x14ac:dyDescent="0.2">
      <c r="A1303" s="562" t="s">
        <v>235</v>
      </c>
      <c r="B1303" s="562" t="s">
        <v>1101</v>
      </c>
      <c r="C1303" s="562" t="s">
        <v>932</v>
      </c>
      <c r="D1303" s="562">
        <v>3</v>
      </c>
      <c r="E1303" s="562">
        <v>5</v>
      </c>
      <c r="F1303" s="562" t="s">
        <v>184</v>
      </c>
      <c r="G1303" s="562" t="s">
        <v>191</v>
      </c>
      <c r="H1303" s="562" t="s">
        <v>191</v>
      </c>
    </row>
    <row r="1304" spans="1:8" x14ac:dyDescent="0.2">
      <c r="A1304" s="562" t="s">
        <v>235</v>
      </c>
      <c r="B1304" s="562" t="s">
        <v>1101</v>
      </c>
      <c r="C1304" s="562" t="s">
        <v>1155</v>
      </c>
      <c r="D1304" s="562">
        <v>2</v>
      </c>
      <c r="E1304" s="562">
        <v>6</v>
      </c>
      <c r="F1304" s="562" t="s">
        <v>184</v>
      </c>
      <c r="G1304" s="562" t="s">
        <v>191</v>
      </c>
      <c r="H1304" s="562" t="s">
        <v>191</v>
      </c>
    </row>
    <row r="1305" spans="1:8" x14ac:dyDescent="0.2">
      <c r="A1305" s="562" t="s">
        <v>235</v>
      </c>
      <c r="B1305" s="562" t="s">
        <v>1101</v>
      </c>
      <c r="C1305" s="562" t="s">
        <v>1156</v>
      </c>
      <c r="D1305" s="562">
        <v>3</v>
      </c>
      <c r="E1305" s="562">
        <v>6</v>
      </c>
      <c r="F1305" s="562" t="s">
        <v>184</v>
      </c>
      <c r="G1305" s="562" t="s">
        <v>191</v>
      </c>
      <c r="H1305" s="562" t="s">
        <v>191</v>
      </c>
    </row>
    <row r="1306" spans="1:8" x14ac:dyDescent="0.2">
      <c r="A1306" s="562" t="s">
        <v>235</v>
      </c>
      <c r="B1306" s="562" t="s">
        <v>1101</v>
      </c>
      <c r="C1306" s="562" t="s">
        <v>1157</v>
      </c>
      <c r="D1306" s="562">
        <v>3</v>
      </c>
      <c r="E1306" s="562">
        <v>5</v>
      </c>
      <c r="F1306" s="562" t="s">
        <v>184</v>
      </c>
      <c r="G1306" s="562" t="s">
        <v>191</v>
      </c>
      <c r="H1306" s="562" t="s">
        <v>191</v>
      </c>
    </row>
    <row r="1307" spans="1:8" x14ac:dyDescent="0.2">
      <c r="A1307" s="562" t="s">
        <v>235</v>
      </c>
      <c r="B1307" s="562" t="s">
        <v>1101</v>
      </c>
      <c r="C1307" s="562" t="s">
        <v>302</v>
      </c>
      <c r="D1307" s="562">
        <v>3</v>
      </c>
      <c r="E1307" s="562">
        <v>5</v>
      </c>
      <c r="F1307" s="562" t="s">
        <v>184</v>
      </c>
      <c r="G1307" s="562" t="s">
        <v>191</v>
      </c>
      <c r="H1307" s="562" t="s">
        <v>191</v>
      </c>
    </row>
    <row r="1308" spans="1:8" x14ac:dyDescent="0.2">
      <c r="A1308" s="562" t="s">
        <v>235</v>
      </c>
      <c r="B1308" s="562" t="s">
        <v>1101</v>
      </c>
      <c r="C1308" s="562" t="s">
        <v>1158</v>
      </c>
      <c r="D1308" s="562">
        <v>1</v>
      </c>
      <c r="E1308" s="562">
        <v>5</v>
      </c>
      <c r="F1308" s="562" t="s">
        <v>184</v>
      </c>
      <c r="G1308" s="562" t="s">
        <v>191</v>
      </c>
      <c r="H1308" s="562" t="s">
        <v>191</v>
      </c>
    </row>
    <row r="1309" spans="1:8" x14ac:dyDescent="0.2">
      <c r="A1309" s="562" t="s">
        <v>235</v>
      </c>
      <c r="B1309" s="562" t="s">
        <v>1101</v>
      </c>
      <c r="C1309" s="562" t="s">
        <v>1159</v>
      </c>
      <c r="D1309" s="562">
        <v>2</v>
      </c>
      <c r="E1309" s="562">
        <v>6</v>
      </c>
      <c r="F1309" s="562" t="s">
        <v>184</v>
      </c>
      <c r="G1309" s="562" t="s">
        <v>191</v>
      </c>
      <c r="H1309" s="562" t="s">
        <v>191</v>
      </c>
    </row>
    <row r="1310" spans="1:8" x14ac:dyDescent="0.2">
      <c r="A1310" s="562" t="s">
        <v>235</v>
      </c>
      <c r="B1310" s="562" t="s">
        <v>1101</v>
      </c>
      <c r="C1310" s="562" t="s">
        <v>1160</v>
      </c>
      <c r="D1310" s="562">
        <v>3</v>
      </c>
      <c r="E1310" s="562">
        <v>7</v>
      </c>
      <c r="F1310" s="562" t="s">
        <v>191</v>
      </c>
      <c r="G1310" s="562" t="s">
        <v>191</v>
      </c>
      <c r="H1310" s="562" t="s">
        <v>191</v>
      </c>
    </row>
    <row r="1311" spans="1:8" x14ac:dyDescent="0.2">
      <c r="A1311" s="562" t="s">
        <v>235</v>
      </c>
      <c r="B1311" s="562" t="s">
        <v>1101</v>
      </c>
      <c r="C1311" s="562" t="s">
        <v>1161</v>
      </c>
      <c r="D1311" s="562">
        <v>2</v>
      </c>
      <c r="E1311" s="562">
        <v>5</v>
      </c>
      <c r="F1311" s="562" t="s">
        <v>184</v>
      </c>
      <c r="G1311" s="562" t="s">
        <v>191</v>
      </c>
      <c r="H1311" s="562" t="s">
        <v>191</v>
      </c>
    </row>
    <row r="1312" spans="1:8" x14ac:dyDescent="0.2">
      <c r="A1312" s="562" t="s">
        <v>235</v>
      </c>
      <c r="B1312" s="562" t="s">
        <v>1101</v>
      </c>
      <c r="C1312" s="562" t="s">
        <v>1162</v>
      </c>
      <c r="D1312" s="562">
        <v>3</v>
      </c>
      <c r="E1312" s="562">
        <v>5</v>
      </c>
      <c r="F1312" s="562" t="s">
        <v>184</v>
      </c>
      <c r="G1312" s="562" t="s">
        <v>191</v>
      </c>
      <c r="H1312" s="562" t="s">
        <v>191</v>
      </c>
    </row>
    <row r="1313" spans="1:8" x14ac:dyDescent="0.2">
      <c r="A1313" s="562" t="s">
        <v>235</v>
      </c>
      <c r="B1313" s="562" t="s">
        <v>1101</v>
      </c>
      <c r="C1313" s="562" t="s">
        <v>414</v>
      </c>
      <c r="D1313" s="562">
        <v>3</v>
      </c>
      <c r="E1313" s="562">
        <v>5</v>
      </c>
      <c r="F1313" s="562" t="s">
        <v>184</v>
      </c>
      <c r="G1313" s="562" t="s">
        <v>191</v>
      </c>
      <c r="H1313" s="562" t="s">
        <v>191</v>
      </c>
    </row>
    <row r="1314" spans="1:8" x14ac:dyDescent="0.2">
      <c r="A1314" s="562" t="s">
        <v>235</v>
      </c>
      <c r="B1314" s="562" t="s">
        <v>1101</v>
      </c>
      <c r="C1314" s="562" t="s">
        <v>1163</v>
      </c>
      <c r="D1314" s="562">
        <v>1</v>
      </c>
      <c r="E1314" s="562">
        <v>5</v>
      </c>
      <c r="F1314" s="562" t="s">
        <v>184</v>
      </c>
      <c r="G1314" s="562" t="s">
        <v>191</v>
      </c>
      <c r="H1314" s="562" t="s">
        <v>191</v>
      </c>
    </row>
    <row r="1315" spans="1:8" x14ac:dyDescent="0.2">
      <c r="A1315" s="562" t="s">
        <v>235</v>
      </c>
      <c r="B1315" s="562" t="s">
        <v>1101</v>
      </c>
      <c r="C1315" s="562" t="s">
        <v>700</v>
      </c>
      <c r="D1315" s="562">
        <v>3</v>
      </c>
      <c r="E1315" s="562">
        <v>5</v>
      </c>
      <c r="F1315" s="562" t="s">
        <v>184</v>
      </c>
      <c r="G1315" s="562" t="s">
        <v>191</v>
      </c>
      <c r="H1315" s="562" t="s">
        <v>191</v>
      </c>
    </row>
    <row r="1316" spans="1:8" x14ac:dyDescent="0.2">
      <c r="A1316" s="562" t="s">
        <v>235</v>
      </c>
      <c r="B1316" s="562" t="s">
        <v>1101</v>
      </c>
      <c r="C1316" s="562" t="s">
        <v>1164</v>
      </c>
      <c r="D1316" s="562">
        <v>3</v>
      </c>
      <c r="E1316" s="562">
        <v>6</v>
      </c>
      <c r="F1316" s="562" t="s">
        <v>184</v>
      </c>
      <c r="G1316" s="562" t="s">
        <v>191</v>
      </c>
      <c r="H1316" s="562" t="s">
        <v>191</v>
      </c>
    </row>
    <row r="1317" spans="1:8" x14ac:dyDescent="0.2">
      <c r="A1317" s="562" t="s">
        <v>237</v>
      </c>
      <c r="B1317" s="562" t="s">
        <v>1165</v>
      </c>
      <c r="C1317" s="562" t="s">
        <v>1166</v>
      </c>
      <c r="D1317" s="562">
        <v>2</v>
      </c>
      <c r="E1317" s="562">
        <v>7</v>
      </c>
      <c r="F1317" s="562" t="s">
        <v>191</v>
      </c>
      <c r="G1317" s="562" t="s">
        <v>191</v>
      </c>
      <c r="H1317" s="562" t="s">
        <v>191</v>
      </c>
    </row>
    <row r="1318" spans="1:8" x14ac:dyDescent="0.2">
      <c r="A1318" s="562" t="s">
        <v>237</v>
      </c>
      <c r="B1318" s="562" t="s">
        <v>1165</v>
      </c>
      <c r="C1318" s="562" t="s">
        <v>1167</v>
      </c>
      <c r="D1318" s="562">
        <v>2</v>
      </c>
      <c r="E1318" s="562">
        <v>6</v>
      </c>
      <c r="F1318" s="562" t="s">
        <v>184</v>
      </c>
      <c r="G1318" s="562" t="s">
        <v>191</v>
      </c>
      <c r="H1318" s="562" t="s">
        <v>191</v>
      </c>
    </row>
    <row r="1319" spans="1:8" x14ac:dyDescent="0.2">
      <c r="A1319" s="562" t="s">
        <v>237</v>
      </c>
      <c r="B1319" s="562" t="s">
        <v>1165</v>
      </c>
      <c r="C1319" s="562" t="s">
        <v>1168</v>
      </c>
      <c r="D1319" s="562">
        <v>1</v>
      </c>
      <c r="E1319" s="562">
        <v>7</v>
      </c>
      <c r="F1319" s="562" t="s">
        <v>191</v>
      </c>
      <c r="G1319" s="562" t="s">
        <v>191</v>
      </c>
      <c r="H1319" s="562" t="s">
        <v>191</v>
      </c>
    </row>
    <row r="1320" spans="1:8" x14ac:dyDescent="0.2">
      <c r="A1320" s="562" t="s">
        <v>237</v>
      </c>
      <c r="B1320" s="562" t="s">
        <v>1165</v>
      </c>
      <c r="C1320" s="562" t="s">
        <v>1169</v>
      </c>
      <c r="D1320" s="562">
        <v>2</v>
      </c>
      <c r="E1320" s="562">
        <v>7</v>
      </c>
      <c r="F1320" s="562" t="s">
        <v>191</v>
      </c>
      <c r="G1320" s="562" t="s">
        <v>191</v>
      </c>
      <c r="H1320" s="562" t="s">
        <v>191</v>
      </c>
    </row>
    <row r="1321" spans="1:8" x14ac:dyDescent="0.2">
      <c r="A1321" s="562" t="s">
        <v>237</v>
      </c>
      <c r="B1321" s="562" t="s">
        <v>1165</v>
      </c>
      <c r="C1321" s="562" t="s">
        <v>364</v>
      </c>
      <c r="D1321" s="562">
        <v>2</v>
      </c>
      <c r="E1321" s="562">
        <v>6</v>
      </c>
      <c r="F1321" s="562" t="s">
        <v>184</v>
      </c>
      <c r="G1321" s="562" t="s">
        <v>191</v>
      </c>
      <c r="H1321" s="562" t="s">
        <v>191</v>
      </c>
    </row>
    <row r="1322" spans="1:8" x14ac:dyDescent="0.2">
      <c r="A1322" s="562" t="s">
        <v>237</v>
      </c>
      <c r="B1322" s="562" t="s">
        <v>1165</v>
      </c>
      <c r="C1322" s="562" t="s">
        <v>1170</v>
      </c>
      <c r="D1322" s="562">
        <v>1</v>
      </c>
      <c r="E1322" s="562">
        <v>6</v>
      </c>
      <c r="F1322" s="562" t="s">
        <v>184</v>
      </c>
      <c r="G1322" s="562" t="s">
        <v>191</v>
      </c>
      <c r="H1322" s="562" t="s">
        <v>191</v>
      </c>
    </row>
    <row r="1323" spans="1:8" x14ac:dyDescent="0.2">
      <c r="A1323" s="562" t="s">
        <v>237</v>
      </c>
      <c r="B1323" s="562" t="s">
        <v>1165</v>
      </c>
      <c r="C1323" s="562" t="s">
        <v>1171</v>
      </c>
      <c r="D1323" s="562">
        <v>1</v>
      </c>
      <c r="E1323" s="562">
        <v>6</v>
      </c>
      <c r="F1323" s="562" t="s">
        <v>184</v>
      </c>
      <c r="G1323" s="562" t="s">
        <v>191</v>
      </c>
      <c r="H1323" s="562" t="s">
        <v>191</v>
      </c>
    </row>
    <row r="1324" spans="1:8" x14ac:dyDescent="0.2">
      <c r="A1324" s="562" t="s">
        <v>237</v>
      </c>
      <c r="B1324" s="562" t="s">
        <v>1165</v>
      </c>
      <c r="C1324" s="562" t="s">
        <v>750</v>
      </c>
      <c r="D1324" s="562">
        <v>1</v>
      </c>
      <c r="E1324" s="562">
        <v>6</v>
      </c>
      <c r="F1324" s="562" t="s">
        <v>184</v>
      </c>
      <c r="G1324" s="562" t="s">
        <v>191</v>
      </c>
      <c r="H1324" s="562" t="s">
        <v>191</v>
      </c>
    </row>
    <row r="1325" spans="1:8" x14ac:dyDescent="0.2">
      <c r="A1325" s="562" t="s">
        <v>237</v>
      </c>
      <c r="B1325" s="562" t="s">
        <v>1165</v>
      </c>
      <c r="C1325" s="562" t="s">
        <v>1172</v>
      </c>
      <c r="D1325" s="562">
        <v>2</v>
      </c>
      <c r="E1325" s="562">
        <v>7</v>
      </c>
      <c r="F1325" s="562" t="s">
        <v>191</v>
      </c>
      <c r="G1325" s="562" t="s">
        <v>191</v>
      </c>
      <c r="H1325" s="562" t="s">
        <v>191</v>
      </c>
    </row>
    <row r="1326" spans="1:8" x14ac:dyDescent="0.2">
      <c r="A1326" s="562" t="s">
        <v>237</v>
      </c>
      <c r="B1326" s="562" t="s">
        <v>1165</v>
      </c>
      <c r="C1326" s="562" t="s">
        <v>1173</v>
      </c>
      <c r="D1326" s="562">
        <v>1</v>
      </c>
      <c r="E1326" s="562">
        <v>6</v>
      </c>
      <c r="F1326" s="562" t="s">
        <v>184</v>
      </c>
      <c r="G1326" s="562" t="s">
        <v>191</v>
      </c>
      <c r="H1326" s="562" t="s">
        <v>191</v>
      </c>
    </row>
    <row r="1327" spans="1:8" x14ac:dyDescent="0.2">
      <c r="A1327" s="562" t="s">
        <v>237</v>
      </c>
      <c r="B1327" s="562" t="s">
        <v>1165</v>
      </c>
      <c r="C1327" s="562" t="s">
        <v>752</v>
      </c>
      <c r="D1327" s="562">
        <v>2</v>
      </c>
      <c r="E1327" s="562">
        <v>7</v>
      </c>
      <c r="F1327" s="562" t="s">
        <v>191</v>
      </c>
      <c r="G1327" s="562" t="s">
        <v>191</v>
      </c>
      <c r="H1327" s="562" t="s">
        <v>191</v>
      </c>
    </row>
    <row r="1328" spans="1:8" x14ac:dyDescent="0.2">
      <c r="A1328" s="562" t="s">
        <v>237</v>
      </c>
      <c r="B1328" s="562" t="s">
        <v>1165</v>
      </c>
      <c r="C1328" s="562" t="s">
        <v>1114</v>
      </c>
      <c r="D1328" s="562">
        <v>1</v>
      </c>
      <c r="E1328" s="562">
        <v>6</v>
      </c>
      <c r="F1328" s="562" t="s">
        <v>184</v>
      </c>
      <c r="G1328" s="562" t="s">
        <v>191</v>
      </c>
      <c r="H1328" s="562" t="s">
        <v>191</v>
      </c>
    </row>
    <row r="1329" spans="1:8" x14ac:dyDescent="0.2">
      <c r="A1329" s="562" t="s">
        <v>237</v>
      </c>
      <c r="B1329" s="562" t="s">
        <v>1165</v>
      </c>
      <c r="C1329" s="562" t="s">
        <v>1174</v>
      </c>
      <c r="D1329" s="562">
        <v>2</v>
      </c>
      <c r="E1329" s="562">
        <v>6</v>
      </c>
      <c r="F1329" s="562" t="s">
        <v>184</v>
      </c>
      <c r="G1329" s="562" t="s">
        <v>191</v>
      </c>
      <c r="H1329" s="562" t="s">
        <v>191</v>
      </c>
    </row>
    <row r="1330" spans="1:8" x14ac:dyDescent="0.2">
      <c r="A1330" s="562" t="s">
        <v>237</v>
      </c>
      <c r="B1330" s="562" t="s">
        <v>1165</v>
      </c>
      <c r="C1330" s="562" t="s">
        <v>216</v>
      </c>
      <c r="D1330" s="562">
        <v>1</v>
      </c>
      <c r="E1330" s="562">
        <v>7</v>
      </c>
      <c r="F1330" s="562" t="s">
        <v>191</v>
      </c>
      <c r="G1330" s="562" t="s">
        <v>191</v>
      </c>
      <c r="H1330" s="562" t="s">
        <v>191</v>
      </c>
    </row>
    <row r="1331" spans="1:8" x14ac:dyDescent="0.2">
      <c r="A1331" s="562" t="s">
        <v>237</v>
      </c>
      <c r="B1331" s="562" t="s">
        <v>1165</v>
      </c>
      <c r="C1331" s="562" t="s">
        <v>728</v>
      </c>
      <c r="D1331" s="562">
        <v>2</v>
      </c>
      <c r="E1331" s="562">
        <v>7</v>
      </c>
      <c r="F1331" s="562" t="s">
        <v>191</v>
      </c>
      <c r="G1331" s="562" t="s">
        <v>191</v>
      </c>
      <c r="H1331" s="562" t="s">
        <v>191</v>
      </c>
    </row>
    <row r="1332" spans="1:8" x14ac:dyDescent="0.2">
      <c r="A1332" s="562" t="s">
        <v>237</v>
      </c>
      <c r="B1332" s="562" t="s">
        <v>1165</v>
      </c>
      <c r="C1332" s="562" t="s">
        <v>624</v>
      </c>
      <c r="D1332" s="562">
        <v>2</v>
      </c>
      <c r="E1332" s="562">
        <v>7</v>
      </c>
      <c r="F1332" s="562" t="s">
        <v>191</v>
      </c>
      <c r="G1332" s="562" t="s">
        <v>191</v>
      </c>
      <c r="H1332" s="562" t="s">
        <v>191</v>
      </c>
    </row>
    <row r="1333" spans="1:8" x14ac:dyDescent="0.2">
      <c r="A1333" s="562" t="s">
        <v>237</v>
      </c>
      <c r="B1333" s="562" t="s">
        <v>1165</v>
      </c>
      <c r="C1333" s="562" t="s">
        <v>1175</v>
      </c>
      <c r="D1333" s="562">
        <v>1</v>
      </c>
      <c r="E1333" s="562">
        <v>6</v>
      </c>
      <c r="F1333" s="562" t="s">
        <v>184</v>
      </c>
      <c r="G1333" s="562" t="s">
        <v>191</v>
      </c>
      <c r="H1333" s="562" t="s">
        <v>191</v>
      </c>
    </row>
    <row r="1334" spans="1:8" x14ac:dyDescent="0.2">
      <c r="A1334" s="562" t="s">
        <v>237</v>
      </c>
      <c r="B1334" s="562" t="s">
        <v>1165</v>
      </c>
      <c r="C1334" s="562" t="s">
        <v>1176</v>
      </c>
      <c r="D1334" s="562">
        <v>2</v>
      </c>
      <c r="E1334" s="562">
        <v>7</v>
      </c>
      <c r="F1334" s="562" t="s">
        <v>191</v>
      </c>
      <c r="G1334" s="562" t="s">
        <v>191</v>
      </c>
      <c r="H1334" s="562" t="s">
        <v>191</v>
      </c>
    </row>
    <row r="1335" spans="1:8" x14ac:dyDescent="0.2">
      <c r="A1335" s="562" t="s">
        <v>237</v>
      </c>
      <c r="B1335" s="562" t="s">
        <v>1165</v>
      </c>
      <c r="C1335" s="562" t="s">
        <v>1177</v>
      </c>
      <c r="D1335" s="562">
        <v>1</v>
      </c>
      <c r="E1335" s="562">
        <v>6</v>
      </c>
      <c r="F1335" s="562" t="s">
        <v>184</v>
      </c>
      <c r="G1335" s="562" t="s">
        <v>191</v>
      </c>
      <c r="H1335" s="562" t="s">
        <v>191</v>
      </c>
    </row>
    <row r="1336" spans="1:8" x14ac:dyDescent="0.2">
      <c r="A1336" s="562" t="s">
        <v>237</v>
      </c>
      <c r="B1336" s="562" t="s">
        <v>1165</v>
      </c>
      <c r="C1336" s="562" t="s">
        <v>631</v>
      </c>
      <c r="D1336" s="562">
        <v>1</v>
      </c>
      <c r="E1336" s="562">
        <v>6</v>
      </c>
      <c r="F1336" s="562" t="s">
        <v>184</v>
      </c>
      <c r="G1336" s="562" t="s">
        <v>191</v>
      </c>
      <c r="H1336" s="562" t="s">
        <v>191</v>
      </c>
    </row>
    <row r="1337" spans="1:8" x14ac:dyDescent="0.2">
      <c r="A1337" s="562" t="s">
        <v>237</v>
      </c>
      <c r="B1337" s="562" t="s">
        <v>1165</v>
      </c>
      <c r="C1337" s="562" t="s">
        <v>495</v>
      </c>
      <c r="D1337" s="562">
        <v>1</v>
      </c>
      <c r="E1337" s="562">
        <v>6</v>
      </c>
      <c r="F1337" s="562" t="s">
        <v>184</v>
      </c>
      <c r="G1337" s="562" t="s">
        <v>191</v>
      </c>
      <c r="H1337" s="562" t="s">
        <v>191</v>
      </c>
    </row>
    <row r="1338" spans="1:8" x14ac:dyDescent="0.2">
      <c r="A1338" s="562" t="s">
        <v>237</v>
      </c>
      <c r="B1338" s="562" t="s">
        <v>1165</v>
      </c>
      <c r="C1338" s="562" t="s">
        <v>1178</v>
      </c>
      <c r="D1338" s="562">
        <v>1</v>
      </c>
      <c r="E1338" s="562">
        <v>6</v>
      </c>
      <c r="F1338" s="562" t="s">
        <v>184</v>
      </c>
      <c r="G1338" s="562" t="s">
        <v>191</v>
      </c>
      <c r="H1338" s="562" t="s">
        <v>191</v>
      </c>
    </row>
    <row r="1339" spans="1:8" x14ac:dyDescent="0.2">
      <c r="A1339" s="562" t="s">
        <v>237</v>
      </c>
      <c r="B1339" s="562" t="s">
        <v>1165</v>
      </c>
      <c r="C1339" s="562" t="s">
        <v>1179</v>
      </c>
      <c r="D1339" s="562">
        <v>1</v>
      </c>
      <c r="E1339" s="562">
        <v>6</v>
      </c>
      <c r="F1339" s="562" t="s">
        <v>184</v>
      </c>
      <c r="G1339" s="562" t="s">
        <v>191</v>
      </c>
      <c r="H1339" s="562" t="s">
        <v>191</v>
      </c>
    </row>
    <row r="1340" spans="1:8" x14ac:dyDescent="0.2">
      <c r="A1340" s="562" t="s">
        <v>237</v>
      </c>
      <c r="B1340" s="562" t="s">
        <v>1165</v>
      </c>
      <c r="C1340" s="562" t="s">
        <v>1180</v>
      </c>
      <c r="D1340" s="562">
        <v>1</v>
      </c>
      <c r="E1340" s="562">
        <v>6</v>
      </c>
      <c r="F1340" s="562" t="s">
        <v>184</v>
      </c>
      <c r="G1340" s="562" t="s">
        <v>191</v>
      </c>
      <c r="H1340" s="562" t="s">
        <v>191</v>
      </c>
    </row>
    <row r="1341" spans="1:8" x14ac:dyDescent="0.2">
      <c r="A1341" s="562" t="s">
        <v>237</v>
      </c>
      <c r="B1341" s="562" t="s">
        <v>1165</v>
      </c>
      <c r="C1341" s="562" t="s">
        <v>1181</v>
      </c>
      <c r="D1341" s="562">
        <v>1</v>
      </c>
      <c r="E1341" s="562">
        <v>6</v>
      </c>
      <c r="F1341" s="562" t="s">
        <v>184</v>
      </c>
      <c r="G1341" s="562" t="s">
        <v>191</v>
      </c>
      <c r="H1341" s="562" t="s">
        <v>191</v>
      </c>
    </row>
    <row r="1342" spans="1:8" x14ac:dyDescent="0.2">
      <c r="A1342" s="562" t="s">
        <v>237</v>
      </c>
      <c r="B1342" s="562" t="s">
        <v>1165</v>
      </c>
      <c r="C1342" s="562" t="s">
        <v>382</v>
      </c>
      <c r="D1342" s="562">
        <v>1</v>
      </c>
      <c r="E1342" s="562">
        <v>7</v>
      </c>
      <c r="F1342" s="562" t="s">
        <v>191</v>
      </c>
      <c r="G1342" s="562" t="s">
        <v>191</v>
      </c>
      <c r="H1342" s="562" t="s">
        <v>191</v>
      </c>
    </row>
    <row r="1343" spans="1:8" x14ac:dyDescent="0.2">
      <c r="A1343" s="562" t="s">
        <v>237</v>
      </c>
      <c r="B1343" s="562" t="s">
        <v>1165</v>
      </c>
      <c r="C1343" s="562" t="s">
        <v>1182</v>
      </c>
      <c r="D1343" s="562">
        <v>1</v>
      </c>
      <c r="E1343" s="562">
        <v>6</v>
      </c>
      <c r="F1343" s="562" t="s">
        <v>184</v>
      </c>
      <c r="G1343" s="562" t="s">
        <v>191</v>
      </c>
      <c r="H1343" s="562" t="s">
        <v>191</v>
      </c>
    </row>
    <row r="1344" spans="1:8" x14ac:dyDescent="0.2">
      <c r="A1344" s="562" t="s">
        <v>237</v>
      </c>
      <c r="B1344" s="562" t="s">
        <v>1165</v>
      </c>
      <c r="C1344" s="562" t="s">
        <v>257</v>
      </c>
      <c r="D1344" s="562">
        <v>1</v>
      </c>
      <c r="E1344" s="562">
        <v>6</v>
      </c>
      <c r="F1344" s="562" t="s">
        <v>184</v>
      </c>
      <c r="G1344" s="562" t="s">
        <v>191</v>
      </c>
      <c r="H1344" s="562" t="s">
        <v>191</v>
      </c>
    </row>
    <row r="1345" spans="1:8" x14ac:dyDescent="0.2">
      <c r="A1345" s="562" t="s">
        <v>237</v>
      </c>
      <c r="B1345" s="562" t="s">
        <v>1165</v>
      </c>
      <c r="C1345" s="562" t="s">
        <v>1183</v>
      </c>
      <c r="D1345" s="562">
        <v>1</v>
      </c>
      <c r="E1345" s="562">
        <v>7</v>
      </c>
      <c r="F1345" s="562" t="s">
        <v>191</v>
      </c>
      <c r="G1345" s="562" t="s">
        <v>191</v>
      </c>
      <c r="H1345" s="562" t="s">
        <v>191</v>
      </c>
    </row>
    <row r="1346" spans="1:8" x14ac:dyDescent="0.2">
      <c r="A1346" s="562" t="s">
        <v>237</v>
      </c>
      <c r="B1346" s="562" t="s">
        <v>1165</v>
      </c>
      <c r="C1346" s="562" t="s">
        <v>1184</v>
      </c>
      <c r="D1346" s="562">
        <v>2</v>
      </c>
      <c r="E1346" s="562">
        <v>6</v>
      </c>
      <c r="F1346" s="562" t="s">
        <v>184</v>
      </c>
      <c r="G1346" s="562" t="s">
        <v>191</v>
      </c>
      <c r="H1346" s="562" t="s">
        <v>191</v>
      </c>
    </row>
    <row r="1347" spans="1:8" x14ac:dyDescent="0.2">
      <c r="A1347" s="562" t="s">
        <v>237</v>
      </c>
      <c r="B1347" s="562" t="s">
        <v>1165</v>
      </c>
      <c r="C1347" s="562" t="s">
        <v>1185</v>
      </c>
      <c r="D1347" s="562">
        <v>2</v>
      </c>
      <c r="E1347" s="562">
        <v>7</v>
      </c>
      <c r="F1347" s="562" t="s">
        <v>191</v>
      </c>
      <c r="G1347" s="562" t="s">
        <v>191</v>
      </c>
      <c r="H1347" s="562" t="s">
        <v>191</v>
      </c>
    </row>
    <row r="1348" spans="1:8" x14ac:dyDescent="0.2">
      <c r="A1348" s="562" t="s">
        <v>237</v>
      </c>
      <c r="B1348" s="562" t="s">
        <v>1165</v>
      </c>
      <c r="C1348" s="562" t="s">
        <v>259</v>
      </c>
      <c r="D1348" s="562">
        <v>1</v>
      </c>
      <c r="E1348" s="562">
        <v>6</v>
      </c>
      <c r="F1348" s="562" t="s">
        <v>184</v>
      </c>
      <c r="G1348" s="562" t="s">
        <v>191</v>
      </c>
      <c r="H1348" s="562" t="s">
        <v>191</v>
      </c>
    </row>
    <row r="1349" spans="1:8" x14ac:dyDescent="0.2">
      <c r="A1349" s="562" t="s">
        <v>237</v>
      </c>
      <c r="B1349" s="562" t="s">
        <v>1165</v>
      </c>
      <c r="C1349" s="562" t="s">
        <v>1186</v>
      </c>
      <c r="D1349" s="562">
        <v>1</v>
      </c>
      <c r="E1349" s="562">
        <v>7</v>
      </c>
      <c r="F1349" s="562" t="s">
        <v>191</v>
      </c>
      <c r="G1349" s="562" t="s">
        <v>191</v>
      </c>
      <c r="H1349" s="562" t="s">
        <v>191</v>
      </c>
    </row>
    <row r="1350" spans="1:8" x14ac:dyDescent="0.2">
      <c r="A1350" s="562" t="s">
        <v>237</v>
      </c>
      <c r="B1350" s="562" t="s">
        <v>1165</v>
      </c>
      <c r="C1350" s="562" t="s">
        <v>1187</v>
      </c>
      <c r="D1350" s="562">
        <v>1</v>
      </c>
      <c r="E1350" s="562">
        <v>6</v>
      </c>
      <c r="F1350" s="562" t="s">
        <v>184</v>
      </c>
      <c r="G1350" s="562" t="s">
        <v>191</v>
      </c>
      <c r="H1350" s="562" t="s">
        <v>191</v>
      </c>
    </row>
    <row r="1351" spans="1:8" x14ac:dyDescent="0.2">
      <c r="A1351" s="562" t="s">
        <v>237</v>
      </c>
      <c r="B1351" s="562" t="s">
        <v>1165</v>
      </c>
      <c r="C1351" s="562" t="s">
        <v>1188</v>
      </c>
      <c r="D1351" s="562">
        <v>1</v>
      </c>
      <c r="E1351" s="562">
        <v>7</v>
      </c>
      <c r="F1351" s="562" t="s">
        <v>191</v>
      </c>
      <c r="G1351" s="562" t="s">
        <v>191</v>
      </c>
      <c r="H1351" s="562" t="s">
        <v>191</v>
      </c>
    </row>
    <row r="1352" spans="1:8" x14ac:dyDescent="0.2">
      <c r="A1352" s="562" t="s">
        <v>237</v>
      </c>
      <c r="B1352" s="562" t="s">
        <v>1165</v>
      </c>
      <c r="C1352" s="562" t="s">
        <v>1189</v>
      </c>
      <c r="D1352" s="562">
        <v>2</v>
      </c>
      <c r="E1352" s="562">
        <v>7</v>
      </c>
      <c r="F1352" s="562" t="s">
        <v>191</v>
      </c>
      <c r="G1352" s="562" t="s">
        <v>191</v>
      </c>
      <c r="H1352" s="562" t="s">
        <v>191</v>
      </c>
    </row>
    <row r="1353" spans="1:8" x14ac:dyDescent="0.2">
      <c r="A1353" s="562" t="s">
        <v>237</v>
      </c>
      <c r="B1353" s="562" t="s">
        <v>1165</v>
      </c>
      <c r="C1353" s="562" t="s">
        <v>1190</v>
      </c>
      <c r="D1353" s="562">
        <v>1</v>
      </c>
      <c r="E1353" s="562">
        <v>6</v>
      </c>
      <c r="F1353" s="562" t="s">
        <v>184</v>
      </c>
      <c r="G1353" s="562" t="s">
        <v>191</v>
      </c>
      <c r="H1353" s="562" t="s">
        <v>191</v>
      </c>
    </row>
    <row r="1354" spans="1:8" x14ac:dyDescent="0.2">
      <c r="A1354" s="562" t="s">
        <v>237</v>
      </c>
      <c r="B1354" s="562" t="s">
        <v>1165</v>
      </c>
      <c r="C1354" s="562" t="s">
        <v>436</v>
      </c>
      <c r="D1354" s="562">
        <v>2</v>
      </c>
      <c r="E1354" s="562">
        <v>7</v>
      </c>
      <c r="F1354" s="562" t="s">
        <v>191</v>
      </c>
      <c r="G1354" s="562" t="s">
        <v>191</v>
      </c>
      <c r="H1354" s="562" t="s">
        <v>191</v>
      </c>
    </row>
    <row r="1355" spans="1:8" x14ac:dyDescent="0.2">
      <c r="A1355" s="562" t="s">
        <v>237</v>
      </c>
      <c r="B1355" s="562" t="s">
        <v>1165</v>
      </c>
      <c r="C1355" s="562" t="s">
        <v>1191</v>
      </c>
      <c r="D1355" s="562">
        <v>2</v>
      </c>
      <c r="E1355" s="562">
        <v>7</v>
      </c>
      <c r="F1355" s="562" t="s">
        <v>191</v>
      </c>
      <c r="G1355" s="562" t="s">
        <v>191</v>
      </c>
      <c r="H1355" s="562" t="s">
        <v>191</v>
      </c>
    </row>
    <row r="1356" spans="1:8" x14ac:dyDescent="0.2">
      <c r="A1356" s="562" t="s">
        <v>237</v>
      </c>
      <c r="B1356" s="562" t="s">
        <v>1165</v>
      </c>
      <c r="C1356" s="562" t="s">
        <v>1192</v>
      </c>
      <c r="D1356" s="562">
        <v>1</v>
      </c>
      <c r="E1356" s="562">
        <v>6</v>
      </c>
      <c r="F1356" s="562" t="s">
        <v>184</v>
      </c>
      <c r="G1356" s="562" t="s">
        <v>191</v>
      </c>
      <c r="H1356" s="562" t="s">
        <v>191</v>
      </c>
    </row>
    <row r="1357" spans="1:8" x14ac:dyDescent="0.2">
      <c r="A1357" s="562" t="s">
        <v>237</v>
      </c>
      <c r="B1357" s="562" t="s">
        <v>1165</v>
      </c>
      <c r="C1357" s="562" t="s">
        <v>390</v>
      </c>
      <c r="D1357" s="562">
        <v>1</v>
      </c>
      <c r="E1357" s="562">
        <v>6</v>
      </c>
      <c r="F1357" s="562" t="s">
        <v>184</v>
      </c>
      <c r="G1357" s="562" t="s">
        <v>191</v>
      </c>
      <c r="H1357" s="562" t="s">
        <v>191</v>
      </c>
    </row>
    <row r="1358" spans="1:8" x14ac:dyDescent="0.2">
      <c r="A1358" s="562" t="s">
        <v>237</v>
      </c>
      <c r="B1358" s="562" t="s">
        <v>1165</v>
      </c>
      <c r="C1358" s="562" t="s">
        <v>869</v>
      </c>
      <c r="D1358" s="562">
        <v>1</v>
      </c>
      <c r="E1358" s="562">
        <v>6</v>
      </c>
      <c r="F1358" s="562" t="s">
        <v>184</v>
      </c>
      <c r="G1358" s="562" t="s">
        <v>191</v>
      </c>
      <c r="H1358" s="562" t="s">
        <v>191</v>
      </c>
    </row>
    <row r="1359" spans="1:8" x14ac:dyDescent="0.2">
      <c r="A1359" s="562" t="s">
        <v>237</v>
      </c>
      <c r="B1359" s="562" t="s">
        <v>1165</v>
      </c>
      <c r="C1359" s="562" t="s">
        <v>1193</v>
      </c>
      <c r="D1359" s="562">
        <v>1</v>
      </c>
      <c r="E1359" s="562">
        <v>7</v>
      </c>
      <c r="F1359" s="562" t="s">
        <v>191</v>
      </c>
      <c r="G1359" s="562" t="s">
        <v>191</v>
      </c>
      <c r="H1359" s="562" t="s">
        <v>191</v>
      </c>
    </row>
    <row r="1360" spans="1:8" x14ac:dyDescent="0.2">
      <c r="A1360" s="562" t="s">
        <v>237</v>
      </c>
      <c r="B1360" s="562" t="s">
        <v>1165</v>
      </c>
      <c r="C1360" s="562" t="s">
        <v>283</v>
      </c>
      <c r="D1360" s="562">
        <v>1</v>
      </c>
      <c r="E1360" s="562">
        <v>7</v>
      </c>
      <c r="F1360" s="562" t="s">
        <v>191</v>
      </c>
      <c r="G1360" s="562" t="s">
        <v>191</v>
      </c>
      <c r="H1360" s="562" t="s">
        <v>191</v>
      </c>
    </row>
    <row r="1361" spans="1:8" x14ac:dyDescent="0.2">
      <c r="A1361" s="562" t="s">
        <v>237</v>
      </c>
      <c r="B1361" s="562" t="s">
        <v>1165</v>
      </c>
      <c r="C1361" s="562" t="s">
        <v>577</v>
      </c>
      <c r="D1361" s="562">
        <v>1</v>
      </c>
      <c r="E1361" s="562">
        <v>6</v>
      </c>
      <c r="F1361" s="562" t="s">
        <v>184</v>
      </c>
      <c r="G1361" s="562" t="s">
        <v>191</v>
      </c>
      <c r="H1361" s="562" t="s">
        <v>191</v>
      </c>
    </row>
    <row r="1362" spans="1:8" x14ac:dyDescent="0.2">
      <c r="A1362" s="562" t="s">
        <v>237</v>
      </c>
      <c r="B1362" s="562" t="s">
        <v>1165</v>
      </c>
      <c r="C1362" s="562" t="s">
        <v>1194</v>
      </c>
      <c r="D1362" s="562">
        <v>1</v>
      </c>
      <c r="E1362" s="562">
        <v>6</v>
      </c>
      <c r="F1362" s="562" t="s">
        <v>184</v>
      </c>
      <c r="G1362" s="562" t="s">
        <v>191</v>
      </c>
      <c r="H1362" s="562" t="s">
        <v>191</v>
      </c>
    </row>
    <row r="1363" spans="1:8" x14ac:dyDescent="0.2">
      <c r="A1363" s="562" t="s">
        <v>237</v>
      </c>
      <c r="B1363" s="562" t="s">
        <v>1165</v>
      </c>
      <c r="C1363" s="562" t="s">
        <v>1195</v>
      </c>
      <c r="D1363" s="562">
        <v>1</v>
      </c>
      <c r="E1363" s="562">
        <v>6</v>
      </c>
      <c r="F1363" s="562" t="s">
        <v>184</v>
      </c>
      <c r="G1363" s="562" t="s">
        <v>191</v>
      </c>
      <c r="H1363" s="562" t="s">
        <v>191</v>
      </c>
    </row>
    <row r="1364" spans="1:8" x14ac:dyDescent="0.2">
      <c r="A1364" s="562" t="s">
        <v>237</v>
      </c>
      <c r="B1364" s="562" t="s">
        <v>1165</v>
      </c>
      <c r="C1364" s="562" t="s">
        <v>1196</v>
      </c>
      <c r="D1364" s="562">
        <v>2</v>
      </c>
      <c r="E1364" s="562">
        <v>7</v>
      </c>
      <c r="F1364" s="562" t="s">
        <v>191</v>
      </c>
      <c r="G1364" s="562" t="s">
        <v>191</v>
      </c>
      <c r="H1364" s="562" t="s">
        <v>191</v>
      </c>
    </row>
    <row r="1365" spans="1:8" x14ac:dyDescent="0.2">
      <c r="A1365" s="562" t="s">
        <v>237</v>
      </c>
      <c r="B1365" s="562" t="s">
        <v>1165</v>
      </c>
      <c r="C1365" s="562" t="s">
        <v>1197</v>
      </c>
      <c r="D1365" s="562">
        <v>2</v>
      </c>
      <c r="E1365" s="562">
        <v>6</v>
      </c>
      <c r="F1365" s="562" t="s">
        <v>184</v>
      </c>
      <c r="G1365" s="562" t="s">
        <v>191</v>
      </c>
      <c r="H1365" s="562" t="s">
        <v>191</v>
      </c>
    </row>
    <row r="1366" spans="1:8" x14ac:dyDescent="0.2">
      <c r="A1366" s="562" t="s">
        <v>237</v>
      </c>
      <c r="B1366" s="562" t="s">
        <v>1165</v>
      </c>
      <c r="C1366" s="562" t="s">
        <v>1198</v>
      </c>
      <c r="D1366" s="562">
        <v>1</v>
      </c>
      <c r="E1366" s="562">
        <v>6</v>
      </c>
      <c r="F1366" s="562" t="s">
        <v>184</v>
      </c>
      <c r="G1366" s="562" t="s">
        <v>191</v>
      </c>
      <c r="H1366" s="562" t="s">
        <v>191</v>
      </c>
    </row>
    <row r="1367" spans="1:8" x14ac:dyDescent="0.2">
      <c r="A1367" s="562" t="s">
        <v>237</v>
      </c>
      <c r="B1367" s="562" t="s">
        <v>1165</v>
      </c>
      <c r="C1367" s="562" t="s">
        <v>668</v>
      </c>
      <c r="D1367" s="562">
        <v>1</v>
      </c>
      <c r="E1367" s="562">
        <v>6</v>
      </c>
      <c r="F1367" s="562" t="s">
        <v>184</v>
      </c>
      <c r="G1367" s="562" t="s">
        <v>191</v>
      </c>
      <c r="H1367" s="562" t="s">
        <v>191</v>
      </c>
    </row>
    <row r="1368" spans="1:8" x14ac:dyDescent="0.2">
      <c r="A1368" s="562" t="s">
        <v>237</v>
      </c>
      <c r="B1368" s="562" t="s">
        <v>1165</v>
      </c>
      <c r="C1368" s="562" t="s">
        <v>1199</v>
      </c>
      <c r="D1368" s="562">
        <v>1</v>
      </c>
      <c r="E1368" s="562">
        <v>6</v>
      </c>
      <c r="F1368" s="562" t="s">
        <v>184</v>
      </c>
      <c r="G1368" s="562" t="s">
        <v>191</v>
      </c>
      <c r="H1368" s="562" t="s">
        <v>191</v>
      </c>
    </row>
    <row r="1369" spans="1:8" x14ac:dyDescent="0.2">
      <c r="A1369" s="562" t="s">
        <v>237</v>
      </c>
      <c r="B1369" s="562" t="s">
        <v>1165</v>
      </c>
      <c r="C1369" s="562" t="s">
        <v>1200</v>
      </c>
      <c r="D1369" s="562">
        <v>1</v>
      </c>
      <c r="E1369" s="562">
        <v>6</v>
      </c>
      <c r="F1369" s="562" t="s">
        <v>184</v>
      </c>
      <c r="G1369" s="562" t="s">
        <v>191</v>
      </c>
      <c r="H1369" s="562" t="s">
        <v>191</v>
      </c>
    </row>
    <row r="1370" spans="1:8" x14ac:dyDescent="0.2">
      <c r="A1370" s="562" t="s">
        <v>237</v>
      </c>
      <c r="B1370" s="562" t="s">
        <v>1165</v>
      </c>
      <c r="C1370" s="562" t="s">
        <v>1201</v>
      </c>
      <c r="D1370" s="562">
        <v>1</v>
      </c>
      <c r="E1370" s="562">
        <v>7</v>
      </c>
      <c r="F1370" s="562" t="s">
        <v>191</v>
      </c>
      <c r="G1370" s="562" t="s">
        <v>191</v>
      </c>
      <c r="H1370" s="562" t="s">
        <v>191</v>
      </c>
    </row>
    <row r="1371" spans="1:8" x14ac:dyDescent="0.2">
      <c r="A1371" s="562" t="s">
        <v>237</v>
      </c>
      <c r="B1371" s="562" t="s">
        <v>1165</v>
      </c>
      <c r="C1371" s="562" t="s">
        <v>1202</v>
      </c>
      <c r="D1371" s="562">
        <v>1</v>
      </c>
      <c r="E1371" s="562">
        <v>6</v>
      </c>
      <c r="F1371" s="562" t="s">
        <v>184</v>
      </c>
      <c r="G1371" s="562" t="s">
        <v>191</v>
      </c>
      <c r="H1371" s="562" t="s">
        <v>191</v>
      </c>
    </row>
    <row r="1372" spans="1:8" x14ac:dyDescent="0.2">
      <c r="A1372" s="562" t="s">
        <v>237</v>
      </c>
      <c r="B1372" s="562" t="s">
        <v>1165</v>
      </c>
      <c r="C1372" s="562" t="s">
        <v>1203</v>
      </c>
      <c r="D1372" s="562">
        <v>1</v>
      </c>
      <c r="E1372" s="562">
        <v>7</v>
      </c>
      <c r="F1372" s="562" t="s">
        <v>191</v>
      </c>
      <c r="G1372" s="562" t="s">
        <v>191</v>
      </c>
      <c r="H1372" s="562" t="s">
        <v>191</v>
      </c>
    </row>
    <row r="1373" spans="1:8" x14ac:dyDescent="0.2">
      <c r="A1373" s="562" t="s">
        <v>237</v>
      </c>
      <c r="B1373" s="562" t="s">
        <v>1165</v>
      </c>
      <c r="C1373" s="562" t="s">
        <v>1204</v>
      </c>
      <c r="D1373" s="562">
        <v>1</v>
      </c>
      <c r="E1373" s="562">
        <v>7</v>
      </c>
      <c r="F1373" s="562" t="s">
        <v>191</v>
      </c>
      <c r="G1373" s="562" t="s">
        <v>191</v>
      </c>
      <c r="H1373" s="562" t="s">
        <v>191</v>
      </c>
    </row>
    <row r="1374" spans="1:8" x14ac:dyDescent="0.2">
      <c r="A1374" s="562" t="s">
        <v>237</v>
      </c>
      <c r="B1374" s="562" t="s">
        <v>1165</v>
      </c>
      <c r="C1374" s="562" t="s">
        <v>1205</v>
      </c>
      <c r="D1374" s="562">
        <v>2</v>
      </c>
      <c r="E1374" s="562">
        <v>7</v>
      </c>
      <c r="F1374" s="562" t="s">
        <v>191</v>
      </c>
      <c r="G1374" s="562" t="s">
        <v>191</v>
      </c>
      <c r="H1374" s="562" t="s">
        <v>191</v>
      </c>
    </row>
    <row r="1375" spans="1:8" x14ac:dyDescent="0.2">
      <c r="A1375" s="562" t="s">
        <v>237</v>
      </c>
      <c r="B1375" s="562" t="s">
        <v>1165</v>
      </c>
      <c r="C1375" s="562" t="s">
        <v>1206</v>
      </c>
      <c r="D1375" s="562">
        <v>1</v>
      </c>
      <c r="E1375" s="562">
        <v>6</v>
      </c>
      <c r="F1375" s="562" t="s">
        <v>184</v>
      </c>
      <c r="G1375" s="562" t="s">
        <v>191</v>
      </c>
      <c r="H1375" s="562" t="s">
        <v>191</v>
      </c>
    </row>
    <row r="1376" spans="1:8" x14ac:dyDescent="0.2">
      <c r="A1376" s="562" t="s">
        <v>237</v>
      </c>
      <c r="B1376" s="562" t="s">
        <v>1165</v>
      </c>
      <c r="C1376" s="562" t="s">
        <v>401</v>
      </c>
      <c r="D1376" s="562">
        <v>1</v>
      </c>
      <c r="E1376" s="562">
        <v>7</v>
      </c>
      <c r="F1376" s="562" t="s">
        <v>191</v>
      </c>
      <c r="G1376" s="562" t="s">
        <v>191</v>
      </c>
      <c r="H1376" s="562" t="s">
        <v>191</v>
      </c>
    </row>
    <row r="1377" spans="1:8" x14ac:dyDescent="0.2">
      <c r="A1377" s="562" t="s">
        <v>237</v>
      </c>
      <c r="B1377" s="562" t="s">
        <v>1165</v>
      </c>
      <c r="C1377" s="562" t="s">
        <v>402</v>
      </c>
      <c r="D1377" s="562">
        <v>1</v>
      </c>
      <c r="E1377" s="562">
        <v>6</v>
      </c>
      <c r="F1377" s="562" t="s">
        <v>184</v>
      </c>
      <c r="G1377" s="562" t="s">
        <v>191</v>
      </c>
      <c r="H1377" s="562" t="s">
        <v>191</v>
      </c>
    </row>
    <row r="1378" spans="1:8" x14ac:dyDescent="0.2">
      <c r="A1378" s="562" t="s">
        <v>237</v>
      </c>
      <c r="B1378" s="562" t="s">
        <v>1165</v>
      </c>
      <c r="C1378" s="562" t="s">
        <v>1207</v>
      </c>
      <c r="D1378" s="562">
        <v>1</v>
      </c>
      <c r="E1378" s="562">
        <v>6</v>
      </c>
      <c r="F1378" s="562" t="s">
        <v>184</v>
      </c>
      <c r="G1378" s="562" t="s">
        <v>191</v>
      </c>
      <c r="H1378" s="562" t="s">
        <v>191</v>
      </c>
    </row>
    <row r="1379" spans="1:8" x14ac:dyDescent="0.2">
      <c r="A1379" s="562" t="s">
        <v>237</v>
      </c>
      <c r="B1379" s="562" t="s">
        <v>1165</v>
      </c>
      <c r="C1379" s="562" t="s">
        <v>1208</v>
      </c>
      <c r="D1379" s="562">
        <v>1</v>
      </c>
      <c r="E1379" s="562">
        <v>7</v>
      </c>
      <c r="F1379" s="562" t="s">
        <v>191</v>
      </c>
      <c r="G1379" s="562" t="s">
        <v>191</v>
      </c>
      <c r="H1379" s="562" t="s">
        <v>191</v>
      </c>
    </row>
    <row r="1380" spans="1:8" x14ac:dyDescent="0.2">
      <c r="A1380" s="562" t="s">
        <v>237</v>
      </c>
      <c r="B1380" s="562" t="s">
        <v>1165</v>
      </c>
      <c r="C1380" s="562" t="s">
        <v>1209</v>
      </c>
      <c r="D1380" s="562">
        <v>1</v>
      </c>
      <c r="E1380" s="562">
        <v>6</v>
      </c>
      <c r="F1380" s="562" t="s">
        <v>184</v>
      </c>
      <c r="G1380" s="562" t="s">
        <v>191</v>
      </c>
      <c r="H1380" s="562" t="s">
        <v>191</v>
      </c>
    </row>
    <row r="1381" spans="1:8" x14ac:dyDescent="0.2">
      <c r="A1381" s="562" t="s">
        <v>237</v>
      </c>
      <c r="B1381" s="562" t="s">
        <v>1165</v>
      </c>
      <c r="C1381" s="562" t="s">
        <v>1210</v>
      </c>
      <c r="D1381" s="562">
        <v>1</v>
      </c>
      <c r="E1381" s="562">
        <v>6</v>
      </c>
      <c r="F1381" s="562" t="s">
        <v>184</v>
      </c>
      <c r="G1381" s="562" t="s">
        <v>191</v>
      </c>
      <c r="H1381" s="562" t="s">
        <v>191</v>
      </c>
    </row>
    <row r="1382" spans="1:8" x14ac:dyDescent="0.2">
      <c r="A1382" s="562" t="s">
        <v>237</v>
      </c>
      <c r="B1382" s="562" t="s">
        <v>1165</v>
      </c>
      <c r="C1382" s="562" t="s">
        <v>939</v>
      </c>
      <c r="D1382" s="562">
        <v>1</v>
      </c>
      <c r="E1382" s="562">
        <v>6</v>
      </c>
      <c r="F1382" s="562" t="s">
        <v>184</v>
      </c>
      <c r="G1382" s="562" t="s">
        <v>191</v>
      </c>
      <c r="H1382" s="562" t="s">
        <v>191</v>
      </c>
    </row>
    <row r="1383" spans="1:8" x14ac:dyDescent="0.2">
      <c r="A1383" s="562" t="s">
        <v>237</v>
      </c>
      <c r="B1383" s="562" t="s">
        <v>1165</v>
      </c>
      <c r="C1383" s="562" t="s">
        <v>1211</v>
      </c>
      <c r="D1383" s="562">
        <v>1</v>
      </c>
      <c r="E1383" s="562">
        <v>6</v>
      </c>
      <c r="F1383" s="562" t="s">
        <v>184</v>
      </c>
      <c r="G1383" s="562" t="s">
        <v>191</v>
      </c>
      <c r="H1383" s="562" t="s">
        <v>191</v>
      </c>
    </row>
    <row r="1384" spans="1:8" x14ac:dyDescent="0.2">
      <c r="A1384" s="562" t="s">
        <v>237</v>
      </c>
      <c r="B1384" s="562" t="s">
        <v>1165</v>
      </c>
      <c r="C1384" s="562" t="s">
        <v>1212</v>
      </c>
      <c r="D1384" s="562">
        <v>1</v>
      </c>
      <c r="E1384" s="562">
        <v>7</v>
      </c>
      <c r="F1384" s="562" t="s">
        <v>191</v>
      </c>
      <c r="G1384" s="562" t="s">
        <v>191</v>
      </c>
      <c r="H1384" s="562" t="s">
        <v>191</v>
      </c>
    </row>
    <row r="1385" spans="1:8" x14ac:dyDescent="0.2">
      <c r="A1385" s="562" t="s">
        <v>237</v>
      </c>
      <c r="B1385" s="562" t="s">
        <v>1165</v>
      </c>
      <c r="C1385" s="562" t="s">
        <v>1213</v>
      </c>
      <c r="D1385" s="562">
        <v>2</v>
      </c>
      <c r="E1385" s="562">
        <v>7</v>
      </c>
      <c r="F1385" s="562" t="s">
        <v>191</v>
      </c>
      <c r="G1385" s="562" t="s">
        <v>191</v>
      </c>
      <c r="H1385" s="562" t="s">
        <v>191</v>
      </c>
    </row>
    <row r="1386" spans="1:8" x14ac:dyDescent="0.2">
      <c r="A1386" s="562" t="s">
        <v>237</v>
      </c>
      <c r="B1386" s="562" t="s">
        <v>1165</v>
      </c>
      <c r="C1386" s="562" t="s">
        <v>407</v>
      </c>
      <c r="D1386" s="562">
        <v>1</v>
      </c>
      <c r="E1386" s="562">
        <v>6</v>
      </c>
      <c r="F1386" s="562" t="s">
        <v>184</v>
      </c>
      <c r="G1386" s="562" t="s">
        <v>191</v>
      </c>
      <c r="H1386" s="562" t="s">
        <v>191</v>
      </c>
    </row>
    <row r="1387" spans="1:8" x14ac:dyDescent="0.2">
      <c r="A1387" s="562" t="s">
        <v>237</v>
      </c>
      <c r="B1387" s="562" t="s">
        <v>1165</v>
      </c>
      <c r="C1387" s="562" t="s">
        <v>1214</v>
      </c>
      <c r="D1387" s="562">
        <v>1</v>
      </c>
      <c r="E1387" s="562">
        <v>6</v>
      </c>
      <c r="F1387" s="562" t="s">
        <v>184</v>
      </c>
      <c r="G1387" s="562" t="s">
        <v>191</v>
      </c>
      <c r="H1387" s="562" t="s">
        <v>191</v>
      </c>
    </row>
    <row r="1388" spans="1:8" x14ac:dyDescent="0.2">
      <c r="A1388" s="562" t="s">
        <v>237</v>
      </c>
      <c r="B1388" s="562" t="s">
        <v>1165</v>
      </c>
      <c r="C1388" s="562" t="s">
        <v>1215</v>
      </c>
      <c r="D1388" s="562">
        <v>1</v>
      </c>
      <c r="E1388" s="562">
        <v>6</v>
      </c>
      <c r="F1388" s="562" t="s">
        <v>184</v>
      </c>
      <c r="G1388" s="562" t="s">
        <v>191</v>
      </c>
      <c r="H1388" s="562" t="s">
        <v>191</v>
      </c>
    </row>
    <row r="1389" spans="1:8" x14ac:dyDescent="0.2">
      <c r="A1389" s="562" t="s">
        <v>237</v>
      </c>
      <c r="B1389" s="562" t="s">
        <v>1165</v>
      </c>
      <c r="C1389" s="562" t="s">
        <v>1216</v>
      </c>
      <c r="D1389" s="562">
        <v>1</v>
      </c>
      <c r="E1389" s="562">
        <v>6</v>
      </c>
      <c r="F1389" s="562" t="s">
        <v>184</v>
      </c>
      <c r="G1389" s="562" t="s">
        <v>191</v>
      </c>
      <c r="H1389" s="562" t="s">
        <v>191</v>
      </c>
    </row>
    <row r="1390" spans="1:8" x14ac:dyDescent="0.2">
      <c r="A1390" s="562" t="s">
        <v>237</v>
      </c>
      <c r="B1390" s="562" t="s">
        <v>1165</v>
      </c>
      <c r="C1390" s="562" t="s">
        <v>1217</v>
      </c>
      <c r="D1390" s="562">
        <v>1</v>
      </c>
      <c r="E1390" s="562">
        <v>6</v>
      </c>
      <c r="F1390" s="562" t="s">
        <v>184</v>
      </c>
      <c r="G1390" s="562" t="s">
        <v>191</v>
      </c>
      <c r="H1390" s="562" t="s">
        <v>191</v>
      </c>
    </row>
    <row r="1391" spans="1:8" x14ac:dyDescent="0.2">
      <c r="A1391" s="562" t="s">
        <v>237</v>
      </c>
      <c r="B1391" s="562" t="s">
        <v>1165</v>
      </c>
      <c r="C1391" s="562" t="s">
        <v>949</v>
      </c>
      <c r="D1391" s="562">
        <v>1</v>
      </c>
      <c r="E1391" s="562">
        <v>6</v>
      </c>
      <c r="F1391" s="562" t="s">
        <v>184</v>
      </c>
      <c r="G1391" s="562" t="s">
        <v>191</v>
      </c>
      <c r="H1391" s="562" t="s">
        <v>191</v>
      </c>
    </row>
    <row r="1392" spans="1:8" x14ac:dyDescent="0.2">
      <c r="A1392" s="562" t="s">
        <v>237</v>
      </c>
      <c r="B1392" s="562" t="s">
        <v>1165</v>
      </c>
      <c r="C1392" s="562" t="s">
        <v>1218</v>
      </c>
      <c r="D1392" s="562">
        <v>1</v>
      </c>
      <c r="E1392" s="562">
        <v>6</v>
      </c>
      <c r="F1392" s="562" t="s">
        <v>184</v>
      </c>
      <c r="G1392" s="562" t="s">
        <v>191</v>
      </c>
      <c r="H1392" s="562" t="s">
        <v>191</v>
      </c>
    </row>
    <row r="1393" spans="1:8" x14ac:dyDescent="0.2">
      <c r="A1393" s="562" t="s">
        <v>237</v>
      </c>
      <c r="B1393" s="562" t="s">
        <v>1165</v>
      </c>
      <c r="C1393" s="562" t="s">
        <v>1010</v>
      </c>
      <c r="D1393" s="562">
        <v>1</v>
      </c>
      <c r="E1393" s="562">
        <v>6</v>
      </c>
      <c r="F1393" s="562" t="s">
        <v>184</v>
      </c>
      <c r="G1393" s="562" t="s">
        <v>191</v>
      </c>
      <c r="H1393" s="562" t="s">
        <v>191</v>
      </c>
    </row>
    <row r="1394" spans="1:8" x14ac:dyDescent="0.2">
      <c r="A1394" s="562" t="s">
        <v>237</v>
      </c>
      <c r="B1394" s="562" t="s">
        <v>1165</v>
      </c>
      <c r="C1394" s="562" t="s">
        <v>1219</v>
      </c>
      <c r="D1394" s="562">
        <v>1</v>
      </c>
      <c r="E1394" s="562">
        <v>6</v>
      </c>
      <c r="F1394" s="562" t="s">
        <v>184</v>
      </c>
      <c r="G1394" s="562" t="s">
        <v>191</v>
      </c>
      <c r="H1394" s="562" t="s">
        <v>191</v>
      </c>
    </row>
    <row r="1395" spans="1:8" x14ac:dyDescent="0.2">
      <c r="A1395" s="562" t="s">
        <v>237</v>
      </c>
      <c r="B1395" s="562" t="s">
        <v>1165</v>
      </c>
      <c r="C1395" s="562" t="s">
        <v>1220</v>
      </c>
      <c r="D1395" s="562">
        <v>1</v>
      </c>
      <c r="E1395" s="562">
        <v>6</v>
      </c>
      <c r="F1395" s="562" t="s">
        <v>184</v>
      </c>
      <c r="G1395" s="562" t="s">
        <v>191</v>
      </c>
      <c r="H1395" s="562" t="s">
        <v>191</v>
      </c>
    </row>
    <row r="1396" spans="1:8" x14ac:dyDescent="0.2">
      <c r="A1396" s="562" t="s">
        <v>237</v>
      </c>
      <c r="B1396" s="562" t="s">
        <v>1165</v>
      </c>
      <c r="C1396" s="562" t="s">
        <v>1221</v>
      </c>
      <c r="D1396" s="562">
        <v>1</v>
      </c>
      <c r="E1396" s="562">
        <v>7</v>
      </c>
      <c r="F1396" s="562" t="s">
        <v>191</v>
      </c>
      <c r="G1396" s="562" t="s">
        <v>191</v>
      </c>
      <c r="H1396" s="562" t="s">
        <v>191</v>
      </c>
    </row>
    <row r="1397" spans="1:8" x14ac:dyDescent="0.2">
      <c r="A1397" s="562" t="s">
        <v>237</v>
      </c>
      <c r="B1397" s="562" t="s">
        <v>1165</v>
      </c>
      <c r="C1397" s="562" t="s">
        <v>1222</v>
      </c>
      <c r="D1397" s="562">
        <v>1</v>
      </c>
      <c r="E1397" s="562">
        <v>6</v>
      </c>
      <c r="F1397" s="562" t="s">
        <v>184</v>
      </c>
      <c r="G1397" s="562" t="s">
        <v>191</v>
      </c>
      <c r="H1397" s="562" t="s">
        <v>191</v>
      </c>
    </row>
    <row r="1398" spans="1:8" x14ac:dyDescent="0.2">
      <c r="A1398" s="562" t="s">
        <v>237</v>
      </c>
      <c r="B1398" s="562" t="s">
        <v>1165</v>
      </c>
      <c r="C1398" s="562" t="s">
        <v>309</v>
      </c>
      <c r="D1398" s="562">
        <v>1</v>
      </c>
      <c r="E1398" s="562">
        <v>6</v>
      </c>
      <c r="F1398" s="562" t="s">
        <v>184</v>
      </c>
      <c r="G1398" s="562" t="s">
        <v>191</v>
      </c>
      <c r="H1398" s="562" t="s">
        <v>191</v>
      </c>
    </row>
    <row r="1399" spans="1:8" x14ac:dyDescent="0.2">
      <c r="A1399" s="562" t="s">
        <v>237</v>
      </c>
      <c r="B1399" s="562" t="s">
        <v>1165</v>
      </c>
      <c r="C1399" s="562" t="s">
        <v>1223</v>
      </c>
      <c r="D1399" s="562">
        <v>1</v>
      </c>
      <c r="E1399" s="562">
        <v>6</v>
      </c>
      <c r="F1399" s="562" t="s">
        <v>184</v>
      </c>
      <c r="G1399" s="562" t="s">
        <v>191</v>
      </c>
      <c r="H1399" s="562" t="s">
        <v>191</v>
      </c>
    </row>
    <row r="1400" spans="1:8" x14ac:dyDescent="0.2">
      <c r="A1400" s="562" t="s">
        <v>237</v>
      </c>
      <c r="B1400" s="562" t="s">
        <v>1165</v>
      </c>
      <c r="C1400" s="562" t="s">
        <v>1224</v>
      </c>
      <c r="D1400" s="562">
        <v>1</v>
      </c>
      <c r="E1400" s="562">
        <v>7</v>
      </c>
      <c r="F1400" s="562" t="s">
        <v>191</v>
      </c>
      <c r="G1400" s="562" t="s">
        <v>191</v>
      </c>
      <c r="H1400" s="562" t="s">
        <v>191</v>
      </c>
    </row>
    <row r="1401" spans="1:8" x14ac:dyDescent="0.2">
      <c r="A1401" s="562" t="s">
        <v>237</v>
      </c>
      <c r="B1401" s="562" t="s">
        <v>1165</v>
      </c>
      <c r="C1401" s="562" t="s">
        <v>1225</v>
      </c>
      <c r="D1401" s="562">
        <v>1</v>
      </c>
      <c r="E1401" s="562">
        <v>6</v>
      </c>
      <c r="F1401" s="562" t="s">
        <v>184</v>
      </c>
      <c r="G1401" s="562" t="s">
        <v>191</v>
      </c>
      <c r="H1401" s="562" t="s">
        <v>191</v>
      </c>
    </row>
    <row r="1402" spans="1:8" x14ac:dyDescent="0.2">
      <c r="A1402" s="562" t="s">
        <v>237</v>
      </c>
      <c r="B1402" s="562" t="s">
        <v>1165</v>
      </c>
      <c r="C1402" s="562" t="s">
        <v>889</v>
      </c>
      <c r="D1402" s="562">
        <v>1</v>
      </c>
      <c r="E1402" s="562">
        <v>6</v>
      </c>
      <c r="F1402" s="562" t="s">
        <v>184</v>
      </c>
      <c r="G1402" s="562" t="s">
        <v>191</v>
      </c>
      <c r="H1402" s="562" t="s">
        <v>191</v>
      </c>
    </row>
    <row r="1403" spans="1:8" x14ac:dyDescent="0.2">
      <c r="A1403" s="562" t="s">
        <v>237</v>
      </c>
      <c r="B1403" s="562" t="s">
        <v>1165</v>
      </c>
      <c r="C1403" s="562" t="s">
        <v>1226</v>
      </c>
      <c r="D1403" s="562">
        <v>1</v>
      </c>
      <c r="E1403" s="562">
        <v>6</v>
      </c>
      <c r="F1403" s="562" t="s">
        <v>184</v>
      </c>
      <c r="G1403" s="562" t="s">
        <v>191</v>
      </c>
      <c r="H1403" s="562" t="s">
        <v>191</v>
      </c>
    </row>
    <row r="1404" spans="1:8" x14ac:dyDescent="0.2">
      <c r="A1404" s="562" t="s">
        <v>239</v>
      </c>
      <c r="B1404" s="562" t="s">
        <v>1227</v>
      </c>
      <c r="C1404" s="562" t="s">
        <v>477</v>
      </c>
      <c r="D1404" s="562">
        <v>3</v>
      </c>
      <c r="E1404" s="562">
        <v>3</v>
      </c>
      <c r="F1404" s="562" t="s">
        <v>184</v>
      </c>
      <c r="G1404" s="562" t="s">
        <v>190</v>
      </c>
      <c r="H1404" s="562" t="s">
        <v>191</v>
      </c>
    </row>
    <row r="1405" spans="1:8" x14ac:dyDescent="0.2">
      <c r="A1405" s="562" t="s">
        <v>239</v>
      </c>
      <c r="B1405" s="562" t="s">
        <v>1227</v>
      </c>
      <c r="C1405" s="562" t="s">
        <v>1228</v>
      </c>
      <c r="D1405" s="562">
        <v>2</v>
      </c>
      <c r="E1405" s="562">
        <v>3</v>
      </c>
      <c r="F1405" s="562" t="s">
        <v>184</v>
      </c>
      <c r="G1405" s="562" t="s">
        <v>191</v>
      </c>
      <c r="H1405" s="562" t="s">
        <v>191</v>
      </c>
    </row>
    <row r="1406" spans="1:8" x14ac:dyDescent="0.2">
      <c r="A1406" s="562" t="s">
        <v>239</v>
      </c>
      <c r="B1406" s="562" t="s">
        <v>1227</v>
      </c>
      <c r="C1406" s="562" t="s">
        <v>1229</v>
      </c>
      <c r="D1406" s="562">
        <v>3</v>
      </c>
      <c r="E1406" s="562">
        <v>3</v>
      </c>
      <c r="F1406" s="562" t="s">
        <v>184</v>
      </c>
      <c r="G1406" s="562" t="s">
        <v>190</v>
      </c>
      <c r="H1406" s="562" t="s">
        <v>191</v>
      </c>
    </row>
    <row r="1407" spans="1:8" x14ac:dyDescent="0.2">
      <c r="A1407" s="562" t="s">
        <v>239</v>
      </c>
      <c r="B1407" s="562" t="s">
        <v>1227</v>
      </c>
      <c r="C1407" s="562" t="s">
        <v>1230</v>
      </c>
      <c r="D1407" s="562">
        <v>3</v>
      </c>
      <c r="E1407" s="562">
        <v>3</v>
      </c>
      <c r="F1407" s="562" t="s">
        <v>184</v>
      </c>
      <c r="G1407" s="562" t="s">
        <v>191</v>
      </c>
      <c r="H1407" s="562" t="s">
        <v>191</v>
      </c>
    </row>
    <row r="1408" spans="1:8" x14ac:dyDescent="0.2">
      <c r="A1408" s="562" t="s">
        <v>239</v>
      </c>
      <c r="B1408" s="562" t="s">
        <v>1227</v>
      </c>
      <c r="C1408" s="562" t="s">
        <v>364</v>
      </c>
      <c r="D1408" s="562">
        <v>3</v>
      </c>
      <c r="E1408" s="562">
        <v>3</v>
      </c>
      <c r="F1408" s="562" t="s">
        <v>184</v>
      </c>
      <c r="G1408" s="562" t="s">
        <v>191</v>
      </c>
      <c r="H1408" s="562" t="s">
        <v>191</v>
      </c>
    </row>
    <row r="1409" spans="1:8" x14ac:dyDescent="0.2">
      <c r="A1409" s="562" t="s">
        <v>239</v>
      </c>
      <c r="B1409" s="562" t="s">
        <v>1227</v>
      </c>
      <c r="C1409" s="562" t="s">
        <v>1231</v>
      </c>
      <c r="D1409" s="562">
        <v>3</v>
      </c>
      <c r="E1409" s="562">
        <v>3</v>
      </c>
      <c r="F1409" s="562" t="s">
        <v>184</v>
      </c>
      <c r="G1409" s="562" t="s">
        <v>191</v>
      </c>
      <c r="H1409" s="562" t="s">
        <v>191</v>
      </c>
    </row>
    <row r="1410" spans="1:8" x14ac:dyDescent="0.2">
      <c r="A1410" s="562" t="s">
        <v>239</v>
      </c>
      <c r="B1410" s="562" t="s">
        <v>1227</v>
      </c>
      <c r="C1410" s="562" t="s">
        <v>204</v>
      </c>
      <c r="D1410" s="562">
        <v>3</v>
      </c>
      <c r="E1410" s="562">
        <v>3</v>
      </c>
      <c r="F1410" s="562" t="s">
        <v>184</v>
      </c>
      <c r="G1410" s="562" t="s">
        <v>191</v>
      </c>
      <c r="H1410" s="562" t="s">
        <v>191</v>
      </c>
    </row>
    <row r="1411" spans="1:8" x14ac:dyDescent="0.2">
      <c r="A1411" s="562" t="s">
        <v>239</v>
      </c>
      <c r="B1411" s="562" t="s">
        <v>1227</v>
      </c>
      <c r="C1411" s="562" t="s">
        <v>367</v>
      </c>
      <c r="D1411" s="562">
        <v>3</v>
      </c>
      <c r="E1411" s="562">
        <v>3</v>
      </c>
      <c r="F1411" s="562" t="s">
        <v>184</v>
      </c>
      <c r="G1411" s="562" t="s">
        <v>191</v>
      </c>
      <c r="H1411" s="562" t="s">
        <v>191</v>
      </c>
    </row>
    <row r="1412" spans="1:8" x14ac:dyDescent="0.2">
      <c r="A1412" s="562" t="s">
        <v>239</v>
      </c>
      <c r="B1412" s="562" t="s">
        <v>1227</v>
      </c>
      <c r="C1412" s="562" t="s">
        <v>855</v>
      </c>
      <c r="D1412" s="562">
        <v>2</v>
      </c>
      <c r="E1412" s="562">
        <v>3</v>
      </c>
      <c r="F1412" s="562" t="s">
        <v>184</v>
      </c>
      <c r="G1412" s="562" t="s">
        <v>191</v>
      </c>
      <c r="H1412" s="562" t="s">
        <v>191</v>
      </c>
    </row>
    <row r="1413" spans="1:8" x14ac:dyDescent="0.2">
      <c r="A1413" s="562" t="s">
        <v>239</v>
      </c>
      <c r="B1413" s="562" t="s">
        <v>1227</v>
      </c>
      <c r="C1413" s="562" t="s">
        <v>212</v>
      </c>
      <c r="D1413" s="562">
        <v>3</v>
      </c>
      <c r="E1413" s="562">
        <v>3</v>
      </c>
      <c r="F1413" s="562" t="s">
        <v>184</v>
      </c>
      <c r="G1413" s="562" t="s">
        <v>191</v>
      </c>
      <c r="H1413" s="562" t="s">
        <v>191</v>
      </c>
    </row>
    <row r="1414" spans="1:8" x14ac:dyDescent="0.2">
      <c r="A1414" s="562" t="s">
        <v>239</v>
      </c>
      <c r="B1414" s="562" t="s">
        <v>1227</v>
      </c>
      <c r="C1414" s="562" t="s">
        <v>1026</v>
      </c>
      <c r="D1414" s="562">
        <v>3</v>
      </c>
      <c r="E1414" s="562">
        <v>3</v>
      </c>
      <c r="F1414" s="562" t="s">
        <v>184</v>
      </c>
      <c r="G1414" s="562" t="s">
        <v>190</v>
      </c>
      <c r="H1414" s="562" t="s">
        <v>191</v>
      </c>
    </row>
    <row r="1415" spans="1:8" x14ac:dyDescent="0.2">
      <c r="A1415" s="562" t="s">
        <v>239</v>
      </c>
      <c r="B1415" s="562" t="s">
        <v>1227</v>
      </c>
      <c r="C1415" s="562" t="s">
        <v>214</v>
      </c>
      <c r="D1415" s="562">
        <v>3</v>
      </c>
      <c r="E1415" s="562">
        <v>3</v>
      </c>
      <c r="F1415" s="562" t="s">
        <v>184</v>
      </c>
      <c r="G1415" s="562" t="s">
        <v>191</v>
      </c>
      <c r="H1415" s="562" t="s">
        <v>191</v>
      </c>
    </row>
    <row r="1416" spans="1:8" x14ac:dyDescent="0.2">
      <c r="A1416" s="562" t="s">
        <v>239</v>
      </c>
      <c r="B1416" s="562" t="s">
        <v>1227</v>
      </c>
      <c r="C1416" s="562" t="s">
        <v>216</v>
      </c>
      <c r="D1416" s="562">
        <v>2</v>
      </c>
      <c r="E1416" s="562">
        <v>3</v>
      </c>
      <c r="F1416" s="562" t="s">
        <v>184</v>
      </c>
      <c r="G1416" s="562" t="s">
        <v>191</v>
      </c>
      <c r="H1416" s="562" t="s">
        <v>191</v>
      </c>
    </row>
    <row r="1417" spans="1:8" x14ac:dyDescent="0.2">
      <c r="A1417" s="562" t="s">
        <v>239</v>
      </c>
      <c r="B1417" s="562" t="s">
        <v>1227</v>
      </c>
      <c r="C1417" s="562" t="s">
        <v>1232</v>
      </c>
      <c r="D1417" s="562">
        <v>3</v>
      </c>
      <c r="E1417" s="562">
        <v>3</v>
      </c>
      <c r="F1417" s="562" t="s">
        <v>184</v>
      </c>
      <c r="G1417" s="562" t="s">
        <v>191</v>
      </c>
      <c r="H1417" s="562" t="s">
        <v>191</v>
      </c>
    </row>
    <row r="1418" spans="1:8" x14ac:dyDescent="0.2">
      <c r="A1418" s="562" t="s">
        <v>239</v>
      </c>
      <c r="B1418" s="562" t="s">
        <v>1227</v>
      </c>
      <c r="C1418" s="562" t="s">
        <v>1233</v>
      </c>
      <c r="D1418" s="562">
        <v>3</v>
      </c>
      <c r="E1418" s="562">
        <v>3</v>
      </c>
      <c r="F1418" s="562" t="s">
        <v>184</v>
      </c>
      <c r="G1418" s="562" t="s">
        <v>190</v>
      </c>
      <c r="H1418" s="562" t="s">
        <v>191</v>
      </c>
    </row>
    <row r="1419" spans="1:8" x14ac:dyDescent="0.2">
      <c r="A1419" s="562" t="s">
        <v>239</v>
      </c>
      <c r="B1419" s="562" t="s">
        <v>1227</v>
      </c>
      <c r="C1419" s="562" t="s">
        <v>228</v>
      </c>
      <c r="D1419" s="562">
        <v>3</v>
      </c>
      <c r="E1419" s="562">
        <v>3</v>
      </c>
      <c r="F1419" s="562" t="s">
        <v>184</v>
      </c>
      <c r="G1419" s="562" t="s">
        <v>190</v>
      </c>
      <c r="H1419" s="562" t="s">
        <v>191</v>
      </c>
    </row>
    <row r="1420" spans="1:8" x14ac:dyDescent="0.2">
      <c r="A1420" s="562" t="s">
        <v>239</v>
      </c>
      <c r="B1420" s="562" t="s">
        <v>1227</v>
      </c>
      <c r="C1420" s="562" t="s">
        <v>1234</v>
      </c>
      <c r="D1420" s="562">
        <v>3</v>
      </c>
      <c r="E1420" s="562">
        <v>3</v>
      </c>
      <c r="F1420" s="562" t="s">
        <v>184</v>
      </c>
      <c r="G1420" s="562" t="s">
        <v>191</v>
      </c>
      <c r="H1420" s="562" t="s">
        <v>191</v>
      </c>
    </row>
    <row r="1421" spans="1:8" x14ac:dyDescent="0.2">
      <c r="A1421" s="562" t="s">
        <v>239</v>
      </c>
      <c r="B1421" s="562" t="s">
        <v>1227</v>
      </c>
      <c r="C1421" s="562" t="s">
        <v>1235</v>
      </c>
      <c r="D1421" s="562">
        <v>3</v>
      </c>
      <c r="E1421" s="562">
        <v>3</v>
      </c>
      <c r="F1421" s="562" t="s">
        <v>184</v>
      </c>
      <c r="G1421" s="562" t="s">
        <v>190</v>
      </c>
      <c r="H1421" s="562" t="s">
        <v>191</v>
      </c>
    </row>
    <row r="1422" spans="1:8" x14ac:dyDescent="0.2">
      <c r="A1422" s="562" t="s">
        <v>239</v>
      </c>
      <c r="B1422" s="562" t="s">
        <v>1227</v>
      </c>
      <c r="C1422" s="562" t="s">
        <v>248</v>
      </c>
      <c r="D1422" s="562">
        <v>3</v>
      </c>
      <c r="E1422" s="562">
        <v>3</v>
      </c>
      <c r="F1422" s="562" t="s">
        <v>184</v>
      </c>
      <c r="G1422" s="562" t="s">
        <v>190</v>
      </c>
      <c r="H1422" s="562" t="s">
        <v>191</v>
      </c>
    </row>
    <row r="1423" spans="1:8" x14ac:dyDescent="0.2">
      <c r="A1423" s="562" t="s">
        <v>239</v>
      </c>
      <c r="B1423" s="562" t="s">
        <v>1227</v>
      </c>
      <c r="C1423" s="562" t="s">
        <v>1236</v>
      </c>
      <c r="D1423" s="562">
        <v>3</v>
      </c>
      <c r="E1423" s="562">
        <v>3</v>
      </c>
      <c r="F1423" s="562" t="s">
        <v>184</v>
      </c>
      <c r="G1423" s="562" t="s">
        <v>190</v>
      </c>
      <c r="H1423" s="562" t="s">
        <v>191</v>
      </c>
    </row>
    <row r="1424" spans="1:8" x14ac:dyDescent="0.2">
      <c r="A1424" s="562" t="s">
        <v>239</v>
      </c>
      <c r="B1424" s="562" t="s">
        <v>1227</v>
      </c>
      <c r="C1424" s="562" t="s">
        <v>252</v>
      </c>
      <c r="D1424" s="562">
        <v>3</v>
      </c>
      <c r="E1424" s="562">
        <v>3</v>
      </c>
      <c r="F1424" s="562" t="s">
        <v>184</v>
      </c>
      <c r="G1424" s="562" t="s">
        <v>190</v>
      </c>
      <c r="H1424" s="562" t="s">
        <v>191</v>
      </c>
    </row>
    <row r="1425" spans="1:8" x14ac:dyDescent="0.2">
      <c r="A1425" s="562" t="s">
        <v>239</v>
      </c>
      <c r="B1425" s="562" t="s">
        <v>1227</v>
      </c>
      <c r="C1425" s="562" t="s">
        <v>1237</v>
      </c>
      <c r="D1425" s="562">
        <v>3</v>
      </c>
      <c r="E1425" s="562">
        <v>3</v>
      </c>
      <c r="F1425" s="562" t="s">
        <v>184</v>
      </c>
      <c r="G1425" s="562" t="s">
        <v>191</v>
      </c>
      <c r="H1425" s="562" t="s">
        <v>191</v>
      </c>
    </row>
    <row r="1426" spans="1:8" x14ac:dyDescent="0.2">
      <c r="A1426" s="562" t="s">
        <v>239</v>
      </c>
      <c r="B1426" s="562" t="s">
        <v>1227</v>
      </c>
      <c r="C1426" s="562" t="s">
        <v>650</v>
      </c>
      <c r="D1426" s="562">
        <v>3</v>
      </c>
      <c r="E1426" s="562">
        <v>2</v>
      </c>
      <c r="F1426" s="562" t="s">
        <v>184</v>
      </c>
      <c r="G1426" s="562" t="s">
        <v>190</v>
      </c>
      <c r="H1426" s="562" t="s">
        <v>191</v>
      </c>
    </row>
    <row r="1427" spans="1:8" x14ac:dyDescent="0.2">
      <c r="A1427" s="562" t="s">
        <v>239</v>
      </c>
      <c r="B1427" s="562" t="s">
        <v>1227</v>
      </c>
      <c r="C1427" s="562" t="s">
        <v>813</v>
      </c>
      <c r="D1427" s="562">
        <v>3</v>
      </c>
      <c r="E1427" s="562">
        <v>2</v>
      </c>
      <c r="F1427" s="562" t="s">
        <v>184</v>
      </c>
      <c r="G1427" s="562" t="s">
        <v>190</v>
      </c>
      <c r="H1427" s="562" t="s">
        <v>191</v>
      </c>
    </row>
    <row r="1428" spans="1:8" x14ac:dyDescent="0.2">
      <c r="A1428" s="562" t="s">
        <v>239</v>
      </c>
      <c r="B1428" s="562" t="s">
        <v>1227</v>
      </c>
      <c r="C1428" s="562" t="s">
        <v>1238</v>
      </c>
      <c r="D1428" s="562">
        <v>3</v>
      </c>
      <c r="E1428" s="562">
        <v>3</v>
      </c>
      <c r="F1428" s="562" t="s">
        <v>184</v>
      </c>
      <c r="G1428" s="562" t="s">
        <v>190</v>
      </c>
      <c r="H1428" s="562" t="s">
        <v>191</v>
      </c>
    </row>
    <row r="1429" spans="1:8" x14ac:dyDescent="0.2">
      <c r="A1429" s="562" t="s">
        <v>239</v>
      </c>
      <c r="B1429" s="562" t="s">
        <v>1227</v>
      </c>
      <c r="C1429" s="562" t="s">
        <v>571</v>
      </c>
      <c r="D1429" s="562">
        <v>3</v>
      </c>
      <c r="E1429" s="562">
        <v>3</v>
      </c>
      <c r="F1429" s="562" t="s">
        <v>184</v>
      </c>
      <c r="G1429" s="562" t="s">
        <v>191</v>
      </c>
      <c r="H1429" s="562" t="s">
        <v>191</v>
      </c>
    </row>
    <row r="1430" spans="1:8" x14ac:dyDescent="0.2">
      <c r="A1430" s="562" t="s">
        <v>239</v>
      </c>
      <c r="B1430" s="562" t="s">
        <v>1227</v>
      </c>
      <c r="C1430" s="562" t="s">
        <v>1239</v>
      </c>
      <c r="D1430" s="562">
        <v>3</v>
      </c>
      <c r="E1430" s="562">
        <v>3</v>
      </c>
      <c r="F1430" s="562" t="s">
        <v>184</v>
      </c>
      <c r="G1430" s="562" t="s">
        <v>191</v>
      </c>
      <c r="H1430" s="562" t="s">
        <v>191</v>
      </c>
    </row>
    <row r="1431" spans="1:8" x14ac:dyDescent="0.2">
      <c r="A1431" s="562" t="s">
        <v>239</v>
      </c>
      <c r="B1431" s="562" t="s">
        <v>1227</v>
      </c>
      <c r="C1431" s="562" t="s">
        <v>1240</v>
      </c>
      <c r="D1431" s="562">
        <v>3</v>
      </c>
      <c r="E1431" s="562">
        <v>3</v>
      </c>
      <c r="F1431" s="562" t="s">
        <v>184</v>
      </c>
      <c r="G1431" s="562" t="s">
        <v>191</v>
      </c>
      <c r="H1431" s="562" t="s">
        <v>191</v>
      </c>
    </row>
    <row r="1432" spans="1:8" x14ac:dyDescent="0.2">
      <c r="A1432" s="562" t="s">
        <v>239</v>
      </c>
      <c r="B1432" s="562" t="s">
        <v>1227</v>
      </c>
      <c r="C1432" s="562" t="s">
        <v>1241</v>
      </c>
      <c r="D1432" s="562">
        <v>3</v>
      </c>
      <c r="E1432" s="562">
        <v>3</v>
      </c>
      <c r="F1432" s="562" t="s">
        <v>184</v>
      </c>
      <c r="G1432" s="562" t="s">
        <v>191</v>
      </c>
      <c r="H1432" s="562" t="s">
        <v>191</v>
      </c>
    </row>
    <row r="1433" spans="1:8" x14ac:dyDescent="0.2">
      <c r="A1433" s="562" t="s">
        <v>239</v>
      </c>
      <c r="B1433" s="562" t="s">
        <v>1227</v>
      </c>
      <c r="C1433" s="562" t="s">
        <v>259</v>
      </c>
      <c r="D1433" s="562">
        <v>3</v>
      </c>
      <c r="E1433" s="562">
        <v>2</v>
      </c>
      <c r="F1433" s="562" t="s">
        <v>184</v>
      </c>
      <c r="G1433" s="562" t="s">
        <v>190</v>
      </c>
      <c r="H1433" s="562" t="s">
        <v>191</v>
      </c>
    </row>
    <row r="1434" spans="1:8" x14ac:dyDescent="0.2">
      <c r="A1434" s="562" t="s">
        <v>239</v>
      </c>
      <c r="B1434" s="562" t="s">
        <v>1227</v>
      </c>
      <c r="C1434" s="562" t="s">
        <v>656</v>
      </c>
      <c r="D1434" s="562">
        <v>3</v>
      </c>
      <c r="E1434" s="562">
        <v>3</v>
      </c>
      <c r="F1434" s="562" t="s">
        <v>184</v>
      </c>
      <c r="G1434" s="562" t="s">
        <v>191</v>
      </c>
      <c r="H1434" s="562" t="s">
        <v>191</v>
      </c>
    </row>
    <row r="1435" spans="1:8" x14ac:dyDescent="0.2">
      <c r="A1435" s="562" t="s">
        <v>239</v>
      </c>
      <c r="B1435" s="562" t="s">
        <v>1227</v>
      </c>
      <c r="C1435" s="562" t="s">
        <v>261</v>
      </c>
      <c r="D1435" s="562">
        <v>3</v>
      </c>
      <c r="E1435" s="562">
        <v>3</v>
      </c>
      <c r="F1435" s="562" t="s">
        <v>184</v>
      </c>
      <c r="G1435" s="562" t="s">
        <v>190</v>
      </c>
      <c r="H1435" s="562" t="s">
        <v>191</v>
      </c>
    </row>
    <row r="1436" spans="1:8" x14ac:dyDescent="0.2">
      <c r="A1436" s="562" t="s">
        <v>239</v>
      </c>
      <c r="B1436" s="562" t="s">
        <v>1227</v>
      </c>
      <c r="C1436" s="562" t="s">
        <v>1034</v>
      </c>
      <c r="D1436" s="562">
        <v>3</v>
      </c>
      <c r="E1436" s="562">
        <v>3</v>
      </c>
      <c r="F1436" s="562" t="s">
        <v>184</v>
      </c>
      <c r="G1436" s="562" t="s">
        <v>190</v>
      </c>
      <c r="H1436" s="562" t="s">
        <v>191</v>
      </c>
    </row>
    <row r="1437" spans="1:8" x14ac:dyDescent="0.2">
      <c r="A1437" s="562" t="s">
        <v>239</v>
      </c>
      <c r="B1437" s="562" t="s">
        <v>1227</v>
      </c>
      <c r="C1437" s="562" t="s">
        <v>659</v>
      </c>
      <c r="D1437" s="562">
        <v>3</v>
      </c>
      <c r="E1437" s="562">
        <v>3</v>
      </c>
      <c r="F1437" s="562" t="s">
        <v>184</v>
      </c>
      <c r="G1437" s="562" t="s">
        <v>190</v>
      </c>
      <c r="H1437" s="562" t="s">
        <v>191</v>
      </c>
    </row>
    <row r="1438" spans="1:8" x14ac:dyDescent="0.2">
      <c r="A1438" s="562" t="s">
        <v>239</v>
      </c>
      <c r="B1438" s="562" t="s">
        <v>1227</v>
      </c>
      <c r="C1438" s="562" t="s">
        <v>1242</v>
      </c>
      <c r="D1438" s="562">
        <v>3</v>
      </c>
      <c r="E1438" s="562">
        <v>3</v>
      </c>
      <c r="F1438" s="562" t="s">
        <v>184</v>
      </c>
      <c r="G1438" s="562" t="s">
        <v>191</v>
      </c>
      <c r="H1438" s="562" t="s">
        <v>191</v>
      </c>
    </row>
    <row r="1439" spans="1:8" x14ac:dyDescent="0.2">
      <c r="A1439" s="562" t="s">
        <v>239</v>
      </c>
      <c r="B1439" s="562" t="s">
        <v>1227</v>
      </c>
      <c r="C1439" s="562" t="s">
        <v>389</v>
      </c>
      <c r="D1439" s="562">
        <v>3</v>
      </c>
      <c r="E1439" s="562">
        <v>3</v>
      </c>
      <c r="F1439" s="562" t="s">
        <v>184</v>
      </c>
      <c r="G1439" s="562" t="s">
        <v>191</v>
      </c>
      <c r="H1439" s="562" t="s">
        <v>191</v>
      </c>
    </row>
    <row r="1440" spans="1:8" x14ac:dyDescent="0.2">
      <c r="A1440" s="562" t="s">
        <v>239</v>
      </c>
      <c r="B1440" s="562" t="s">
        <v>1227</v>
      </c>
      <c r="C1440" s="562" t="s">
        <v>263</v>
      </c>
      <c r="D1440" s="562">
        <v>3</v>
      </c>
      <c r="E1440" s="562">
        <v>3</v>
      </c>
      <c r="F1440" s="562" t="s">
        <v>184</v>
      </c>
      <c r="G1440" s="562" t="s">
        <v>190</v>
      </c>
      <c r="H1440" s="562" t="s">
        <v>191</v>
      </c>
    </row>
    <row r="1441" spans="1:8" x14ac:dyDescent="0.2">
      <c r="A1441" s="562" t="s">
        <v>239</v>
      </c>
      <c r="B1441" s="562" t="s">
        <v>1227</v>
      </c>
      <c r="C1441" s="562" t="s">
        <v>265</v>
      </c>
      <c r="D1441" s="562">
        <v>3</v>
      </c>
      <c r="E1441" s="562">
        <v>3</v>
      </c>
      <c r="F1441" s="562" t="s">
        <v>184</v>
      </c>
      <c r="G1441" s="562" t="s">
        <v>191</v>
      </c>
      <c r="H1441" s="562" t="s">
        <v>191</v>
      </c>
    </row>
    <row r="1442" spans="1:8" x14ac:dyDescent="0.2">
      <c r="A1442" s="562" t="s">
        <v>239</v>
      </c>
      <c r="B1442" s="562" t="s">
        <v>1227</v>
      </c>
      <c r="C1442" s="562" t="s">
        <v>267</v>
      </c>
      <c r="D1442" s="562">
        <v>3</v>
      </c>
      <c r="E1442" s="562">
        <v>3</v>
      </c>
      <c r="F1442" s="562" t="s">
        <v>184</v>
      </c>
      <c r="G1442" s="562" t="s">
        <v>190</v>
      </c>
      <c r="H1442" s="562" t="s">
        <v>191</v>
      </c>
    </row>
    <row r="1443" spans="1:8" x14ac:dyDescent="0.2">
      <c r="A1443" s="562" t="s">
        <v>239</v>
      </c>
      <c r="B1443" s="562" t="s">
        <v>1227</v>
      </c>
      <c r="C1443" s="562" t="s">
        <v>1243</v>
      </c>
      <c r="D1443" s="562">
        <v>3</v>
      </c>
      <c r="E1443" s="562">
        <v>3</v>
      </c>
      <c r="F1443" s="562" t="s">
        <v>184</v>
      </c>
      <c r="G1443" s="562" t="s">
        <v>191</v>
      </c>
      <c r="H1443" s="562" t="s">
        <v>191</v>
      </c>
    </row>
    <row r="1444" spans="1:8" x14ac:dyDescent="0.2">
      <c r="A1444" s="562" t="s">
        <v>239</v>
      </c>
      <c r="B1444" s="562" t="s">
        <v>1227</v>
      </c>
      <c r="C1444" s="562" t="s">
        <v>269</v>
      </c>
      <c r="D1444" s="562">
        <v>2</v>
      </c>
      <c r="E1444" s="562">
        <v>3</v>
      </c>
      <c r="F1444" s="562" t="s">
        <v>184</v>
      </c>
      <c r="G1444" s="562" t="s">
        <v>191</v>
      </c>
      <c r="H1444" s="562" t="s">
        <v>191</v>
      </c>
    </row>
    <row r="1445" spans="1:8" x14ac:dyDescent="0.2">
      <c r="A1445" s="562" t="s">
        <v>239</v>
      </c>
      <c r="B1445" s="562" t="s">
        <v>1227</v>
      </c>
      <c r="C1445" s="562" t="s">
        <v>1244</v>
      </c>
      <c r="D1445" s="562">
        <v>3</v>
      </c>
      <c r="E1445" s="562">
        <v>3</v>
      </c>
      <c r="F1445" s="562" t="s">
        <v>184</v>
      </c>
      <c r="G1445" s="562" t="s">
        <v>191</v>
      </c>
      <c r="H1445" s="562" t="s">
        <v>191</v>
      </c>
    </row>
    <row r="1446" spans="1:8" x14ac:dyDescent="0.2">
      <c r="A1446" s="562" t="s">
        <v>239</v>
      </c>
      <c r="B1446" s="562" t="s">
        <v>1227</v>
      </c>
      <c r="C1446" s="562" t="s">
        <v>390</v>
      </c>
      <c r="D1446" s="562">
        <v>3</v>
      </c>
      <c r="E1446" s="562">
        <v>3</v>
      </c>
      <c r="F1446" s="562" t="s">
        <v>184</v>
      </c>
      <c r="G1446" s="562" t="s">
        <v>190</v>
      </c>
      <c r="H1446" s="562" t="s">
        <v>191</v>
      </c>
    </row>
    <row r="1447" spans="1:8" x14ac:dyDescent="0.2">
      <c r="A1447" s="562" t="s">
        <v>239</v>
      </c>
      <c r="B1447" s="562" t="s">
        <v>1227</v>
      </c>
      <c r="C1447" s="562" t="s">
        <v>273</v>
      </c>
      <c r="D1447" s="562">
        <v>2</v>
      </c>
      <c r="E1447" s="562">
        <v>3</v>
      </c>
      <c r="F1447" s="562" t="s">
        <v>184</v>
      </c>
      <c r="G1447" s="562" t="s">
        <v>191</v>
      </c>
      <c r="H1447" s="562" t="s">
        <v>191</v>
      </c>
    </row>
    <row r="1448" spans="1:8" x14ac:dyDescent="0.2">
      <c r="A1448" s="562" t="s">
        <v>239</v>
      </c>
      <c r="B1448" s="562" t="s">
        <v>1227</v>
      </c>
      <c r="C1448" s="562" t="s">
        <v>277</v>
      </c>
      <c r="D1448" s="562">
        <v>3</v>
      </c>
      <c r="E1448" s="562">
        <v>3</v>
      </c>
      <c r="F1448" s="562" t="s">
        <v>184</v>
      </c>
      <c r="G1448" s="562" t="s">
        <v>191</v>
      </c>
      <c r="H1448" s="562" t="s">
        <v>191</v>
      </c>
    </row>
    <row r="1449" spans="1:8" x14ac:dyDescent="0.2">
      <c r="A1449" s="562" t="s">
        <v>239</v>
      </c>
      <c r="B1449" s="562" t="s">
        <v>1227</v>
      </c>
      <c r="C1449" s="562" t="s">
        <v>281</v>
      </c>
      <c r="D1449" s="562">
        <v>3</v>
      </c>
      <c r="E1449" s="562">
        <v>3</v>
      </c>
      <c r="F1449" s="562" t="s">
        <v>184</v>
      </c>
      <c r="G1449" s="562" t="s">
        <v>190</v>
      </c>
      <c r="H1449" s="562" t="s">
        <v>191</v>
      </c>
    </row>
    <row r="1450" spans="1:8" x14ac:dyDescent="0.2">
      <c r="A1450" s="562" t="s">
        <v>239</v>
      </c>
      <c r="B1450" s="562" t="s">
        <v>1227</v>
      </c>
      <c r="C1450" s="562" t="s">
        <v>283</v>
      </c>
      <c r="D1450" s="562">
        <v>3</v>
      </c>
      <c r="E1450" s="562">
        <v>3</v>
      </c>
      <c r="F1450" s="562" t="s">
        <v>184</v>
      </c>
      <c r="G1450" s="562" t="s">
        <v>191</v>
      </c>
      <c r="H1450" s="562" t="s">
        <v>191</v>
      </c>
    </row>
    <row r="1451" spans="1:8" x14ac:dyDescent="0.2">
      <c r="A1451" s="562" t="s">
        <v>239</v>
      </c>
      <c r="B1451" s="562" t="s">
        <v>1227</v>
      </c>
      <c r="C1451" s="562" t="s">
        <v>287</v>
      </c>
      <c r="D1451" s="562">
        <v>3</v>
      </c>
      <c r="E1451" s="562">
        <v>3</v>
      </c>
      <c r="F1451" s="562" t="s">
        <v>184</v>
      </c>
      <c r="G1451" s="562" t="s">
        <v>191</v>
      </c>
      <c r="H1451" s="562" t="s">
        <v>191</v>
      </c>
    </row>
    <row r="1452" spans="1:8" x14ac:dyDescent="0.2">
      <c r="A1452" s="562" t="s">
        <v>239</v>
      </c>
      <c r="B1452" s="562" t="s">
        <v>1227</v>
      </c>
      <c r="C1452" s="562" t="s">
        <v>289</v>
      </c>
      <c r="D1452" s="562">
        <v>3</v>
      </c>
      <c r="E1452" s="562">
        <v>3</v>
      </c>
      <c r="F1452" s="562" t="s">
        <v>184</v>
      </c>
      <c r="G1452" s="562" t="s">
        <v>191</v>
      </c>
      <c r="H1452" s="562" t="s">
        <v>191</v>
      </c>
    </row>
    <row r="1453" spans="1:8" x14ac:dyDescent="0.2">
      <c r="A1453" s="562" t="s">
        <v>239</v>
      </c>
      <c r="B1453" s="562" t="s">
        <v>1227</v>
      </c>
      <c r="C1453" s="562" t="s">
        <v>1245</v>
      </c>
      <c r="D1453" s="562">
        <v>3</v>
      </c>
      <c r="E1453" s="562">
        <v>3</v>
      </c>
      <c r="F1453" s="562" t="s">
        <v>184</v>
      </c>
      <c r="G1453" s="562" t="s">
        <v>191</v>
      </c>
      <c r="H1453" s="562" t="s">
        <v>191</v>
      </c>
    </row>
    <row r="1454" spans="1:8" x14ac:dyDescent="0.2">
      <c r="A1454" s="562" t="s">
        <v>239</v>
      </c>
      <c r="B1454" s="562" t="s">
        <v>1227</v>
      </c>
      <c r="C1454" s="562" t="s">
        <v>397</v>
      </c>
      <c r="D1454" s="562">
        <v>3</v>
      </c>
      <c r="E1454" s="562">
        <v>3</v>
      </c>
      <c r="F1454" s="562" t="s">
        <v>184</v>
      </c>
      <c r="G1454" s="562" t="s">
        <v>191</v>
      </c>
      <c r="H1454" s="562" t="s">
        <v>191</v>
      </c>
    </row>
    <row r="1455" spans="1:8" x14ac:dyDescent="0.2">
      <c r="A1455" s="562" t="s">
        <v>239</v>
      </c>
      <c r="B1455" s="562" t="s">
        <v>1227</v>
      </c>
      <c r="C1455" s="562" t="s">
        <v>1246</v>
      </c>
      <c r="D1455" s="562">
        <v>2</v>
      </c>
      <c r="E1455" s="562">
        <v>3</v>
      </c>
      <c r="F1455" s="562" t="s">
        <v>184</v>
      </c>
      <c r="G1455" s="562" t="s">
        <v>191</v>
      </c>
      <c r="H1455" s="562" t="s">
        <v>191</v>
      </c>
    </row>
    <row r="1456" spans="1:8" x14ac:dyDescent="0.2">
      <c r="A1456" s="562" t="s">
        <v>239</v>
      </c>
      <c r="B1456" s="562" t="s">
        <v>1227</v>
      </c>
      <c r="C1456" s="562" t="s">
        <v>1247</v>
      </c>
      <c r="D1456" s="562">
        <v>3</v>
      </c>
      <c r="E1456" s="562">
        <v>3</v>
      </c>
      <c r="F1456" s="562" t="s">
        <v>184</v>
      </c>
      <c r="G1456" s="562" t="s">
        <v>191</v>
      </c>
      <c r="H1456" s="562" t="s">
        <v>191</v>
      </c>
    </row>
    <row r="1457" spans="1:8" x14ac:dyDescent="0.2">
      <c r="A1457" s="562" t="s">
        <v>239</v>
      </c>
      <c r="B1457" s="562" t="s">
        <v>1227</v>
      </c>
      <c r="C1457" s="562" t="s">
        <v>1248</v>
      </c>
      <c r="D1457" s="562">
        <v>3</v>
      </c>
      <c r="E1457" s="562">
        <v>3</v>
      </c>
      <c r="F1457" s="562" t="s">
        <v>184</v>
      </c>
      <c r="G1457" s="562" t="s">
        <v>191</v>
      </c>
      <c r="H1457" s="562" t="s">
        <v>191</v>
      </c>
    </row>
    <row r="1458" spans="1:8" x14ac:dyDescent="0.2">
      <c r="A1458" s="562" t="s">
        <v>239</v>
      </c>
      <c r="B1458" s="562" t="s">
        <v>1227</v>
      </c>
      <c r="C1458" s="562" t="s">
        <v>1249</v>
      </c>
      <c r="D1458" s="562">
        <v>3</v>
      </c>
      <c r="E1458" s="562">
        <v>2</v>
      </c>
      <c r="F1458" s="562" t="s">
        <v>184</v>
      </c>
      <c r="G1458" s="562" t="s">
        <v>190</v>
      </c>
      <c r="H1458" s="562" t="s">
        <v>191</v>
      </c>
    </row>
    <row r="1459" spans="1:8" x14ac:dyDescent="0.2">
      <c r="A1459" s="562" t="s">
        <v>239</v>
      </c>
      <c r="B1459" s="562" t="s">
        <v>1227</v>
      </c>
      <c r="C1459" s="562" t="s">
        <v>293</v>
      </c>
      <c r="D1459" s="562">
        <v>3</v>
      </c>
      <c r="E1459" s="562">
        <v>3</v>
      </c>
      <c r="F1459" s="562" t="s">
        <v>184</v>
      </c>
      <c r="G1459" s="562" t="s">
        <v>190</v>
      </c>
      <c r="H1459" s="562" t="s">
        <v>191</v>
      </c>
    </row>
    <row r="1460" spans="1:8" x14ac:dyDescent="0.2">
      <c r="A1460" s="562" t="s">
        <v>239</v>
      </c>
      <c r="B1460" s="562" t="s">
        <v>1227</v>
      </c>
      <c r="C1460" s="562" t="s">
        <v>297</v>
      </c>
      <c r="D1460" s="562">
        <v>3</v>
      </c>
      <c r="E1460" s="562">
        <v>3</v>
      </c>
      <c r="F1460" s="562" t="s">
        <v>184</v>
      </c>
      <c r="G1460" s="562" t="s">
        <v>190</v>
      </c>
      <c r="H1460" s="562" t="s">
        <v>191</v>
      </c>
    </row>
    <row r="1461" spans="1:8" x14ac:dyDescent="0.2">
      <c r="A1461" s="562" t="s">
        <v>239</v>
      </c>
      <c r="B1461" s="562" t="s">
        <v>1227</v>
      </c>
      <c r="C1461" s="562" t="s">
        <v>1250</v>
      </c>
      <c r="D1461" s="562">
        <v>3</v>
      </c>
      <c r="E1461" s="562">
        <v>3</v>
      </c>
      <c r="F1461" s="562" t="s">
        <v>184</v>
      </c>
      <c r="G1461" s="562" t="s">
        <v>191</v>
      </c>
      <c r="H1461" s="562" t="s">
        <v>191</v>
      </c>
    </row>
    <row r="1462" spans="1:8" x14ac:dyDescent="0.2">
      <c r="A1462" s="562" t="s">
        <v>239</v>
      </c>
      <c r="B1462" s="562" t="s">
        <v>1227</v>
      </c>
      <c r="C1462" s="562" t="s">
        <v>1251</v>
      </c>
      <c r="D1462" s="562">
        <v>3</v>
      </c>
      <c r="E1462" s="562">
        <v>3</v>
      </c>
      <c r="F1462" s="562" t="s">
        <v>184</v>
      </c>
      <c r="G1462" s="562" t="s">
        <v>191</v>
      </c>
      <c r="H1462" s="562" t="s">
        <v>191</v>
      </c>
    </row>
    <row r="1463" spans="1:8" x14ac:dyDescent="0.2">
      <c r="A1463" s="562" t="s">
        <v>239</v>
      </c>
      <c r="B1463" s="562" t="s">
        <v>1227</v>
      </c>
      <c r="C1463" s="562" t="s">
        <v>675</v>
      </c>
      <c r="D1463" s="562">
        <v>3</v>
      </c>
      <c r="E1463" s="562">
        <v>3</v>
      </c>
      <c r="F1463" s="562" t="s">
        <v>184</v>
      </c>
      <c r="G1463" s="562" t="s">
        <v>191</v>
      </c>
      <c r="H1463" s="562" t="s">
        <v>191</v>
      </c>
    </row>
    <row r="1464" spans="1:8" x14ac:dyDescent="0.2">
      <c r="A1464" s="562" t="s">
        <v>239</v>
      </c>
      <c r="B1464" s="562" t="s">
        <v>1227</v>
      </c>
      <c r="C1464" s="562" t="s">
        <v>1252</v>
      </c>
      <c r="D1464" s="562">
        <v>3</v>
      </c>
      <c r="E1464" s="562">
        <v>3</v>
      </c>
      <c r="F1464" s="562" t="s">
        <v>184</v>
      </c>
      <c r="G1464" s="562" t="s">
        <v>190</v>
      </c>
      <c r="H1464" s="562" t="s">
        <v>191</v>
      </c>
    </row>
    <row r="1465" spans="1:8" x14ac:dyDescent="0.2">
      <c r="A1465" s="562" t="s">
        <v>239</v>
      </c>
      <c r="B1465" s="562" t="s">
        <v>1227</v>
      </c>
      <c r="C1465" s="562" t="s">
        <v>407</v>
      </c>
      <c r="D1465" s="562">
        <v>3</v>
      </c>
      <c r="E1465" s="562">
        <v>3</v>
      </c>
      <c r="F1465" s="562" t="s">
        <v>184</v>
      </c>
      <c r="G1465" s="562" t="s">
        <v>191</v>
      </c>
      <c r="H1465" s="562" t="s">
        <v>191</v>
      </c>
    </row>
    <row r="1466" spans="1:8" x14ac:dyDescent="0.2">
      <c r="A1466" s="562" t="s">
        <v>239</v>
      </c>
      <c r="B1466" s="562" t="s">
        <v>1227</v>
      </c>
      <c r="C1466" s="562" t="s">
        <v>1253</v>
      </c>
      <c r="D1466" s="562">
        <v>3</v>
      </c>
      <c r="E1466" s="562">
        <v>3</v>
      </c>
      <c r="F1466" s="562" t="s">
        <v>184</v>
      </c>
      <c r="G1466" s="562" t="s">
        <v>191</v>
      </c>
      <c r="H1466" s="562" t="s">
        <v>191</v>
      </c>
    </row>
    <row r="1467" spans="1:8" x14ac:dyDescent="0.2">
      <c r="A1467" s="562" t="s">
        <v>239</v>
      </c>
      <c r="B1467" s="562" t="s">
        <v>1227</v>
      </c>
      <c r="C1467" s="562" t="s">
        <v>1009</v>
      </c>
      <c r="D1467" s="562">
        <v>3</v>
      </c>
      <c r="E1467" s="562">
        <v>3</v>
      </c>
      <c r="F1467" s="562" t="s">
        <v>184</v>
      </c>
      <c r="G1467" s="562" t="s">
        <v>190</v>
      </c>
      <c r="H1467" s="562" t="s">
        <v>191</v>
      </c>
    </row>
    <row r="1468" spans="1:8" x14ac:dyDescent="0.2">
      <c r="A1468" s="562" t="s">
        <v>239</v>
      </c>
      <c r="B1468" s="562" t="s">
        <v>1227</v>
      </c>
      <c r="C1468" s="562" t="s">
        <v>946</v>
      </c>
      <c r="D1468" s="562">
        <v>3</v>
      </c>
      <c r="E1468" s="562">
        <v>3</v>
      </c>
      <c r="F1468" s="562" t="s">
        <v>184</v>
      </c>
      <c r="G1468" s="562" t="s">
        <v>190</v>
      </c>
      <c r="H1468" s="562" t="s">
        <v>191</v>
      </c>
    </row>
    <row r="1469" spans="1:8" x14ac:dyDescent="0.2">
      <c r="A1469" s="562" t="s">
        <v>239</v>
      </c>
      <c r="B1469" s="562" t="s">
        <v>1227</v>
      </c>
      <c r="C1469" s="562" t="s">
        <v>412</v>
      </c>
      <c r="D1469" s="562">
        <v>3</v>
      </c>
      <c r="E1469" s="562">
        <v>2</v>
      </c>
      <c r="F1469" s="562" t="s">
        <v>184</v>
      </c>
      <c r="G1469" s="562" t="s">
        <v>190</v>
      </c>
      <c r="H1469" s="562" t="s">
        <v>191</v>
      </c>
    </row>
    <row r="1470" spans="1:8" x14ac:dyDescent="0.2">
      <c r="A1470" s="562" t="s">
        <v>239</v>
      </c>
      <c r="B1470" s="562" t="s">
        <v>1227</v>
      </c>
      <c r="C1470" s="562" t="s">
        <v>1254</v>
      </c>
      <c r="D1470" s="562">
        <v>3</v>
      </c>
      <c r="E1470" s="562">
        <v>3</v>
      </c>
      <c r="F1470" s="562" t="s">
        <v>184</v>
      </c>
      <c r="G1470" s="562" t="s">
        <v>191</v>
      </c>
      <c r="H1470" s="562" t="s">
        <v>191</v>
      </c>
    </row>
    <row r="1471" spans="1:8" x14ac:dyDescent="0.2">
      <c r="A1471" s="562" t="s">
        <v>239</v>
      </c>
      <c r="B1471" s="562" t="s">
        <v>1227</v>
      </c>
      <c r="C1471" s="562" t="s">
        <v>1255</v>
      </c>
      <c r="D1471" s="562">
        <v>3</v>
      </c>
      <c r="E1471" s="562">
        <v>3</v>
      </c>
      <c r="F1471" s="562" t="s">
        <v>184</v>
      </c>
      <c r="G1471" s="562" t="s">
        <v>191</v>
      </c>
      <c r="H1471" s="562" t="s">
        <v>191</v>
      </c>
    </row>
    <row r="1472" spans="1:8" x14ac:dyDescent="0.2">
      <c r="A1472" s="562" t="s">
        <v>239</v>
      </c>
      <c r="B1472" s="562" t="s">
        <v>1227</v>
      </c>
      <c r="C1472" s="562" t="s">
        <v>1256</v>
      </c>
      <c r="D1472" s="562">
        <v>3</v>
      </c>
      <c r="E1472" s="562">
        <v>3</v>
      </c>
      <c r="F1472" s="562" t="s">
        <v>184</v>
      </c>
      <c r="G1472" s="562" t="s">
        <v>191</v>
      </c>
      <c r="H1472" s="562" t="s">
        <v>191</v>
      </c>
    </row>
    <row r="1473" spans="1:8" x14ac:dyDescent="0.2">
      <c r="A1473" s="562" t="s">
        <v>239</v>
      </c>
      <c r="B1473" s="562" t="s">
        <v>1227</v>
      </c>
      <c r="C1473" s="562" t="s">
        <v>1257</v>
      </c>
      <c r="D1473" s="562">
        <v>3</v>
      </c>
      <c r="E1473" s="562">
        <v>3</v>
      </c>
      <c r="F1473" s="562" t="s">
        <v>184</v>
      </c>
      <c r="G1473" s="562" t="s">
        <v>191</v>
      </c>
      <c r="H1473" s="562" t="s">
        <v>191</v>
      </c>
    </row>
    <row r="1474" spans="1:8" x14ac:dyDescent="0.2">
      <c r="A1474" s="562" t="s">
        <v>239</v>
      </c>
      <c r="B1474" s="562" t="s">
        <v>1227</v>
      </c>
      <c r="C1474" s="562" t="s">
        <v>1258</v>
      </c>
      <c r="D1474" s="562">
        <v>3</v>
      </c>
      <c r="E1474" s="562">
        <v>3</v>
      </c>
      <c r="F1474" s="562" t="s">
        <v>184</v>
      </c>
      <c r="G1474" s="562" t="s">
        <v>191</v>
      </c>
      <c r="H1474" s="562" t="s">
        <v>191</v>
      </c>
    </row>
    <row r="1475" spans="1:8" x14ac:dyDescent="0.2">
      <c r="A1475" s="562" t="s">
        <v>239</v>
      </c>
      <c r="B1475" s="562" t="s">
        <v>1227</v>
      </c>
      <c r="C1475" s="562" t="s">
        <v>1259</v>
      </c>
      <c r="D1475" s="562">
        <v>3</v>
      </c>
      <c r="E1475" s="562">
        <v>3</v>
      </c>
      <c r="F1475" s="562" t="s">
        <v>184</v>
      </c>
      <c r="G1475" s="562" t="s">
        <v>191</v>
      </c>
      <c r="H1475" s="562" t="s">
        <v>191</v>
      </c>
    </row>
    <row r="1476" spans="1:8" x14ac:dyDescent="0.2">
      <c r="A1476" s="562" t="s">
        <v>239</v>
      </c>
      <c r="B1476" s="562" t="s">
        <v>1227</v>
      </c>
      <c r="C1476" s="562" t="s">
        <v>413</v>
      </c>
      <c r="D1476" s="562">
        <v>3</v>
      </c>
      <c r="E1476" s="562">
        <v>3</v>
      </c>
      <c r="F1476" s="562" t="s">
        <v>184</v>
      </c>
      <c r="G1476" s="562" t="s">
        <v>191</v>
      </c>
      <c r="H1476" s="562" t="s">
        <v>191</v>
      </c>
    </row>
    <row r="1477" spans="1:8" x14ac:dyDescent="0.2">
      <c r="A1477" s="562" t="s">
        <v>239</v>
      </c>
      <c r="B1477" s="562" t="s">
        <v>1227</v>
      </c>
      <c r="C1477" s="562" t="s">
        <v>1260</v>
      </c>
      <c r="D1477" s="562">
        <v>3</v>
      </c>
      <c r="E1477" s="562">
        <v>3</v>
      </c>
      <c r="F1477" s="562" t="s">
        <v>184</v>
      </c>
      <c r="G1477" s="562" t="s">
        <v>190</v>
      </c>
      <c r="H1477" s="562" t="s">
        <v>191</v>
      </c>
    </row>
    <row r="1478" spans="1:8" x14ac:dyDescent="0.2">
      <c r="A1478" s="562" t="s">
        <v>239</v>
      </c>
      <c r="B1478" s="562" t="s">
        <v>1227</v>
      </c>
      <c r="C1478" s="562" t="s">
        <v>699</v>
      </c>
      <c r="D1478" s="562">
        <v>3</v>
      </c>
      <c r="E1478" s="562">
        <v>3</v>
      </c>
      <c r="F1478" s="562" t="s">
        <v>184</v>
      </c>
      <c r="G1478" s="562" t="s">
        <v>190</v>
      </c>
      <c r="H1478" s="562" t="s">
        <v>191</v>
      </c>
    </row>
    <row r="1479" spans="1:8" x14ac:dyDescent="0.2">
      <c r="A1479" s="562" t="s">
        <v>239</v>
      </c>
      <c r="B1479" s="562" t="s">
        <v>1227</v>
      </c>
      <c r="C1479" s="562" t="s">
        <v>309</v>
      </c>
      <c r="D1479" s="562">
        <v>3</v>
      </c>
      <c r="E1479" s="562">
        <v>3</v>
      </c>
      <c r="F1479" s="562" t="s">
        <v>184</v>
      </c>
      <c r="G1479" s="562" t="s">
        <v>191</v>
      </c>
      <c r="H1479" s="562" t="s">
        <v>191</v>
      </c>
    </row>
    <row r="1480" spans="1:8" x14ac:dyDescent="0.2">
      <c r="A1480" s="562" t="s">
        <v>239</v>
      </c>
      <c r="B1480" s="562" t="s">
        <v>1227</v>
      </c>
      <c r="C1480" s="562" t="s">
        <v>700</v>
      </c>
      <c r="D1480" s="562">
        <v>3</v>
      </c>
      <c r="E1480" s="562">
        <v>3</v>
      </c>
      <c r="F1480" s="562" t="s">
        <v>184</v>
      </c>
      <c r="G1480" s="562" t="s">
        <v>190</v>
      </c>
      <c r="H1480" s="562" t="s">
        <v>191</v>
      </c>
    </row>
    <row r="1481" spans="1:8" x14ac:dyDescent="0.2">
      <c r="A1481" s="562" t="s">
        <v>239</v>
      </c>
      <c r="B1481" s="562" t="s">
        <v>1227</v>
      </c>
      <c r="C1481" s="562" t="s">
        <v>701</v>
      </c>
      <c r="D1481" s="562">
        <v>3</v>
      </c>
      <c r="E1481" s="562">
        <v>3</v>
      </c>
      <c r="F1481" s="562" t="s">
        <v>184</v>
      </c>
      <c r="G1481" s="562" t="s">
        <v>191</v>
      </c>
      <c r="H1481" s="562" t="s">
        <v>191</v>
      </c>
    </row>
    <row r="1482" spans="1:8" x14ac:dyDescent="0.2">
      <c r="A1482" s="562" t="s">
        <v>239</v>
      </c>
      <c r="B1482" s="562" t="s">
        <v>1227</v>
      </c>
      <c r="C1482" s="562" t="s">
        <v>705</v>
      </c>
      <c r="D1482" s="562">
        <v>3</v>
      </c>
      <c r="E1482" s="562">
        <v>3</v>
      </c>
      <c r="F1482" s="562" t="s">
        <v>184</v>
      </c>
      <c r="G1482" s="562" t="s">
        <v>190</v>
      </c>
      <c r="H1482" s="562" t="s">
        <v>191</v>
      </c>
    </row>
    <row r="1483" spans="1:8" x14ac:dyDescent="0.2">
      <c r="A1483" s="562" t="s">
        <v>239</v>
      </c>
      <c r="B1483" s="562" t="s">
        <v>1227</v>
      </c>
      <c r="C1483" s="562" t="s">
        <v>311</v>
      </c>
      <c r="D1483" s="562">
        <v>3</v>
      </c>
      <c r="E1483" s="562">
        <v>3</v>
      </c>
      <c r="F1483" s="562" t="s">
        <v>184</v>
      </c>
      <c r="G1483" s="562" t="s">
        <v>191</v>
      </c>
      <c r="H1483" s="562" t="s">
        <v>191</v>
      </c>
    </row>
    <row r="1484" spans="1:8" x14ac:dyDescent="0.2">
      <c r="A1484" s="562" t="s">
        <v>239</v>
      </c>
      <c r="B1484" s="562" t="s">
        <v>1227</v>
      </c>
      <c r="C1484" s="562" t="s">
        <v>1261</v>
      </c>
      <c r="D1484" s="562">
        <v>3</v>
      </c>
      <c r="E1484" s="562">
        <v>3</v>
      </c>
      <c r="F1484" s="562" t="s">
        <v>184</v>
      </c>
      <c r="G1484" s="562" t="s">
        <v>191</v>
      </c>
      <c r="H1484" s="562" t="s">
        <v>191</v>
      </c>
    </row>
    <row r="1485" spans="1:8" x14ac:dyDescent="0.2">
      <c r="A1485" s="562" t="s">
        <v>239</v>
      </c>
      <c r="B1485" s="562" t="s">
        <v>1227</v>
      </c>
      <c r="C1485" s="562" t="s">
        <v>1262</v>
      </c>
      <c r="D1485" s="562">
        <v>3</v>
      </c>
      <c r="E1485" s="562">
        <v>3</v>
      </c>
      <c r="F1485" s="562" t="s">
        <v>184</v>
      </c>
      <c r="G1485" s="562" t="s">
        <v>191</v>
      </c>
      <c r="H1485" s="562" t="s">
        <v>191</v>
      </c>
    </row>
    <row r="1486" spans="1:8" x14ac:dyDescent="0.2">
      <c r="A1486" s="562" t="s">
        <v>241</v>
      </c>
      <c r="B1486" s="562" t="s">
        <v>1263</v>
      </c>
      <c r="C1486" s="562" t="s">
        <v>845</v>
      </c>
      <c r="D1486" s="562">
        <v>2</v>
      </c>
      <c r="E1486" s="562">
        <v>5</v>
      </c>
      <c r="F1486" s="562" t="s">
        <v>184</v>
      </c>
      <c r="G1486" s="562" t="s">
        <v>191</v>
      </c>
      <c r="H1486" s="562" t="s">
        <v>191</v>
      </c>
    </row>
    <row r="1487" spans="1:8" x14ac:dyDescent="0.2">
      <c r="A1487" s="562" t="s">
        <v>241</v>
      </c>
      <c r="B1487" s="562" t="s">
        <v>1263</v>
      </c>
      <c r="C1487" s="562" t="s">
        <v>1264</v>
      </c>
      <c r="D1487" s="562">
        <v>1</v>
      </c>
      <c r="E1487" s="562">
        <v>5</v>
      </c>
      <c r="F1487" s="562" t="s">
        <v>184</v>
      </c>
      <c r="G1487" s="562" t="s">
        <v>191</v>
      </c>
      <c r="H1487" s="562" t="s">
        <v>191</v>
      </c>
    </row>
    <row r="1488" spans="1:8" x14ac:dyDescent="0.2">
      <c r="A1488" s="562" t="s">
        <v>241</v>
      </c>
      <c r="B1488" s="562" t="s">
        <v>1263</v>
      </c>
      <c r="C1488" s="562" t="s">
        <v>892</v>
      </c>
      <c r="D1488" s="562">
        <v>1</v>
      </c>
      <c r="E1488" s="562">
        <v>5</v>
      </c>
      <c r="F1488" s="562" t="s">
        <v>184</v>
      </c>
      <c r="G1488" s="562" t="s">
        <v>191</v>
      </c>
      <c r="H1488" s="562" t="s">
        <v>191</v>
      </c>
    </row>
    <row r="1489" spans="1:8" x14ac:dyDescent="0.2">
      <c r="A1489" s="562" t="s">
        <v>241</v>
      </c>
      <c r="B1489" s="562" t="s">
        <v>1263</v>
      </c>
      <c r="C1489" s="562" t="s">
        <v>1265</v>
      </c>
      <c r="D1489" s="562">
        <v>2</v>
      </c>
      <c r="E1489" s="562">
        <v>4</v>
      </c>
      <c r="F1489" s="562" t="s">
        <v>184</v>
      </c>
      <c r="G1489" s="562" t="s">
        <v>191</v>
      </c>
      <c r="H1489" s="562" t="s">
        <v>191</v>
      </c>
    </row>
    <row r="1490" spans="1:8" x14ac:dyDescent="0.2">
      <c r="A1490" s="562" t="s">
        <v>241</v>
      </c>
      <c r="B1490" s="562" t="s">
        <v>1263</v>
      </c>
      <c r="C1490" s="562" t="s">
        <v>1109</v>
      </c>
      <c r="D1490" s="562">
        <v>2</v>
      </c>
      <c r="E1490" s="562">
        <v>4</v>
      </c>
      <c r="F1490" s="562" t="s">
        <v>184</v>
      </c>
      <c r="G1490" s="562" t="s">
        <v>191</v>
      </c>
      <c r="H1490" s="562" t="s">
        <v>191</v>
      </c>
    </row>
    <row r="1491" spans="1:8" x14ac:dyDescent="0.2">
      <c r="A1491" s="562" t="s">
        <v>241</v>
      </c>
      <c r="B1491" s="562" t="s">
        <v>1263</v>
      </c>
      <c r="C1491" s="562" t="s">
        <v>894</v>
      </c>
      <c r="D1491" s="562">
        <v>2</v>
      </c>
      <c r="E1491" s="562">
        <v>4</v>
      </c>
      <c r="F1491" s="562" t="s">
        <v>184</v>
      </c>
      <c r="G1491" s="562" t="s">
        <v>191</v>
      </c>
      <c r="H1491" s="562" t="s">
        <v>191</v>
      </c>
    </row>
    <row r="1492" spans="1:8" x14ac:dyDescent="0.2">
      <c r="A1492" s="562" t="s">
        <v>241</v>
      </c>
      <c r="B1492" s="562" t="s">
        <v>1263</v>
      </c>
      <c r="C1492" s="562" t="s">
        <v>1266</v>
      </c>
      <c r="D1492" s="562">
        <v>2</v>
      </c>
      <c r="E1492" s="562">
        <v>4</v>
      </c>
      <c r="F1492" s="562" t="s">
        <v>184</v>
      </c>
      <c r="G1492" s="562" t="s">
        <v>191</v>
      </c>
      <c r="H1492" s="562" t="s">
        <v>191</v>
      </c>
    </row>
    <row r="1493" spans="1:8" x14ac:dyDescent="0.2">
      <c r="A1493" s="562" t="s">
        <v>241</v>
      </c>
      <c r="B1493" s="562" t="s">
        <v>1263</v>
      </c>
      <c r="C1493" s="562" t="s">
        <v>364</v>
      </c>
      <c r="D1493" s="562">
        <v>2</v>
      </c>
      <c r="E1493" s="562">
        <v>4</v>
      </c>
      <c r="F1493" s="562" t="s">
        <v>184</v>
      </c>
      <c r="G1493" s="562" t="s">
        <v>191</v>
      </c>
      <c r="H1493" s="562" t="s">
        <v>191</v>
      </c>
    </row>
    <row r="1494" spans="1:8" x14ac:dyDescent="0.2">
      <c r="A1494" s="562" t="s">
        <v>241</v>
      </c>
      <c r="B1494" s="562" t="s">
        <v>1263</v>
      </c>
      <c r="C1494" s="562" t="s">
        <v>1267</v>
      </c>
      <c r="D1494" s="562">
        <v>2</v>
      </c>
      <c r="E1494" s="562">
        <v>4</v>
      </c>
      <c r="F1494" s="562" t="s">
        <v>184</v>
      </c>
      <c r="G1494" s="562" t="s">
        <v>191</v>
      </c>
      <c r="H1494" s="562" t="s">
        <v>191</v>
      </c>
    </row>
    <row r="1495" spans="1:8" x14ac:dyDescent="0.2">
      <c r="A1495" s="562" t="s">
        <v>241</v>
      </c>
      <c r="B1495" s="562" t="s">
        <v>1263</v>
      </c>
      <c r="C1495" s="562" t="s">
        <v>365</v>
      </c>
      <c r="D1495" s="562">
        <v>2</v>
      </c>
      <c r="E1495" s="562">
        <v>4</v>
      </c>
      <c r="F1495" s="562" t="s">
        <v>184</v>
      </c>
      <c r="G1495" s="562" t="s">
        <v>191</v>
      </c>
      <c r="H1495" s="562" t="s">
        <v>191</v>
      </c>
    </row>
    <row r="1496" spans="1:8" x14ac:dyDescent="0.2">
      <c r="A1496" s="562" t="s">
        <v>241</v>
      </c>
      <c r="B1496" s="562" t="s">
        <v>1263</v>
      </c>
      <c r="C1496" s="562" t="s">
        <v>851</v>
      </c>
      <c r="D1496" s="562">
        <v>1</v>
      </c>
      <c r="E1496" s="562">
        <v>5</v>
      </c>
      <c r="F1496" s="562" t="s">
        <v>184</v>
      </c>
      <c r="G1496" s="562" t="s">
        <v>191</v>
      </c>
      <c r="H1496" s="562" t="s">
        <v>191</v>
      </c>
    </row>
    <row r="1497" spans="1:8" x14ac:dyDescent="0.2">
      <c r="A1497" s="562" t="s">
        <v>241</v>
      </c>
      <c r="B1497" s="562" t="s">
        <v>1263</v>
      </c>
      <c r="C1497" s="562" t="s">
        <v>202</v>
      </c>
      <c r="D1497" s="562">
        <v>3</v>
      </c>
      <c r="E1497" s="562">
        <v>4</v>
      </c>
      <c r="F1497" s="562" t="s">
        <v>184</v>
      </c>
      <c r="G1497" s="562" t="s">
        <v>191</v>
      </c>
      <c r="H1497" s="562" t="s">
        <v>191</v>
      </c>
    </row>
    <row r="1498" spans="1:8" x14ac:dyDescent="0.2">
      <c r="A1498" s="562" t="s">
        <v>241</v>
      </c>
      <c r="B1498" s="562" t="s">
        <v>1263</v>
      </c>
      <c r="C1498" s="562" t="s">
        <v>969</v>
      </c>
      <c r="D1498" s="562">
        <v>2</v>
      </c>
      <c r="E1498" s="562">
        <v>5</v>
      </c>
      <c r="F1498" s="562" t="s">
        <v>184</v>
      </c>
      <c r="G1498" s="562" t="s">
        <v>191</v>
      </c>
      <c r="H1498" s="562" t="s">
        <v>191</v>
      </c>
    </row>
    <row r="1499" spans="1:8" x14ac:dyDescent="0.2">
      <c r="A1499" s="562" t="s">
        <v>241</v>
      </c>
      <c r="B1499" s="562" t="s">
        <v>1263</v>
      </c>
      <c r="C1499" s="562" t="s">
        <v>1268</v>
      </c>
      <c r="D1499" s="562">
        <v>2</v>
      </c>
      <c r="E1499" s="562">
        <v>4</v>
      </c>
      <c r="F1499" s="562" t="s">
        <v>184</v>
      </c>
      <c r="G1499" s="562" t="s">
        <v>191</v>
      </c>
      <c r="H1499" s="562" t="s">
        <v>191</v>
      </c>
    </row>
    <row r="1500" spans="1:8" x14ac:dyDescent="0.2">
      <c r="A1500" s="562" t="s">
        <v>241</v>
      </c>
      <c r="B1500" s="562" t="s">
        <v>1263</v>
      </c>
      <c r="C1500" s="562" t="s">
        <v>613</v>
      </c>
      <c r="D1500" s="562">
        <v>2</v>
      </c>
      <c r="E1500" s="562">
        <v>4</v>
      </c>
      <c r="F1500" s="562" t="s">
        <v>184</v>
      </c>
      <c r="G1500" s="562" t="s">
        <v>191</v>
      </c>
      <c r="H1500" s="562" t="s">
        <v>191</v>
      </c>
    </row>
    <row r="1501" spans="1:8" x14ac:dyDescent="0.2">
      <c r="A1501" s="562" t="s">
        <v>241</v>
      </c>
      <c r="B1501" s="562" t="s">
        <v>1263</v>
      </c>
      <c r="C1501" s="562" t="s">
        <v>1269</v>
      </c>
      <c r="D1501" s="562">
        <v>2</v>
      </c>
      <c r="E1501" s="562">
        <v>4</v>
      </c>
      <c r="F1501" s="562" t="s">
        <v>184</v>
      </c>
      <c r="G1501" s="562" t="s">
        <v>191</v>
      </c>
      <c r="H1501" s="562" t="s">
        <v>191</v>
      </c>
    </row>
    <row r="1502" spans="1:8" x14ac:dyDescent="0.2">
      <c r="A1502" s="562" t="s">
        <v>241</v>
      </c>
      <c r="B1502" s="562" t="s">
        <v>1263</v>
      </c>
      <c r="C1502" s="562" t="s">
        <v>367</v>
      </c>
      <c r="D1502" s="562">
        <v>2</v>
      </c>
      <c r="E1502" s="562">
        <v>4</v>
      </c>
      <c r="F1502" s="562" t="s">
        <v>184</v>
      </c>
      <c r="G1502" s="562" t="s">
        <v>191</v>
      </c>
      <c r="H1502" s="562" t="s">
        <v>191</v>
      </c>
    </row>
    <row r="1503" spans="1:8" x14ac:dyDescent="0.2">
      <c r="A1503" s="562" t="s">
        <v>241</v>
      </c>
      <c r="B1503" s="562" t="s">
        <v>1263</v>
      </c>
      <c r="C1503" s="562" t="s">
        <v>973</v>
      </c>
      <c r="D1503" s="562">
        <v>2</v>
      </c>
      <c r="E1503" s="562">
        <v>4</v>
      </c>
      <c r="F1503" s="562" t="s">
        <v>184</v>
      </c>
      <c r="G1503" s="562" t="s">
        <v>191</v>
      </c>
      <c r="H1503" s="562" t="s">
        <v>191</v>
      </c>
    </row>
    <row r="1504" spans="1:8" x14ac:dyDescent="0.2">
      <c r="A1504" s="562" t="s">
        <v>241</v>
      </c>
      <c r="B1504" s="562" t="s">
        <v>1263</v>
      </c>
      <c r="C1504" s="562" t="s">
        <v>752</v>
      </c>
      <c r="D1504" s="562">
        <v>1</v>
      </c>
      <c r="E1504" s="562">
        <v>4</v>
      </c>
      <c r="F1504" s="562" t="s">
        <v>184</v>
      </c>
      <c r="G1504" s="562" t="s">
        <v>191</v>
      </c>
      <c r="H1504" s="562" t="s">
        <v>191</v>
      </c>
    </row>
    <row r="1505" spans="1:8" x14ac:dyDescent="0.2">
      <c r="A1505" s="562" t="s">
        <v>241</v>
      </c>
      <c r="B1505" s="562" t="s">
        <v>1263</v>
      </c>
      <c r="C1505" s="562" t="s">
        <v>853</v>
      </c>
      <c r="D1505" s="562">
        <v>2</v>
      </c>
      <c r="E1505" s="562">
        <v>4</v>
      </c>
      <c r="F1505" s="562" t="s">
        <v>184</v>
      </c>
      <c r="G1505" s="562" t="s">
        <v>191</v>
      </c>
      <c r="H1505" s="562" t="s">
        <v>191</v>
      </c>
    </row>
    <row r="1506" spans="1:8" x14ac:dyDescent="0.2">
      <c r="A1506" s="562" t="s">
        <v>241</v>
      </c>
      <c r="B1506" s="562" t="s">
        <v>1263</v>
      </c>
      <c r="C1506" s="562" t="s">
        <v>1270</v>
      </c>
      <c r="D1506" s="562">
        <v>2</v>
      </c>
      <c r="E1506" s="562">
        <v>5</v>
      </c>
      <c r="F1506" s="562" t="s">
        <v>184</v>
      </c>
      <c r="G1506" s="562" t="s">
        <v>191</v>
      </c>
      <c r="H1506" s="562" t="s">
        <v>191</v>
      </c>
    </row>
    <row r="1507" spans="1:8" x14ac:dyDescent="0.2">
      <c r="A1507" s="562" t="s">
        <v>241</v>
      </c>
      <c r="B1507" s="562" t="s">
        <v>1263</v>
      </c>
      <c r="C1507" s="562" t="s">
        <v>754</v>
      </c>
      <c r="D1507" s="562">
        <v>2</v>
      </c>
      <c r="E1507" s="562">
        <v>4</v>
      </c>
      <c r="F1507" s="562" t="s">
        <v>184</v>
      </c>
      <c r="G1507" s="562" t="s">
        <v>191</v>
      </c>
      <c r="H1507" s="562" t="s">
        <v>191</v>
      </c>
    </row>
    <row r="1508" spans="1:8" x14ac:dyDescent="0.2">
      <c r="A1508" s="562" t="s">
        <v>241</v>
      </c>
      <c r="B1508" s="562" t="s">
        <v>1263</v>
      </c>
      <c r="C1508" s="562" t="s">
        <v>369</v>
      </c>
      <c r="D1508" s="562">
        <v>2</v>
      </c>
      <c r="E1508" s="562">
        <v>5</v>
      </c>
      <c r="F1508" s="562" t="s">
        <v>184</v>
      </c>
      <c r="G1508" s="562" t="s">
        <v>191</v>
      </c>
      <c r="H1508" s="562" t="s">
        <v>191</v>
      </c>
    </row>
    <row r="1509" spans="1:8" x14ac:dyDescent="0.2">
      <c r="A1509" s="562" t="s">
        <v>241</v>
      </c>
      <c r="B1509" s="562" t="s">
        <v>1263</v>
      </c>
      <c r="C1509" s="562" t="s">
        <v>216</v>
      </c>
      <c r="D1509" s="562">
        <v>1</v>
      </c>
      <c r="E1509" s="562">
        <v>4</v>
      </c>
      <c r="F1509" s="562" t="s">
        <v>184</v>
      </c>
      <c r="G1509" s="562" t="s">
        <v>191</v>
      </c>
      <c r="H1509" s="562" t="s">
        <v>191</v>
      </c>
    </row>
    <row r="1510" spans="1:8" x14ac:dyDescent="0.2">
      <c r="A1510" s="562" t="s">
        <v>241</v>
      </c>
      <c r="B1510" s="562" t="s">
        <v>1263</v>
      </c>
      <c r="C1510" s="562" t="s">
        <v>755</v>
      </c>
      <c r="D1510" s="562">
        <v>1</v>
      </c>
      <c r="E1510" s="562">
        <v>5</v>
      </c>
      <c r="F1510" s="562" t="s">
        <v>184</v>
      </c>
      <c r="G1510" s="562" t="s">
        <v>191</v>
      </c>
      <c r="H1510" s="562" t="s">
        <v>191</v>
      </c>
    </row>
    <row r="1511" spans="1:8" x14ac:dyDescent="0.2">
      <c r="A1511" s="562" t="s">
        <v>241</v>
      </c>
      <c r="B1511" s="562" t="s">
        <v>1263</v>
      </c>
      <c r="C1511" s="562" t="s">
        <v>1271</v>
      </c>
      <c r="D1511" s="562">
        <v>2</v>
      </c>
      <c r="E1511" s="562">
        <v>4</v>
      </c>
      <c r="F1511" s="562" t="s">
        <v>184</v>
      </c>
      <c r="G1511" s="562" t="s">
        <v>191</v>
      </c>
      <c r="H1511" s="562" t="s">
        <v>191</v>
      </c>
    </row>
    <row r="1512" spans="1:8" x14ac:dyDescent="0.2">
      <c r="A1512" s="562" t="s">
        <v>241</v>
      </c>
      <c r="B1512" s="562" t="s">
        <v>1263</v>
      </c>
      <c r="C1512" s="562" t="s">
        <v>1272</v>
      </c>
      <c r="D1512" s="562">
        <v>2</v>
      </c>
      <c r="E1512" s="562">
        <v>4</v>
      </c>
      <c r="F1512" s="562" t="s">
        <v>184</v>
      </c>
      <c r="G1512" s="562" t="s">
        <v>191</v>
      </c>
      <c r="H1512" s="562" t="s">
        <v>191</v>
      </c>
    </row>
    <row r="1513" spans="1:8" x14ac:dyDescent="0.2">
      <c r="A1513" s="562" t="s">
        <v>241</v>
      </c>
      <c r="B1513" s="562" t="s">
        <v>1263</v>
      </c>
      <c r="C1513" s="562" t="s">
        <v>374</v>
      </c>
      <c r="D1513" s="562">
        <v>2</v>
      </c>
      <c r="E1513" s="562">
        <v>4</v>
      </c>
      <c r="F1513" s="562" t="s">
        <v>184</v>
      </c>
      <c r="G1513" s="562" t="s">
        <v>191</v>
      </c>
      <c r="H1513" s="562" t="s">
        <v>191</v>
      </c>
    </row>
    <row r="1514" spans="1:8" x14ac:dyDescent="0.2">
      <c r="A1514" s="562" t="s">
        <v>241</v>
      </c>
      <c r="B1514" s="562" t="s">
        <v>1263</v>
      </c>
      <c r="C1514" s="562" t="s">
        <v>627</v>
      </c>
      <c r="D1514" s="562">
        <v>2</v>
      </c>
      <c r="E1514" s="562">
        <v>4</v>
      </c>
      <c r="F1514" s="562" t="s">
        <v>184</v>
      </c>
      <c r="G1514" s="562" t="s">
        <v>191</v>
      </c>
      <c r="H1514" s="562" t="s">
        <v>191</v>
      </c>
    </row>
    <row r="1515" spans="1:8" x14ac:dyDescent="0.2">
      <c r="A1515" s="562" t="s">
        <v>241</v>
      </c>
      <c r="B1515" s="562" t="s">
        <v>1263</v>
      </c>
      <c r="C1515" s="562" t="s">
        <v>236</v>
      </c>
      <c r="D1515" s="562">
        <v>2</v>
      </c>
      <c r="E1515" s="562">
        <v>4</v>
      </c>
      <c r="F1515" s="562" t="s">
        <v>184</v>
      </c>
      <c r="G1515" s="562" t="s">
        <v>191</v>
      </c>
      <c r="H1515" s="562" t="s">
        <v>191</v>
      </c>
    </row>
    <row r="1516" spans="1:8" x14ac:dyDescent="0.2">
      <c r="A1516" s="562" t="s">
        <v>241</v>
      </c>
      <c r="B1516" s="562" t="s">
        <v>1263</v>
      </c>
      <c r="C1516" s="562" t="s">
        <v>806</v>
      </c>
      <c r="D1516" s="562">
        <v>2</v>
      </c>
      <c r="E1516" s="562">
        <v>5</v>
      </c>
      <c r="F1516" s="562" t="s">
        <v>184</v>
      </c>
      <c r="G1516" s="562" t="s">
        <v>191</v>
      </c>
      <c r="H1516" s="562" t="s">
        <v>191</v>
      </c>
    </row>
    <row r="1517" spans="1:8" x14ac:dyDescent="0.2">
      <c r="A1517" s="562" t="s">
        <v>241</v>
      </c>
      <c r="B1517" s="562" t="s">
        <v>1263</v>
      </c>
      <c r="C1517" s="562" t="s">
        <v>630</v>
      </c>
      <c r="D1517" s="562">
        <v>2</v>
      </c>
      <c r="E1517" s="562">
        <v>5</v>
      </c>
      <c r="F1517" s="562" t="s">
        <v>184</v>
      </c>
      <c r="G1517" s="562" t="s">
        <v>191</v>
      </c>
      <c r="H1517" s="562" t="s">
        <v>191</v>
      </c>
    </row>
    <row r="1518" spans="1:8" x14ac:dyDescent="0.2">
      <c r="A1518" s="562" t="s">
        <v>241</v>
      </c>
      <c r="B1518" s="562" t="s">
        <v>1263</v>
      </c>
      <c r="C1518" s="562" t="s">
        <v>1273</v>
      </c>
      <c r="D1518" s="562">
        <v>2</v>
      </c>
      <c r="E1518" s="562">
        <v>4</v>
      </c>
      <c r="F1518" s="562" t="s">
        <v>184</v>
      </c>
      <c r="G1518" s="562" t="s">
        <v>191</v>
      </c>
      <c r="H1518" s="562" t="s">
        <v>191</v>
      </c>
    </row>
    <row r="1519" spans="1:8" x14ac:dyDescent="0.2">
      <c r="A1519" s="562" t="s">
        <v>241</v>
      </c>
      <c r="B1519" s="562" t="s">
        <v>1263</v>
      </c>
      <c r="C1519" s="562" t="s">
        <v>495</v>
      </c>
      <c r="D1519" s="562">
        <v>2</v>
      </c>
      <c r="E1519" s="562">
        <v>4</v>
      </c>
      <c r="F1519" s="562" t="s">
        <v>184</v>
      </c>
      <c r="G1519" s="562" t="s">
        <v>191</v>
      </c>
      <c r="H1519" s="562" t="s">
        <v>191</v>
      </c>
    </row>
    <row r="1520" spans="1:8" x14ac:dyDescent="0.2">
      <c r="A1520" s="562" t="s">
        <v>241</v>
      </c>
      <c r="B1520" s="562" t="s">
        <v>1263</v>
      </c>
      <c r="C1520" s="562" t="s">
        <v>1274</v>
      </c>
      <c r="D1520" s="562">
        <v>3</v>
      </c>
      <c r="E1520" s="562">
        <v>4</v>
      </c>
      <c r="F1520" s="562" t="s">
        <v>184</v>
      </c>
      <c r="G1520" s="562" t="s">
        <v>191</v>
      </c>
      <c r="H1520" s="562" t="s">
        <v>191</v>
      </c>
    </row>
    <row r="1521" spans="1:8" x14ac:dyDescent="0.2">
      <c r="A1521" s="562" t="s">
        <v>241</v>
      </c>
      <c r="B1521" s="562" t="s">
        <v>1263</v>
      </c>
      <c r="C1521" s="562" t="s">
        <v>248</v>
      </c>
      <c r="D1521" s="562">
        <v>2</v>
      </c>
      <c r="E1521" s="562">
        <v>4</v>
      </c>
      <c r="F1521" s="562" t="s">
        <v>184</v>
      </c>
      <c r="G1521" s="562" t="s">
        <v>191</v>
      </c>
      <c r="H1521" s="562" t="s">
        <v>191</v>
      </c>
    </row>
    <row r="1522" spans="1:8" x14ac:dyDescent="0.2">
      <c r="A1522" s="562" t="s">
        <v>241</v>
      </c>
      <c r="B1522" s="562" t="s">
        <v>1263</v>
      </c>
      <c r="C1522" s="562" t="s">
        <v>1275</v>
      </c>
      <c r="D1522" s="562">
        <v>2</v>
      </c>
      <c r="E1522" s="562">
        <v>4</v>
      </c>
      <c r="F1522" s="562" t="s">
        <v>184</v>
      </c>
      <c r="G1522" s="562" t="s">
        <v>191</v>
      </c>
      <c r="H1522" s="562" t="s">
        <v>191</v>
      </c>
    </row>
    <row r="1523" spans="1:8" x14ac:dyDescent="0.2">
      <c r="A1523" s="562" t="s">
        <v>241</v>
      </c>
      <c r="B1523" s="562" t="s">
        <v>1263</v>
      </c>
      <c r="C1523" s="562" t="s">
        <v>1276</v>
      </c>
      <c r="D1523" s="562">
        <v>2</v>
      </c>
      <c r="E1523" s="562">
        <v>5</v>
      </c>
      <c r="F1523" s="562" t="s">
        <v>184</v>
      </c>
      <c r="G1523" s="562" t="s">
        <v>191</v>
      </c>
      <c r="H1523" s="562" t="s">
        <v>191</v>
      </c>
    </row>
    <row r="1524" spans="1:8" x14ac:dyDescent="0.2">
      <c r="A1524" s="562" t="s">
        <v>241</v>
      </c>
      <c r="B1524" s="562" t="s">
        <v>1263</v>
      </c>
      <c r="C1524" s="562" t="s">
        <v>252</v>
      </c>
      <c r="D1524" s="562">
        <v>2</v>
      </c>
      <c r="E1524" s="562">
        <v>4</v>
      </c>
      <c r="F1524" s="562" t="s">
        <v>184</v>
      </c>
      <c r="G1524" s="562" t="s">
        <v>191</v>
      </c>
      <c r="H1524" s="562" t="s">
        <v>191</v>
      </c>
    </row>
    <row r="1525" spans="1:8" x14ac:dyDescent="0.2">
      <c r="A1525" s="562" t="s">
        <v>241</v>
      </c>
      <c r="B1525" s="562" t="s">
        <v>1263</v>
      </c>
      <c r="C1525" s="562" t="s">
        <v>764</v>
      </c>
      <c r="D1525" s="562">
        <v>2</v>
      </c>
      <c r="E1525" s="562">
        <v>5</v>
      </c>
      <c r="F1525" s="562" t="s">
        <v>184</v>
      </c>
      <c r="G1525" s="562" t="s">
        <v>191</v>
      </c>
      <c r="H1525" s="562" t="s">
        <v>191</v>
      </c>
    </row>
    <row r="1526" spans="1:8" x14ac:dyDescent="0.2">
      <c r="A1526" s="562" t="s">
        <v>241</v>
      </c>
      <c r="B1526" s="562" t="s">
        <v>1263</v>
      </c>
      <c r="C1526" s="562" t="s">
        <v>813</v>
      </c>
      <c r="D1526" s="562">
        <v>2</v>
      </c>
      <c r="E1526" s="562">
        <v>5</v>
      </c>
      <c r="F1526" s="562" t="s">
        <v>184</v>
      </c>
      <c r="G1526" s="562" t="s">
        <v>191</v>
      </c>
      <c r="H1526" s="562" t="s">
        <v>191</v>
      </c>
    </row>
    <row r="1527" spans="1:8" x14ac:dyDescent="0.2">
      <c r="A1527" s="562" t="s">
        <v>241</v>
      </c>
      <c r="B1527" s="562" t="s">
        <v>1263</v>
      </c>
      <c r="C1527" s="562" t="s">
        <v>256</v>
      </c>
      <c r="D1527" s="562">
        <v>2</v>
      </c>
      <c r="E1527" s="562">
        <v>4</v>
      </c>
      <c r="F1527" s="562" t="s">
        <v>184</v>
      </c>
      <c r="G1527" s="562" t="s">
        <v>191</v>
      </c>
      <c r="H1527" s="562" t="s">
        <v>191</v>
      </c>
    </row>
    <row r="1528" spans="1:8" x14ac:dyDescent="0.2">
      <c r="A1528" s="562" t="s">
        <v>241</v>
      </c>
      <c r="B1528" s="562" t="s">
        <v>1263</v>
      </c>
      <c r="C1528" s="562" t="s">
        <v>1277</v>
      </c>
      <c r="D1528" s="562">
        <v>2</v>
      </c>
      <c r="E1528" s="562">
        <v>4</v>
      </c>
      <c r="F1528" s="562" t="s">
        <v>184</v>
      </c>
      <c r="G1528" s="562" t="s">
        <v>191</v>
      </c>
      <c r="H1528" s="562" t="s">
        <v>191</v>
      </c>
    </row>
    <row r="1529" spans="1:8" x14ac:dyDescent="0.2">
      <c r="A1529" s="562" t="s">
        <v>241</v>
      </c>
      <c r="B1529" s="562" t="s">
        <v>1263</v>
      </c>
      <c r="C1529" s="562" t="s">
        <v>1278</v>
      </c>
      <c r="D1529" s="562">
        <v>1</v>
      </c>
      <c r="E1529" s="562">
        <v>5</v>
      </c>
      <c r="F1529" s="562" t="s">
        <v>184</v>
      </c>
      <c r="G1529" s="562" t="s">
        <v>191</v>
      </c>
      <c r="H1529" s="562" t="s">
        <v>191</v>
      </c>
    </row>
    <row r="1530" spans="1:8" x14ac:dyDescent="0.2">
      <c r="A1530" s="562" t="s">
        <v>241</v>
      </c>
      <c r="B1530" s="562" t="s">
        <v>1263</v>
      </c>
      <c r="C1530" s="562" t="s">
        <v>385</v>
      </c>
      <c r="D1530" s="562">
        <v>2</v>
      </c>
      <c r="E1530" s="562">
        <v>4</v>
      </c>
      <c r="F1530" s="562" t="s">
        <v>184</v>
      </c>
      <c r="G1530" s="562" t="s">
        <v>191</v>
      </c>
      <c r="H1530" s="562" t="s">
        <v>191</v>
      </c>
    </row>
    <row r="1531" spans="1:8" x14ac:dyDescent="0.2">
      <c r="A1531" s="562" t="s">
        <v>241</v>
      </c>
      <c r="B1531" s="562" t="s">
        <v>1263</v>
      </c>
      <c r="C1531" s="562" t="s">
        <v>1279</v>
      </c>
      <c r="D1531" s="562">
        <v>2</v>
      </c>
      <c r="E1531" s="562">
        <v>4</v>
      </c>
      <c r="F1531" s="562" t="s">
        <v>184</v>
      </c>
      <c r="G1531" s="562" t="s">
        <v>191</v>
      </c>
      <c r="H1531" s="562" t="s">
        <v>191</v>
      </c>
    </row>
    <row r="1532" spans="1:8" x14ac:dyDescent="0.2">
      <c r="A1532" s="562" t="s">
        <v>241</v>
      </c>
      <c r="B1532" s="562" t="s">
        <v>1263</v>
      </c>
      <c r="C1532" s="562" t="s">
        <v>1128</v>
      </c>
      <c r="D1532" s="562">
        <v>1</v>
      </c>
      <c r="E1532" s="562">
        <v>4</v>
      </c>
      <c r="F1532" s="562" t="s">
        <v>184</v>
      </c>
      <c r="G1532" s="562" t="s">
        <v>191</v>
      </c>
      <c r="H1532" s="562" t="s">
        <v>191</v>
      </c>
    </row>
    <row r="1533" spans="1:8" x14ac:dyDescent="0.2">
      <c r="A1533" s="562" t="s">
        <v>241</v>
      </c>
      <c r="B1533" s="562" t="s">
        <v>1263</v>
      </c>
      <c r="C1533" s="562" t="s">
        <v>259</v>
      </c>
      <c r="D1533" s="562">
        <v>1</v>
      </c>
      <c r="E1533" s="562">
        <v>4</v>
      </c>
      <c r="F1533" s="562" t="s">
        <v>184</v>
      </c>
      <c r="G1533" s="562" t="s">
        <v>191</v>
      </c>
      <c r="H1533" s="562" t="s">
        <v>191</v>
      </c>
    </row>
    <row r="1534" spans="1:8" x14ac:dyDescent="0.2">
      <c r="A1534" s="562" t="s">
        <v>241</v>
      </c>
      <c r="B1534" s="562" t="s">
        <v>1263</v>
      </c>
      <c r="C1534" s="562" t="s">
        <v>656</v>
      </c>
      <c r="D1534" s="562">
        <v>2</v>
      </c>
      <c r="E1534" s="562">
        <v>4</v>
      </c>
      <c r="F1534" s="562" t="s">
        <v>184</v>
      </c>
      <c r="G1534" s="562" t="s">
        <v>191</v>
      </c>
      <c r="H1534" s="562" t="s">
        <v>191</v>
      </c>
    </row>
    <row r="1535" spans="1:8" x14ac:dyDescent="0.2">
      <c r="A1535" s="562" t="s">
        <v>241</v>
      </c>
      <c r="B1535" s="562" t="s">
        <v>1263</v>
      </c>
      <c r="C1535" s="562" t="s">
        <v>261</v>
      </c>
      <c r="D1535" s="562">
        <v>2</v>
      </c>
      <c r="E1535" s="562">
        <v>4</v>
      </c>
      <c r="F1535" s="562" t="s">
        <v>184</v>
      </c>
      <c r="G1535" s="562" t="s">
        <v>191</v>
      </c>
      <c r="H1535" s="562" t="s">
        <v>191</v>
      </c>
    </row>
    <row r="1536" spans="1:8" x14ac:dyDescent="0.2">
      <c r="A1536" s="562" t="s">
        <v>241</v>
      </c>
      <c r="B1536" s="562" t="s">
        <v>1263</v>
      </c>
      <c r="C1536" s="562" t="s">
        <v>388</v>
      </c>
      <c r="D1536" s="562">
        <v>2</v>
      </c>
      <c r="E1536" s="562">
        <v>4</v>
      </c>
      <c r="F1536" s="562" t="s">
        <v>184</v>
      </c>
      <c r="G1536" s="562" t="s">
        <v>191</v>
      </c>
      <c r="H1536" s="562" t="s">
        <v>191</v>
      </c>
    </row>
    <row r="1537" spans="1:8" x14ac:dyDescent="0.2">
      <c r="A1537" s="562" t="s">
        <v>241</v>
      </c>
      <c r="B1537" s="562" t="s">
        <v>1263</v>
      </c>
      <c r="C1537" s="562" t="s">
        <v>773</v>
      </c>
      <c r="D1537" s="562">
        <v>2</v>
      </c>
      <c r="E1537" s="562">
        <v>5</v>
      </c>
      <c r="F1537" s="562" t="s">
        <v>184</v>
      </c>
      <c r="G1537" s="562" t="s">
        <v>191</v>
      </c>
      <c r="H1537" s="562" t="s">
        <v>191</v>
      </c>
    </row>
    <row r="1538" spans="1:8" x14ac:dyDescent="0.2">
      <c r="A1538" s="562" t="s">
        <v>241</v>
      </c>
      <c r="B1538" s="562" t="s">
        <v>1263</v>
      </c>
      <c r="C1538" s="562" t="s">
        <v>1280</v>
      </c>
      <c r="D1538" s="562">
        <v>2</v>
      </c>
      <c r="E1538" s="562">
        <v>4</v>
      </c>
      <c r="F1538" s="562" t="s">
        <v>184</v>
      </c>
      <c r="G1538" s="562" t="s">
        <v>191</v>
      </c>
      <c r="H1538" s="562" t="s">
        <v>191</v>
      </c>
    </row>
    <row r="1539" spans="1:8" x14ac:dyDescent="0.2">
      <c r="A1539" s="562" t="s">
        <v>241</v>
      </c>
      <c r="B1539" s="562" t="s">
        <v>1263</v>
      </c>
      <c r="C1539" s="562" t="s">
        <v>389</v>
      </c>
      <c r="D1539" s="562">
        <v>2</v>
      </c>
      <c r="E1539" s="562">
        <v>4</v>
      </c>
      <c r="F1539" s="562" t="s">
        <v>184</v>
      </c>
      <c r="G1539" s="562" t="s">
        <v>191</v>
      </c>
      <c r="H1539" s="562" t="s">
        <v>191</v>
      </c>
    </row>
    <row r="1540" spans="1:8" x14ac:dyDescent="0.2">
      <c r="A1540" s="562" t="s">
        <v>241</v>
      </c>
      <c r="B1540" s="562" t="s">
        <v>1263</v>
      </c>
      <c r="C1540" s="562" t="s">
        <v>267</v>
      </c>
      <c r="D1540" s="562">
        <v>2</v>
      </c>
      <c r="E1540" s="562">
        <v>4</v>
      </c>
      <c r="F1540" s="562" t="s">
        <v>184</v>
      </c>
      <c r="G1540" s="562" t="s">
        <v>191</v>
      </c>
      <c r="H1540" s="562" t="s">
        <v>191</v>
      </c>
    </row>
    <row r="1541" spans="1:8" x14ac:dyDescent="0.2">
      <c r="A1541" s="562" t="s">
        <v>241</v>
      </c>
      <c r="B1541" s="562" t="s">
        <v>1263</v>
      </c>
      <c r="C1541" s="562" t="s">
        <v>736</v>
      </c>
      <c r="D1541" s="562">
        <v>2</v>
      </c>
      <c r="E1541" s="562">
        <v>5</v>
      </c>
      <c r="F1541" s="562" t="s">
        <v>184</v>
      </c>
      <c r="G1541" s="562" t="s">
        <v>191</v>
      </c>
      <c r="H1541" s="562" t="s">
        <v>191</v>
      </c>
    </row>
    <row r="1542" spans="1:8" x14ac:dyDescent="0.2">
      <c r="A1542" s="562" t="s">
        <v>241</v>
      </c>
      <c r="B1542" s="562" t="s">
        <v>1263</v>
      </c>
      <c r="C1542" s="562" t="s">
        <v>390</v>
      </c>
      <c r="D1542" s="562">
        <v>2</v>
      </c>
      <c r="E1542" s="562">
        <v>4</v>
      </c>
      <c r="F1542" s="562" t="s">
        <v>184</v>
      </c>
      <c r="G1542" s="562" t="s">
        <v>191</v>
      </c>
      <c r="H1542" s="562" t="s">
        <v>191</v>
      </c>
    </row>
    <row r="1543" spans="1:8" x14ac:dyDescent="0.2">
      <c r="A1543" s="562" t="s">
        <v>241</v>
      </c>
      <c r="B1543" s="562" t="s">
        <v>1263</v>
      </c>
      <c r="C1543" s="562" t="s">
        <v>866</v>
      </c>
      <c r="D1543" s="562">
        <v>2</v>
      </c>
      <c r="E1543" s="562">
        <v>5</v>
      </c>
      <c r="F1543" s="562" t="s">
        <v>184</v>
      </c>
      <c r="G1543" s="562" t="s">
        <v>191</v>
      </c>
      <c r="H1543" s="562" t="s">
        <v>191</v>
      </c>
    </row>
    <row r="1544" spans="1:8" x14ac:dyDescent="0.2">
      <c r="A1544" s="562" t="s">
        <v>241</v>
      </c>
      <c r="B1544" s="562" t="s">
        <v>1263</v>
      </c>
      <c r="C1544" s="562" t="s">
        <v>775</v>
      </c>
      <c r="D1544" s="562">
        <v>2</v>
      </c>
      <c r="E1544" s="562">
        <v>5</v>
      </c>
      <c r="F1544" s="562" t="s">
        <v>184</v>
      </c>
      <c r="G1544" s="562" t="s">
        <v>191</v>
      </c>
      <c r="H1544" s="562" t="s">
        <v>191</v>
      </c>
    </row>
    <row r="1545" spans="1:8" x14ac:dyDescent="0.2">
      <c r="A1545" s="562" t="s">
        <v>241</v>
      </c>
      <c r="B1545" s="562" t="s">
        <v>1263</v>
      </c>
      <c r="C1545" s="562" t="s">
        <v>275</v>
      </c>
      <c r="D1545" s="562">
        <v>2</v>
      </c>
      <c r="E1545" s="562">
        <v>5</v>
      </c>
      <c r="F1545" s="562" t="s">
        <v>184</v>
      </c>
      <c r="G1545" s="562" t="s">
        <v>191</v>
      </c>
      <c r="H1545" s="562" t="s">
        <v>191</v>
      </c>
    </row>
    <row r="1546" spans="1:8" x14ac:dyDescent="0.2">
      <c r="A1546" s="562" t="s">
        <v>241</v>
      </c>
      <c r="B1546" s="562" t="s">
        <v>1263</v>
      </c>
      <c r="C1546" s="562" t="s">
        <v>277</v>
      </c>
      <c r="D1546" s="562">
        <v>2</v>
      </c>
      <c r="E1546" s="562">
        <v>4</v>
      </c>
      <c r="F1546" s="562" t="s">
        <v>184</v>
      </c>
      <c r="G1546" s="562" t="s">
        <v>191</v>
      </c>
      <c r="H1546" s="562" t="s">
        <v>191</v>
      </c>
    </row>
    <row r="1547" spans="1:8" x14ac:dyDescent="0.2">
      <c r="A1547" s="562" t="s">
        <v>241</v>
      </c>
      <c r="B1547" s="562" t="s">
        <v>1263</v>
      </c>
      <c r="C1547" s="562" t="s">
        <v>1281</v>
      </c>
      <c r="D1547" s="562">
        <v>2</v>
      </c>
      <c r="E1547" s="562">
        <v>4</v>
      </c>
      <c r="F1547" s="562" t="s">
        <v>184</v>
      </c>
      <c r="G1547" s="562" t="s">
        <v>191</v>
      </c>
      <c r="H1547" s="562" t="s">
        <v>191</v>
      </c>
    </row>
    <row r="1548" spans="1:8" x14ac:dyDescent="0.2">
      <c r="A1548" s="562" t="s">
        <v>241</v>
      </c>
      <c r="B1548" s="562" t="s">
        <v>1263</v>
      </c>
      <c r="C1548" s="562" t="s">
        <v>281</v>
      </c>
      <c r="D1548" s="562">
        <v>2</v>
      </c>
      <c r="E1548" s="562">
        <v>5</v>
      </c>
      <c r="F1548" s="562" t="s">
        <v>184</v>
      </c>
      <c r="G1548" s="562" t="s">
        <v>191</v>
      </c>
      <c r="H1548" s="562" t="s">
        <v>191</v>
      </c>
    </row>
    <row r="1549" spans="1:8" x14ac:dyDescent="0.2">
      <c r="A1549" s="562" t="s">
        <v>241</v>
      </c>
      <c r="B1549" s="562" t="s">
        <v>1263</v>
      </c>
      <c r="C1549" s="562" t="s">
        <v>1282</v>
      </c>
      <c r="D1549" s="562">
        <v>2</v>
      </c>
      <c r="E1549" s="562">
        <v>4</v>
      </c>
      <c r="F1549" s="562" t="s">
        <v>184</v>
      </c>
      <c r="G1549" s="562" t="s">
        <v>191</v>
      </c>
      <c r="H1549" s="562" t="s">
        <v>191</v>
      </c>
    </row>
    <row r="1550" spans="1:8" x14ac:dyDescent="0.2">
      <c r="A1550" s="562" t="s">
        <v>241</v>
      </c>
      <c r="B1550" s="562" t="s">
        <v>1263</v>
      </c>
      <c r="C1550" s="562" t="s">
        <v>783</v>
      </c>
      <c r="D1550" s="562">
        <v>2</v>
      </c>
      <c r="E1550" s="562">
        <v>5</v>
      </c>
      <c r="F1550" s="562" t="s">
        <v>184</v>
      </c>
      <c r="G1550" s="562" t="s">
        <v>191</v>
      </c>
      <c r="H1550" s="562" t="s">
        <v>191</v>
      </c>
    </row>
    <row r="1551" spans="1:8" x14ac:dyDescent="0.2">
      <c r="A1551" s="562" t="s">
        <v>241</v>
      </c>
      <c r="B1551" s="562" t="s">
        <v>1263</v>
      </c>
      <c r="C1551" s="562" t="s">
        <v>394</v>
      </c>
      <c r="D1551" s="562">
        <v>2</v>
      </c>
      <c r="E1551" s="562">
        <v>4</v>
      </c>
      <c r="F1551" s="562" t="s">
        <v>184</v>
      </c>
      <c r="G1551" s="562" t="s">
        <v>191</v>
      </c>
      <c r="H1551" s="562" t="s">
        <v>191</v>
      </c>
    </row>
    <row r="1552" spans="1:8" x14ac:dyDescent="0.2">
      <c r="A1552" s="562" t="s">
        <v>241</v>
      </c>
      <c r="B1552" s="562" t="s">
        <v>1263</v>
      </c>
      <c r="C1552" s="562" t="s">
        <v>395</v>
      </c>
      <c r="D1552" s="562">
        <v>3</v>
      </c>
      <c r="E1552" s="562">
        <v>4</v>
      </c>
      <c r="F1552" s="562" t="s">
        <v>184</v>
      </c>
      <c r="G1552" s="562" t="s">
        <v>191</v>
      </c>
      <c r="H1552" s="562" t="s">
        <v>191</v>
      </c>
    </row>
    <row r="1553" spans="1:8" x14ac:dyDescent="0.2">
      <c r="A1553" s="562" t="s">
        <v>241</v>
      </c>
      <c r="B1553" s="562" t="s">
        <v>1263</v>
      </c>
      <c r="C1553" s="562" t="s">
        <v>1283</v>
      </c>
      <c r="D1553" s="562">
        <v>2</v>
      </c>
      <c r="E1553" s="562">
        <v>4</v>
      </c>
      <c r="F1553" s="562" t="s">
        <v>184</v>
      </c>
      <c r="G1553" s="562" t="s">
        <v>191</v>
      </c>
      <c r="H1553" s="562" t="s">
        <v>191</v>
      </c>
    </row>
    <row r="1554" spans="1:8" x14ac:dyDescent="0.2">
      <c r="A1554" s="562" t="s">
        <v>241</v>
      </c>
      <c r="B1554" s="562" t="s">
        <v>1263</v>
      </c>
      <c r="C1554" s="562" t="s">
        <v>287</v>
      </c>
      <c r="D1554" s="562">
        <v>2</v>
      </c>
      <c r="E1554" s="562">
        <v>4</v>
      </c>
      <c r="F1554" s="562" t="s">
        <v>184</v>
      </c>
      <c r="G1554" s="562" t="s">
        <v>191</v>
      </c>
      <c r="H1554" s="562" t="s">
        <v>191</v>
      </c>
    </row>
    <row r="1555" spans="1:8" x14ac:dyDescent="0.2">
      <c r="A1555" s="562" t="s">
        <v>241</v>
      </c>
      <c r="B1555" s="562" t="s">
        <v>1263</v>
      </c>
      <c r="C1555" s="562" t="s">
        <v>289</v>
      </c>
      <c r="D1555" s="562">
        <v>2</v>
      </c>
      <c r="E1555" s="562">
        <v>4</v>
      </c>
      <c r="F1555" s="562" t="s">
        <v>184</v>
      </c>
      <c r="G1555" s="562" t="s">
        <v>191</v>
      </c>
      <c r="H1555" s="562" t="s">
        <v>191</v>
      </c>
    </row>
    <row r="1556" spans="1:8" x14ac:dyDescent="0.2">
      <c r="A1556" s="562" t="s">
        <v>241</v>
      </c>
      <c r="B1556" s="562" t="s">
        <v>1263</v>
      </c>
      <c r="C1556" s="562" t="s">
        <v>291</v>
      </c>
      <c r="D1556" s="562">
        <v>2</v>
      </c>
      <c r="E1556" s="562">
        <v>4</v>
      </c>
      <c r="F1556" s="562" t="s">
        <v>184</v>
      </c>
      <c r="G1556" s="562" t="s">
        <v>191</v>
      </c>
      <c r="H1556" s="562" t="s">
        <v>191</v>
      </c>
    </row>
    <row r="1557" spans="1:8" x14ac:dyDescent="0.2">
      <c r="A1557" s="562" t="s">
        <v>241</v>
      </c>
      <c r="B1557" s="562" t="s">
        <v>1263</v>
      </c>
      <c r="C1557" s="562" t="s">
        <v>1284</v>
      </c>
      <c r="D1557" s="562">
        <v>3</v>
      </c>
      <c r="E1557" s="562">
        <v>4</v>
      </c>
      <c r="F1557" s="562" t="s">
        <v>184</v>
      </c>
      <c r="G1557" s="562" t="s">
        <v>191</v>
      </c>
      <c r="H1557" s="562" t="s">
        <v>191</v>
      </c>
    </row>
    <row r="1558" spans="1:8" x14ac:dyDescent="0.2">
      <c r="A1558" s="562" t="s">
        <v>241</v>
      </c>
      <c r="B1558" s="562" t="s">
        <v>1263</v>
      </c>
      <c r="C1558" s="562" t="s">
        <v>397</v>
      </c>
      <c r="D1558" s="562">
        <v>2</v>
      </c>
      <c r="E1558" s="562">
        <v>4</v>
      </c>
      <c r="F1558" s="562" t="s">
        <v>184</v>
      </c>
      <c r="G1558" s="562" t="s">
        <v>191</v>
      </c>
      <c r="H1558" s="562" t="s">
        <v>191</v>
      </c>
    </row>
    <row r="1559" spans="1:8" x14ac:dyDescent="0.2">
      <c r="A1559" s="562" t="s">
        <v>241</v>
      </c>
      <c r="B1559" s="562" t="s">
        <v>1263</v>
      </c>
      <c r="C1559" s="562" t="s">
        <v>1285</v>
      </c>
      <c r="D1559" s="562">
        <v>1</v>
      </c>
      <c r="E1559" s="562">
        <v>5</v>
      </c>
      <c r="F1559" s="562" t="s">
        <v>184</v>
      </c>
      <c r="G1559" s="562" t="s">
        <v>191</v>
      </c>
      <c r="H1559" s="562" t="s">
        <v>191</v>
      </c>
    </row>
    <row r="1560" spans="1:8" x14ac:dyDescent="0.2">
      <c r="A1560" s="562" t="s">
        <v>241</v>
      </c>
      <c r="B1560" s="562" t="s">
        <v>1263</v>
      </c>
      <c r="C1560" s="562" t="s">
        <v>1286</v>
      </c>
      <c r="D1560" s="562">
        <v>2</v>
      </c>
      <c r="E1560" s="562">
        <v>4</v>
      </c>
      <c r="F1560" s="562" t="s">
        <v>184</v>
      </c>
      <c r="G1560" s="562" t="s">
        <v>191</v>
      </c>
      <c r="H1560" s="562" t="s">
        <v>191</v>
      </c>
    </row>
    <row r="1561" spans="1:8" x14ac:dyDescent="0.2">
      <c r="A1561" s="562" t="s">
        <v>241</v>
      </c>
      <c r="B1561" s="562" t="s">
        <v>1263</v>
      </c>
      <c r="C1561" s="562" t="s">
        <v>930</v>
      </c>
      <c r="D1561" s="562">
        <v>2</v>
      </c>
      <c r="E1561" s="562">
        <v>4</v>
      </c>
      <c r="F1561" s="562" t="s">
        <v>184</v>
      </c>
      <c r="G1561" s="562" t="s">
        <v>191</v>
      </c>
      <c r="H1561" s="562" t="s">
        <v>191</v>
      </c>
    </row>
    <row r="1562" spans="1:8" x14ac:dyDescent="0.2">
      <c r="A1562" s="562" t="s">
        <v>241</v>
      </c>
      <c r="B1562" s="562" t="s">
        <v>1263</v>
      </c>
      <c r="C1562" s="562" t="s">
        <v>1287</v>
      </c>
      <c r="D1562" s="562">
        <v>2</v>
      </c>
      <c r="E1562" s="562">
        <v>4</v>
      </c>
      <c r="F1562" s="562" t="s">
        <v>184</v>
      </c>
      <c r="G1562" s="562" t="s">
        <v>191</v>
      </c>
      <c r="H1562" s="562" t="s">
        <v>191</v>
      </c>
    </row>
    <row r="1563" spans="1:8" x14ac:dyDescent="0.2">
      <c r="A1563" s="562" t="s">
        <v>241</v>
      </c>
      <c r="B1563" s="562" t="s">
        <v>1263</v>
      </c>
      <c r="C1563" s="562" t="s">
        <v>1288</v>
      </c>
      <c r="D1563" s="562">
        <v>3</v>
      </c>
      <c r="E1563" s="562">
        <v>4</v>
      </c>
      <c r="F1563" s="562" t="s">
        <v>184</v>
      </c>
      <c r="G1563" s="562" t="s">
        <v>191</v>
      </c>
      <c r="H1563" s="562" t="s">
        <v>191</v>
      </c>
    </row>
    <row r="1564" spans="1:8" x14ac:dyDescent="0.2">
      <c r="A1564" s="562" t="s">
        <v>241</v>
      </c>
      <c r="B1564" s="562" t="s">
        <v>1263</v>
      </c>
      <c r="C1564" s="562" t="s">
        <v>293</v>
      </c>
      <c r="D1564" s="562">
        <v>2</v>
      </c>
      <c r="E1564" s="562">
        <v>4</v>
      </c>
      <c r="F1564" s="562" t="s">
        <v>184</v>
      </c>
      <c r="G1564" s="562" t="s">
        <v>191</v>
      </c>
      <c r="H1564" s="562" t="s">
        <v>191</v>
      </c>
    </row>
    <row r="1565" spans="1:8" x14ac:dyDescent="0.2">
      <c r="A1565" s="562" t="s">
        <v>241</v>
      </c>
      <c r="B1565" s="562" t="s">
        <v>1263</v>
      </c>
      <c r="C1565" s="562" t="s">
        <v>1289</v>
      </c>
      <c r="D1565" s="562">
        <v>2</v>
      </c>
      <c r="E1565" s="562">
        <v>4</v>
      </c>
      <c r="F1565" s="562" t="s">
        <v>184</v>
      </c>
      <c r="G1565" s="562" t="s">
        <v>191</v>
      </c>
      <c r="H1565" s="562" t="s">
        <v>191</v>
      </c>
    </row>
    <row r="1566" spans="1:8" x14ac:dyDescent="0.2">
      <c r="A1566" s="562" t="s">
        <v>241</v>
      </c>
      <c r="B1566" s="562" t="s">
        <v>1263</v>
      </c>
      <c r="C1566" s="562" t="s">
        <v>1290</v>
      </c>
      <c r="D1566" s="562">
        <v>2</v>
      </c>
      <c r="E1566" s="562">
        <v>4</v>
      </c>
      <c r="F1566" s="562" t="s">
        <v>184</v>
      </c>
      <c r="G1566" s="562" t="s">
        <v>191</v>
      </c>
      <c r="H1566" s="562" t="s">
        <v>191</v>
      </c>
    </row>
    <row r="1567" spans="1:8" x14ac:dyDescent="0.2">
      <c r="A1567" s="562" t="s">
        <v>241</v>
      </c>
      <c r="B1567" s="562" t="s">
        <v>1263</v>
      </c>
      <c r="C1567" s="562" t="s">
        <v>297</v>
      </c>
      <c r="D1567" s="562">
        <v>2</v>
      </c>
      <c r="E1567" s="562">
        <v>5</v>
      </c>
      <c r="F1567" s="562" t="s">
        <v>184</v>
      </c>
      <c r="G1567" s="562" t="s">
        <v>191</v>
      </c>
      <c r="H1567" s="562" t="s">
        <v>191</v>
      </c>
    </row>
    <row r="1568" spans="1:8" x14ac:dyDescent="0.2">
      <c r="A1568" s="562" t="s">
        <v>241</v>
      </c>
      <c r="B1568" s="562" t="s">
        <v>1263</v>
      </c>
      <c r="C1568" s="562" t="s">
        <v>1291</v>
      </c>
      <c r="D1568" s="562">
        <v>1</v>
      </c>
      <c r="E1568" s="562">
        <v>4</v>
      </c>
      <c r="F1568" s="562" t="s">
        <v>184</v>
      </c>
      <c r="G1568" s="562" t="s">
        <v>191</v>
      </c>
      <c r="H1568" s="562" t="s">
        <v>191</v>
      </c>
    </row>
    <row r="1569" spans="1:8" x14ac:dyDescent="0.2">
      <c r="A1569" s="562" t="s">
        <v>241</v>
      </c>
      <c r="B1569" s="562" t="s">
        <v>1263</v>
      </c>
      <c r="C1569" s="562" t="s">
        <v>401</v>
      </c>
      <c r="D1569" s="562">
        <v>2</v>
      </c>
      <c r="E1569" s="562">
        <v>4</v>
      </c>
      <c r="F1569" s="562" t="s">
        <v>184</v>
      </c>
      <c r="G1569" s="562" t="s">
        <v>191</v>
      </c>
      <c r="H1569" s="562" t="s">
        <v>191</v>
      </c>
    </row>
    <row r="1570" spans="1:8" x14ac:dyDescent="0.2">
      <c r="A1570" s="562" t="s">
        <v>241</v>
      </c>
      <c r="B1570" s="562" t="s">
        <v>1263</v>
      </c>
      <c r="C1570" s="562" t="s">
        <v>404</v>
      </c>
      <c r="D1570" s="562">
        <v>2</v>
      </c>
      <c r="E1570" s="562">
        <v>4</v>
      </c>
      <c r="F1570" s="562" t="s">
        <v>184</v>
      </c>
      <c r="G1570" s="562" t="s">
        <v>191</v>
      </c>
      <c r="H1570" s="562" t="s">
        <v>191</v>
      </c>
    </row>
    <row r="1571" spans="1:8" x14ac:dyDescent="0.2">
      <c r="A1571" s="562" t="s">
        <v>241</v>
      </c>
      <c r="B1571" s="562" t="s">
        <v>1263</v>
      </c>
      <c r="C1571" s="562" t="s">
        <v>586</v>
      </c>
      <c r="D1571" s="562">
        <v>2</v>
      </c>
      <c r="E1571" s="562">
        <v>5</v>
      </c>
      <c r="F1571" s="562" t="s">
        <v>184</v>
      </c>
      <c r="G1571" s="562" t="s">
        <v>191</v>
      </c>
      <c r="H1571" s="562" t="s">
        <v>191</v>
      </c>
    </row>
    <row r="1572" spans="1:8" x14ac:dyDescent="0.2">
      <c r="A1572" s="562" t="s">
        <v>241</v>
      </c>
      <c r="B1572" s="562" t="s">
        <v>1263</v>
      </c>
      <c r="C1572" s="562" t="s">
        <v>1292</v>
      </c>
      <c r="D1572" s="562">
        <v>2</v>
      </c>
      <c r="E1572" s="562">
        <v>5</v>
      </c>
      <c r="F1572" s="562" t="s">
        <v>184</v>
      </c>
      <c r="G1572" s="562" t="s">
        <v>191</v>
      </c>
      <c r="H1572" s="562" t="s">
        <v>191</v>
      </c>
    </row>
    <row r="1573" spans="1:8" x14ac:dyDescent="0.2">
      <c r="A1573" s="562" t="s">
        <v>241</v>
      </c>
      <c r="B1573" s="562" t="s">
        <v>1263</v>
      </c>
      <c r="C1573" s="562" t="s">
        <v>299</v>
      </c>
      <c r="D1573" s="562">
        <v>2</v>
      </c>
      <c r="E1573" s="562">
        <v>4</v>
      </c>
      <c r="F1573" s="562" t="s">
        <v>184</v>
      </c>
      <c r="G1573" s="562" t="s">
        <v>191</v>
      </c>
      <c r="H1573" s="562" t="s">
        <v>191</v>
      </c>
    </row>
    <row r="1574" spans="1:8" x14ac:dyDescent="0.2">
      <c r="A1574" s="562" t="s">
        <v>241</v>
      </c>
      <c r="B1574" s="562" t="s">
        <v>1263</v>
      </c>
      <c r="C1574" s="562" t="s">
        <v>1293</v>
      </c>
      <c r="D1574" s="562">
        <v>2</v>
      </c>
      <c r="E1574" s="562">
        <v>4</v>
      </c>
      <c r="F1574" s="562" t="s">
        <v>184</v>
      </c>
      <c r="G1574" s="562" t="s">
        <v>191</v>
      </c>
      <c r="H1574" s="562" t="s">
        <v>191</v>
      </c>
    </row>
    <row r="1575" spans="1:8" x14ac:dyDescent="0.2">
      <c r="A1575" s="562" t="s">
        <v>241</v>
      </c>
      <c r="B1575" s="562" t="s">
        <v>1263</v>
      </c>
      <c r="C1575" s="562" t="s">
        <v>1294</v>
      </c>
      <c r="D1575" s="562">
        <v>2</v>
      </c>
      <c r="E1575" s="562">
        <v>4</v>
      </c>
      <c r="F1575" s="562" t="s">
        <v>184</v>
      </c>
      <c r="G1575" s="562" t="s">
        <v>191</v>
      </c>
      <c r="H1575" s="562" t="s">
        <v>191</v>
      </c>
    </row>
    <row r="1576" spans="1:8" x14ac:dyDescent="0.2">
      <c r="A1576" s="562" t="s">
        <v>241</v>
      </c>
      <c r="B1576" s="562" t="s">
        <v>1263</v>
      </c>
      <c r="C1576" s="562" t="s">
        <v>828</v>
      </c>
      <c r="D1576" s="562">
        <v>2</v>
      </c>
      <c r="E1576" s="562">
        <v>4</v>
      </c>
      <c r="F1576" s="562" t="s">
        <v>184</v>
      </c>
      <c r="G1576" s="562" t="s">
        <v>191</v>
      </c>
      <c r="H1576" s="562" t="s">
        <v>191</v>
      </c>
    </row>
    <row r="1577" spans="1:8" x14ac:dyDescent="0.2">
      <c r="A1577" s="562" t="s">
        <v>241</v>
      </c>
      <c r="B1577" s="562" t="s">
        <v>1263</v>
      </c>
      <c r="C1577" s="562" t="s">
        <v>1045</v>
      </c>
      <c r="D1577" s="562">
        <v>2</v>
      </c>
      <c r="E1577" s="562">
        <v>4</v>
      </c>
      <c r="F1577" s="562" t="s">
        <v>184</v>
      </c>
      <c r="G1577" s="562" t="s">
        <v>191</v>
      </c>
      <c r="H1577" s="562" t="s">
        <v>191</v>
      </c>
    </row>
    <row r="1578" spans="1:8" x14ac:dyDescent="0.2">
      <c r="A1578" s="562" t="s">
        <v>241</v>
      </c>
      <c r="B1578" s="562" t="s">
        <v>1263</v>
      </c>
      <c r="C1578" s="562" t="s">
        <v>302</v>
      </c>
      <c r="D1578" s="562">
        <v>2</v>
      </c>
      <c r="E1578" s="562">
        <v>4</v>
      </c>
      <c r="F1578" s="562" t="s">
        <v>184</v>
      </c>
      <c r="G1578" s="562" t="s">
        <v>191</v>
      </c>
      <c r="H1578" s="562" t="s">
        <v>191</v>
      </c>
    </row>
    <row r="1579" spans="1:8" x14ac:dyDescent="0.2">
      <c r="A1579" s="562" t="s">
        <v>241</v>
      </c>
      <c r="B1579" s="562" t="s">
        <v>1263</v>
      </c>
      <c r="C1579" s="562" t="s">
        <v>1295</v>
      </c>
      <c r="D1579" s="562">
        <v>2</v>
      </c>
      <c r="E1579" s="562">
        <v>4</v>
      </c>
      <c r="F1579" s="562" t="s">
        <v>184</v>
      </c>
      <c r="G1579" s="562" t="s">
        <v>191</v>
      </c>
      <c r="H1579" s="562" t="s">
        <v>191</v>
      </c>
    </row>
    <row r="1580" spans="1:8" x14ac:dyDescent="0.2">
      <c r="A1580" s="562" t="s">
        <v>241</v>
      </c>
      <c r="B1580" s="562" t="s">
        <v>1263</v>
      </c>
      <c r="C1580" s="562" t="s">
        <v>1213</v>
      </c>
      <c r="D1580" s="562">
        <v>2</v>
      </c>
      <c r="E1580" s="562">
        <v>4</v>
      </c>
      <c r="F1580" s="562" t="s">
        <v>184</v>
      </c>
      <c r="G1580" s="562" t="s">
        <v>191</v>
      </c>
      <c r="H1580" s="562" t="s">
        <v>191</v>
      </c>
    </row>
    <row r="1581" spans="1:8" x14ac:dyDescent="0.2">
      <c r="A1581" s="562" t="s">
        <v>241</v>
      </c>
      <c r="B1581" s="562" t="s">
        <v>1263</v>
      </c>
      <c r="C1581" s="562" t="s">
        <v>1296</v>
      </c>
      <c r="D1581" s="562">
        <v>2</v>
      </c>
      <c r="E1581" s="562">
        <v>4</v>
      </c>
      <c r="F1581" s="562" t="s">
        <v>184</v>
      </c>
      <c r="G1581" s="562" t="s">
        <v>191</v>
      </c>
      <c r="H1581" s="562" t="s">
        <v>191</v>
      </c>
    </row>
    <row r="1582" spans="1:8" x14ac:dyDescent="0.2">
      <c r="A1582" s="562" t="s">
        <v>241</v>
      </c>
      <c r="B1582" s="562" t="s">
        <v>1263</v>
      </c>
      <c r="C1582" s="562" t="s">
        <v>1297</v>
      </c>
      <c r="D1582" s="562">
        <v>2</v>
      </c>
      <c r="E1582" s="562">
        <v>4</v>
      </c>
      <c r="F1582" s="562" t="s">
        <v>184</v>
      </c>
      <c r="G1582" s="562" t="s">
        <v>191</v>
      </c>
      <c r="H1582" s="562" t="s">
        <v>191</v>
      </c>
    </row>
    <row r="1583" spans="1:8" x14ac:dyDescent="0.2">
      <c r="A1583" s="562" t="s">
        <v>241</v>
      </c>
      <c r="B1583" s="562" t="s">
        <v>1263</v>
      </c>
      <c r="C1583" s="562" t="s">
        <v>406</v>
      </c>
      <c r="D1583" s="562">
        <v>2</v>
      </c>
      <c r="E1583" s="562">
        <v>4</v>
      </c>
      <c r="F1583" s="562" t="s">
        <v>184</v>
      </c>
      <c r="G1583" s="562" t="s">
        <v>191</v>
      </c>
      <c r="H1583" s="562" t="s">
        <v>191</v>
      </c>
    </row>
    <row r="1584" spans="1:8" x14ac:dyDescent="0.2">
      <c r="A1584" s="562" t="s">
        <v>241</v>
      </c>
      <c r="B1584" s="562" t="s">
        <v>1263</v>
      </c>
      <c r="C1584" s="562" t="s">
        <v>791</v>
      </c>
      <c r="D1584" s="562">
        <v>2</v>
      </c>
      <c r="E1584" s="562">
        <v>5</v>
      </c>
      <c r="F1584" s="562" t="s">
        <v>184</v>
      </c>
      <c r="G1584" s="562" t="s">
        <v>191</v>
      </c>
      <c r="H1584" s="562" t="s">
        <v>191</v>
      </c>
    </row>
    <row r="1585" spans="1:8" x14ac:dyDescent="0.2">
      <c r="A1585" s="562" t="s">
        <v>241</v>
      </c>
      <c r="B1585" s="562" t="s">
        <v>1263</v>
      </c>
      <c r="C1585" s="562" t="s">
        <v>1298</v>
      </c>
      <c r="D1585" s="562">
        <v>2</v>
      </c>
      <c r="E1585" s="562">
        <v>5</v>
      </c>
      <c r="F1585" s="562" t="s">
        <v>184</v>
      </c>
      <c r="G1585" s="562" t="s">
        <v>191</v>
      </c>
      <c r="H1585" s="562" t="s">
        <v>191</v>
      </c>
    </row>
    <row r="1586" spans="1:8" x14ac:dyDescent="0.2">
      <c r="A1586" s="562" t="s">
        <v>241</v>
      </c>
      <c r="B1586" s="562" t="s">
        <v>1263</v>
      </c>
      <c r="C1586" s="562" t="s">
        <v>407</v>
      </c>
      <c r="D1586" s="562">
        <v>3</v>
      </c>
      <c r="E1586" s="562">
        <v>4</v>
      </c>
      <c r="F1586" s="562" t="s">
        <v>184</v>
      </c>
      <c r="G1586" s="562" t="s">
        <v>191</v>
      </c>
      <c r="H1586" s="562" t="s">
        <v>191</v>
      </c>
    </row>
    <row r="1587" spans="1:8" x14ac:dyDescent="0.2">
      <c r="A1587" s="562" t="s">
        <v>241</v>
      </c>
      <c r="B1587" s="562" t="s">
        <v>1263</v>
      </c>
      <c r="C1587" s="562" t="s">
        <v>1299</v>
      </c>
      <c r="D1587" s="562">
        <v>2</v>
      </c>
      <c r="E1587" s="562">
        <v>4</v>
      </c>
      <c r="F1587" s="562" t="s">
        <v>184</v>
      </c>
      <c r="G1587" s="562" t="s">
        <v>191</v>
      </c>
      <c r="H1587" s="562" t="s">
        <v>191</v>
      </c>
    </row>
    <row r="1588" spans="1:8" x14ac:dyDescent="0.2">
      <c r="A1588" s="562" t="s">
        <v>241</v>
      </c>
      <c r="B1588" s="562" t="s">
        <v>1263</v>
      </c>
      <c r="C1588" s="562" t="s">
        <v>303</v>
      </c>
      <c r="D1588" s="562">
        <v>2</v>
      </c>
      <c r="E1588" s="562">
        <v>5</v>
      </c>
      <c r="F1588" s="562" t="s">
        <v>184</v>
      </c>
      <c r="G1588" s="562" t="s">
        <v>191</v>
      </c>
      <c r="H1588" s="562" t="s">
        <v>191</v>
      </c>
    </row>
    <row r="1589" spans="1:8" x14ac:dyDescent="0.2">
      <c r="A1589" s="562" t="s">
        <v>241</v>
      </c>
      <c r="B1589" s="562" t="s">
        <v>1263</v>
      </c>
      <c r="C1589" s="562" t="s">
        <v>1300</v>
      </c>
      <c r="D1589" s="562">
        <v>3</v>
      </c>
      <c r="E1589" s="562">
        <v>4</v>
      </c>
      <c r="F1589" s="562" t="s">
        <v>184</v>
      </c>
      <c r="G1589" s="562" t="s">
        <v>191</v>
      </c>
      <c r="H1589" s="562" t="s">
        <v>191</v>
      </c>
    </row>
    <row r="1590" spans="1:8" x14ac:dyDescent="0.2">
      <c r="A1590" s="562" t="s">
        <v>241</v>
      </c>
      <c r="B1590" s="562" t="s">
        <v>1263</v>
      </c>
      <c r="C1590" s="562" t="s">
        <v>412</v>
      </c>
      <c r="D1590" s="562">
        <v>2</v>
      </c>
      <c r="E1590" s="562">
        <v>4</v>
      </c>
      <c r="F1590" s="562" t="s">
        <v>184</v>
      </c>
      <c r="G1590" s="562" t="s">
        <v>191</v>
      </c>
      <c r="H1590" s="562" t="s">
        <v>191</v>
      </c>
    </row>
    <row r="1591" spans="1:8" x14ac:dyDescent="0.2">
      <c r="A1591" s="562" t="s">
        <v>241</v>
      </c>
      <c r="B1591" s="562" t="s">
        <v>1263</v>
      </c>
      <c r="C1591" s="562" t="s">
        <v>834</v>
      </c>
      <c r="D1591" s="562">
        <v>2</v>
      </c>
      <c r="E1591" s="562">
        <v>5</v>
      </c>
      <c r="F1591" s="562" t="s">
        <v>184</v>
      </c>
      <c r="G1591" s="562" t="s">
        <v>191</v>
      </c>
      <c r="H1591" s="562" t="s">
        <v>191</v>
      </c>
    </row>
    <row r="1592" spans="1:8" x14ac:dyDescent="0.2">
      <c r="A1592" s="562" t="s">
        <v>241</v>
      </c>
      <c r="B1592" s="562" t="s">
        <v>1263</v>
      </c>
      <c r="C1592" s="562" t="s">
        <v>1301</v>
      </c>
      <c r="D1592" s="562">
        <v>2</v>
      </c>
      <c r="E1592" s="562">
        <v>4</v>
      </c>
      <c r="F1592" s="562" t="s">
        <v>184</v>
      </c>
      <c r="G1592" s="562" t="s">
        <v>191</v>
      </c>
      <c r="H1592" s="562" t="s">
        <v>191</v>
      </c>
    </row>
    <row r="1593" spans="1:8" x14ac:dyDescent="0.2">
      <c r="A1593" s="562" t="s">
        <v>241</v>
      </c>
      <c r="B1593" s="562" t="s">
        <v>1263</v>
      </c>
      <c r="C1593" s="562" t="s">
        <v>1302</v>
      </c>
      <c r="D1593" s="562">
        <v>2</v>
      </c>
      <c r="E1593" s="562">
        <v>4</v>
      </c>
      <c r="F1593" s="562" t="s">
        <v>184</v>
      </c>
      <c r="G1593" s="562" t="s">
        <v>191</v>
      </c>
      <c r="H1593" s="562" t="s">
        <v>191</v>
      </c>
    </row>
    <row r="1594" spans="1:8" x14ac:dyDescent="0.2">
      <c r="A1594" s="562" t="s">
        <v>241</v>
      </c>
      <c r="B1594" s="562" t="s">
        <v>1263</v>
      </c>
      <c r="C1594" s="562" t="s">
        <v>1056</v>
      </c>
      <c r="D1594" s="562">
        <v>2</v>
      </c>
      <c r="E1594" s="562">
        <v>4</v>
      </c>
      <c r="F1594" s="562" t="s">
        <v>184</v>
      </c>
      <c r="G1594" s="562" t="s">
        <v>191</v>
      </c>
      <c r="H1594" s="562" t="s">
        <v>191</v>
      </c>
    </row>
    <row r="1595" spans="1:8" x14ac:dyDescent="0.2">
      <c r="A1595" s="562" t="s">
        <v>241</v>
      </c>
      <c r="B1595" s="562" t="s">
        <v>1263</v>
      </c>
      <c r="C1595" s="562" t="s">
        <v>699</v>
      </c>
      <c r="D1595" s="562">
        <v>2</v>
      </c>
      <c r="E1595" s="562">
        <v>4</v>
      </c>
      <c r="F1595" s="562" t="s">
        <v>184</v>
      </c>
      <c r="G1595" s="562" t="s">
        <v>191</v>
      </c>
      <c r="H1595" s="562" t="s">
        <v>191</v>
      </c>
    </row>
    <row r="1596" spans="1:8" x14ac:dyDescent="0.2">
      <c r="A1596" s="562" t="s">
        <v>241</v>
      </c>
      <c r="B1596" s="562" t="s">
        <v>1263</v>
      </c>
      <c r="C1596" s="562" t="s">
        <v>309</v>
      </c>
      <c r="D1596" s="562">
        <v>2</v>
      </c>
      <c r="E1596" s="562">
        <v>4</v>
      </c>
      <c r="F1596" s="562" t="s">
        <v>184</v>
      </c>
      <c r="G1596" s="562" t="s">
        <v>191</v>
      </c>
      <c r="H1596" s="562" t="s">
        <v>191</v>
      </c>
    </row>
    <row r="1597" spans="1:8" x14ac:dyDescent="0.2">
      <c r="A1597" s="562" t="s">
        <v>241</v>
      </c>
      <c r="B1597" s="562" t="s">
        <v>1263</v>
      </c>
      <c r="C1597" s="562" t="s">
        <v>700</v>
      </c>
      <c r="D1597" s="562">
        <v>2</v>
      </c>
      <c r="E1597" s="562">
        <v>4</v>
      </c>
      <c r="F1597" s="562" t="s">
        <v>184</v>
      </c>
      <c r="G1597" s="562" t="s">
        <v>191</v>
      </c>
      <c r="H1597" s="562" t="s">
        <v>191</v>
      </c>
    </row>
    <row r="1598" spans="1:8" x14ac:dyDescent="0.2">
      <c r="A1598" s="562" t="s">
        <v>241</v>
      </c>
      <c r="B1598" s="562" t="s">
        <v>1263</v>
      </c>
      <c r="C1598" s="562" t="s">
        <v>701</v>
      </c>
      <c r="D1598" s="562">
        <v>2</v>
      </c>
      <c r="E1598" s="562">
        <v>4</v>
      </c>
      <c r="F1598" s="562" t="s">
        <v>184</v>
      </c>
      <c r="G1598" s="562" t="s">
        <v>191</v>
      </c>
      <c r="H1598" s="562" t="s">
        <v>191</v>
      </c>
    </row>
    <row r="1599" spans="1:8" x14ac:dyDescent="0.2">
      <c r="A1599" s="562" t="s">
        <v>241</v>
      </c>
      <c r="B1599" s="562" t="s">
        <v>1263</v>
      </c>
      <c r="C1599" s="562" t="s">
        <v>706</v>
      </c>
      <c r="D1599" s="562">
        <v>2</v>
      </c>
      <c r="E1599" s="562">
        <v>5</v>
      </c>
      <c r="F1599" s="562" t="s">
        <v>184</v>
      </c>
      <c r="G1599" s="562" t="s">
        <v>191</v>
      </c>
      <c r="H1599" s="562" t="s">
        <v>191</v>
      </c>
    </row>
    <row r="1600" spans="1:8" x14ac:dyDescent="0.2">
      <c r="A1600" s="562" t="s">
        <v>241</v>
      </c>
      <c r="B1600" s="562" t="s">
        <v>1263</v>
      </c>
      <c r="C1600" s="562" t="s">
        <v>889</v>
      </c>
      <c r="D1600" s="562">
        <v>2</v>
      </c>
      <c r="E1600" s="562">
        <v>4</v>
      </c>
      <c r="F1600" s="562" t="s">
        <v>184</v>
      </c>
      <c r="G1600" s="562" t="s">
        <v>191</v>
      </c>
      <c r="H1600" s="562" t="s">
        <v>191</v>
      </c>
    </row>
    <row r="1601" spans="1:8" x14ac:dyDescent="0.2">
      <c r="A1601" s="562" t="s">
        <v>243</v>
      </c>
      <c r="B1601" s="562" t="s">
        <v>1303</v>
      </c>
      <c r="C1601" s="562" t="s">
        <v>1304</v>
      </c>
      <c r="D1601" s="562">
        <v>1</v>
      </c>
      <c r="E1601" s="562">
        <v>6</v>
      </c>
      <c r="F1601" s="562" t="s">
        <v>345</v>
      </c>
      <c r="G1601" s="562" t="s">
        <v>191</v>
      </c>
      <c r="H1601" s="562" t="s">
        <v>191</v>
      </c>
    </row>
    <row r="1602" spans="1:8" x14ac:dyDescent="0.2">
      <c r="A1602" s="562" t="s">
        <v>243</v>
      </c>
      <c r="B1602" s="562" t="s">
        <v>1303</v>
      </c>
      <c r="C1602" s="562" t="s">
        <v>1305</v>
      </c>
      <c r="D1602" s="562">
        <v>1</v>
      </c>
      <c r="E1602" s="562">
        <v>6</v>
      </c>
      <c r="F1602" s="562" t="s">
        <v>345</v>
      </c>
      <c r="G1602" s="562" t="s">
        <v>191</v>
      </c>
      <c r="H1602" s="562" t="s">
        <v>191</v>
      </c>
    </row>
    <row r="1603" spans="1:8" x14ac:dyDescent="0.2">
      <c r="A1603" s="562" t="s">
        <v>243</v>
      </c>
      <c r="B1603" s="562" t="s">
        <v>1303</v>
      </c>
      <c r="C1603" s="562" t="s">
        <v>719</v>
      </c>
      <c r="D1603" s="562">
        <v>1</v>
      </c>
      <c r="E1603" s="562">
        <v>6</v>
      </c>
      <c r="F1603" s="562" t="s">
        <v>345</v>
      </c>
      <c r="G1603" s="562" t="s">
        <v>191</v>
      </c>
      <c r="H1603" s="562" t="s">
        <v>191</v>
      </c>
    </row>
    <row r="1604" spans="1:8" x14ac:dyDescent="0.2">
      <c r="A1604" s="562" t="s">
        <v>243</v>
      </c>
      <c r="B1604" s="562" t="s">
        <v>1303</v>
      </c>
      <c r="C1604" s="562" t="s">
        <v>1306</v>
      </c>
      <c r="D1604" s="562">
        <v>1</v>
      </c>
      <c r="E1604" s="562">
        <v>6</v>
      </c>
      <c r="F1604" s="562" t="s">
        <v>345</v>
      </c>
      <c r="G1604" s="562" t="s">
        <v>191</v>
      </c>
      <c r="H1604" s="562" t="s">
        <v>191</v>
      </c>
    </row>
    <row r="1605" spans="1:8" x14ac:dyDescent="0.2">
      <c r="A1605" s="562" t="s">
        <v>243</v>
      </c>
      <c r="B1605" s="562" t="s">
        <v>1303</v>
      </c>
      <c r="C1605" s="562" t="s">
        <v>1307</v>
      </c>
      <c r="D1605" s="562">
        <v>1</v>
      </c>
      <c r="E1605" s="562">
        <v>6</v>
      </c>
      <c r="F1605" s="562" t="s">
        <v>345</v>
      </c>
      <c r="G1605" s="562" t="s">
        <v>191</v>
      </c>
      <c r="H1605" s="562" t="s">
        <v>191</v>
      </c>
    </row>
    <row r="1606" spans="1:8" x14ac:dyDescent="0.2">
      <c r="A1606" s="562" t="s">
        <v>243</v>
      </c>
      <c r="B1606" s="562" t="s">
        <v>1303</v>
      </c>
      <c r="C1606" s="562" t="s">
        <v>973</v>
      </c>
      <c r="D1606" s="562">
        <v>1</v>
      </c>
      <c r="E1606" s="562">
        <v>6</v>
      </c>
      <c r="F1606" s="562" t="s">
        <v>345</v>
      </c>
      <c r="G1606" s="562" t="s">
        <v>191</v>
      </c>
      <c r="H1606" s="562" t="s">
        <v>191</v>
      </c>
    </row>
    <row r="1607" spans="1:8" x14ac:dyDescent="0.2">
      <c r="A1607" s="562" t="s">
        <v>243</v>
      </c>
      <c r="B1607" s="562" t="s">
        <v>1303</v>
      </c>
      <c r="C1607" s="562" t="s">
        <v>1308</v>
      </c>
      <c r="D1607" s="562">
        <v>1</v>
      </c>
      <c r="E1607" s="562">
        <v>6</v>
      </c>
      <c r="F1607" s="562" t="s">
        <v>345</v>
      </c>
      <c r="G1607" s="562" t="s">
        <v>191</v>
      </c>
      <c r="H1607" s="562" t="s">
        <v>191</v>
      </c>
    </row>
    <row r="1608" spans="1:8" x14ac:dyDescent="0.2">
      <c r="A1608" s="562" t="s">
        <v>243</v>
      </c>
      <c r="B1608" s="562" t="s">
        <v>1303</v>
      </c>
      <c r="C1608" s="562" t="s">
        <v>1309</v>
      </c>
      <c r="D1608" s="562">
        <v>1</v>
      </c>
      <c r="E1608" s="562">
        <v>6</v>
      </c>
      <c r="F1608" s="562" t="s">
        <v>345</v>
      </c>
      <c r="G1608" s="562" t="s">
        <v>191</v>
      </c>
      <c r="H1608" s="562" t="s">
        <v>191</v>
      </c>
    </row>
    <row r="1609" spans="1:8" x14ac:dyDescent="0.2">
      <c r="A1609" s="562" t="s">
        <v>243</v>
      </c>
      <c r="B1609" s="562" t="s">
        <v>1303</v>
      </c>
      <c r="C1609" s="562" t="s">
        <v>491</v>
      </c>
      <c r="D1609" s="562">
        <v>1</v>
      </c>
      <c r="E1609" s="562">
        <v>6</v>
      </c>
      <c r="F1609" s="562" t="s">
        <v>345</v>
      </c>
      <c r="G1609" s="562" t="s">
        <v>191</v>
      </c>
      <c r="H1609" s="562" t="s">
        <v>191</v>
      </c>
    </row>
    <row r="1610" spans="1:8" x14ac:dyDescent="0.2">
      <c r="A1610" s="562" t="s">
        <v>243</v>
      </c>
      <c r="B1610" s="562" t="s">
        <v>1303</v>
      </c>
      <c r="C1610" s="562" t="s">
        <v>1310</v>
      </c>
      <c r="D1610" s="562">
        <v>1</v>
      </c>
      <c r="E1610" s="562">
        <v>6</v>
      </c>
      <c r="F1610" s="562" t="s">
        <v>345</v>
      </c>
      <c r="G1610" s="562" t="s">
        <v>191</v>
      </c>
      <c r="H1610" s="562" t="s">
        <v>191</v>
      </c>
    </row>
    <row r="1611" spans="1:8" x14ac:dyDescent="0.2">
      <c r="A1611" s="562" t="s">
        <v>243</v>
      </c>
      <c r="B1611" s="562" t="s">
        <v>1303</v>
      </c>
      <c r="C1611" s="562" t="s">
        <v>628</v>
      </c>
      <c r="D1611" s="562">
        <v>1</v>
      </c>
      <c r="E1611" s="562">
        <v>6</v>
      </c>
      <c r="F1611" s="562" t="s">
        <v>345</v>
      </c>
      <c r="G1611" s="562" t="s">
        <v>191</v>
      </c>
      <c r="H1611" s="562" t="s">
        <v>191</v>
      </c>
    </row>
    <row r="1612" spans="1:8" x14ac:dyDescent="0.2">
      <c r="A1612" s="562" t="s">
        <v>243</v>
      </c>
      <c r="B1612" s="562" t="s">
        <v>1303</v>
      </c>
      <c r="C1612" s="562" t="s">
        <v>1311</v>
      </c>
      <c r="D1612" s="562">
        <v>1</v>
      </c>
      <c r="E1612" s="562">
        <v>6</v>
      </c>
      <c r="F1612" s="562" t="s">
        <v>345</v>
      </c>
      <c r="G1612" s="562" t="s">
        <v>191</v>
      </c>
      <c r="H1612" s="562" t="s">
        <v>191</v>
      </c>
    </row>
    <row r="1613" spans="1:8" x14ac:dyDescent="0.2">
      <c r="A1613" s="562" t="s">
        <v>243</v>
      </c>
      <c r="B1613" s="562" t="s">
        <v>1303</v>
      </c>
      <c r="C1613" s="562" t="s">
        <v>1312</v>
      </c>
      <c r="D1613" s="562">
        <v>1</v>
      </c>
      <c r="E1613" s="562">
        <v>6</v>
      </c>
      <c r="F1613" s="562" t="s">
        <v>345</v>
      </c>
      <c r="G1613" s="562" t="s">
        <v>191</v>
      </c>
      <c r="H1613" s="562" t="s">
        <v>191</v>
      </c>
    </row>
    <row r="1614" spans="1:8" x14ac:dyDescent="0.2">
      <c r="A1614" s="562" t="s">
        <v>243</v>
      </c>
      <c r="B1614" s="562" t="s">
        <v>1303</v>
      </c>
      <c r="C1614" s="562" t="s">
        <v>1313</v>
      </c>
      <c r="D1614" s="562">
        <v>1</v>
      </c>
      <c r="E1614" s="562">
        <v>6</v>
      </c>
      <c r="F1614" s="562" t="s">
        <v>345</v>
      </c>
      <c r="G1614" s="562" t="s">
        <v>191</v>
      </c>
      <c r="H1614" s="562" t="s">
        <v>191</v>
      </c>
    </row>
    <row r="1615" spans="1:8" x14ac:dyDescent="0.2">
      <c r="A1615" s="562" t="s">
        <v>243</v>
      </c>
      <c r="B1615" s="562" t="s">
        <v>1303</v>
      </c>
      <c r="C1615" s="562" t="s">
        <v>1314</v>
      </c>
      <c r="D1615" s="562">
        <v>1</v>
      </c>
      <c r="E1615" s="562">
        <v>6</v>
      </c>
      <c r="F1615" s="562" t="s">
        <v>345</v>
      </c>
      <c r="G1615" s="562" t="s">
        <v>191</v>
      </c>
      <c r="H1615" s="562" t="s">
        <v>191</v>
      </c>
    </row>
    <row r="1616" spans="1:8" x14ac:dyDescent="0.2">
      <c r="A1616" s="562" t="s">
        <v>243</v>
      </c>
      <c r="B1616" s="562" t="s">
        <v>1303</v>
      </c>
      <c r="C1616" s="562" t="s">
        <v>763</v>
      </c>
      <c r="D1616" s="562">
        <v>1</v>
      </c>
      <c r="E1616" s="562">
        <v>6</v>
      </c>
      <c r="F1616" s="562" t="s">
        <v>345</v>
      </c>
      <c r="G1616" s="562" t="s">
        <v>191</v>
      </c>
      <c r="H1616" s="562" t="s">
        <v>191</v>
      </c>
    </row>
    <row r="1617" spans="1:8" x14ac:dyDescent="0.2">
      <c r="A1617" s="562" t="s">
        <v>243</v>
      </c>
      <c r="B1617" s="562" t="s">
        <v>1303</v>
      </c>
      <c r="C1617" s="562" t="s">
        <v>500</v>
      </c>
      <c r="D1617" s="562">
        <v>1</v>
      </c>
      <c r="E1617" s="562">
        <v>6</v>
      </c>
      <c r="F1617" s="562" t="s">
        <v>345</v>
      </c>
      <c r="G1617" s="562" t="s">
        <v>191</v>
      </c>
      <c r="H1617" s="562" t="s">
        <v>191</v>
      </c>
    </row>
    <row r="1618" spans="1:8" x14ac:dyDescent="0.2">
      <c r="A1618" s="562" t="s">
        <v>243</v>
      </c>
      <c r="B1618" s="562" t="s">
        <v>1303</v>
      </c>
      <c r="C1618" s="562" t="s">
        <v>1315</v>
      </c>
      <c r="D1618" s="562">
        <v>1</v>
      </c>
      <c r="E1618" s="562">
        <v>6</v>
      </c>
      <c r="F1618" s="562" t="s">
        <v>345</v>
      </c>
      <c r="G1618" s="562" t="s">
        <v>191</v>
      </c>
      <c r="H1618" s="562" t="s">
        <v>191</v>
      </c>
    </row>
    <row r="1619" spans="1:8" x14ac:dyDescent="0.2">
      <c r="A1619" s="562" t="s">
        <v>243</v>
      </c>
      <c r="B1619" s="562" t="s">
        <v>1303</v>
      </c>
      <c r="C1619" s="562" t="s">
        <v>1316</v>
      </c>
      <c r="D1619" s="562">
        <v>2</v>
      </c>
      <c r="E1619" s="562">
        <v>6</v>
      </c>
      <c r="F1619" s="562" t="s">
        <v>345</v>
      </c>
      <c r="G1619" s="562" t="s">
        <v>191</v>
      </c>
      <c r="H1619" s="562" t="s">
        <v>191</v>
      </c>
    </row>
    <row r="1620" spans="1:8" x14ac:dyDescent="0.2">
      <c r="A1620" s="562" t="s">
        <v>243</v>
      </c>
      <c r="B1620" s="562" t="s">
        <v>1303</v>
      </c>
      <c r="C1620" s="562" t="s">
        <v>1317</v>
      </c>
      <c r="D1620" s="562">
        <v>1</v>
      </c>
      <c r="E1620" s="562">
        <v>6</v>
      </c>
      <c r="F1620" s="562" t="s">
        <v>345</v>
      </c>
      <c r="G1620" s="562" t="s">
        <v>191</v>
      </c>
      <c r="H1620" s="562" t="s">
        <v>191</v>
      </c>
    </row>
    <row r="1621" spans="1:8" x14ac:dyDescent="0.2">
      <c r="A1621" s="562" t="s">
        <v>243</v>
      </c>
      <c r="B1621" s="562" t="s">
        <v>1303</v>
      </c>
      <c r="C1621" s="562" t="s">
        <v>1318</v>
      </c>
      <c r="D1621" s="562">
        <v>1</v>
      </c>
      <c r="E1621" s="562">
        <v>6</v>
      </c>
      <c r="F1621" s="562" t="s">
        <v>345</v>
      </c>
      <c r="G1621" s="562" t="s">
        <v>191</v>
      </c>
      <c r="H1621" s="562" t="s">
        <v>191</v>
      </c>
    </row>
    <row r="1622" spans="1:8" x14ac:dyDescent="0.2">
      <c r="A1622" s="562" t="s">
        <v>243</v>
      </c>
      <c r="B1622" s="562" t="s">
        <v>1303</v>
      </c>
      <c r="C1622" s="562" t="s">
        <v>261</v>
      </c>
      <c r="D1622" s="562">
        <v>1</v>
      </c>
      <c r="E1622" s="562">
        <v>6</v>
      </c>
      <c r="F1622" s="562" t="s">
        <v>345</v>
      </c>
      <c r="G1622" s="562" t="s">
        <v>191</v>
      </c>
      <c r="H1622" s="562" t="s">
        <v>191</v>
      </c>
    </row>
    <row r="1623" spans="1:8" x14ac:dyDescent="0.2">
      <c r="A1623" s="562" t="s">
        <v>243</v>
      </c>
      <c r="B1623" s="562" t="s">
        <v>1303</v>
      </c>
      <c r="C1623" s="562" t="s">
        <v>1319</v>
      </c>
      <c r="D1623" s="562">
        <v>1</v>
      </c>
      <c r="E1623" s="562">
        <v>6</v>
      </c>
      <c r="F1623" s="562" t="s">
        <v>345</v>
      </c>
      <c r="G1623" s="562" t="s">
        <v>191</v>
      </c>
      <c r="H1623" s="562" t="s">
        <v>191</v>
      </c>
    </row>
    <row r="1624" spans="1:8" x14ac:dyDescent="0.2">
      <c r="A1624" s="562" t="s">
        <v>243</v>
      </c>
      <c r="B1624" s="562" t="s">
        <v>1303</v>
      </c>
      <c r="C1624" s="562" t="s">
        <v>436</v>
      </c>
      <c r="D1624" s="562">
        <v>1</v>
      </c>
      <c r="E1624" s="562">
        <v>6</v>
      </c>
      <c r="F1624" s="562" t="s">
        <v>345</v>
      </c>
      <c r="G1624" s="562" t="s">
        <v>191</v>
      </c>
      <c r="H1624" s="562" t="s">
        <v>191</v>
      </c>
    </row>
    <row r="1625" spans="1:8" x14ac:dyDescent="0.2">
      <c r="A1625" s="562" t="s">
        <v>243</v>
      </c>
      <c r="B1625" s="562" t="s">
        <v>1303</v>
      </c>
      <c r="C1625" s="562" t="s">
        <v>1320</v>
      </c>
      <c r="D1625" s="562">
        <v>1</v>
      </c>
      <c r="E1625" s="562">
        <v>6</v>
      </c>
      <c r="F1625" s="562" t="s">
        <v>345</v>
      </c>
      <c r="G1625" s="562" t="s">
        <v>191</v>
      </c>
      <c r="H1625" s="562" t="s">
        <v>191</v>
      </c>
    </row>
    <row r="1626" spans="1:8" x14ac:dyDescent="0.2">
      <c r="A1626" s="562" t="s">
        <v>243</v>
      </c>
      <c r="B1626" s="562" t="s">
        <v>1303</v>
      </c>
      <c r="C1626" s="562" t="s">
        <v>575</v>
      </c>
      <c r="D1626" s="562">
        <v>1</v>
      </c>
      <c r="E1626" s="562">
        <v>6</v>
      </c>
      <c r="F1626" s="562" t="s">
        <v>345</v>
      </c>
      <c r="G1626" s="562" t="s">
        <v>191</v>
      </c>
      <c r="H1626" s="562" t="s">
        <v>191</v>
      </c>
    </row>
    <row r="1627" spans="1:8" x14ac:dyDescent="0.2">
      <c r="A1627" s="562" t="s">
        <v>243</v>
      </c>
      <c r="B1627" s="562" t="s">
        <v>1303</v>
      </c>
      <c r="C1627" s="562" t="s">
        <v>390</v>
      </c>
      <c r="D1627" s="562">
        <v>1</v>
      </c>
      <c r="E1627" s="562">
        <v>6</v>
      </c>
      <c r="F1627" s="562" t="s">
        <v>345</v>
      </c>
      <c r="G1627" s="562" t="s">
        <v>191</v>
      </c>
      <c r="H1627" s="562" t="s">
        <v>191</v>
      </c>
    </row>
    <row r="1628" spans="1:8" x14ac:dyDescent="0.2">
      <c r="A1628" s="562" t="s">
        <v>243</v>
      </c>
      <c r="B1628" s="562" t="s">
        <v>1303</v>
      </c>
      <c r="C1628" s="562" t="s">
        <v>277</v>
      </c>
      <c r="D1628" s="562">
        <v>1</v>
      </c>
      <c r="E1628" s="562">
        <v>6</v>
      </c>
      <c r="F1628" s="562" t="s">
        <v>345</v>
      </c>
      <c r="G1628" s="562" t="s">
        <v>191</v>
      </c>
      <c r="H1628" s="562" t="s">
        <v>191</v>
      </c>
    </row>
    <row r="1629" spans="1:8" x14ac:dyDescent="0.2">
      <c r="A1629" s="562" t="s">
        <v>243</v>
      </c>
      <c r="B1629" s="562" t="s">
        <v>1303</v>
      </c>
      <c r="C1629" s="562" t="s">
        <v>1321</v>
      </c>
      <c r="D1629" s="562">
        <v>1</v>
      </c>
      <c r="E1629" s="562">
        <v>6</v>
      </c>
      <c r="F1629" s="562" t="s">
        <v>345</v>
      </c>
      <c r="G1629" s="562" t="s">
        <v>191</v>
      </c>
      <c r="H1629" s="562" t="s">
        <v>191</v>
      </c>
    </row>
    <row r="1630" spans="1:8" x14ac:dyDescent="0.2">
      <c r="A1630" s="562" t="s">
        <v>243</v>
      </c>
      <c r="B1630" s="562" t="s">
        <v>1303</v>
      </c>
      <c r="C1630" s="562" t="s">
        <v>1322</v>
      </c>
      <c r="D1630" s="562">
        <v>1</v>
      </c>
      <c r="E1630" s="562">
        <v>6</v>
      </c>
      <c r="F1630" s="562" t="s">
        <v>345</v>
      </c>
      <c r="G1630" s="562" t="s">
        <v>191</v>
      </c>
      <c r="H1630" s="562" t="s">
        <v>191</v>
      </c>
    </row>
    <row r="1631" spans="1:8" x14ac:dyDescent="0.2">
      <c r="A1631" s="562" t="s">
        <v>243</v>
      </c>
      <c r="B1631" s="562" t="s">
        <v>1303</v>
      </c>
      <c r="C1631" s="562" t="s">
        <v>512</v>
      </c>
      <c r="D1631" s="562">
        <v>1</v>
      </c>
      <c r="E1631" s="562">
        <v>6</v>
      </c>
      <c r="F1631" s="562" t="s">
        <v>345</v>
      </c>
      <c r="G1631" s="562" t="s">
        <v>191</v>
      </c>
      <c r="H1631" s="562" t="s">
        <v>191</v>
      </c>
    </row>
    <row r="1632" spans="1:8" x14ac:dyDescent="0.2">
      <c r="A1632" s="562" t="s">
        <v>243</v>
      </c>
      <c r="B1632" s="562" t="s">
        <v>1303</v>
      </c>
      <c r="C1632" s="562" t="s">
        <v>1323</v>
      </c>
      <c r="D1632" s="562">
        <v>1</v>
      </c>
      <c r="E1632" s="562">
        <v>6</v>
      </c>
      <c r="F1632" s="562" t="s">
        <v>345</v>
      </c>
      <c r="G1632" s="562" t="s">
        <v>191</v>
      </c>
      <c r="H1632" s="562" t="s">
        <v>191</v>
      </c>
    </row>
    <row r="1633" spans="1:8" x14ac:dyDescent="0.2">
      <c r="A1633" s="562" t="s">
        <v>243</v>
      </c>
      <c r="B1633" s="562" t="s">
        <v>1303</v>
      </c>
      <c r="C1633" s="562" t="s">
        <v>1324</v>
      </c>
      <c r="D1633" s="562">
        <v>2</v>
      </c>
      <c r="E1633" s="562">
        <v>6</v>
      </c>
      <c r="F1633" s="562" t="s">
        <v>345</v>
      </c>
      <c r="G1633" s="562" t="s">
        <v>191</v>
      </c>
      <c r="H1633" s="562" t="s">
        <v>191</v>
      </c>
    </row>
    <row r="1634" spans="1:8" x14ac:dyDescent="0.2">
      <c r="A1634" s="562" t="s">
        <v>243</v>
      </c>
      <c r="B1634" s="562" t="s">
        <v>1303</v>
      </c>
      <c r="C1634" s="562" t="s">
        <v>518</v>
      </c>
      <c r="D1634" s="562">
        <v>1</v>
      </c>
      <c r="E1634" s="562">
        <v>6</v>
      </c>
      <c r="F1634" s="562" t="s">
        <v>345</v>
      </c>
      <c r="G1634" s="562" t="s">
        <v>191</v>
      </c>
      <c r="H1634" s="562" t="s">
        <v>191</v>
      </c>
    </row>
    <row r="1635" spans="1:8" x14ac:dyDescent="0.2">
      <c r="A1635" s="562" t="s">
        <v>243</v>
      </c>
      <c r="B1635" s="562" t="s">
        <v>1303</v>
      </c>
      <c r="C1635" s="562" t="s">
        <v>1325</v>
      </c>
      <c r="D1635" s="562">
        <v>2</v>
      </c>
      <c r="E1635" s="562">
        <v>6</v>
      </c>
      <c r="F1635" s="562" t="s">
        <v>345</v>
      </c>
      <c r="G1635" s="562" t="s">
        <v>191</v>
      </c>
      <c r="H1635" s="562" t="s">
        <v>191</v>
      </c>
    </row>
    <row r="1636" spans="1:8" x14ac:dyDescent="0.2">
      <c r="A1636" s="562" t="s">
        <v>243</v>
      </c>
      <c r="B1636" s="562" t="s">
        <v>1303</v>
      </c>
      <c r="C1636" s="562" t="s">
        <v>399</v>
      </c>
      <c r="D1636" s="562">
        <v>1</v>
      </c>
      <c r="E1636" s="562">
        <v>6</v>
      </c>
      <c r="F1636" s="562" t="s">
        <v>345</v>
      </c>
      <c r="G1636" s="562" t="s">
        <v>191</v>
      </c>
      <c r="H1636" s="562" t="s">
        <v>191</v>
      </c>
    </row>
    <row r="1637" spans="1:8" x14ac:dyDescent="0.2">
      <c r="A1637" s="562" t="s">
        <v>243</v>
      </c>
      <c r="B1637" s="562" t="s">
        <v>1303</v>
      </c>
      <c r="C1637" s="562" t="s">
        <v>1326</v>
      </c>
      <c r="D1637" s="562">
        <v>1</v>
      </c>
      <c r="E1637" s="562">
        <v>6</v>
      </c>
      <c r="F1637" s="562" t="s">
        <v>345</v>
      </c>
      <c r="G1637" s="562" t="s">
        <v>191</v>
      </c>
      <c r="H1637" s="562" t="s">
        <v>191</v>
      </c>
    </row>
    <row r="1638" spans="1:8" x14ac:dyDescent="0.2">
      <c r="A1638" s="562" t="s">
        <v>243</v>
      </c>
      <c r="B1638" s="562" t="s">
        <v>1303</v>
      </c>
      <c r="C1638" s="562" t="s">
        <v>1327</v>
      </c>
      <c r="D1638" s="562">
        <v>1</v>
      </c>
      <c r="E1638" s="562">
        <v>6</v>
      </c>
      <c r="F1638" s="562" t="s">
        <v>345</v>
      </c>
      <c r="G1638" s="562" t="s">
        <v>191</v>
      </c>
      <c r="H1638" s="562" t="s">
        <v>191</v>
      </c>
    </row>
    <row r="1639" spans="1:8" x14ac:dyDescent="0.2">
      <c r="A1639" s="562" t="s">
        <v>243</v>
      </c>
      <c r="B1639" s="562" t="s">
        <v>1303</v>
      </c>
      <c r="C1639" s="562" t="s">
        <v>1005</v>
      </c>
      <c r="D1639" s="562">
        <v>1</v>
      </c>
      <c r="E1639" s="562">
        <v>6</v>
      </c>
      <c r="F1639" s="562" t="s">
        <v>345</v>
      </c>
      <c r="G1639" s="562" t="s">
        <v>191</v>
      </c>
      <c r="H1639" s="562" t="s">
        <v>191</v>
      </c>
    </row>
    <row r="1640" spans="1:8" x14ac:dyDescent="0.2">
      <c r="A1640" s="562" t="s">
        <v>243</v>
      </c>
      <c r="B1640" s="562" t="s">
        <v>1303</v>
      </c>
      <c r="C1640" s="562" t="s">
        <v>403</v>
      </c>
      <c r="D1640" s="562">
        <v>1</v>
      </c>
      <c r="E1640" s="562">
        <v>6</v>
      </c>
      <c r="F1640" s="562" t="s">
        <v>345</v>
      </c>
      <c r="G1640" s="562" t="s">
        <v>191</v>
      </c>
      <c r="H1640" s="562" t="s">
        <v>191</v>
      </c>
    </row>
    <row r="1641" spans="1:8" x14ac:dyDescent="0.2">
      <c r="A1641" s="562" t="s">
        <v>243</v>
      </c>
      <c r="B1641" s="562" t="s">
        <v>1303</v>
      </c>
      <c r="C1641" s="562" t="s">
        <v>1328</v>
      </c>
      <c r="D1641" s="562">
        <v>1</v>
      </c>
      <c r="E1641" s="562">
        <v>6</v>
      </c>
      <c r="F1641" s="562" t="s">
        <v>345</v>
      </c>
      <c r="G1641" s="562" t="s">
        <v>191</v>
      </c>
      <c r="H1641" s="562" t="s">
        <v>191</v>
      </c>
    </row>
    <row r="1642" spans="1:8" x14ac:dyDescent="0.2">
      <c r="A1642" s="562" t="s">
        <v>243</v>
      </c>
      <c r="B1642" s="562" t="s">
        <v>1303</v>
      </c>
      <c r="C1642" s="562" t="s">
        <v>788</v>
      </c>
      <c r="D1642" s="562">
        <v>1</v>
      </c>
      <c r="E1642" s="562">
        <v>6</v>
      </c>
      <c r="F1642" s="562" t="s">
        <v>345</v>
      </c>
      <c r="G1642" s="562" t="s">
        <v>191</v>
      </c>
      <c r="H1642" s="562" t="s">
        <v>191</v>
      </c>
    </row>
    <row r="1643" spans="1:8" x14ac:dyDescent="0.2">
      <c r="A1643" s="562" t="s">
        <v>243</v>
      </c>
      <c r="B1643" s="562" t="s">
        <v>1303</v>
      </c>
      <c r="C1643" s="562" t="s">
        <v>1329</v>
      </c>
      <c r="D1643" s="562">
        <v>1</v>
      </c>
      <c r="E1643" s="562">
        <v>6</v>
      </c>
      <c r="F1643" s="562" t="s">
        <v>345</v>
      </c>
      <c r="G1643" s="562" t="s">
        <v>191</v>
      </c>
      <c r="H1643" s="562" t="s">
        <v>191</v>
      </c>
    </row>
    <row r="1644" spans="1:8" x14ac:dyDescent="0.2">
      <c r="A1644" s="562" t="s">
        <v>243</v>
      </c>
      <c r="B1644" s="562" t="s">
        <v>1303</v>
      </c>
      <c r="C1644" s="562" t="s">
        <v>1330</v>
      </c>
      <c r="D1644" s="562">
        <v>1</v>
      </c>
      <c r="E1644" s="562">
        <v>6</v>
      </c>
      <c r="F1644" s="562" t="s">
        <v>345</v>
      </c>
      <c r="G1644" s="562" t="s">
        <v>191</v>
      </c>
      <c r="H1644" s="562" t="s">
        <v>191</v>
      </c>
    </row>
    <row r="1645" spans="1:8" x14ac:dyDescent="0.2">
      <c r="A1645" s="562" t="s">
        <v>243</v>
      </c>
      <c r="B1645" s="562" t="s">
        <v>1303</v>
      </c>
      <c r="C1645" s="562" t="s">
        <v>1331</v>
      </c>
      <c r="D1645" s="562">
        <v>1</v>
      </c>
      <c r="E1645" s="562">
        <v>6</v>
      </c>
      <c r="F1645" s="562" t="s">
        <v>345</v>
      </c>
      <c r="G1645" s="562" t="s">
        <v>191</v>
      </c>
      <c r="H1645" s="562" t="s">
        <v>191</v>
      </c>
    </row>
    <row r="1646" spans="1:8" x14ac:dyDescent="0.2">
      <c r="A1646" s="562" t="s">
        <v>243</v>
      </c>
      <c r="B1646" s="562" t="s">
        <v>1303</v>
      </c>
      <c r="C1646" s="562" t="s">
        <v>944</v>
      </c>
      <c r="D1646" s="562">
        <v>1</v>
      </c>
      <c r="E1646" s="562">
        <v>6</v>
      </c>
      <c r="F1646" s="562" t="s">
        <v>345</v>
      </c>
      <c r="G1646" s="562" t="s">
        <v>191</v>
      </c>
      <c r="H1646" s="562" t="s">
        <v>191</v>
      </c>
    </row>
    <row r="1647" spans="1:8" x14ac:dyDescent="0.2">
      <c r="A1647" s="562" t="s">
        <v>243</v>
      </c>
      <c r="B1647" s="562" t="s">
        <v>1303</v>
      </c>
      <c r="C1647" s="562" t="s">
        <v>1332</v>
      </c>
      <c r="D1647" s="562">
        <v>1</v>
      </c>
      <c r="E1647" s="562">
        <v>6</v>
      </c>
      <c r="F1647" s="562" t="s">
        <v>345</v>
      </c>
      <c r="G1647" s="562" t="s">
        <v>191</v>
      </c>
      <c r="H1647" s="562" t="s">
        <v>191</v>
      </c>
    </row>
    <row r="1648" spans="1:8" x14ac:dyDescent="0.2">
      <c r="A1648" s="562" t="s">
        <v>243</v>
      </c>
      <c r="B1648" s="562" t="s">
        <v>1303</v>
      </c>
      <c r="C1648" s="562" t="s">
        <v>1333</v>
      </c>
      <c r="D1648" s="562">
        <v>1</v>
      </c>
      <c r="E1648" s="562">
        <v>6</v>
      </c>
      <c r="F1648" s="562" t="s">
        <v>345</v>
      </c>
      <c r="G1648" s="562" t="s">
        <v>191</v>
      </c>
      <c r="H1648" s="562" t="s">
        <v>191</v>
      </c>
    </row>
    <row r="1649" spans="1:8" x14ac:dyDescent="0.2">
      <c r="A1649" s="562" t="s">
        <v>243</v>
      </c>
      <c r="B1649" s="562" t="s">
        <v>1303</v>
      </c>
      <c r="C1649" s="562" t="s">
        <v>1334</v>
      </c>
      <c r="D1649" s="562">
        <v>2</v>
      </c>
      <c r="E1649" s="562">
        <v>6</v>
      </c>
      <c r="F1649" s="562" t="s">
        <v>345</v>
      </c>
      <c r="G1649" s="562" t="s">
        <v>191</v>
      </c>
      <c r="H1649" s="562" t="s">
        <v>191</v>
      </c>
    </row>
    <row r="1650" spans="1:8" x14ac:dyDescent="0.2">
      <c r="A1650" s="562" t="s">
        <v>243</v>
      </c>
      <c r="B1650" s="562" t="s">
        <v>1303</v>
      </c>
      <c r="C1650" s="562" t="s">
        <v>744</v>
      </c>
      <c r="D1650" s="562">
        <v>1</v>
      </c>
      <c r="E1650" s="562">
        <v>6</v>
      </c>
      <c r="F1650" s="562" t="s">
        <v>345</v>
      </c>
      <c r="G1650" s="562" t="s">
        <v>191</v>
      </c>
      <c r="H1650" s="562" t="s">
        <v>191</v>
      </c>
    </row>
    <row r="1651" spans="1:8" x14ac:dyDescent="0.2">
      <c r="A1651" s="562" t="s">
        <v>243</v>
      </c>
      <c r="B1651" s="562" t="s">
        <v>1303</v>
      </c>
      <c r="C1651" s="562" t="s">
        <v>1335</v>
      </c>
      <c r="D1651" s="562">
        <v>1</v>
      </c>
      <c r="E1651" s="562">
        <v>6</v>
      </c>
      <c r="F1651" s="562" t="s">
        <v>345</v>
      </c>
      <c r="G1651" s="562" t="s">
        <v>191</v>
      </c>
      <c r="H1651" s="562" t="s">
        <v>191</v>
      </c>
    </row>
    <row r="1652" spans="1:8" x14ac:dyDescent="0.2">
      <c r="A1652" s="562" t="s">
        <v>243</v>
      </c>
      <c r="B1652" s="562" t="s">
        <v>1303</v>
      </c>
      <c r="C1652" s="562" t="s">
        <v>1336</v>
      </c>
      <c r="D1652" s="562">
        <v>2</v>
      </c>
      <c r="E1652" s="562">
        <v>6</v>
      </c>
      <c r="F1652" s="562" t="s">
        <v>345</v>
      </c>
      <c r="G1652" s="562" t="s">
        <v>191</v>
      </c>
      <c r="H1652" s="562" t="s">
        <v>191</v>
      </c>
    </row>
    <row r="1653" spans="1:8" x14ac:dyDescent="0.2">
      <c r="A1653" s="562" t="s">
        <v>243</v>
      </c>
      <c r="B1653" s="562" t="s">
        <v>1303</v>
      </c>
      <c r="C1653" s="562" t="s">
        <v>746</v>
      </c>
      <c r="D1653" s="562">
        <v>1</v>
      </c>
      <c r="E1653" s="562">
        <v>6</v>
      </c>
      <c r="F1653" s="562" t="s">
        <v>345</v>
      </c>
      <c r="G1653" s="562" t="s">
        <v>191</v>
      </c>
      <c r="H1653" s="562" t="s">
        <v>191</v>
      </c>
    </row>
    <row r="1654" spans="1:8" x14ac:dyDescent="0.2">
      <c r="A1654" s="562" t="s">
        <v>243</v>
      </c>
      <c r="B1654" s="562" t="s">
        <v>1303</v>
      </c>
      <c r="C1654" s="562" t="s">
        <v>1337</v>
      </c>
      <c r="D1654" s="562">
        <v>2</v>
      </c>
      <c r="E1654" s="562">
        <v>6</v>
      </c>
      <c r="F1654" s="562" t="s">
        <v>345</v>
      </c>
      <c r="G1654" s="562" t="s">
        <v>191</v>
      </c>
      <c r="H1654" s="562" t="s">
        <v>191</v>
      </c>
    </row>
    <row r="1655" spans="1:8" x14ac:dyDescent="0.2">
      <c r="A1655" s="562" t="s">
        <v>243</v>
      </c>
      <c r="B1655" s="562" t="s">
        <v>1303</v>
      </c>
      <c r="C1655" s="562" t="s">
        <v>1338</v>
      </c>
      <c r="D1655" s="562">
        <v>1</v>
      </c>
      <c r="E1655" s="562">
        <v>6</v>
      </c>
      <c r="F1655" s="562" t="s">
        <v>345</v>
      </c>
      <c r="G1655" s="562" t="s">
        <v>191</v>
      </c>
      <c r="H1655" s="562" t="s">
        <v>191</v>
      </c>
    </row>
    <row r="1656" spans="1:8" x14ac:dyDescent="0.2">
      <c r="A1656" s="562" t="s">
        <v>243</v>
      </c>
      <c r="B1656" s="562" t="s">
        <v>1303</v>
      </c>
      <c r="C1656" s="562" t="s">
        <v>1339</v>
      </c>
      <c r="D1656" s="562">
        <v>2</v>
      </c>
      <c r="E1656" s="562">
        <v>6</v>
      </c>
      <c r="F1656" s="562" t="s">
        <v>345</v>
      </c>
      <c r="G1656" s="562" t="s">
        <v>191</v>
      </c>
      <c r="H1656" s="562" t="s">
        <v>191</v>
      </c>
    </row>
    <row r="1657" spans="1:8" x14ac:dyDescent="0.2">
      <c r="A1657" s="562" t="s">
        <v>245</v>
      </c>
      <c r="B1657" s="562" t="s">
        <v>1340</v>
      </c>
      <c r="C1657" s="562" t="s">
        <v>477</v>
      </c>
      <c r="D1657" s="562">
        <v>1</v>
      </c>
      <c r="E1657" s="562">
        <v>5</v>
      </c>
      <c r="F1657" s="562" t="s">
        <v>184</v>
      </c>
      <c r="G1657" s="562" t="s">
        <v>191</v>
      </c>
      <c r="H1657" s="562" t="s">
        <v>191</v>
      </c>
    </row>
    <row r="1658" spans="1:8" x14ac:dyDescent="0.2">
      <c r="A1658" s="562" t="s">
        <v>245</v>
      </c>
      <c r="B1658" s="562" t="s">
        <v>1340</v>
      </c>
      <c r="C1658" s="562" t="s">
        <v>1341</v>
      </c>
      <c r="D1658" s="562">
        <v>2</v>
      </c>
      <c r="E1658" s="562">
        <v>5</v>
      </c>
      <c r="F1658" s="562" t="s">
        <v>184</v>
      </c>
      <c r="G1658" s="562" t="s">
        <v>191</v>
      </c>
      <c r="H1658" s="562" t="s">
        <v>191</v>
      </c>
    </row>
    <row r="1659" spans="1:8" x14ac:dyDescent="0.2">
      <c r="A1659" s="562" t="s">
        <v>245</v>
      </c>
      <c r="B1659" s="562" t="s">
        <v>1340</v>
      </c>
      <c r="C1659" s="562" t="s">
        <v>1342</v>
      </c>
      <c r="D1659" s="562">
        <v>3</v>
      </c>
      <c r="E1659" s="562">
        <v>5</v>
      </c>
      <c r="F1659" s="562" t="s">
        <v>184</v>
      </c>
      <c r="G1659" s="562" t="s">
        <v>191</v>
      </c>
      <c r="H1659" s="562" t="s">
        <v>191</v>
      </c>
    </row>
    <row r="1660" spans="1:8" x14ac:dyDescent="0.2">
      <c r="A1660" s="562" t="s">
        <v>245</v>
      </c>
      <c r="B1660" s="562" t="s">
        <v>1340</v>
      </c>
      <c r="C1660" s="562" t="s">
        <v>1343</v>
      </c>
      <c r="D1660" s="562">
        <v>2</v>
      </c>
      <c r="E1660" s="562">
        <v>5</v>
      </c>
      <c r="F1660" s="562" t="s">
        <v>184</v>
      </c>
      <c r="G1660" s="562" t="s">
        <v>191</v>
      </c>
      <c r="H1660" s="562" t="s">
        <v>191</v>
      </c>
    </row>
    <row r="1661" spans="1:8" x14ac:dyDescent="0.2">
      <c r="A1661" s="562" t="s">
        <v>245</v>
      </c>
      <c r="B1661" s="562" t="s">
        <v>1340</v>
      </c>
      <c r="C1661" s="562" t="s">
        <v>719</v>
      </c>
      <c r="D1661" s="562">
        <v>3</v>
      </c>
      <c r="E1661" s="562">
        <v>5</v>
      </c>
      <c r="F1661" s="562" t="s">
        <v>184</v>
      </c>
      <c r="G1661" s="562" t="s">
        <v>191</v>
      </c>
      <c r="H1661" s="562" t="s">
        <v>191</v>
      </c>
    </row>
    <row r="1662" spans="1:8" x14ac:dyDescent="0.2">
      <c r="A1662" s="562" t="s">
        <v>245</v>
      </c>
      <c r="B1662" s="562" t="s">
        <v>1340</v>
      </c>
      <c r="C1662" s="562" t="s">
        <v>365</v>
      </c>
      <c r="D1662" s="562">
        <v>1</v>
      </c>
      <c r="E1662" s="562">
        <v>5</v>
      </c>
      <c r="F1662" s="562" t="s">
        <v>184</v>
      </c>
      <c r="G1662" s="562" t="s">
        <v>191</v>
      </c>
      <c r="H1662" s="562" t="s">
        <v>191</v>
      </c>
    </row>
    <row r="1663" spans="1:8" x14ac:dyDescent="0.2">
      <c r="A1663" s="562" t="s">
        <v>245</v>
      </c>
      <c r="B1663" s="562" t="s">
        <v>1340</v>
      </c>
      <c r="C1663" s="562" t="s">
        <v>1344</v>
      </c>
      <c r="D1663" s="562">
        <v>2</v>
      </c>
      <c r="E1663" s="562">
        <v>5</v>
      </c>
      <c r="F1663" s="562" t="s">
        <v>184</v>
      </c>
      <c r="G1663" s="562" t="s">
        <v>191</v>
      </c>
      <c r="H1663" s="562" t="s">
        <v>191</v>
      </c>
    </row>
    <row r="1664" spans="1:8" x14ac:dyDescent="0.2">
      <c r="A1664" s="562" t="s">
        <v>245</v>
      </c>
      <c r="B1664" s="562" t="s">
        <v>1340</v>
      </c>
      <c r="C1664" s="562" t="s">
        <v>963</v>
      </c>
      <c r="D1664" s="562">
        <v>1</v>
      </c>
      <c r="E1664" s="562">
        <v>5</v>
      </c>
      <c r="F1664" s="562" t="s">
        <v>184</v>
      </c>
      <c r="G1664" s="562" t="s">
        <v>191</v>
      </c>
      <c r="H1664" s="562" t="s">
        <v>191</v>
      </c>
    </row>
    <row r="1665" spans="1:8" x14ac:dyDescent="0.2">
      <c r="A1665" s="562" t="s">
        <v>245</v>
      </c>
      <c r="B1665" s="562" t="s">
        <v>1340</v>
      </c>
      <c r="C1665" s="562" t="s">
        <v>750</v>
      </c>
      <c r="D1665" s="562">
        <v>3</v>
      </c>
      <c r="E1665" s="562">
        <v>5</v>
      </c>
      <c r="F1665" s="562" t="s">
        <v>184</v>
      </c>
      <c r="G1665" s="562" t="s">
        <v>191</v>
      </c>
      <c r="H1665" s="562" t="s">
        <v>191</v>
      </c>
    </row>
    <row r="1666" spans="1:8" x14ac:dyDescent="0.2">
      <c r="A1666" s="562" t="s">
        <v>245</v>
      </c>
      <c r="B1666" s="562" t="s">
        <v>1340</v>
      </c>
      <c r="C1666" s="562" t="s">
        <v>1345</v>
      </c>
      <c r="D1666" s="562">
        <v>2</v>
      </c>
      <c r="E1666" s="562">
        <v>5</v>
      </c>
      <c r="F1666" s="562" t="s">
        <v>184</v>
      </c>
      <c r="G1666" s="562" t="s">
        <v>191</v>
      </c>
      <c r="H1666" s="562" t="s">
        <v>191</v>
      </c>
    </row>
    <row r="1667" spans="1:8" x14ac:dyDescent="0.2">
      <c r="A1667" s="562" t="s">
        <v>245</v>
      </c>
      <c r="B1667" s="562" t="s">
        <v>1340</v>
      </c>
      <c r="C1667" s="562" t="s">
        <v>1346</v>
      </c>
      <c r="D1667" s="562">
        <v>1</v>
      </c>
      <c r="E1667" s="562">
        <v>5</v>
      </c>
      <c r="F1667" s="562" t="s">
        <v>184</v>
      </c>
      <c r="G1667" s="562" t="s">
        <v>191</v>
      </c>
      <c r="H1667" s="562" t="s">
        <v>191</v>
      </c>
    </row>
    <row r="1668" spans="1:8" x14ac:dyDescent="0.2">
      <c r="A1668" s="562" t="s">
        <v>245</v>
      </c>
      <c r="B1668" s="562" t="s">
        <v>1340</v>
      </c>
      <c r="C1668" s="562" t="s">
        <v>202</v>
      </c>
      <c r="D1668" s="562">
        <v>1</v>
      </c>
      <c r="E1668" s="562">
        <v>5</v>
      </c>
      <c r="F1668" s="562" t="s">
        <v>184</v>
      </c>
      <c r="G1668" s="562" t="s">
        <v>191</v>
      </c>
      <c r="H1668" s="562" t="s">
        <v>191</v>
      </c>
    </row>
    <row r="1669" spans="1:8" x14ac:dyDescent="0.2">
      <c r="A1669" s="562" t="s">
        <v>245</v>
      </c>
      <c r="B1669" s="562" t="s">
        <v>1340</v>
      </c>
      <c r="C1669" s="562" t="s">
        <v>752</v>
      </c>
      <c r="D1669" s="562">
        <v>1</v>
      </c>
      <c r="E1669" s="562">
        <v>5</v>
      </c>
      <c r="F1669" s="562" t="s">
        <v>184</v>
      </c>
      <c r="G1669" s="562" t="s">
        <v>191</v>
      </c>
      <c r="H1669" s="562" t="s">
        <v>191</v>
      </c>
    </row>
    <row r="1670" spans="1:8" x14ac:dyDescent="0.2">
      <c r="A1670" s="562" t="s">
        <v>245</v>
      </c>
      <c r="B1670" s="562" t="s">
        <v>1340</v>
      </c>
      <c r="C1670" s="562" t="s">
        <v>853</v>
      </c>
      <c r="D1670" s="562">
        <v>1</v>
      </c>
      <c r="E1670" s="562">
        <v>5</v>
      </c>
      <c r="F1670" s="562" t="s">
        <v>184</v>
      </c>
      <c r="G1670" s="562" t="s">
        <v>191</v>
      </c>
      <c r="H1670" s="562" t="s">
        <v>191</v>
      </c>
    </row>
    <row r="1671" spans="1:8" x14ac:dyDescent="0.2">
      <c r="A1671" s="562" t="s">
        <v>245</v>
      </c>
      <c r="B1671" s="562" t="s">
        <v>1340</v>
      </c>
      <c r="C1671" s="562" t="s">
        <v>896</v>
      </c>
      <c r="D1671" s="562">
        <v>2</v>
      </c>
      <c r="E1671" s="562">
        <v>5</v>
      </c>
      <c r="F1671" s="562" t="s">
        <v>184</v>
      </c>
      <c r="G1671" s="562" t="s">
        <v>191</v>
      </c>
      <c r="H1671" s="562" t="s">
        <v>191</v>
      </c>
    </row>
    <row r="1672" spans="1:8" x14ac:dyDescent="0.2">
      <c r="A1672" s="562" t="s">
        <v>245</v>
      </c>
      <c r="B1672" s="562" t="s">
        <v>1340</v>
      </c>
      <c r="C1672" s="562" t="s">
        <v>1347</v>
      </c>
      <c r="D1672" s="562">
        <v>3</v>
      </c>
      <c r="E1672" s="562">
        <v>5</v>
      </c>
      <c r="F1672" s="562" t="s">
        <v>184</v>
      </c>
      <c r="G1672" s="562" t="s">
        <v>191</v>
      </c>
      <c r="H1672" s="562" t="s">
        <v>191</v>
      </c>
    </row>
    <row r="1673" spans="1:8" x14ac:dyDescent="0.2">
      <c r="A1673" s="562" t="s">
        <v>245</v>
      </c>
      <c r="B1673" s="562" t="s">
        <v>1340</v>
      </c>
      <c r="C1673" s="562" t="s">
        <v>486</v>
      </c>
      <c r="D1673" s="562">
        <v>2</v>
      </c>
      <c r="E1673" s="562">
        <v>5</v>
      </c>
      <c r="F1673" s="562" t="s">
        <v>184</v>
      </c>
      <c r="G1673" s="562" t="s">
        <v>191</v>
      </c>
      <c r="H1673" s="562" t="s">
        <v>191</v>
      </c>
    </row>
    <row r="1674" spans="1:8" x14ac:dyDescent="0.2">
      <c r="A1674" s="562" t="s">
        <v>245</v>
      </c>
      <c r="B1674" s="562" t="s">
        <v>1340</v>
      </c>
      <c r="C1674" s="562" t="s">
        <v>216</v>
      </c>
      <c r="D1674" s="562">
        <v>1</v>
      </c>
      <c r="E1674" s="562">
        <v>5</v>
      </c>
      <c r="F1674" s="562" t="s">
        <v>184</v>
      </c>
      <c r="G1674" s="562" t="s">
        <v>191</v>
      </c>
      <c r="H1674" s="562" t="s">
        <v>191</v>
      </c>
    </row>
    <row r="1675" spans="1:8" x14ac:dyDescent="0.2">
      <c r="A1675" s="562" t="s">
        <v>245</v>
      </c>
      <c r="B1675" s="562" t="s">
        <v>1340</v>
      </c>
      <c r="C1675" s="562" t="s">
        <v>1348</v>
      </c>
      <c r="D1675" s="562">
        <v>1</v>
      </c>
      <c r="E1675" s="562">
        <v>5</v>
      </c>
      <c r="F1675" s="562" t="s">
        <v>184</v>
      </c>
      <c r="G1675" s="562" t="s">
        <v>191</v>
      </c>
      <c r="H1675" s="562" t="s">
        <v>191</v>
      </c>
    </row>
    <row r="1676" spans="1:8" x14ac:dyDescent="0.2">
      <c r="A1676" s="562" t="s">
        <v>245</v>
      </c>
      <c r="B1676" s="562" t="s">
        <v>1340</v>
      </c>
      <c r="C1676" s="562" t="s">
        <v>1349</v>
      </c>
      <c r="D1676" s="562">
        <v>1</v>
      </c>
      <c r="E1676" s="562">
        <v>5</v>
      </c>
      <c r="F1676" s="562" t="s">
        <v>184</v>
      </c>
      <c r="G1676" s="562" t="s">
        <v>191</v>
      </c>
      <c r="H1676" s="562" t="s">
        <v>191</v>
      </c>
    </row>
    <row r="1677" spans="1:8" x14ac:dyDescent="0.2">
      <c r="A1677" s="562" t="s">
        <v>245</v>
      </c>
      <c r="B1677" s="562" t="s">
        <v>1340</v>
      </c>
      <c r="C1677" s="562" t="s">
        <v>491</v>
      </c>
      <c r="D1677" s="562">
        <v>2</v>
      </c>
      <c r="E1677" s="562">
        <v>5</v>
      </c>
      <c r="F1677" s="562" t="s">
        <v>184</v>
      </c>
      <c r="G1677" s="562" t="s">
        <v>191</v>
      </c>
      <c r="H1677" s="562" t="s">
        <v>191</v>
      </c>
    </row>
    <row r="1678" spans="1:8" x14ac:dyDescent="0.2">
      <c r="A1678" s="562" t="s">
        <v>245</v>
      </c>
      <c r="B1678" s="562" t="s">
        <v>1340</v>
      </c>
      <c r="C1678" s="562" t="s">
        <v>1177</v>
      </c>
      <c r="D1678" s="562">
        <v>1</v>
      </c>
      <c r="E1678" s="562">
        <v>5</v>
      </c>
      <c r="F1678" s="562" t="s">
        <v>184</v>
      </c>
      <c r="G1678" s="562" t="s">
        <v>191</v>
      </c>
      <c r="H1678" s="562" t="s">
        <v>191</v>
      </c>
    </row>
    <row r="1679" spans="1:8" x14ac:dyDescent="0.2">
      <c r="A1679" s="562" t="s">
        <v>245</v>
      </c>
      <c r="B1679" s="562" t="s">
        <v>1340</v>
      </c>
      <c r="C1679" s="562" t="s">
        <v>1350</v>
      </c>
      <c r="D1679" s="562">
        <v>2</v>
      </c>
      <c r="E1679" s="562">
        <v>5</v>
      </c>
      <c r="F1679" s="562" t="s">
        <v>184</v>
      </c>
      <c r="G1679" s="562" t="s">
        <v>191</v>
      </c>
      <c r="H1679" s="562" t="s">
        <v>191</v>
      </c>
    </row>
    <row r="1680" spans="1:8" x14ac:dyDescent="0.2">
      <c r="A1680" s="562" t="s">
        <v>245</v>
      </c>
      <c r="B1680" s="562" t="s">
        <v>1340</v>
      </c>
      <c r="C1680" s="562" t="s">
        <v>628</v>
      </c>
      <c r="D1680" s="562">
        <v>2</v>
      </c>
      <c r="E1680" s="562">
        <v>5</v>
      </c>
      <c r="F1680" s="562" t="s">
        <v>184</v>
      </c>
      <c r="G1680" s="562" t="s">
        <v>191</v>
      </c>
      <c r="H1680" s="562" t="s">
        <v>191</v>
      </c>
    </row>
    <row r="1681" spans="1:8" x14ac:dyDescent="0.2">
      <c r="A1681" s="562" t="s">
        <v>245</v>
      </c>
      <c r="B1681" s="562" t="s">
        <v>1340</v>
      </c>
      <c r="C1681" s="562" t="s">
        <v>1351</v>
      </c>
      <c r="D1681" s="562">
        <v>2</v>
      </c>
      <c r="E1681" s="562">
        <v>5</v>
      </c>
      <c r="F1681" s="562" t="s">
        <v>184</v>
      </c>
      <c r="G1681" s="562" t="s">
        <v>191</v>
      </c>
      <c r="H1681" s="562" t="s">
        <v>191</v>
      </c>
    </row>
    <row r="1682" spans="1:8" x14ac:dyDescent="0.2">
      <c r="A1682" s="562" t="s">
        <v>245</v>
      </c>
      <c r="B1682" s="562" t="s">
        <v>1340</v>
      </c>
      <c r="C1682" s="562" t="s">
        <v>1352</v>
      </c>
      <c r="D1682" s="562">
        <v>1</v>
      </c>
      <c r="E1682" s="562">
        <v>5</v>
      </c>
      <c r="F1682" s="562" t="s">
        <v>184</v>
      </c>
      <c r="G1682" s="562" t="s">
        <v>191</v>
      </c>
      <c r="H1682" s="562" t="s">
        <v>191</v>
      </c>
    </row>
    <row r="1683" spans="1:8" x14ac:dyDescent="0.2">
      <c r="A1683" s="562" t="s">
        <v>245</v>
      </c>
      <c r="B1683" s="562" t="s">
        <v>1340</v>
      </c>
      <c r="C1683" s="562" t="s">
        <v>631</v>
      </c>
      <c r="D1683" s="562">
        <v>1</v>
      </c>
      <c r="E1683" s="562">
        <v>5</v>
      </c>
      <c r="F1683" s="562" t="s">
        <v>184</v>
      </c>
      <c r="G1683" s="562" t="s">
        <v>191</v>
      </c>
      <c r="H1683" s="562" t="s">
        <v>191</v>
      </c>
    </row>
    <row r="1684" spans="1:8" x14ac:dyDescent="0.2">
      <c r="A1684" s="562" t="s">
        <v>245</v>
      </c>
      <c r="B1684" s="562" t="s">
        <v>1340</v>
      </c>
      <c r="C1684" s="562" t="s">
        <v>495</v>
      </c>
      <c r="D1684" s="562">
        <v>1</v>
      </c>
      <c r="E1684" s="562">
        <v>5</v>
      </c>
      <c r="F1684" s="562" t="s">
        <v>184</v>
      </c>
      <c r="G1684" s="562" t="s">
        <v>191</v>
      </c>
      <c r="H1684" s="562" t="s">
        <v>191</v>
      </c>
    </row>
    <row r="1685" spans="1:8" x14ac:dyDescent="0.2">
      <c r="A1685" s="562" t="s">
        <v>245</v>
      </c>
      <c r="B1685" s="562" t="s">
        <v>1340</v>
      </c>
      <c r="C1685" s="562" t="s">
        <v>1353</v>
      </c>
      <c r="D1685" s="562">
        <v>2</v>
      </c>
      <c r="E1685" s="562">
        <v>5</v>
      </c>
      <c r="F1685" s="562" t="s">
        <v>184</v>
      </c>
      <c r="G1685" s="562" t="s">
        <v>191</v>
      </c>
      <c r="H1685" s="562" t="s">
        <v>191</v>
      </c>
    </row>
    <row r="1686" spans="1:8" x14ac:dyDescent="0.2">
      <c r="A1686" s="562" t="s">
        <v>245</v>
      </c>
      <c r="B1686" s="562" t="s">
        <v>1340</v>
      </c>
      <c r="C1686" s="562" t="s">
        <v>1179</v>
      </c>
      <c r="D1686" s="562">
        <v>1</v>
      </c>
      <c r="E1686" s="562">
        <v>5</v>
      </c>
      <c r="F1686" s="562" t="s">
        <v>184</v>
      </c>
      <c r="G1686" s="562" t="s">
        <v>191</v>
      </c>
      <c r="H1686" s="562" t="s">
        <v>191</v>
      </c>
    </row>
    <row r="1687" spans="1:8" x14ac:dyDescent="0.2">
      <c r="A1687" s="562" t="s">
        <v>245</v>
      </c>
      <c r="B1687" s="562" t="s">
        <v>1340</v>
      </c>
      <c r="C1687" s="562" t="s">
        <v>248</v>
      </c>
      <c r="D1687" s="562">
        <v>1</v>
      </c>
      <c r="E1687" s="562">
        <v>5</v>
      </c>
      <c r="F1687" s="562" t="s">
        <v>184</v>
      </c>
      <c r="G1687" s="562" t="s">
        <v>191</v>
      </c>
      <c r="H1687" s="562" t="s">
        <v>191</v>
      </c>
    </row>
    <row r="1688" spans="1:8" x14ac:dyDescent="0.2">
      <c r="A1688" s="562" t="s">
        <v>245</v>
      </c>
      <c r="B1688" s="562" t="s">
        <v>1340</v>
      </c>
      <c r="C1688" s="562" t="s">
        <v>1354</v>
      </c>
      <c r="D1688" s="562">
        <v>1</v>
      </c>
      <c r="E1688" s="562">
        <v>5</v>
      </c>
      <c r="F1688" s="562" t="s">
        <v>184</v>
      </c>
      <c r="G1688" s="562" t="s">
        <v>191</v>
      </c>
      <c r="H1688" s="562" t="s">
        <v>191</v>
      </c>
    </row>
    <row r="1689" spans="1:8" x14ac:dyDescent="0.2">
      <c r="A1689" s="562" t="s">
        <v>245</v>
      </c>
      <c r="B1689" s="562" t="s">
        <v>1340</v>
      </c>
      <c r="C1689" s="562" t="s">
        <v>1355</v>
      </c>
      <c r="D1689" s="562">
        <v>1</v>
      </c>
      <c r="E1689" s="562">
        <v>5</v>
      </c>
      <c r="F1689" s="562" t="s">
        <v>184</v>
      </c>
      <c r="G1689" s="562" t="s">
        <v>191</v>
      </c>
      <c r="H1689" s="562" t="s">
        <v>191</v>
      </c>
    </row>
    <row r="1690" spans="1:8" x14ac:dyDescent="0.2">
      <c r="A1690" s="562" t="s">
        <v>245</v>
      </c>
      <c r="B1690" s="562" t="s">
        <v>1340</v>
      </c>
      <c r="C1690" s="562" t="s">
        <v>1356</v>
      </c>
      <c r="D1690" s="562">
        <v>1</v>
      </c>
      <c r="E1690" s="562">
        <v>5</v>
      </c>
      <c r="F1690" s="562" t="s">
        <v>184</v>
      </c>
      <c r="G1690" s="562" t="s">
        <v>191</v>
      </c>
      <c r="H1690" s="562" t="s">
        <v>191</v>
      </c>
    </row>
    <row r="1691" spans="1:8" x14ac:dyDescent="0.2">
      <c r="A1691" s="562" t="s">
        <v>245</v>
      </c>
      <c r="B1691" s="562" t="s">
        <v>1340</v>
      </c>
      <c r="C1691" s="562" t="s">
        <v>1357</v>
      </c>
      <c r="D1691" s="562">
        <v>3</v>
      </c>
      <c r="E1691" s="562">
        <v>5</v>
      </c>
      <c r="F1691" s="562" t="s">
        <v>184</v>
      </c>
      <c r="G1691" s="562" t="s">
        <v>191</v>
      </c>
      <c r="H1691" s="562" t="s">
        <v>191</v>
      </c>
    </row>
    <row r="1692" spans="1:8" x14ac:dyDescent="0.2">
      <c r="A1692" s="562" t="s">
        <v>245</v>
      </c>
      <c r="B1692" s="562" t="s">
        <v>1340</v>
      </c>
      <c r="C1692" s="562" t="s">
        <v>500</v>
      </c>
      <c r="D1692" s="562">
        <v>3</v>
      </c>
      <c r="E1692" s="562">
        <v>5</v>
      </c>
      <c r="F1692" s="562" t="s">
        <v>184</v>
      </c>
      <c r="G1692" s="562" t="s">
        <v>191</v>
      </c>
      <c r="H1692" s="562" t="s">
        <v>191</v>
      </c>
    </row>
    <row r="1693" spans="1:8" x14ac:dyDescent="0.2">
      <c r="A1693" s="562" t="s">
        <v>245</v>
      </c>
      <c r="B1693" s="562" t="s">
        <v>1340</v>
      </c>
      <c r="C1693" s="562" t="s">
        <v>1358</v>
      </c>
      <c r="D1693" s="562">
        <v>1</v>
      </c>
      <c r="E1693" s="562">
        <v>5</v>
      </c>
      <c r="F1693" s="562" t="s">
        <v>184</v>
      </c>
      <c r="G1693" s="562" t="s">
        <v>191</v>
      </c>
      <c r="H1693" s="562" t="s">
        <v>191</v>
      </c>
    </row>
    <row r="1694" spans="1:8" x14ac:dyDescent="0.2">
      <c r="A1694" s="562" t="s">
        <v>245</v>
      </c>
      <c r="B1694" s="562" t="s">
        <v>1340</v>
      </c>
      <c r="C1694" s="562" t="s">
        <v>382</v>
      </c>
      <c r="D1694" s="562">
        <v>3</v>
      </c>
      <c r="E1694" s="562">
        <v>5</v>
      </c>
      <c r="F1694" s="562" t="s">
        <v>184</v>
      </c>
      <c r="G1694" s="562" t="s">
        <v>191</v>
      </c>
      <c r="H1694" s="562" t="s">
        <v>191</v>
      </c>
    </row>
    <row r="1695" spans="1:8" x14ac:dyDescent="0.2">
      <c r="A1695" s="562" t="s">
        <v>245</v>
      </c>
      <c r="B1695" s="562" t="s">
        <v>1340</v>
      </c>
      <c r="C1695" s="562" t="s">
        <v>910</v>
      </c>
      <c r="D1695" s="562">
        <v>1</v>
      </c>
      <c r="E1695" s="562">
        <v>5</v>
      </c>
      <c r="F1695" s="562" t="s">
        <v>184</v>
      </c>
      <c r="G1695" s="562" t="s">
        <v>191</v>
      </c>
      <c r="H1695" s="562" t="s">
        <v>191</v>
      </c>
    </row>
    <row r="1696" spans="1:8" x14ac:dyDescent="0.2">
      <c r="A1696" s="562" t="s">
        <v>245</v>
      </c>
      <c r="B1696" s="562" t="s">
        <v>1340</v>
      </c>
      <c r="C1696" s="562" t="s">
        <v>649</v>
      </c>
      <c r="D1696" s="562">
        <v>2</v>
      </c>
      <c r="E1696" s="562">
        <v>5</v>
      </c>
      <c r="F1696" s="562" t="s">
        <v>184</v>
      </c>
      <c r="G1696" s="562" t="s">
        <v>191</v>
      </c>
      <c r="H1696" s="562" t="s">
        <v>191</v>
      </c>
    </row>
    <row r="1697" spans="1:8" x14ac:dyDescent="0.2">
      <c r="A1697" s="562" t="s">
        <v>245</v>
      </c>
      <c r="B1697" s="562" t="s">
        <v>1340</v>
      </c>
      <c r="C1697" s="562" t="s">
        <v>565</v>
      </c>
      <c r="D1697" s="562">
        <v>1</v>
      </c>
      <c r="E1697" s="562">
        <v>5</v>
      </c>
      <c r="F1697" s="562" t="s">
        <v>184</v>
      </c>
      <c r="G1697" s="562" t="s">
        <v>191</v>
      </c>
      <c r="H1697" s="562" t="s">
        <v>191</v>
      </c>
    </row>
    <row r="1698" spans="1:8" x14ac:dyDescent="0.2">
      <c r="A1698" s="562" t="s">
        <v>245</v>
      </c>
      <c r="B1698" s="562" t="s">
        <v>1340</v>
      </c>
      <c r="C1698" s="562" t="s">
        <v>984</v>
      </c>
      <c r="D1698" s="562">
        <v>1</v>
      </c>
      <c r="E1698" s="562">
        <v>5</v>
      </c>
      <c r="F1698" s="562" t="s">
        <v>184</v>
      </c>
      <c r="G1698" s="562" t="s">
        <v>191</v>
      </c>
      <c r="H1698" s="562" t="s">
        <v>191</v>
      </c>
    </row>
    <row r="1699" spans="1:8" x14ac:dyDescent="0.2">
      <c r="A1699" s="562" t="s">
        <v>245</v>
      </c>
      <c r="B1699" s="562" t="s">
        <v>1340</v>
      </c>
      <c r="C1699" s="562" t="s">
        <v>1359</v>
      </c>
      <c r="D1699" s="562">
        <v>1</v>
      </c>
      <c r="E1699" s="562">
        <v>5</v>
      </c>
      <c r="F1699" s="562" t="s">
        <v>184</v>
      </c>
      <c r="G1699" s="562" t="s">
        <v>191</v>
      </c>
      <c r="H1699" s="562" t="s">
        <v>191</v>
      </c>
    </row>
    <row r="1700" spans="1:8" x14ac:dyDescent="0.2">
      <c r="A1700" s="562" t="s">
        <v>245</v>
      </c>
      <c r="B1700" s="562" t="s">
        <v>1340</v>
      </c>
      <c r="C1700" s="562" t="s">
        <v>1360</v>
      </c>
      <c r="D1700" s="562">
        <v>1</v>
      </c>
      <c r="E1700" s="562">
        <v>5</v>
      </c>
      <c r="F1700" s="562" t="s">
        <v>184</v>
      </c>
      <c r="G1700" s="562" t="s">
        <v>191</v>
      </c>
      <c r="H1700" s="562" t="s">
        <v>191</v>
      </c>
    </row>
    <row r="1701" spans="1:8" x14ac:dyDescent="0.2">
      <c r="A1701" s="562" t="s">
        <v>245</v>
      </c>
      <c r="B1701" s="562" t="s">
        <v>1340</v>
      </c>
      <c r="C1701" s="562" t="s">
        <v>1278</v>
      </c>
      <c r="D1701" s="562">
        <v>3</v>
      </c>
      <c r="E1701" s="562">
        <v>5</v>
      </c>
      <c r="F1701" s="562" t="s">
        <v>184</v>
      </c>
      <c r="G1701" s="562" t="s">
        <v>191</v>
      </c>
      <c r="H1701" s="562" t="s">
        <v>191</v>
      </c>
    </row>
    <row r="1702" spans="1:8" x14ac:dyDescent="0.2">
      <c r="A1702" s="562" t="s">
        <v>245</v>
      </c>
      <c r="B1702" s="562" t="s">
        <v>1340</v>
      </c>
      <c r="C1702" s="562" t="s">
        <v>1361</v>
      </c>
      <c r="D1702" s="562">
        <v>3</v>
      </c>
      <c r="E1702" s="562">
        <v>5</v>
      </c>
      <c r="F1702" s="562" t="s">
        <v>184</v>
      </c>
      <c r="G1702" s="562" t="s">
        <v>191</v>
      </c>
      <c r="H1702" s="562" t="s">
        <v>191</v>
      </c>
    </row>
    <row r="1703" spans="1:8" x14ac:dyDescent="0.2">
      <c r="A1703" s="562" t="s">
        <v>245</v>
      </c>
      <c r="B1703" s="562" t="s">
        <v>1340</v>
      </c>
      <c r="C1703" s="562" t="s">
        <v>385</v>
      </c>
      <c r="D1703" s="562">
        <v>2</v>
      </c>
      <c r="E1703" s="562">
        <v>5</v>
      </c>
      <c r="F1703" s="562" t="s">
        <v>184</v>
      </c>
      <c r="G1703" s="562" t="s">
        <v>191</v>
      </c>
      <c r="H1703" s="562" t="s">
        <v>191</v>
      </c>
    </row>
    <row r="1704" spans="1:8" x14ac:dyDescent="0.2">
      <c r="A1704" s="562" t="s">
        <v>245</v>
      </c>
      <c r="B1704" s="562" t="s">
        <v>1340</v>
      </c>
      <c r="C1704" s="562" t="s">
        <v>261</v>
      </c>
      <c r="D1704" s="562">
        <v>1</v>
      </c>
      <c r="E1704" s="562">
        <v>5</v>
      </c>
      <c r="F1704" s="562" t="s">
        <v>184</v>
      </c>
      <c r="G1704" s="562" t="s">
        <v>191</v>
      </c>
      <c r="H1704" s="562" t="s">
        <v>191</v>
      </c>
    </row>
    <row r="1705" spans="1:8" x14ac:dyDescent="0.2">
      <c r="A1705" s="562" t="s">
        <v>245</v>
      </c>
      <c r="B1705" s="562" t="s">
        <v>1340</v>
      </c>
      <c r="C1705" s="562" t="s">
        <v>388</v>
      </c>
      <c r="D1705" s="562">
        <v>1</v>
      </c>
      <c r="E1705" s="562">
        <v>5</v>
      </c>
      <c r="F1705" s="562" t="s">
        <v>184</v>
      </c>
      <c r="G1705" s="562" t="s">
        <v>191</v>
      </c>
      <c r="H1705" s="562" t="s">
        <v>191</v>
      </c>
    </row>
    <row r="1706" spans="1:8" x14ac:dyDescent="0.2">
      <c r="A1706" s="562" t="s">
        <v>245</v>
      </c>
      <c r="B1706" s="562" t="s">
        <v>1340</v>
      </c>
      <c r="C1706" s="562" t="s">
        <v>1362</v>
      </c>
      <c r="D1706" s="562">
        <v>1</v>
      </c>
      <c r="E1706" s="562">
        <v>5</v>
      </c>
      <c r="F1706" s="562" t="s">
        <v>184</v>
      </c>
      <c r="G1706" s="562" t="s">
        <v>191</v>
      </c>
      <c r="H1706" s="562" t="s">
        <v>191</v>
      </c>
    </row>
    <row r="1707" spans="1:8" x14ac:dyDescent="0.2">
      <c r="A1707" s="562" t="s">
        <v>245</v>
      </c>
      <c r="B1707" s="562" t="s">
        <v>1340</v>
      </c>
      <c r="C1707" s="562" t="s">
        <v>1363</v>
      </c>
      <c r="D1707" s="562">
        <v>2</v>
      </c>
      <c r="E1707" s="562">
        <v>5</v>
      </c>
      <c r="F1707" s="562" t="s">
        <v>184</v>
      </c>
      <c r="G1707" s="562" t="s">
        <v>191</v>
      </c>
      <c r="H1707" s="562" t="s">
        <v>191</v>
      </c>
    </row>
    <row r="1708" spans="1:8" x14ac:dyDescent="0.2">
      <c r="A1708" s="562" t="s">
        <v>245</v>
      </c>
      <c r="B1708" s="562" t="s">
        <v>1340</v>
      </c>
      <c r="C1708" s="562" t="s">
        <v>1364</v>
      </c>
      <c r="D1708" s="562">
        <v>2</v>
      </c>
      <c r="E1708" s="562">
        <v>5</v>
      </c>
      <c r="F1708" s="562" t="s">
        <v>184</v>
      </c>
      <c r="G1708" s="562" t="s">
        <v>191</v>
      </c>
      <c r="H1708" s="562" t="s">
        <v>191</v>
      </c>
    </row>
    <row r="1709" spans="1:8" x14ac:dyDescent="0.2">
      <c r="A1709" s="562" t="s">
        <v>245</v>
      </c>
      <c r="B1709" s="562" t="s">
        <v>1340</v>
      </c>
      <c r="C1709" s="562" t="s">
        <v>1365</v>
      </c>
      <c r="D1709" s="562">
        <v>2</v>
      </c>
      <c r="E1709" s="562">
        <v>5</v>
      </c>
      <c r="F1709" s="562" t="s">
        <v>184</v>
      </c>
      <c r="G1709" s="562" t="s">
        <v>191</v>
      </c>
      <c r="H1709" s="562" t="s">
        <v>191</v>
      </c>
    </row>
    <row r="1710" spans="1:8" x14ac:dyDescent="0.2">
      <c r="A1710" s="562" t="s">
        <v>245</v>
      </c>
      <c r="B1710" s="562" t="s">
        <v>1340</v>
      </c>
      <c r="C1710" s="562" t="s">
        <v>773</v>
      </c>
      <c r="D1710" s="562">
        <v>1</v>
      </c>
      <c r="E1710" s="562">
        <v>5</v>
      </c>
      <c r="F1710" s="562" t="s">
        <v>184</v>
      </c>
      <c r="G1710" s="562" t="s">
        <v>191</v>
      </c>
      <c r="H1710" s="562" t="s">
        <v>191</v>
      </c>
    </row>
    <row r="1711" spans="1:8" x14ac:dyDescent="0.2">
      <c r="A1711" s="562" t="s">
        <v>245</v>
      </c>
      <c r="B1711" s="562" t="s">
        <v>1340</v>
      </c>
      <c r="C1711" s="562" t="s">
        <v>1366</v>
      </c>
      <c r="D1711" s="562">
        <v>1</v>
      </c>
      <c r="E1711" s="562">
        <v>5</v>
      </c>
      <c r="F1711" s="562" t="s">
        <v>184</v>
      </c>
      <c r="G1711" s="562" t="s">
        <v>191</v>
      </c>
      <c r="H1711" s="562" t="s">
        <v>191</v>
      </c>
    </row>
    <row r="1712" spans="1:8" x14ac:dyDescent="0.2">
      <c r="A1712" s="562" t="s">
        <v>245</v>
      </c>
      <c r="B1712" s="562" t="s">
        <v>1340</v>
      </c>
      <c r="C1712" s="562" t="s">
        <v>390</v>
      </c>
      <c r="D1712" s="562">
        <v>3</v>
      </c>
      <c r="E1712" s="562">
        <v>5</v>
      </c>
      <c r="F1712" s="562" t="s">
        <v>184</v>
      </c>
      <c r="G1712" s="562" t="s">
        <v>191</v>
      </c>
      <c r="H1712" s="562" t="s">
        <v>191</v>
      </c>
    </row>
    <row r="1713" spans="1:8" x14ac:dyDescent="0.2">
      <c r="A1713" s="562" t="s">
        <v>245</v>
      </c>
      <c r="B1713" s="562" t="s">
        <v>1340</v>
      </c>
      <c r="C1713" s="562" t="s">
        <v>392</v>
      </c>
      <c r="D1713" s="562">
        <v>3</v>
      </c>
      <c r="E1713" s="562">
        <v>5</v>
      </c>
      <c r="F1713" s="562" t="s">
        <v>184</v>
      </c>
      <c r="G1713" s="562" t="s">
        <v>191</v>
      </c>
      <c r="H1713" s="562" t="s">
        <v>191</v>
      </c>
    </row>
    <row r="1714" spans="1:8" x14ac:dyDescent="0.2">
      <c r="A1714" s="562" t="s">
        <v>245</v>
      </c>
      <c r="B1714" s="562" t="s">
        <v>1340</v>
      </c>
      <c r="C1714" s="562" t="s">
        <v>1367</v>
      </c>
      <c r="D1714" s="562">
        <v>3</v>
      </c>
      <c r="E1714" s="562">
        <v>5</v>
      </c>
      <c r="F1714" s="562" t="s">
        <v>184</v>
      </c>
      <c r="G1714" s="562" t="s">
        <v>191</v>
      </c>
      <c r="H1714" s="562" t="s">
        <v>191</v>
      </c>
    </row>
    <row r="1715" spans="1:8" x14ac:dyDescent="0.2">
      <c r="A1715" s="562" t="s">
        <v>245</v>
      </c>
      <c r="B1715" s="562" t="s">
        <v>1340</v>
      </c>
      <c r="C1715" s="562" t="s">
        <v>277</v>
      </c>
      <c r="D1715" s="562">
        <v>1</v>
      </c>
      <c r="E1715" s="562">
        <v>5</v>
      </c>
      <c r="F1715" s="562" t="s">
        <v>184</v>
      </c>
      <c r="G1715" s="562" t="s">
        <v>191</v>
      </c>
      <c r="H1715" s="562" t="s">
        <v>191</v>
      </c>
    </row>
    <row r="1716" spans="1:8" x14ac:dyDescent="0.2">
      <c r="A1716" s="562" t="s">
        <v>245</v>
      </c>
      <c r="B1716" s="562" t="s">
        <v>1340</v>
      </c>
      <c r="C1716" s="562" t="s">
        <v>922</v>
      </c>
      <c r="D1716" s="562">
        <v>3</v>
      </c>
      <c r="E1716" s="562">
        <v>5</v>
      </c>
      <c r="F1716" s="562" t="s">
        <v>184</v>
      </c>
      <c r="G1716" s="562" t="s">
        <v>191</v>
      </c>
      <c r="H1716" s="562" t="s">
        <v>191</v>
      </c>
    </row>
    <row r="1717" spans="1:8" x14ac:dyDescent="0.2">
      <c r="A1717" s="562" t="s">
        <v>245</v>
      </c>
      <c r="B1717" s="562" t="s">
        <v>1340</v>
      </c>
      <c r="C1717" s="562" t="s">
        <v>1368</v>
      </c>
      <c r="D1717" s="562">
        <v>2</v>
      </c>
      <c r="E1717" s="562">
        <v>5</v>
      </c>
      <c r="F1717" s="562" t="s">
        <v>184</v>
      </c>
      <c r="G1717" s="562" t="s">
        <v>191</v>
      </c>
      <c r="H1717" s="562" t="s">
        <v>191</v>
      </c>
    </row>
    <row r="1718" spans="1:8" x14ac:dyDescent="0.2">
      <c r="A1718" s="562" t="s">
        <v>245</v>
      </c>
      <c r="B1718" s="562" t="s">
        <v>1340</v>
      </c>
      <c r="C1718" s="562" t="s">
        <v>1369</v>
      </c>
      <c r="D1718" s="562">
        <v>2</v>
      </c>
      <c r="E1718" s="562">
        <v>5</v>
      </c>
      <c r="F1718" s="562" t="s">
        <v>184</v>
      </c>
      <c r="G1718" s="562" t="s">
        <v>191</v>
      </c>
      <c r="H1718" s="562" t="s">
        <v>191</v>
      </c>
    </row>
    <row r="1719" spans="1:8" x14ac:dyDescent="0.2">
      <c r="A1719" s="562" t="s">
        <v>245</v>
      </c>
      <c r="B1719" s="562" t="s">
        <v>1340</v>
      </c>
      <c r="C1719" s="562" t="s">
        <v>1370</v>
      </c>
      <c r="D1719" s="562">
        <v>1</v>
      </c>
      <c r="E1719" s="562">
        <v>5</v>
      </c>
      <c r="F1719" s="562" t="s">
        <v>184</v>
      </c>
      <c r="G1719" s="562" t="s">
        <v>191</v>
      </c>
      <c r="H1719" s="562" t="s">
        <v>191</v>
      </c>
    </row>
    <row r="1720" spans="1:8" x14ac:dyDescent="0.2">
      <c r="A1720" s="562" t="s">
        <v>245</v>
      </c>
      <c r="B1720" s="562" t="s">
        <v>1340</v>
      </c>
      <c r="C1720" s="562" t="s">
        <v>926</v>
      </c>
      <c r="D1720" s="562">
        <v>1</v>
      </c>
      <c r="E1720" s="562">
        <v>5</v>
      </c>
      <c r="F1720" s="562" t="s">
        <v>184</v>
      </c>
      <c r="G1720" s="562" t="s">
        <v>191</v>
      </c>
      <c r="H1720" s="562" t="s">
        <v>191</v>
      </c>
    </row>
    <row r="1721" spans="1:8" x14ac:dyDescent="0.2">
      <c r="A1721" s="562" t="s">
        <v>245</v>
      </c>
      <c r="B1721" s="562" t="s">
        <v>1340</v>
      </c>
      <c r="C1721" s="562" t="s">
        <v>1371</v>
      </c>
      <c r="D1721" s="562">
        <v>1</v>
      </c>
      <c r="E1721" s="562">
        <v>5</v>
      </c>
      <c r="F1721" s="562" t="s">
        <v>184</v>
      </c>
      <c r="G1721" s="562" t="s">
        <v>191</v>
      </c>
      <c r="H1721" s="562" t="s">
        <v>191</v>
      </c>
    </row>
    <row r="1722" spans="1:8" x14ac:dyDescent="0.2">
      <c r="A1722" s="562" t="s">
        <v>245</v>
      </c>
      <c r="B1722" s="562" t="s">
        <v>1340</v>
      </c>
      <c r="C1722" s="562" t="s">
        <v>1372</v>
      </c>
      <c r="D1722" s="562">
        <v>1</v>
      </c>
      <c r="E1722" s="562">
        <v>5</v>
      </c>
      <c r="F1722" s="562" t="s">
        <v>184</v>
      </c>
      <c r="G1722" s="562" t="s">
        <v>191</v>
      </c>
      <c r="H1722" s="562" t="s">
        <v>191</v>
      </c>
    </row>
    <row r="1723" spans="1:8" x14ac:dyDescent="0.2">
      <c r="A1723" s="562" t="s">
        <v>245</v>
      </c>
      <c r="B1723" s="562" t="s">
        <v>1340</v>
      </c>
      <c r="C1723" s="562" t="s">
        <v>933</v>
      </c>
      <c r="D1723" s="562">
        <v>1</v>
      </c>
      <c r="E1723" s="562">
        <v>5</v>
      </c>
      <c r="F1723" s="562" t="s">
        <v>184</v>
      </c>
      <c r="G1723" s="562" t="s">
        <v>191</v>
      </c>
      <c r="H1723" s="562" t="s">
        <v>191</v>
      </c>
    </row>
    <row r="1724" spans="1:8" x14ac:dyDescent="0.2">
      <c r="A1724" s="562" t="s">
        <v>245</v>
      </c>
      <c r="B1724" s="562" t="s">
        <v>1340</v>
      </c>
      <c r="C1724" s="562" t="s">
        <v>1373</v>
      </c>
      <c r="D1724" s="562">
        <v>2</v>
      </c>
      <c r="E1724" s="562">
        <v>5</v>
      </c>
      <c r="F1724" s="562" t="s">
        <v>184</v>
      </c>
      <c r="G1724" s="562" t="s">
        <v>191</v>
      </c>
      <c r="H1724" s="562" t="s">
        <v>191</v>
      </c>
    </row>
    <row r="1725" spans="1:8" x14ac:dyDescent="0.2">
      <c r="A1725" s="562" t="s">
        <v>245</v>
      </c>
      <c r="B1725" s="562" t="s">
        <v>1340</v>
      </c>
      <c r="C1725" s="562" t="s">
        <v>1290</v>
      </c>
      <c r="D1725" s="562">
        <v>1</v>
      </c>
      <c r="E1725" s="562">
        <v>5</v>
      </c>
      <c r="F1725" s="562" t="s">
        <v>184</v>
      </c>
      <c r="G1725" s="562" t="s">
        <v>191</v>
      </c>
      <c r="H1725" s="562" t="s">
        <v>191</v>
      </c>
    </row>
    <row r="1726" spans="1:8" x14ac:dyDescent="0.2">
      <c r="A1726" s="562" t="s">
        <v>245</v>
      </c>
      <c r="B1726" s="562" t="s">
        <v>1340</v>
      </c>
      <c r="C1726" s="562" t="s">
        <v>674</v>
      </c>
      <c r="D1726" s="562">
        <v>1</v>
      </c>
      <c r="E1726" s="562">
        <v>5</v>
      </c>
      <c r="F1726" s="562" t="s">
        <v>184</v>
      </c>
      <c r="G1726" s="562" t="s">
        <v>191</v>
      </c>
      <c r="H1726" s="562" t="s">
        <v>191</v>
      </c>
    </row>
    <row r="1727" spans="1:8" x14ac:dyDescent="0.2">
      <c r="A1727" s="562" t="s">
        <v>245</v>
      </c>
      <c r="B1727" s="562" t="s">
        <v>1340</v>
      </c>
      <c r="C1727" s="562" t="s">
        <v>1291</v>
      </c>
      <c r="D1727" s="562">
        <v>1</v>
      </c>
      <c r="E1727" s="562">
        <v>5</v>
      </c>
      <c r="F1727" s="562" t="s">
        <v>184</v>
      </c>
      <c r="G1727" s="562" t="s">
        <v>191</v>
      </c>
      <c r="H1727" s="562" t="s">
        <v>191</v>
      </c>
    </row>
    <row r="1728" spans="1:8" x14ac:dyDescent="0.2">
      <c r="A1728" s="562" t="s">
        <v>245</v>
      </c>
      <c r="B1728" s="562" t="s">
        <v>1340</v>
      </c>
      <c r="C1728" s="562" t="s">
        <v>401</v>
      </c>
      <c r="D1728" s="562">
        <v>1</v>
      </c>
      <c r="E1728" s="562">
        <v>5</v>
      </c>
      <c r="F1728" s="562" t="s">
        <v>184</v>
      </c>
      <c r="G1728" s="562" t="s">
        <v>191</v>
      </c>
      <c r="H1728" s="562" t="s">
        <v>191</v>
      </c>
    </row>
    <row r="1729" spans="1:8" x14ac:dyDescent="0.2">
      <c r="A1729" s="562" t="s">
        <v>245</v>
      </c>
      <c r="B1729" s="562" t="s">
        <v>1340</v>
      </c>
      <c r="C1729" s="562" t="s">
        <v>1374</v>
      </c>
      <c r="D1729" s="562">
        <v>1</v>
      </c>
      <c r="E1729" s="562">
        <v>5</v>
      </c>
      <c r="F1729" s="562" t="s">
        <v>184</v>
      </c>
      <c r="G1729" s="562" t="s">
        <v>191</v>
      </c>
      <c r="H1729" s="562" t="s">
        <v>191</v>
      </c>
    </row>
    <row r="1730" spans="1:8" x14ac:dyDescent="0.2">
      <c r="A1730" s="562" t="s">
        <v>245</v>
      </c>
      <c r="B1730" s="562" t="s">
        <v>1340</v>
      </c>
      <c r="C1730" s="562" t="s">
        <v>1375</v>
      </c>
      <c r="D1730" s="562">
        <v>1</v>
      </c>
      <c r="E1730" s="562">
        <v>5</v>
      </c>
      <c r="F1730" s="562" t="s">
        <v>184</v>
      </c>
      <c r="G1730" s="562" t="s">
        <v>191</v>
      </c>
      <c r="H1730" s="562" t="s">
        <v>191</v>
      </c>
    </row>
    <row r="1731" spans="1:8" x14ac:dyDescent="0.2">
      <c r="A1731" s="562" t="s">
        <v>245</v>
      </c>
      <c r="B1731" s="562" t="s">
        <v>1340</v>
      </c>
      <c r="C1731" s="562" t="s">
        <v>1211</v>
      </c>
      <c r="D1731" s="562">
        <v>3</v>
      </c>
      <c r="E1731" s="562">
        <v>5</v>
      </c>
      <c r="F1731" s="562" t="s">
        <v>184</v>
      </c>
      <c r="G1731" s="562" t="s">
        <v>191</v>
      </c>
      <c r="H1731" s="562" t="s">
        <v>191</v>
      </c>
    </row>
    <row r="1732" spans="1:8" x14ac:dyDescent="0.2">
      <c r="A1732" s="562" t="s">
        <v>245</v>
      </c>
      <c r="B1732" s="562" t="s">
        <v>1340</v>
      </c>
      <c r="C1732" s="562" t="s">
        <v>406</v>
      </c>
      <c r="D1732" s="562">
        <v>1</v>
      </c>
      <c r="E1732" s="562">
        <v>5</v>
      </c>
      <c r="F1732" s="562" t="s">
        <v>184</v>
      </c>
      <c r="G1732" s="562" t="s">
        <v>191</v>
      </c>
      <c r="H1732" s="562" t="s">
        <v>191</v>
      </c>
    </row>
    <row r="1733" spans="1:8" x14ac:dyDescent="0.2">
      <c r="A1733" s="562" t="s">
        <v>245</v>
      </c>
      <c r="B1733" s="562" t="s">
        <v>1340</v>
      </c>
      <c r="C1733" s="562" t="s">
        <v>1376</v>
      </c>
      <c r="D1733" s="562">
        <v>1</v>
      </c>
      <c r="E1733" s="562">
        <v>5</v>
      </c>
      <c r="F1733" s="562" t="s">
        <v>184</v>
      </c>
      <c r="G1733" s="562" t="s">
        <v>191</v>
      </c>
      <c r="H1733" s="562" t="s">
        <v>191</v>
      </c>
    </row>
    <row r="1734" spans="1:8" x14ac:dyDescent="0.2">
      <c r="A1734" s="562" t="s">
        <v>245</v>
      </c>
      <c r="B1734" s="562" t="s">
        <v>1340</v>
      </c>
      <c r="C1734" s="562" t="s">
        <v>1377</v>
      </c>
      <c r="D1734" s="562">
        <v>1</v>
      </c>
      <c r="E1734" s="562">
        <v>5</v>
      </c>
      <c r="F1734" s="562" t="s">
        <v>184</v>
      </c>
      <c r="G1734" s="562" t="s">
        <v>191</v>
      </c>
      <c r="H1734" s="562" t="s">
        <v>191</v>
      </c>
    </row>
    <row r="1735" spans="1:8" x14ac:dyDescent="0.2">
      <c r="A1735" s="562" t="s">
        <v>245</v>
      </c>
      <c r="B1735" s="562" t="s">
        <v>1340</v>
      </c>
      <c r="C1735" s="562" t="s">
        <v>1378</v>
      </c>
      <c r="D1735" s="562">
        <v>2</v>
      </c>
      <c r="E1735" s="562">
        <v>5</v>
      </c>
      <c r="F1735" s="562" t="s">
        <v>184</v>
      </c>
      <c r="G1735" s="562" t="s">
        <v>191</v>
      </c>
      <c r="H1735" s="562" t="s">
        <v>191</v>
      </c>
    </row>
    <row r="1736" spans="1:8" x14ac:dyDescent="0.2">
      <c r="A1736" s="562" t="s">
        <v>245</v>
      </c>
      <c r="B1736" s="562" t="s">
        <v>1340</v>
      </c>
      <c r="C1736" s="562" t="s">
        <v>942</v>
      </c>
      <c r="D1736" s="562">
        <v>1</v>
      </c>
      <c r="E1736" s="562">
        <v>5</v>
      </c>
      <c r="F1736" s="562" t="s">
        <v>184</v>
      </c>
      <c r="G1736" s="562" t="s">
        <v>191</v>
      </c>
      <c r="H1736" s="562" t="s">
        <v>191</v>
      </c>
    </row>
    <row r="1737" spans="1:8" x14ac:dyDescent="0.2">
      <c r="A1737" s="562" t="s">
        <v>245</v>
      </c>
      <c r="B1737" s="562" t="s">
        <v>1340</v>
      </c>
      <c r="C1737" s="562" t="s">
        <v>944</v>
      </c>
      <c r="D1737" s="562">
        <v>2</v>
      </c>
      <c r="E1737" s="562">
        <v>5</v>
      </c>
      <c r="F1737" s="562" t="s">
        <v>184</v>
      </c>
      <c r="G1737" s="562" t="s">
        <v>191</v>
      </c>
      <c r="H1737" s="562" t="s">
        <v>191</v>
      </c>
    </row>
    <row r="1738" spans="1:8" x14ac:dyDescent="0.2">
      <c r="A1738" s="562" t="s">
        <v>245</v>
      </c>
      <c r="B1738" s="562" t="s">
        <v>1340</v>
      </c>
      <c r="C1738" s="562" t="s">
        <v>945</v>
      </c>
      <c r="D1738" s="562">
        <v>2</v>
      </c>
      <c r="E1738" s="562">
        <v>5</v>
      </c>
      <c r="F1738" s="562" t="s">
        <v>184</v>
      </c>
      <c r="G1738" s="562" t="s">
        <v>191</v>
      </c>
      <c r="H1738" s="562" t="s">
        <v>191</v>
      </c>
    </row>
    <row r="1739" spans="1:8" x14ac:dyDescent="0.2">
      <c r="A1739" s="562" t="s">
        <v>245</v>
      </c>
      <c r="B1739" s="562" t="s">
        <v>1340</v>
      </c>
      <c r="C1739" s="562" t="s">
        <v>883</v>
      </c>
      <c r="D1739" s="562">
        <v>2</v>
      </c>
      <c r="E1739" s="562">
        <v>5</v>
      </c>
      <c r="F1739" s="562" t="s">
        <v>184</v>
      </c>
      <c r="G1739" s="562" t="s">
        <v>191</v>
      </c>
      <c r="H1739" s="562" t="s">
        <v>191</v>
      </c>
    </row>
    <row r="1740" spans="1:8" x14ac:dyDescent="0.2">
      <c r="A1740" s="562" t="s">
        <v>245</v>
      </c>
      <c r="B1740" s="562" t="s">
        <v>1340</v>
      </c>
      <c r="C1740" s="562" t="s">
        <v>948</v>
      </c>
      <c r="D1740" s="562">
        <v>1</v>
      </c>
      <c r="E1740" s="562">
        <v>5</v>
      </c>
      <c r="F1740" s="562" t="s">
        <v>184</v>
      </c>
      <c r="G1740" s="562" t="s">
        <v>191</v>
      </c>
      <c r="H1740" s="562" t="s">
        <v>191</v>
      </c>
    </row>
    <row r="1741" spans="1:8" x14ac:dyDescent="0.2">
      <c r="A1741" s="562" t="s">
        <v>245</v>
      </c>
      <c r="B1741" s="562" t="s">
        <v>1340</v>
      </c>
      <c r="C1741" s="562" t="s">
        <v>1379</v>
      </c>
      <c r="D1741" s="562">
        <v>1</v>
      </c>
      <c r="E1741" s="562">
        <v>5</v>
      </c>
      <c r="F1741" s="562" t="s">
        <v>184</v>
      </c>
      <c r="G1741" s="562" t="s">
        <v>191</v>
      </c>
      <c r="H1741" s="562" t="s">
        <v>191</v>
      </c>
    </row>
    <row r="1742" spans="1:8" x14ac:dyDescent="0.2">
      <c r="A1742" s="562" t="s">
        <v>245</v>
      </c>
      <c r="B1742" s="562" t="s">
        <v>1340</v>
      </c>
      <c r="C1742" s="562" t="s">
        <v>689</v>
      </c>
      <c r="D1742" s="562">
        <v>3</v>
      </c>
      <c r="E1742" s="562">
        <v>5</v>
      </c>
      <c r="F1742" s="562" t="s">
        <v>184</v>
      </c>
      <c r="G1742" s="562" t="s">
        <v>191</v>
      </c>
      <c r="H1742" s="562" t="s">
        <v>191</v>
      </c>
    </row>
    <row r="1743" spans="1:8" x14ac:dyDescent="0.2">
      <c r="A1743" s="562" t="s">
        <v>245</v>
      </c>
      <c r="B1743" s="562" t="s">
        <v>1340</v>
      </c>
      <c r="C1743" s="562" t="s">
        <v>1380</v>
      </c>
      <c r="D1743" s="562">
        <v>1</v>
      </c>
      <c r="E1743" s="562">
        <v>5</v>
      </c>
      <c r="F1743" s="562" t="s">
        <v>184</v>
      </c>
      <c r="G1743" s="562" t="s">
        <v>191</v>
      </c>
      <c r="H1743" s="562" t="s">
        <v>191</v>
      </c>
    </row>
    <row r="1744" spans="1:8" x14ac:dyDescent="0.2">
      <c r="A1744" s="562" t="s">
        <v>245</v>
      </c>
      <c r="B1744" s="562" t="s">
        <v>1340</v>
      </c>
      <c r="C1744" s="562" t="s">
        <v>746</v>
      </c>
      <c r="D1744" s="562">
        <v>2</v>
      </c>
      <c r="E1744" s="562">
        <v>5</v>
      </c>
      <c r="F1744" s="562" t="s">
        <v>184</v>
      </c>
      <c r="G1744" s="562" t="s">
        <v>191</v>
      </c>
      <c r="H1744" s="562" t="s">
        <v>191</v>
      </c>
    </row>
    <row r="1745" spans="1:8" x14ac:dyDescent="0.2">
      <c r="A1745" s="562" t="s">
        <v>245</v>
      </c>
      <c r="B1745" s="562" t="s">
        <v>1340</v>
      </c>
      <c r="C1745" s="562" t="s">
        <v>309</v>
      </c>
      <c r="D1745" s="562">
        <v>1</v>
      </c>
      <c r="E1745" s="562">
        <v>5</v>
      </c>
      <c r="F1745" s="562" t="s">
        <v>184</v>
      </c>
      <c r="G1745" s="562" t="s">
        <v>191</v>
      </c>
      <c r="H1745" s="562" t="s">
        <v>191</v>
      </c>
    </row>
    <row r="1746" spans="1:8" x14ac:dyDescent="0.2">
      <c r="A1746" s="562" t="s">
        <v>245</v>
      </c>
      <c r="B1746" s="562" t="s">
        <v>1340</v>
      </c>
      <c r="C1746" s="562" t="s">
        <v>700</v>
      </c>
      <c r="D1746" s="562">
        <v>1</v>
      </c>
      <c r="E1746" s="562">
        <v>5</v>
      </c>
      <c r="F1746" s="562" t="s">
        <v>184</v>
      </c>
      <c r="G1746" s="562" t="s">
        <v>191</v>
      </c>
      <c r="H1746" s="562" t="s">
        <v>191</v>
      </c>
    </row>
    <row r="1747" spans="1:8" x14ac:dyDescent="0.2">
      <c r="A1747" s="562" t="s">
        <v>245</v>
      </c>
      <c r="B1747" s="562" t="s">
        <v>1340</v>
      </c>
      <c r="C1747" s="562" t="s">
        <v>701</v>
      </c>
      <c r="D1747" s="562">
        <v>1</v>
      </c>
      <c r="E1747" s="562">
        <v>5</v>
      </c>
      <c r="F1747" s="562" t="s">
        <v>184</v>
      </c>
      <c r="G1747" s="562" t="s">
        <v>191</v>
      </c>
      <c r="H1747" s="562" t="s">
        <v>191</v>
      </c>
    </row>
    <row r="1748" spans="1:8" x14ac:dyDescent="0.2">
      <c r="A1748" s="562" t="s">
        <v>245</v>
      </c>
      <c r="B1748" s="562" t="s">
        <v>1340</v>
      </c>
      <c r="C1748" s="562" t="s">
        <v>702</v>
      </c>
      <c r="D1748" s="562">
        <v>3</v>
      </c>
      <c r="E1748" s="562">
        <v>5</v>
      </c>
      <c r="F1748" s="562" t="s">
        <v>184</v>
      </c>
      <c r="G1748" s="562" t="s">
        <v>191</v>
      </c>
      <c r="H1748" s="562" t="s">
        <v>191</v>
      </c>
    </row>
    <row r="1749" spans="1:8" x14ac:dyDescent="0.2">
      <c r="A1749" s="562" t="s">
        <v>245</v>
      </c>
      <c r="B1749" s="562" t="s">
        <v>1340</v>
      </c>
      <c r="C1749" s="562" t="s">
        <v>1071</v>
      </c>
      <c r="D1749" s="562">
        <v>1</v>
      </c>
      <c r="E1749" s="562">
        <v>5</v>
      </c>
      <c r="F1749" s="562" t="s">
        <v>184</v>
      </c>
      <c r="G1749" s="562" t="s">
        <v>191</v>
      </c>
      <c r="H1749" s="562" t="s">
        <v>191</v>
      </c>
    </row>
    <row r="1750" spans="1:8" x14ac:dyDescent="0.2">
      <c r="A1750" s="562" t="s">
        <v>247</v>
      </c>
      <c r="B1750" s="562" t="s">
        <v>1381</v>
      </c>
      <c r="C1750" s="562" t="s">
        <v>1382</v>
      </c>
      <c r="D1750" s="562">
        <v>1</v>
      </c>
      <c r="E1750" s="562">
        <v>5</v>
      </c>
      <c r="F1750" s="562" t="s">
        <v>345</v>
      </c>
      <c r="G1750" s="562" t="s">
        <v>191</v>
      </c>
      <c r="H1750" s="562" t="s">
        <v>191</v>
      </c>
    </row>
    <row r="1751" spans="1:8" x14ac:dyDescent="0.2">
      <c r="A1751" s="562" t="s">
        <v>247</v>
      </c>
      <c r="B1751" s="562" t="s">
        <v>1381</v>
      </c>
      <c r="C1751" s="562" t="s">
        <v>1383</v>
      </c>
      <c r="D1751" s="562">
        <v>2</v>
      </c>
      <c r="E1751" s="562">
        <v>5</v>
      </c>
      <c r="F1751" s="562" t="s">
        <v>345</v>
      </c>
      <c r="G1751" s="562" t="s">
        <v>191</v>
      </c>
      <c r="H1751" s="562" t="s">
        <v>191</v>
      </c>
    </row>
    <row r="1752" spans="1:8" x14ac:dyDescent="0.2">
      <c r="A1752" s="562" t="s">
        <v>247</v>
      </c>
      <c r="B1752" s="562" t="s">
        <v>1381</v>
      </c>
      <c r="C1752" s="562" t="s">
        <v>369</v>
      </c>
      <c r="D1752" s="562">
        <v>3</v>
      </c>
      <c r="E1752" s="562">
        <v>3</v>
      </c>
      <c r="F1752" s="562" t="s">
        <v>345</v>
      </c>
      <c r="G1752" s="562" t="s">
        <v>191</v>
      </c>
      <c r="H1752" s="562" t="s">
        <v>191</v>
      </c>
    </row>
    <row r="1753" spans="1:8" x14ac:dyDescent="0.2">
      <c r="A1753" s="562" t="s">
        <v>247</v>
      </c>
      <c r="B1753" s="562" t="s">
        <v>1381</v>
      </c>
      <c r="C1753" s="562" t="s">
        <v>495</v>
      </c>
      <c r="D1753" s="562">
        <v>1</v>
      </c>
      <c r="E1753" s="562">
        <v>5</v>
      </c>
      <c r="F1753" s="562" t="s">
        <v>345</v>
      </c>
      <c r="G1753" s="562" t="s">
        <v>191</v>
      </c>
      <c r="H1753" s="562" t="s">
        <v>191</v>
      </c>
    </row>
    <row r="1754" spans="1:8" x14ac:dyDescent="0.2">
      <c r="A1754" s="562" t="s">
        <v>247</v>
      </c>
      <c r="B1754" s="562" t="s">
        <v>1381</v>
      </c>
      <c r="C1754" s="562" t="s">
        <v>1384</v>
      </c>
      <c r="D1754" s="562">
        <v>2</v>
      </c>
      <c r="E1754" s="562">
        <v>5</v>
      </c>
      <c r="F1754" s="562" t="s">
        <v>345</v>
      </c>
      <c r="G1754" s="562" t="s">
        <v>191</v>
      </c>
      <c r="H1754" s="562" t="s">
        <v>191</v>
      </c>
    </row>
    <row r="1755" spans="1:8" x14ac:dyDescent="0.2">
      <c r="A1755" s="562" t="s">
        <v>247</v>
      </c>
      <c r="B1755" s="562" t="s">
        <v>1381</v>
      </c>
      <c r="C1755" s="562" t="s">
        <v>1385</v>
      </c>
      <c r="D1755" s="562">
        <v>2</v>
      </c>
      <c r="E1755" s="562">
        <v>5</v>
      </c>
      <c r="F1755" s="562" t="s">
        <v>345</v>
      </c>
      <c r="G1755" s="562" t="s">
        <v>191</v>
      </c>
      <c r="H1755" s="562" t="s">
        <v>191</v>
      </c>
    </row>
    <row r="1756" spans="1:8" x14ac:dyDescent="0.2">
      <c r="A1756" s="562" t="s">
        <v>247</v>
      </c>
      <c r="B1756" s="562" t="s">
        <v>1381</v>
      </c>
      <c r="C1756" s="562" t="s">
        <v>1386</v>
      </c>
      <c r="D1756" s="562">
        <v>1</v>
      </c>
      <c r="E1756" s="562">
        <v>5</v>
      </c>
      <c r="F1756" s="562" t="s">
        <v>345</v>
      </c>
      <c r="G1756" s="562" t="s">
        <v>191</v>
      </c>
      <c r="H1756" s="562" t="s">
        <v>191</v>
      </c>
    </row>
    <row r="1757" spans="1:8" x14ac:dyDescent="0.2">
      <c r="A1757" s="562" t="s">
        <v>247</v>
      </c>
      <c r="B1757" s="562" t="s">
        <v>1381</v>
      </c>
      <c r="C1757" s="562" t="s">
        <v>431</v>
      </c>
      <c r="D1757" s="562">
        <v>2</v>
      </c>
      <c r="E1757" s="562">
        <v>5</v>
      </c>
      <c r="F1757" s="562" t="s">
        <v>345</v>
      </c>
      <c r="G1757" s="562" t="s">
        <v>191</v>
      </c>
      <c r="H1757" s="562" t="s">
        <v>191</v>
      </c>
    </row>
    <row r="1758" spans="1:8" x14ac:dyDescent="0.2">
      <c r="A1758" s="562" t="s">
        <v>247</v>
      </c>
      <c r="B1758" s="562" t="s">
        <v>1381</v>
      </c>
      <c r="C1758" s="562" t="s">
        <v>1387</v>
      </c>
      <c r="D1758" s="562">
        <v>1</v>
      </c>
      <c r="E1758" s="562">
        <v>5</v>
      </c>
      <c r="F1758" s="562" t="s">
        <v>345</v>
      </c>
      <c r="G1758" s="562" t="s">
        <v>191</v>
      </c>
      <c r="H1758" s="562" t="s">
        <v>191</v>
      </c>
    </row>
    <row r="1759" spans="1:8" x14ac:dyDescent="0.2">
      <c r="A1759" s="562" t="s">
        <v>247</v>
      </c>
      <c r="B1759" s="562" t="s">
        <v>1381</v>
      </c>
      <c r="C1759" s="562" t="s">
        <v>390</v>
      </c>
      <c r="D1759" s="562">
        <v>1</v>
      </c>
      <c r="E1759" s="562">
        <v>5</v>
      </c>
      <c r="F1759" s="562" t="s">
        <v>345</v>
      </c>
      <c r="G1759" s="562" t="s">
        <v>191</v>
      </c>
      <c r="H1759" s="562" t="s">
        <v>191</v>
      </c>
    </row>
    <row r="1760" spans="1:8" x14ac:dyDescent="0.2">
      <c r="A1760" s="562" t="s">
        <v>247</v>
      </c>
      <c r="B1760" s="562" t="s">
        <v>1381</v>
      </c>
      <c r="C1760" s="562" t="s">
        <v>869</v>
      </c>
      <c r="D1760" s="562">
        <v>1</v>
      </c>
      <c r="E1760" s="562">
        <v>5</v>
      </c>
      <c r="F1760" s="562" t="s">
        <v>345</v>
      </c>
      <c r="G1760" s="562" t="s">
        <v>191</v>
      </c>
      <c r="H1760" s="562" t="s">
        <v>191</v>
      </c>
    </row>
    <row r="1761" spans="1:8" x14ac:dyDescent="0.2">
      <c r="A1761" s="562" t="s">
        <v>247</v>
      </c>
      <c r="B1761" s="562" t="s">
        <v>1381</v>
      </c>
      <c r="C1761" s="562" t="s">
        <v>512</v>
      </c>
      <c r="D1761" s="562">
        <v>1</v>
      </c>
      <c r="E1761" s="562">
        <v>5</v>
      </c>
      <c r="F1761" s="562" t="s">
        <v>345</v>
      </c>
      <c r="G1761" s="562" t="s">
        <v>191</v>
      </c>
      <c r="H1761" s="562" t="s">
        <v>191</v>
      </c>
    </row>
    <row r="1762" spans="1:8" x14ac:dyDescent="0.2">
      <c r="A1762" s="562" t="s">
        <v>247</v>
      </c>
      <c r="B1762" s="562" t="s">
        <v>1381</v>
      </c>
      <c r="C1762" s="562" t="s">
        <v>1388</v>
      </c>
      <c r="D1762" s="562">
        <v>2</v>
      </c>
      <c r="E1762" s="562">
        <v>5</v>
      </c>
      <c r="F1762" s="562" t="s">
        <v>345</v>
      </c>
      <c r="G1762" s="562" t="s">
        <v>191</v>
      </c>
      <c r="H1762" s="562" t="s">
        <v>191</v>
      </c>
    </row>
    <row r="1763" spans="1:8" x14ac:dyDescent="0.2">
      <c r="A1763" s="562" t="s">
        <v>247</v>
      </c>
      <c r="B1763" s="562" t="s">
        <v>1381</v>
      </c>
      <c r="C1763" s="562" t="s">
        <v>1389</v>
      </c>
      <c r="D1763" s="562">
        <v>1</v>
      </c>
      <c r="E1763" s="562">
        <v>5</v>
      </c>
      <c r="F1763" s="562" t="s">
        <v>345</v>
      </c>
      <c r="G1763" s="562" t="s">
        <v>191</v>
      </c>
      <c r="H1763" s="562" t="s">
        <v>191</v>
      </c>
    </row>
    <row r="1764" spans="1:8" x14ac:dyDescent="0.2">
      <c r="A1764" s="562" t="s">
        <v>247</v>
      </c>
      <c r="B1764" s="562" t="s">
        <v>1381</v>
      </c>
      <c r="C1764" s="562" t="s">
        <v>1390</v>
      </c>
      <c r="D1764" s="562">
        <v>2</v>
      </c>
      <c r="E1764" s="562">
        <v>5</v>
      </c>
      <c r="F1764" s="562" t="s">
        <v>345</v>
      </c>
      <c r="G1764" s="562" t="s">
        <v>191</v>
      </c>
      <c r="H1764" s="562" t="s">
        <v>191</v>
      </c>
    </row>
    <row r="1765" spans="1:8" x14ac:dyDescent="0.2">
      <c r="A1765" s="562" t="s">
        <v>247</v>
      </c>
      <c r="B1765" s="562" t="s">
        <v>1381</v>
      </c>
      <c r="C1765" s="562" t="s">
        <v>1391</v>
      </c>
      <c r="D1765" s="562">
        <v>2</v>
      </c>
      <c r="E1765" s="562">
        <v>5</v>
      </c>
      <c r="F1765" s="562" t="s">
        <v>345</v>
      </c>
      <c r="G1765" s="562" t="s">
        <v>191</v>
      </c>
      <c r="H1765" s="562" t="s">
        <v>191</v>
      </c>
    </row>
    <row r="1766" spans="1:8" x14ac:dyDescent="0.2">
      <c r="A1766" s="562" t="s">
        <v>247</v>
      </c>
      <c r="B1766" s="562" t="s">
        <v>1381</v>
      </c>
      <c r="C1766" s="562" t="s">
        <v>1392</v>
      </c>
      <c r="D1766" s="562">
        <v>1</v>
      </c>
      <c r="E1766" s="562">
        <v>5</v>
      </c>
      <c r="F1766" s="562" t="s">
        <v>345</v>
      </c>
      <c r="G1766" s="562" t="s">
        <v>191</v>
      </c>
      <c r="H1766" s="562" t="s">
        <v>191</v>
      </c>
    </row>
    <row r="1767" spans="1:8" x14ac:dyDescent="0.2">
      <c r="A1767" s="562" t="s">
        <v>249</v>
      </c>
      <c r="B1767" s="562" t="s">
        <v>1393</v>
      </c>
      <c r="C1767" s="562" t="s">
        <v>1394</v>
      </c>
      <c r="D1767" s="562">
        <v>2</v>
      </c>
      <c r="E1767" s="562">
        <v>6</v>
      </c>
      <c r="F1767" s="562" t="s">
        <v>184</v>
      </c>
      <c r="G1767" s="562" t="s">
        <v>191</v>
      </c>
      <c r="H1767" s="562" t="s">
        <v>191</v>
      </c>
    </row>
    <row r="1768" spans="1:8" x14ac:dyDescent="0.2">
      <c r="A1768" s="562" t="s">
        <v>249</v>
      </c>
      <c r="B1768" s="562" t="s">
        <v>1393</v>
      </c>
      <c r="C1768" s="562" t="s">
        <v>367</v>
      </c>
      <c r="D1768" s="562">
        <v>1</v>
      </c>
      <c r="E1768" s="562">
        <v>6</v>
      </c>
      <c r="F1768" s="562" t="s">
        <v>184</v>
      </c>
      <c r="G1768" s="562" t="s">
        <v>191</v>
      </c>
      <c r="H1768" s="562" t="s">
        <v>191</v>
      </c>
    </row>
    <row r="1769" spans="1:8" x14ac:dyDescent="0.2">
      <c r="A1769" s="562" t="s">
        <v>249</v>
      </c>
      <c r="B1769" s="562" t="s">
        <v>1393</v>
      </c>
      <c r="C1769" s="562" t="s">
        <v>1395</v>
      </c>
      <c r="D1769" s="562">
        <v>2</v>
      </c>
      <c r="E1769" s="562">
        <v>5</v>
      </c>
      <c r="F1769" s="562" t="s">
        <v>184</v>
      </c>
      <c r="G1769" s="562" t="s">
        <v>191</v>
      </c>
      <c r="H1769" s="562" t="s">
        <v>191</v>
      </c>
    </row>
    <row r="1770" spans="1:8" x14ac:dyDescent="0.2">
      <c r="A1770" s="562" t="s">
        <v>249</v>
      </c>
      <c r="B1770" s="562" t="s">
        <v>1393</v>
      </c>
      <c r="C1770" s="562" t="s">
        <v>1396</v>
      </c>
      <c r="D1770" s="562">
        <v>2</v>
      </c>
      <c r="E1770" s="562">
        <v>6</v>
      </c>
      <c r="F1770" s="562" t="s">
        <v>184</v>
      </c>
      <c r="G1770" s="562" t="s">
        <v>191</v>
      </c>
      <c r="H1770" s="562" t="s">
        <v>191</v>
      </c>
    </row>
    <row r="1771" spans="1:8" x14ac:dyDescent="0.2">
      <c r="A1771" s="562" t="s">
        <v>249</v>
      </c>
      <c r="B1771" s="562" t="s">
        <v>1393</v>
      </c>
      <c r="C1771" s="562" t="s">
        <v>1397</v>
      </c>
      <c r="D1771" s="562">
        <v>2</v>
      </c>
      <c r="E1771" s="562">
        <v>6</v>
      </c>
      <c r="F1771" s="562" t="s">
        <v>184</v>
      </c>
      <c r="G1771" s="562" t="s">
        <v>191</v>
      </c>
      <c r="H1771" s="562" t="s">
        <v>191</v>
      </c>
    </row>
    <row r="1772" spans="1:8" x14ac:dyDescent="0.2">
      <c r="A1772" s="562" t="s">
        <v>249</v>
      </c>
      <c r="B1772" s="562" t="s">
        <v>1393</v>
      </c>
      <c r="C1772" s="562" t="s">
        <v>570</v>
      </c>
      <c r="D1772" s="562">
        <v>2</v>
      </c>
      <c r="E1772" s="562">
        <v>5</v>
      </c>
      <c r="F1772" s="562" t="s">
        <v>184</v>
      </c>
      <c r="G1772" s="562" t="s">
        <v>191</v>
      </c>
      <c r="H1772" s="562" t="s">
        <v>191</v>
      </c>
    </row>
    <row r="1773" spans="1:8" x14ac:dyDescent="0.2">
      <c r="A1773" s="562" t="s">
        <v>249</v>
      </c>
      <c r="B1773" s="562" t="s">
        <v>1393</v>
      </c>
      <c r="C1773" s="562" t="s">
        <v>1398</v>
      </c>
      <c r="D1773" s="562">
        <v>2</v>
      </c>
      <c r="E1773" s="562">
        <v>6</v>
      </c>
      <c r="F1773" s="562" t="s">
        <v>184</v>
      </c>
      <c r="G1773" s="562" t="s">
        <v>191</v>
      </c>
      <c r="H1773" s="562" t="s">
        <v>191</v>
      </c>
    </row>
    <row r="1774" spans="1:8" x14ac:dyDescent="0.2">
      <c r="A1774" s="562" t="s">
        <v>249</v>
      </c>
      <c r="B1774" s="562" t="s">
        <v>1393</v>
      </c>
      <c r="C1774" s="562" t="s">
        <v>1399</v>
      </c>
      <c r="D1774" s="562">
        <v>2</v>
      </c>
      <c r="E1774" s="562">
        <v>5</v>
      </c>
      <c r="F1774" s="562" t="s">
        <v>184</v>
      </c>
      <c r="G1774" s="562" t="s">
        <v>191</v>
      </c>
      <c r="H1774" s="562" t="s">
        <v>191</v>
      </c>
    </row>
    <row r="1775" spans="1:8" x14ac:dyDescent="0.2">
      <c r="A1775" s="562" t="s">
        <v>249</v>
      </c>
      <c r="B1775" s="562" t="s">
        <v>1393</v>
      </c>
      <c r="C1775" s="562" t="s">
        <v>1400</v>
      </c>
      <c r="D1775" s="562">
        <v>2</v>
      </c>
      <c r="E1775" s="562">
        <v>5</v>
      </c>
      <c r="F1775" s="562" t="s">
        <v>184</v>
      </c>
      <c r="G1775" s="562" t="s">
        <v>191</v>
      </c>
      <c r="H1775" s="562" t="s">
        <v>191</v>
      </c>
    </row>
    <row r="1776" spans="1:8" x14ac:dyDescent="0.2">
      <c r="A1776" s="562" t="s">
        <v>249</v>
      </c>
      <c r="B1776" s="562" t="s">
        <v>1393</v>
      </c>
      <c r="C1776" s="562" t="s">
        <v>834</v>
      </c>
      <c r="D1776" s="562">
        <v>2</v>
      </c>
      <c r="E1776" s="562">
        <v>6</v>
      </c>
      <c r="F1776" s="562" t="s">
        <v>184</v>
      </c>
      <c r="G1776" s="562" t="s">
        <v>191</v>
      </c>
      <c r="H1776" s="562" t="s">
        <v>191</v>
      </c>
    </row>
    <row r="1777" spans="1:8" x14ac:dyDescent="0.2">
      <c r="A1777" s="562" t="s">
        <v>251</v>
      </c>
      <c r="B1777" s="562" t="s">
        <v>1401</v>
      </c>
      <c r="C1777" s="562" t="s">
        <v>1402</v>
      </c>
      <c r="D1777" s="562">
        <v>3</v>
      </c>
      <c r="E1777" s="562">
        <v>4</v>
      </c>
      <c r="F1777" s="562" t="s">
        <v>184</v>
      </c>
      <c r="G1777" s="562" t="s">
        <v>191</v>
      </c>
      <c r="H1777" s="562" t="s">
        <v>191</v>
      </c>
    </row>
    <row r="1778" spans="1:8" x14ac:dyDescent="0.2">
      <c r="A1778" s="562" t="s">
        <v>251</v>
      </c>
      <c r="B1778" s="562" t="s">
        <v>1401</v>
      </c>
      <c r="C1778" s="562" t="s">
        <v>1403</v>
      </c>
      <c r="D1778" s="562">
        <v>2</v>
      </c>
      <c r="E1778" s="562">
        <v>5</v>
      </c>
      <c r="F1778" s="562" t="s">
        <v>184</v>
      </c>
      <c r="G1778" s="562" t="s">
        <v>191</v>
      </c>
      <c r="H1778" s="562" t="s">
        <v>191</v>
      </c>
    </row>
    <row r="1779" spans="1:8" x14ac:dyDescent="0.2">
      <c r="A1779" s="562" t="s">
        <v>251</v>
      </c>
      <c r="B1779" s="562" t="s">
        <v>1401</v>
      </c>
      <c r="C1779" s="562" t="s">
        <v>1404</v>
      </c>
      <c r="D1779" s="562">
        <v>2</v>
      </c>
      <c r="E1779" s="562">
        <v>4</v>
      </c>
      <c r="F1779" s="562" t="s">
        <v>184</v>
      </c>
      <c r="G1779" s="562" t="s">
        <v>191</v>
      </c>
      <c r="H1779" s="562" t="s">
        <v>191</v>
      </c>
    </row>
    <row r="1780" spans="1:8" x14ac:dyDescent="0.2">
      <c r="A1780" s="562" t="s">
        <v>251</v>
      </c>
      <c r="B1780" s="562" t="s">
        <v>1401</v>
      </c>
      <c r="C1780" s="562" t="s">
        <v>613</v>
      </c>
      <c r="D1780" s="562">
        <v>2</v>
      </c>
      <c r="E1780" s="562">
        <v>4</v>
      </c>
      <c r="F1780" s="562" t="s">
        <v>184</v>
      </c>
      <c r="G1780" s="562" t="s">
        <v>191</v>
      </c>
      <c r="H1780" s="562" t="s">
        <v>191</v>
      </c>
    </row>
    <row r="1781" spans="1:8" x14ac:dyDescent="0.2">
      <c r="A1781" s="562" t="s">
        <v>251</v>
      </c>
      <c r="B1781" s="562" t="s">
        <v>1401</v>
      </c>
      <c r="C1781" s="562" t="s">
        <v>1405</v>
      </c>
      <c r="D1781" s="562">
        <v>3</v>
      </c>
      <c r="E1781" s="562">
        <v>4</v>
      </c>
      <c r="F1781" s="562" t="s">
        <v>184</v>
      </c>
      <c r="G1781" s="562" t="s">
        <v>191</v>
      </c>
      <c r="H1781" s="562" t="s">
        <v>191</v>
      </c>
    </row>
    <row r="1782" spans="1:8" x14ac:dyDescent="0.2">
      <c r="A1782" s="562" t="s">
        <v>251</v>
      </c>
      <c r="B1782" s="562" t="s">
        <v>1401</v>
      </c>
      <c r="C1782" s="562" t="s">
        <v>757</v>
      </c>
      <c r="D1782" s="562">
        <v>2</v>
      </c>
      <c r="E1782" s="562">
        <v>4</v>
      </c>
      <c r="F1782" s="562" t="s">
        <v>184</v>
      </c>
      <c r="G1782" s="562" t="s">
        <v>191</v>
      </c>
      <c r="H1782" s="562" t="s">
        <v>191</v>
      </c>
    </row>
    <row r="1783" spans="1:8" x14ac:dyDescent="0.2">
      <c r="A1783" s="562" t="s">
        <v>251</v>
      </c>
      <c r="B1783" s="562" t="s">
        <v>1401</v>
      </c>
      <c r="C1783" s="562" t="s">
        <v>1095</v>
      </c>
      <c r="D1783" s="562">
        <v>2</v>
      </c>
      <c r="E1783" s="562">
        <v>4</v>
      </c>
      <c r="F1783" s="562" t="s">
        <v>184</v>
      </c>
      <c r="G1783" s="562" t="s">
        <v>191</v>
      </c>
      <c r="H1783" s="562" t="s">
        <v>191</v>
      </c>
    </row>
    <row r="1784" spans="1:8" x14ac:dyDescent="0.2">
      <c r="A1784" s="562" t="s">
        <v>251</v>
      </c>
      <c r="B1784" s="562" t="s">
        <v>1401</v>
      </c>
      <c r="C1784" s="562" t="s">
        <v>1406</v>
      </c>
      <c r="D1784" s="562">
        <v>2</v>
      </c>
      <c r="E1784" s="562">
        <v>4</v>
      </c>
      <c r="F1784" s="562" t="s">
        <v>184</v>
      </c>
      <c r="G1784" s="562" t="s">
        <v>191</v>
      </c>
      <c r="H1784" s="562" t="s">
        <v>191</v>
      </c>
    </row>
    <row r="1785" spans="1:8" x14ac:dyDescent="0.2">
      <c r="A1785" s="562" t="s">
        <v>251</v>
      </c>
      <c r="B1785" s="562" t="s">
        <v>1401</v>
      </c>
      <c r="C1785" s="562" t="s">
        <v>1407</v>
      </c>
      <c r="D1785" s="562">
        <v>2</v>
      </c>
      <c r="E1785" s="562">
        <v>4</v>
      </c>
      <c r="F1785" s="562" t="s">
        <v>184</v>
      </c>
      <c r="G1785" s="562" t="s">
        <v>191</v>
      </c>
      <c r="H1785" s="562" t="s">
        <v>191</v>
      </c>
    </row>
    <row r="1786" spans="1:8" x14ac:dyDescent="0.2">
      <c r="A1786" s="562" t="s">
        <v>251</v>
      </c>
      <c r="B1786" s="562" t="s">
        <v>1401</v>
      </c>
      <c r="C1786" s="562" t="s">
        <v>1408</v>
      </c>
      <c r="D1786" s="562">
        <v>1</v>
      </c>
      <c r="E1786" s="562">
        <v>5</v>
      </c>
      <c r="F1786" s="562" t="s">
        <v>184</v>
      </c>
      <c r="G1786" s="562" t="s">
        <v>191</v>
      </c>
      <c r="H1786" s="562" t="s">
        <v>191</v>
      </c>
    </row>
    <row r="1787" spans="1:8" x14ac:dyDescent="0.2">
      <c r="A1787" s="562" t="s">
        <v>251</v>
      </c>
      <c r="B1787" s="562" t="s">
        <v>1401</v>
      </c>
      <c r="C1787" s="562" t="s">
        <v>783</v>
      </c>
      <c r="D1787" s="562">
        <v>1</v>
      </c>
      <c r="E1787" s="562">
        <v>5</v>
      </c>
      <c r="F1787" s="562" t="s">
        <v>184</v>
      </c>
      <c r="G1787" s="562" t="s">
        <v>191</v>
      </c>
      <c r="H1787" s="562" t="s">
        <v>191</v>
      </c>
    </row>
    <row r="1788" spans="1:8" x14ac:dyDescent="0.2">
      <c r="A1788" s="562" t="s">
        <v>251</v>
      </c>
      <c r="B1788" s="562" t="s">
        <v>1401</v>
      </c>
      <c r="C1788" s="562" t="s">
        <v>536</v>
      </c>
      <c r="D1788" s="562">
        <v>2</v>
      </c>
      <c r="E1788" s="562">
        <v>4</v>
      </c>
      <c r="F1788" s="562" t="s">
        <v>184</v>
      </c>
      <c r="G1788" s="562" t="s">
        <v>191</v>
      </c>
      <c r="H1788" s="562" t="s">
        <v>191</v>
      </c>
    </row>
    <row r="1789" spans="1:8" x14ac:dyDescent="0.2">
      <c r="A1789" s="562" t="s">
        <v>251</v>
      </c>
      <c r="B1789" s="562" t="s">
        <v>1401</v>
      </c>
      <c r="C1789" s="562" t="s">
        <v>1409</v>
      </c>
      <c r="D1789" s="562">
        <v>1</v>
      </c>
      <c r="E1789" s="562">
        <v>4</v>
      </c>
      <c r="F1789" s="562" t="s">
        <v>184</v>
      </c>
      <c r="G1789" s="562" t="s">
        <v>191</v>
      </c>
      <c r="H1789" s="562" t="s">
        <v>191</v>
      </c>
    </row>
    <row r="1790" spans="1:8" x14ac:dyDescent="0.2">
      <c r="A1790" s="562" t="s">
        <v>251</v>
      </c>
      <c r="B1790" s="562" t="s">
        <v>1401</v>
      </c>
      <c r="C1790" s="562" t="s">
        <v>924</v>
      </c>
      <c r="D1790" s="562">
        <v>1</v>
      </c>
      <c r="E1790" s="562">
        <v>5</v>
      </c>
      <c r="F1790" s="562" t="s">
        <v>184</v>
      </c>
      <c r="G1790" s="562" t="s">
        <v>191</v>
      </c>
      <c r="H1790" s="562" t="s">
        <v>191</v>
      </c>
    </row>
    <row r="1791" spans="1:8" x14ac:dyDescent="0.2">
      <c r="A1791" s="562" t="s">
        <v>251</v>
      </c>
      <c r="B1791" s="562" t="s">
        <v>1401</v>
      </c>
      <c r="C1791" s="562" t="s">
        <v>1410</v>
      </c>
      <c r="D1791" s="562">
        <v>3</v>
      </c>
      <c r="E1791" s="562">
        <v>4</v>
      </c>
      <c r="F1791" s="562" t="s">
        <v>184</v>
      </c>
      <c r="G1791" s="562" t="s">
        <v>191</v>
      </c>
      <c r="H1791" s="562" t="s">
        <v>191</v>
      </c>
    </row>
    <row r="1792" spans="1:8" x14ac:dyDescent="0.2">
      <c r="A1792" s="562" t="s">
        <v>251</v>
      </c>
      <c r="B1792" s="562" t="s">
        <v>1401</v>
      </c>
      <c r="C1792" s="562" t="s">
        <v>1411</v>
      </c>
      <c r="D1792" s="562">
        <v>2</v>
      </c>
      <c r="E1792" s="562">
        <v>5</v>
      </c>
      <c r="F1792" s="562" t="s">
        <v>184</v>
      </c>
      <c r="G1792" s="562" t="s">
        <v>191</v>
      </c>
      <c r="H1792" s="562" t="s">
        <v>191</v>
      </c>
    </row>
    <row r="1793" spans="1:8" x14ac:dyDescent="0.2">
      <c r="A1793" s="562" t="s">
        <v>251</v>
      </c>
      <c r="B1793" s="562" t="s">
        <v>1401</v>
      </c>
      <c r="C1793" s="562" t="s">
        <v>1412</v>
      </c>
      <c r="D1793" s="562">
        <v>2</v>
      </c>
      <c r="E1793" s="562">
        <v>4</v>
      </c>
      <c r="F1793" s="562" t="s">
        <v>184</v>
      </c>
      <c r="G1793" s="562" t="s">
        <v>191</v>
      </c>
      <c r="H1793" s="562" t="s">
        <v>191</v>
      </c>
    </row>
    <row r="1794" spans="1:8" x14ac:dyDescent="0.2">
      <c r="A1794" s="562" t="s">
        <v>251</v>
      </c>
      <c r="B1794" s="562" t="s">
        <v>1401</v>
      </c>
      <c r="C1794" s="562" t="s">
        <v>1069</v>
      </c>
      <c r="D1794" s="562">
        <v>1</v>
      </c>
      <c r="E1794" s="562">
        <v>5</v>
      </c>
      <c r="F1794" s="562" t="s">
        <v>184</v>
      </c>
      <c r="G1794" s="562" t="s">
        <v>191</v>
      </c>
      <c r="H1794" s="562" t="s">
        <v>191</v>
      </c>
    </row>
    <row r="1795" spans="1:8" x14ac:dyDescent="0.2">
      <c r="A1795" s="562" t="s">
        <v>251</v>
      </c>
      <c r="B1795" s="562" t="s">
        <v>1401</v>
      </c>
      <c r="C1795" s="562" t="s">
        <v>544</v>
      </c>
      <c r="D1795" s="562">
        <v>1</v>
      </c>
      <c r="E1795" s="562">
        <v>5</v>
      </c>
      <c r="F1795" s="562" t="s">
        <v>184</v>
      </c>
      <c r="G1795" s="562" t="s">
        <v>191</v>
      </c>
      <c r="H1795" s="562" t="s">
        <v>191</v>
      </c>
    </row>
    <row r="1796" spans="1:8" x14ac:dyDescent="0.2">
      <c r="A1796" s="562" t="s">
        <v>251</v>
      </c>
      <c r="B1796" s="562" t="s">
        <v>1401</v>
      </c>
      <c r="C1796" s="562" t="s">
        <v>413</v>
      </c>
      <c r="D1796" s="562">
        <v>2</v>
      </c>
      <c r="E1796" s="562">
        <v>4</v>
      </c>
      <c r="F1796" s="562" t="s">
        <v>184</v>
      </c>
      <c r="G1796" s="562" t="s">
        <v>191</v>
      </c>
      <c r="H1796" s="562" t="s">
        <v>191</v>
      </c>
    </row>
    <row r="1797" spans="1:8" x14ac:dyDescent="0.2">
      <c r="A1797" s="562" t="s">
        <v>251</v>
      </c>
      <c r="B1797" s="562" t="s">
        <v>1401</v>
      </c>
      <c r="C1797" s="562" t="s">
        <v>699</v>
      </c>
      <c r="D1797" s="562">
        <v>1</v>
      </c>
      <c r="E1797" s="562">
        <v>5</v>
      </c>
      <c r="F1797" s="562" t="s">
        <v>184</v>
      </c>
      <c r="G1797" s="562" t="s">
        <v>191</v>
      </c>
      <c r="H1797" s="562" t="s">
        <v>191</v>
      </c>
    </row>
    <row r="1798" spans="1:8" x14ac:dyDescent="0.2">
      <c r="A1798" s="562" t="s">
        <v>253</v>
      </c>
      <c r="B1798" s="562" t="s">
        <v>1413</v>
      </c>
      <c r="C1798" s="562" t="s">
        <v>1414</v>
      </c>
      <c r="D1798" s="562">
        <v>1</v>
      </c>
      <c r="E1798" s="562">
        <v>4</v>
      </c>
      <c r="F1798" s="562" t="s">
        <v>345</v>
      </c>
      <c r="G1798" s="562" t="s">
        <v>191</v>
      </c>
      <c r="H1798" s="562" t="s">
        <v>191</v>
      </c>
    </row>
    <row r="1799" spans="1:8" x14ac:dyDescent="0.2">
      <c r="A1799" s="562" t="s">
        <v>253</v>
      </c>
      <c r="B1799" s="562" t="s">
        <v>1413</v>
      </c>
      <c r="C1799" s="562" t="s">
        <v>1415</v>
      </c>
      <c r="D1799" s="562">
        <v>2</v>
      </c>
      <c r="E1799" s="562">
        <v>5</v>
      </c>
      <c r="F1799" s="562" t="s">
        <v>345</v>
      </c>
      <c r="G1799" s="562" t="s">
        <v>191</v>
      </c>
      <c r="H1799" s="562" t="s">
        <v>191</v>
      </c>
    </row>
    <row r="1800" spans="1:8" x14ac:dyDescent="0.2">
      <c r="A1800" s="562" t="s">
        <v>253</v>
      </c>
      <c r="B1800" s="562" t="s">
        <v>1413</v>
      </c>
      <c r="C1800" s="562" t="s">
        <v>1416</v>
      </c>
      <c r="D1800" s="562">
        <v>2</v>
      </c>
      <c r="E1800" s="562">
        <v>3</v>
      </c>
      <c r="F1800" s="562" t="s">
        <v>345</v>
      </c>
      <c r="G1800" s="562" t="s">
        <v>191</v>
      </c>
      <c r="H1800" s="562" t="s">
        <v>191</v>
      </c>
    </row>
    <row r="1801" spans="1:8" x14ac:dyDescent="0.2">
      <c r="A1801" s="562" t="s">
        <v>253</v>
      </c>
      <c r="B1801" s="562" t="s">
        <v>1413</v>
      </c>
      <c r="C1801" s="562" t="s">
        <v>1417</v>
      </c>
      <c r="D1801" s="562">
        <v>2</v>
      </c>
      <c r="E1801" s="562">
        <v>4</v>
      </c>
      <c r="F1801" s="562" t="s">
        <v>345</v>
      </c>
      <c r="G1801" s="562" t="s">
        <v>191</v>
      </c>
      <c r="H1801" s="562" t="s">
        <v>191</v>
      </c>
    </row>
    <row r="1802" spans="1:8" x14ac:dyDescent="0.2">
      <c r="A1802" s="562" t="s">
        <v>253</v>
      </c>
      <c r="B1802" s="562" t="s">
        <v>1413</v>
      </c>
      <c r="C1802" s="562" t="s">
        <v>1348</v>
      </c>
      <c r="D1802" s="562">
        <v>1</v>
      </c>
      <c r="E1802" s="562">
        <v>5</v>
      </c>
      <c r="F1802" s="562" t="s">
        <v>345</v>
      </c>
      <c r="G1802" s="562" t="s">
        <v>191</v>
      </c>
      <c r="H1802" s="562" t="s">
        <v>191</v>
      </c>
    </row>
    <row r="1803" spans="1:8" x14ac:dyDescent="0.2">
      <c r="A1803" s="562" t="s">
        <v>253</v>
      </c>
      <c r="B1803" s="562" t="s">
        <v>1413</v>
      </c>
      <c r="C1803" s="562" t="s">
        <v>1418</v>
      </c>
      <c r="D1803" s="562">
        <v>2</v>
      </c>
      <c r="E1803" s="562">
        <v>4</v>
      </c>
      <c r="F1803" s="562" t="s">
        <v>345</v>
      </c>
      <c r="G1803" s="562" t="s">
        <v>191</v>
      </c>
      <c r="H1803" s="562" t="s">
        <v>191</v>
      </c>
    </row>
    <row r="1804" spans="1:8" x14ac:dyDescent="0.2">
      <c r="A1804" s="562" t="s">
        <v>253</v>
      </c>
      <c r="B1804" s="562" t="s">
        <v>1413</v>
      </c>
      <c r="C1804" s="562" t="s">
        <v>1419</v>
      </c>
      <c r="D1804" s="562">
        <v>2</v>
      </c>
      <c r="E1804" s="562">
        <v>4</v>
      </c>
      <c r="F1804" s="562" t="s">
        <v>345</v>
      </c>
      <c r="G1804" s="562" t="s">
        <v>191</v>
      </c>
      <c r="H1804" s="562" t="s">
        <v>191</v>
      </c>
    </row>
    <row r="1805" spans="1:8" x14ac:dyDescent="0.2">
      <c r="A1805" s="562" t="s">
        <v>253</v>
      </c>
      <c r="B1805" s="562" t="s">
        <v>1413</v>
      </c>
      <c r="C1805" s="562" t="s">
        <v>1420</v>
      </c>
      <c r="D1805" s="562">
        <v>2</v>
      </c>
      <c r="E1805" s="562">
        <v>3</v>
      </c>
      <c r="F1805" s="562" t="s">
        <v>345</v>
      </c>
      <c r="G1805" s="562" t="s">
        <v>191</v>
      </c>
      <c r="H1805" s="562" t="s">
        <v>191</v>
      </c>
    </row>
    <row r="1806" spans="1:8" x14ac:dyDescent="0.2">
      <c r="A1806" s="562" t="s">
        <v>253</v>
      </c>
      <c r="B1806" s="562" t="s">
        <v>1413</v>
      </c>
      <c r="C1806" s="562" t="s">
        <v>1421</v>
      </c>
      <c r="D1806" s="562">
        <v>2</v>
      </c>
      <c r="E1806" s="562">
        <v>3</v>
      </c>
      <c r="F1806" s="562" t="s">
        <v>345</v>
      </c>
      <c r="G1806" s="562" t="s">
        <v>191</v>
      </c>
      <c r="H1806" s="562" t="s">
        <v>191</v>
      </c>
    </row>
    <row r="1807" spans="1:8" x14ac:dyDescent="0.2">
      <c r="A1807" s="562" t="s">
        <v>253</v>
      </c>
      <c r="B1807" s="562" t="s">
        <v>1413</v>
      </c>
      <c r="C1807" s="562" t="s">
        <v>382</v>
      </c>
      <c r="D1807" s="562">
        <v>2</v>
      </c>
      <c r="E1807" s="562">
        <v>4</v>
      </c>
      <c r="F1807" s="562" t="s">
        <v>345</v>
      </c>
      <c r="G1807" s="562" t="s">
        <v>191</v>
      </c>
      <c r="H1807" s="562" t="s">
        <v>191</v>
      </c>
    </row>
    <row r="1808" spans="1:8" x14ac:dyDescent="0.2">
      <c r="A1808" s="562" t="s">
        <v>253</v>
      </c>
      <c r="B1808" s="562" t="s">
        <v>1413</v>
      </c>
      <c r="C1808" s="562" t="s">
        <v>1422</v>
      </c>
      <c r="D1808" s="562">
        <v>2</v>
      </c>
      <c r="E1808" s="562">
        <v>4</v>
      </c>
      <c r="F1808" s="562" t="s">
        <v>345</v>
      </c>
      <c r="G1808" s="562" t="s">
        <v>191</v>
      </c>
      <c r="H1808" s="562" t="s">
        <v>191</v>
      </c>
    </row>
    <row r="1809" spans="1:8" x14ac:dyDescent="0.2">
      <c r="A1809" s="562" t="s">
        <v>253</v>
      </c>
      <c r="B1809" s="562" t="s">
        <v>1413</v>
      </c>
      <c r="C1809" s="562" t="s">
        <v>1423</v>
      </c>
      <c r="D1809" s="562">
        <v>2</v>
      </c>
      <c r="E1809" s="562">
        <v>5</v>
      </c>
      <c r="F1809" s="562" t="s">
        <v>345</v>
      </c>
      <c r="G1809" s="562" t="s">
        <v>191</v>
      </c>
      <c r="H1809" s="562" t="s">
        <v>191</v>
      </c>
    </row>
    <row r="1810" spans="1:8" x14ac:dyDescent="0.2">
      <c r="A1810" s="562" t="s">
        <v>253</v>
      </c>
      <c r="B1810" s="562" t="s">
        <v>1413</v>
      </c>
      <c r="C1810" s="562" t="s">
        <v>1424</v>
      </c>
      <c r="D1810" s="562">
        <v>2</v>
      </c>
      <c r="E1810" s="562">
        <v>3</v>
      </c>
      <c r="F1810" s="562" t="s">
        <v>345</v>
      </c>
      <c r="G1810" s="562" t="s">
        <v>191</v>
      </c>
      <c r="H1810" s="562" t="s">
        <v>191</v>
      </c>
    </row>
    <row r="1811" spans="1:8" x14ac:dyDescent="0.2">
      <c r="A1811" s="562" t="s">
        <v>253</v>
      </c>
      <c r="B1811" s="562" t="s">
        <v>1413</v>
      </c>
      <c r="C1811" s="562" t="s">
        <v>1425</v>
      </c>
      <c r="D1811" s="562">
        <v>2</v>
      </c>
      <c r="E1811" s="562">
        <v>3</v>
      </c>
      <c r="F1811" s="562" t="s">
        <v>345</v>
      </c>
      <c r="G1811" s="562" t="s">
        <v>191</v>
      </c>
      <c r="H1811" s="562" t="s">
        <v>191</v>
      </c>
    </row>
    <row r="1812" spans="1:8" x14ac:dyDescent="0.2">
      <c r="A1812" s="562" t="s">
        <v>253</v>
      </c>
      <c r="B1812" s="562" t="s">
        <v>1413</v>
      </c>
      <c r="C1812" s="562" t="s">
        <v>390</v>
      </c>
      <c r="D1812" s="562">
        <v>2</v>
      </c>
      <c r="E1812" s="562">
        <v>4</v>
      </c>
      <c r="F1812" s="562" t="s">
        <v>345</v>
      </c>
      <c r="G1812" s="562" t="s">
        <v>191</v>
      </c>
      <c r="H1812" s="562" t="s">
        <v>191</v>
      </c>
    </row>
    <row r="1813" spans="1:8" x14ac:dyDescent="0.2">
      <c r="A1813" s="562" t="s">
        <v>253</v>
      </c>
      <c r="B1813" s="562" t="s">
        <v>1413</v>
      </c>
      <c r="C1813" s="562" t="s">
        <v>1426</v>
      </c>
      <c r="D1813" s="562">
        <v>2</v>
      </c>
      <c r="E1813" s="562">
        <v>5</v>
      </c>
      <c r="F1813" s="562" t="s">
        <v>345</v>
      </c>
      <c r="G1813" s="562" t="s">
        <v>191</v>
      </c>
      <c r="H1813" s="562" t="s">
        <v>191</v>
      </c>
    </row>
    <row r="1814" spans="1:8" x14ac:dyDescent="0.2">
      <c r="A1814" s="562" t="s">
        <v>253</v>
      </c>
      <c r="B1814" s="562" t="s">
        <v>1413</v>
      </c>
      <c r="C1814" s="562" t="s">
        <v>1427</v>
      </c>
      <c r="D1814" s="562">
        <v>2</v>
      </c>
      <c r="E1814" s="562">
        <v>3</v>
      </c>
      <c r="F1814" s="562" t="s">
        <v>345</v>
      </c>
      <c r="G1814" s="562" t="s">
        <v>191</v>
      </c>
      <c r="H1814" s="562" t="s">
        <v>191</v>
      </c>
    </row>
    <row r="1815" spans="1:8" x14ac:dyDescent="0.2">
      <c r="A1815" s="562" t="s">
        <v>253</v>
      </c>
      <c r="B1815" s="562" t="s">
        <v>1413</v>
      </c>
      <c r="C1815" s="562" t="s">
        <v>1428</v>
      </c>
      <c r="D1815" s="562">
        <v>2</v>
      </c>
      <c r="E1815" s="562">
        <v>5</v>
      </c>
      <c r="F1815" s="562" t="s">
        <v>345</v>
      </c>
      <c r="G1815" s="562" t="s">
        <v>191</v>
      </c>
      <c r="H1815" s="562" t="s">
        <v>191</v>
      </c>
    </row>
    <row r="1816" spans="1:8" x14ac:dyDescent="0.2">
      <c r="A1816" s="562" t="s">
        <v>253</v>
      </c>
      <c r="B1816" s="562" t="s">
        <v>1413</v>
      </c>
      <c r="C1816" s="562" t="s">
        <v>1429</v>
      </c>
      <c r="D1816" s="562">
        <v>1</v>
      </c>
      <c r="E1816" s="562">
        <v>5</v>
      </c>
      <c r="F1816" s="562" t="s">
        <v>345</v>
      </c>
      <c r="G1816" s="562" t="s">
        <v>191</v>
      </c>
      <c r="H1816" s="562" t="s">
        <v>191</v>
      </c>
    </row>
    <row r="1817" spans="1:8" x14ac:dyDescent="0.2">
      <c r="A1817" s="562" t="s">
        <v>253</v>
      </c>
      <c r="B1817" s="562" t="s">
        <v>1413</v>
      </c>
      <c r="C1817" s="562" t="s">
        <v>516</v>
      </c>
      <c r="D1817" s="562">
        <v>2</v>
      </c>
      <c r="E1817" s="562">
        <v>3</v>
      </c>
      <c r="F1817" s="562" t="s">
        <v>345</v>
      </c>
      <c r="G1817" s="562" t="s">
        <v>191</v>
      </c>
      <c r="H1817" s="562" t="s">
        <v>191</v>
      </c>
    </row>
    <row r="1818" spans="1:8" x14ac:dyDescent="0.2">
      <c r="A1818" s="562" t="s">
        <v>253</v>
      </c>
      <c r="B1818" s="562" t="s">
        <v>1413</v>
      </c>
      <c r="C1818" s="562" t="s">
        <v>1430</v>
      </c>
      <c r="D1818" s="562">
        <v>2</v>
      </c>
      <c r="E1818" s="562">
        <v>4</v>
      </c>
      <c r="F1818" s="562" t="s">
        <v>345</v>
      </c>
      <c r="G1818" s="562" t="s">
        <v>191</v>
      </c>
      <c r="H1818" s="562" t="s">
        <v>191</v>
      </c>
    </row>
    <row r="1819" spans="1:8" x14ac:dyDescent="0.2">
      <c r="A1819" s="562" t="s">
        <v>253</v>
      </c>
      <c r="B1819" s="562" t="s">
        <v>1413</v>
      </c>
      <c r="C1819" s="562" t="s">
        <v>1431</v>
      </c>
      <c r="D1819" s="562">
        <v>1</v>
      </c>
      <c r="E1819" s="562">
        <v>5</v>
      </c>
      <c r="F1819" s="562" t="s">
        <v>345</v>
      </c>
      <c r="G1819" s="562" t="s">
        <v>191</v>
      </c>
      <c r="H1819" s="562" t="s">
        <v>191</v>
      </c>
    </row>
    <row r="1820" spans="1:8" x14ac:dyDescent="0.2">
      <c r="A1820" s="562" t="s">
        <v>253</v>
      </c>
      <c r="B1820" s="562" t="s">
        <v>1413</v>
      </c>
      <c r="C1820" s="562" t="s">
        <v>1329</v>
      </c>
      <c r="D1820" s="562">
        <v>2</v>
      </c>
      <c r="E1820" s="562">
        <v>4</v>
      </c>
      <c r="F1820" s="562" t="s">
        <v>345</v>
      </c>
      <c r="G1820" s="562" t="s">
        <v>191</v>
      </c>
      <c r="H1820" s="562" t="s">
        <v>191</v>
      </c>
    </row>
    <row r="1821" spans="1:8" x14ac:dyDescent="0.2">
      <c r="A1821" s="562" t="s">
        <v>253</v>
      </c>
      <c r="B1821" s="562" t="s">
        <v>1413</v>
      </c>
      <c r="C1821" s="562" t="s">
        <v>526</v>
      </c>
      <c r="D1821" s="562">
        <v>2</v>
      </c>
      <c r="E1821" s="562">
        <v>5</v>
      </c>
      <c r="F1821" s="562" t="s">
        <v>345</v>
      </c>
      <c r="G1821" s="562" t="s">
        <v>191</v>
      </c>
      <c r="H1821" s="562" t="s">
        <v>191</v>
      </c>
    </row>
    <row r="1822" spans="1:8" x14ac:dyDescent="0.2">
      <c r="A1822" s="562" t="s">
        <v>253</v>
      </c>
      <c r="B1822" s="562" t="s">
        <v>1413</v>
      </c>
      <c r="C1822" s="562" t="s">
        <v>527</v>
      </c>
      <c r="D1822" s="562">
        <v>1</v>
      </c>
      <c r="E1822" s="562">
        <v>5</v>
      </c>
      <c r="F1822" s="562" t="s">
        <v>345</v>
      </c>
      <c r="G1822" s="562" t="s">
        <v>191</v>
      </c>
      <c r="H1822" s="562" t="s">
        <v>191</v>
      </c>
    </row>
    <row r="1823" spans="1:8" x14ac:dyDescent="0.2">
      <c r="A1823" s="562" t="s">
        <v>253</v>
      </c>
      <c r="B1823" s="562" t="s">
        <v>1413</v>
      </c>
      <c r="C1823" s="562" t="s">
        <v>1432</v>
      </c>
      <c r="D1823" s="562">
        <v>2</v>
      </c>
      <c r="E1823" s="562">
        <v>5</v>
      </c>
      <c r="F1823" s="562" t="s">
        <v>345</v>
      </c>
      <c r="G1823" s="562" t="s">
        <v>191</v>
      </c>
      <c r="H1823" s="562" t="s">
        <v>191</v>
      </c>
    </row>
    <row r="1824" spans="1:8" x14ac:dyDescent="0.2">
      <c r="A1824" s="562" t="s">
        <v>253</v>
      </c>
      <c r="B1824" s="562" t="s">
        <v>1413</v>
      </c>
      <c r="C1824" s="562" t="s">
        <v>1433</v>
      </c>
      <c r="D1824" s="562">
        <v>1</v>
      </c>
      <c r="E1824" s="562">
        <v>5</v>
      </c>
      <c r="F1824" s="562" t="s">
        <v>345</v>
      </c>
      <c r="G1824" s="562" t="s">
        <v>191</v>
      </c>
      <c r="H1824" s="562" t="s">
        <v>191</v>
      </c>
    </row>
    <row r="1825" spans="1:8" x14ac:dyDescent="0.2">
      <c r="A1825" s="562" t="s">
        <v>253</v>
      </c>
      <c r="B1825" s="562" t="s">
        <v>1413</v>
      </c>
      <c r="C1825" s="562" t="s">
        <v>463</v>
      </c>
      <c r="D1825" s="562">
        <v>2</v>
      </c>
      <c r="E1825" s="562">
        <v>4</v>
      </c>
      <c r="F1825" s="562" t="s">
        <v>345</v>
      </c>
      <c r="G1825" s="562" t="s">
        <v>191</v>
      </c>
      <c r="H1825" s="562" t="s">
        <v>191</v>
      </c>
    </row>
    <row r="1826" spans="1:8" x14ac:dyDescent="0.2">
      <c r="A1826" s="562" t="s">
        <v>253</v>
      </c>
      <c r="B1826" s="562" t="s">
        <v>1413</v>
      </c>
      <c r="C1826" s="562" t="s">
        <v>1434</v>
      </c>
      <c r="D1826" s="562">
        <v>2</v>
      </c>
      <c r="E1826" s="562">
        <v>4</v>
      </c>
      <c r="F1826" s="562" t="s">
        <v>345</v>
      </c>
      <c r="G1826" s="562" t="s">
        <v>191</v>
      </c>
      <c r="H1826" s="562" t="s">
        <v>191</v>
      </c>
    </row>
    <row r="1827" spans="1:8" x14ac:dyDescent="0.2">
      <c r="A1827" s="562" t="s">
        <v>253</v>
      </c>
      <c r="B1827" s="562" t="s">
        <v>1413</v>
      </c>
      <c r="C1827" s="562" t="s">
        <v>1435</v>
      </c>
      <c r="D1827" s="562">
        <v>1</v>
      </c>
      <c r="E1827" s="562">
        <v>5</v>
      </c>
      <c r="F1827" s="562" t="s">
        <v>345</v>
      </c>
      <c r="G1827" s="562" t="s">
        <v>191</v>
      </c>
      <c r="H1827" s="562" t="s">
        <v>191</v>
      </c>
    </row>
    <row r="1828" spans="1:8" x14ac:dyDescent="0.2">
      <c r="A1828" s="562" t="s">
        <v>253</v>
      </c>
      <c r="B1828" s="562" t="s">
        <v>1413</v>
      </c>
      <c r="C1828" s="562" t="s">
        <v>1436</v>
      </c>
      <c r="D1828" s="562">
        <v>2</v>
      </c>
      <c r="E1828" s="562">
        <v>5</v>
      </c>
      <c r="F1828" s="562" t="s">
        <v>345</v>
      </c>
      <c r="G1828" s="562" t="s">
        <v>191</v>
      </c>
      <c r="H1828" s="562" t="s">
        <v>191</v>
      </c>
    </row>
    <row r="1829" spans="1:8" x14ac:dyDescent="0.2">
      <c r="A1829" s="562" t="s">
        <v>253</v>
      </c>
      <c r="B1829" s="562" t="s">
        <v>1413</v>
      </c>
      <c r="C1829" s="562" t="s">
        <v>413</v>
      </c>
      <c r="D1829" s="562">
        <v>2</v>
      </c>
      <c r="E1829" s="562">
        <v>4</v>
      </c>
      <c r="F1829" s="562" t="s">
        <v>345</v>
      </c>
      <c r="G1829" s="562" t="s">
        <v>191</v>
      </c>
      <c r="H1829" s="562" t="s">
        <v>191</v>
      </c>
    </row>
    <row r="1830" spans="1:8" x14ac:dyDescent="0.2">
      <c r="A1830" s="562" t="s">
        <v>253</v>
      </c>
      <c r="B1830" s="562" t="s">
        <v>1413</v>
      </c>
      <c r="C1830" s="562" t="s">
        <v>1437</v>
      </c>
      <c r="D1830" s="562">
        <v>2</v>
      </c>
      <c r="E1830" s="562">
        <v>4</v>
      </c>
      <c r="F1830" s="562" t="s">
        <v>345</v>
      </c>
      <c r="G1830" s="562" t="s">
        <v>191</v>
      </c>
      <c r="H1830" s="562" t="s">
        <v>191</v>
      </c>
    </row>
    <row r="1831" spans="1:8" x14ac:dyDescent="0.2">
      <c r="A1831" s="562" t="s">
        <v>255</v>
      </c>
      <c r="B1831" s="562" t="s">
        <v>1438</v>
      </c>
      <c r="C1831" s="562" t="s">
        <v>1439</v>
      </c>
      <c r="D1831" s="562">
        <v>1</v>
      </c>
      <c r="E1831" s="562">
        <v>5</v>
      </c>
      <c r="F1831" s="562" t="s">
        <v>184</v>
      </c>
      <c r="G1831" s="562" t="s">
        <v>191</v>
      </c>
      <c r="H1831" s="562" t="s">
        <v>191</v>
      </c>
    </row>
    <row r="1832" spans="1:8" x14ac:dyDescent="0.2">
      <c r="A1832" s="562" t="s">
        <v>255</v>
      </c>
      <c r="B1832" s="562" t="s">
        <v>1438</v>
      </c>
      <c r="C1832" s="562" t="s">
        <v>1073</v>
      </c>
      <c r="D1832" s="562">
        <v>1</v>
      </c>
      <c r="E1832" s="562">
        <v>6</v>
      </c>
      <c r="F1832" s="562" t="s">
        <v>184</v>
      </c>
      <c r="G1832" s="562" t="s">
        <v>191</v>
      </c>
      <c r="H1832" s="562" t="s">
        <v>191</v>
      </c>
    </row>
    <row r="1833" spans="1:8" x14ac:dyDescent="0.2">
      <c r="A1833" s="562" t="s">
        <v>255</v>
      </c>
      <c r="B1833" s="562" t="s">
        <v>1438</v>
      </c>
      <c r="C1833" s="562" t="s">
        <v>1440</v>
      </c>
      <c r="D1833" s="562">
        <v>3</v>
      </c>
      <c r="E1833" s="562">
        <v>4</v>
      </c>
      <c r="F1833" s="562" t="s">
        <v>184</v>
      </c>
      <c r="G1833" s="562" t="s">
        <v>191</v>
      </c>
      <c r="H1833" s="562" t="s">
        <v>191</v>
      </c>
    </row>
    <row r="1834" spans="1:8" x14ac:dyDescent="0.2">
      <c r="A1834" s="562" t="s">
        <v>255</v>
      </c>
      <c r="B1834" s="562" t="s">
        <v>1438</v>
      </c>
      <c r="C1834" s="562" t="s">
        <v>1441</v>
      </c>
      <c r="D1834" s="562">
        <v>1</v>
      </c>
      <c r="E1834" s="562">
        <v>6</v>
      </c>
      <c r="F1834" s="562" t="s">
        <v>184</v>
      </c>
      <c r="G1834" s="562" t="s">
        <v>191</v>
      </c>
      <c r="H1834" s="562" t="s">
        <v>191</v>
      </c>
    </row>
    <row r="1835" spans="1:8" x14ac:dyDescent="0.2">
      <c r="A1835" s="562" t="s">
        <v>255</v>
      </c>
      <c r="B1835" s="562" t="s">
        <v>1438</v>
      </c>
      <c r="C1835" s="562" t="s">
        <v>1442</v>
      </c>
      <c r="D1835" s="562">
        <v>1</v>
      </c>
      <c r="E1835" s="562">
        <v>6</v>
      </c>
      <c r="F1835" s="562" t="s">
        <v>184</v>
      </c>
      <c r="G1835" s="562" t="s">
        <v>191</v>
      </c>
      <c r="H1835" s="562" t="s">
        <v>191</v>
      </c>
    </row>
    <row r="1836" spans="1:8" x14ac:dyDescent="0.2">
      <c r="A1836" s="562" t="s">
        <v>255</v>
      </c>
      <c r="B1836" s="562" t="s">
        <v>1438</v>
      </c>
      <c r="C1836" s="562" t="s">
        <v>1443</v>
      </c>
      <c r="D1836" s="562">
        <v>1</v>
      </c>
      <c r="E1836" s="562">
        <v>5</v>
      </c>
      <c r="F1836" s="562" t="s">
        <v>184</v>
      </c>
      <c r="G1836" s="562" t="s">
        <v>191</v>
      </c>
      <c r="H1836" s="562" t="s">
        <v>191</v>
      </c>
    </row>
    <row r="1837" spans="1:8" x14ac:dyDescent="0.2">
      <c r="A1837" s="562" t="s">
        <v>255</v>
      </c>
      <c r="B1837" s="562" t="s">
        <v>1438</v>
      </c>
      <c r="C1837" s="562" t="s">
        <v>897</v>
      </c>
      <c r="D1837" s="562">
        <v>1</v>
      </c>
      <c r="E1837" s="562">
        <v>5</v>
      </c>
      <c r="F1837" s="562" t="s">
        <v>184</v>
      </c>
      <c r="G1837" s="562" t="s">
        <v>191</v>
      </c>
      <c r="H1837" s="562" t="s">
        <v>191</v>
      </c>
    </row>
    <row r="1838" spans="1:8" x14ac:dyDescent="0.2">
      <c r="A1838" s="562" t="s">
        <v>255</v>
      </c>
      <c r="B1838" s="562" t="s">
        <v>1438</v>
      </c>
      <c r="C1838" s="562" t="s">
        <v>1444</v>
      </c>
      <c r="D1838" s="562">
        <v>1</v>
      </c>
      <c r="E1838" s="562">
        <v>5</v>
      </c>
      <c r="F1838" s="562" t="s">
        <v>184</v>
      </c>
      <c r="G1838" s="562" t="s">
        <v>191</v>
      </c>
      <c r="H1838" s="562" t="s">
        <v>191</v>
      </c>
    </row>
    <row r="1839" spans="1:8" x14ac:dyDescent="0.2">
      <c r="A1839" s="562" t="s">
        <v>255</v>
      </c>
      <c r="B1839" s="562" t="s">
        <v>1438</v>
      </c>
      <c r="C1839" s="562" t="s">
        <v>1445</v>
      </c>
      <c r="D1839" s="562">
        <v>1</v>
      </c>
      <c r="E1839" s="562">
        <v>6</v>
      </c>
      <c r="F1839" s="562" t="s">
        <v>184</v>
      </c>
      <c r="G1839" s="562" t="s">
        <v>191</v>
      </c>
      <c r="H1839" s="562" t="s">
        <v>191</v>
      </c>
    </row>
    <row r="1840" spans="1:8" x14ac:dyDescent="0.2">
      <c r="A1840" s="562" t="s">
        <v>255</v>
      </c>
      <c r="B1840" s="562" t="s">
        <v>1438</v>
      </c>
      <c r="C1840" s="562" t="s">
        <v>755</v>
      </c>
      <c r="D1840" s="562">
        <v>2</v>
      </c>
      <c r="E1840" s="562">
        <v>6</v>
      </c>
      <c r="F1840" s="562" t="s">
        <v>184</v>
      </c>
      <c r="G1840" s="562" t="s">
        <v>191</v>
      </c>
      <c r="H1840" s="562" t="s">
        <v>191</v>
      </c>
    </row>
    <row r="1841" spans="1:8" x14ac:dyDescent="0.2">
      <c r="A1841" s="562" t="s">
        <v>255</v>
      </c>
      <c r="B1841" s="562" t="s">
        <v>1438</v>
      </c>
      <c r="C1841" s="562" t="s">
        <v>371</v>
      </c>
      <c r="D1841" s="562">
        <v>1</v>
      </c>
      <c r="E1841" s="562">
        <v>5</v>
      </c>
      <c r="F1841" s="562" t="s">
        <v>184</v>
      </c>
      <c r="G1841" s="562" t="s">
        <v>191</v>
      </c>
      <c r="H1841" s="562" t="s">
        <v>191</v>
      </c>
    </row>
    <row r="1842" spans="1:8" x14ac:dyDescent="0.2">
      <c r="A1842" s="562" t="s">
        <v>255</v>
      </c>
      <c r="B1842" s="562" t="s">
        <v>1438</v>
      </c>
      <c r="C1842" s="562" t="s">
        <v>1446</v>
      </c>
      <c r="D1842" s="562">
        <v>1</v>
      </c>
      <c r="E1842" s="562">
        <v>5</v>
      </c>
      <c r="F1842" s="562" t="s">
        <v>184</v>
      </c>
      <c r="G1842" s="562" t="s">
        <v>191</v>
      </c>
      <c r="H1842" s="562" t="s">
        <v>191</v>
      </c>
    </row>
    <row r="1843" spans="1:8" x14ac:dyDescent="0.2">
      <c r="A1843" s="562" t="s">
        <v>255</v>
      </c>
      <c r="B1843" s="562" t="s">
        <v>1438</v>
      </c>
      <c r="C1843" s="562" t="s">
        <v>808</v>
      </c>
      <c r="D1843" s="562">
        <v>1</v>
      </c>
      <c r="E1843" s="562">
        <v>6</v>
      </c>
      <c r="F1843" s="562" t="s">
        <v>184</v>
      </c>
      <c r="G1843" s="562" t="s">
        <v>191</v>
      </c>
      <c r="H1843" s="562" t="s">
        <v>191</v>
      </c>
    </row>
    <row r="1844" spans="1:8" x14ac:dyDescent="0.2">
      <c r="A1844" s="562" t="s">
        <v>255</v>
      </c>
      <c r="B1844" s="562" t="s">
        <v>1438</v>
      </c>
      <c r="C1844" s="562" t="s">
        <v>1447</v>
      </c>
      <c r="D1844" s="562">
        <v>1</v>
      </c>
      <c r="E1844" s="562">
        <v>5</v>
      </c>
      <c r="F1844" s="562" t="s">
        <v>184</v>
      </c>
      <c r="G1844" s="562" t="s">
        <v>191</v>
      </c>
      <c r="H1844" s="562" t="s">
        <v>191</v>
      </c>
    </row>
    <row r="1845" spans="1:8" x14ac:dyDescent="0.2">
      <c r="A1845" s="562" t="s">
        <v>255</v>
      </c>
      <c r="B1845" s="562" t="s">
        <v>1438</v>
      </c>
      <c r="C1845" s="562" t="s">
        <v>1448</v>
      </c>
      <c r="D1845" s="562">
        <v>1</v>
      </c>
      <c r="E1845" s="562">
        <v>5</v>
      </c>
      <c r="F1845" s="562" t="s">
        <v>184</v>
      </c>
      <c r="G1845" s="562" t="s">
        <v>191</v>
      </c>
      <c r="H1845" s="562" t="s">
        <v>191</v>
      </c>
    </row>
    <row r="1846" spans="1:8" x14ac:dyDescent="0.2">
      <c r="A1846" s="562" t="s">
        <v>255</v>
      </c>
      <c r="B1846" s="562" t="s">
        <v>1438</v>
      </c>
      <c r="C1846" s="562" t="s">
        <v>1095</v>
      </c>
      <c r="D1846" s="562">
        <v>3</v>
      </c>
      <c r="E1846" s="562">
        <v>6</v>
      </c>
      <c r="F1846" s="562" t="s">
        <v>184</v>
      </c>
      <c r="G1846" s="562" t="s">
        <v>191</v>
      </c>
      <c r="H1846" s="562" t="s">
        <v>191</v>
      </c>
    </row>
    <row r="1847" spans="1:8" x14ac:dyDescent="0.2">
      <c r="A1847" s="562" t="s">
        <v>255</v>
      </c>
      <c r="B1847" s="562" t="s">
        <v>1438</v>
      </c>
      <c r="C1847" s="562" t="s">
        <v>248</v>
      </c>
      <c r="D1847" s="562">
        <v>3</v>
      </c>
      <c r="E1847" s="562">
        <v>6</v>
      </c>
      <c r="F1847" s="562" t="s">
        <v>184</v>
      </c>
      <c r="G1847" s="562" t="s">
        <v>191</v>
      </c>
      <c r="H1847" s="562" t="s">
        <v>191</v>
      </c>
    </row>
    <row r="1848" spans="1:8" x14ac:dyDescent="0.2">
      <c r="A1848" s="562" t="s">
        <v>255</v>
      </c>
      <c r="B1848" s="562" t="s">
        <v>1438</v>
      </c>
      <c r="C1848" s="562" t="s">
        <v>380</v>
      </c>
      <c r="D1848" s="562">
        <v>3</v>
      </c>
      <c r="E1848" s="562">
        <v>6</v>
      </c>
      <c r="F1848" s="562" t="s">
        <v>184</v>
      </c>
      <c r="G1848" s="562" t="s">
        <v>191</v>
      </c>
      <c r="H1848" s="562" t="s">
        <v>191</v>
      </c>
    </row>
    <row r="1849" spans="1:8" x14ac:dyDescent="0.2">
      <c r="A1849" s="562" t="s">
        <v>255</v>
      </c>
      <c r="B1849" s="562" t="s">
        <v>1438</v>
      </c>
      <c r="C1849" s="562" t="s">
        <v>1117</v>
      </c>
      <c r="D1849" s="562">
        <v>1</v>
      </c>
      <c r="E1849" s="562">
        <v>5</v>
      </c>
      <c r="F1849" s="562" t="s">
        <v>184</v>
      </c>
      <c r="G1849" s="562" t="s">
        <v>191</v>
      </c>
      <c r="H1849" s="562" t="s">
        <v>191</v>
      </c>
    </row>
    <row r="1850" spans="1:8" x14ac:dyDescent="0.2">
      <c r="A1850" s="562" t="s">
        <v>255</v>
      </c>
      <c r="B1850" s="562" t="s">
        <v>1438</v>
      </c>
      <c r="C1850" s="562" t="s">
        <v>252</v>
      </c>
      <c r="D1850" s="562">
        <v>1</v>
      </c>
      <c r="E1850" s="562">
        <v>5</v>
      </c>
      <c r="F1850" s="562" t="s">
        <v>184</v>
      </c>
      <c r="G1850" s="562" t="s">
        <v>191</v>
      </c>
      <c r="H1850" s="562" t="s">
        <v>191</v>
      </c>
    </row>
    <row r="1851" spans="1:8" x14ac:dyDescent="0.2">
      <c r="A1851" s="562" t="s">
        <v>255</v>
      </c>
      <c r="B1851" s="562" t="s">
        <v>1438</v>
      </c>
      <c r="C1851" s="562" t="s">
        <v>565</v>
      </c>
      <c r="D1851" s="562">
        <v>3</v>
      </c>
      <c r="E1851" s="562">
        <v>6</v>
      </c>
      <c r="F1851" s="562" t="s">
        <v>184</v>
      </c>
      <c r="G1851" s="562" t="s">
        <v>191</v>
      </c>
      <c r="H1851" s="562" t="s">
        <v>191</v>
      </c>
    </row>
    <row r="1852" spans="1:8" x14ac:dyDescent="0.2">
      <c r="A1852" s="562" t="s">
        <v>255</v>
      </c>
      <c r="B1852" s="562" t="s">
        <v>1438</v>
      </c>
      <c r="C1852" s="562" t="s">
        <v>1449</v>
      </c>
      <c r="D1852" s="562">
        <v>3</v>
      </c>
      <c r="E1852" s="562">
        <v>6</v>
      </c>
      <c r="F1852" s="562" t="s">
        <v>184</v>
      </c>
      <c r="G1852" s="562" t="s">
        <v>191</v>
      </c>
      <c r="H1852" s="562" t="s">
        <v>191</v>
      </c>
    </row>
    <row r="1853" spans="1:8" x14ac:dyDescent="0.2">
      <c r="A1853" s="562" t="s">
        <v>255</v>
      </c>
      <c r="B1853" s="562" t="s">
        <v>1438</v>
      </c>
      <c r="C1853" s="562" t="s">
        <v>261</v>
      </c>
      <c r="D1853" s="562">
        <v>2</v>
      </c>
      <c r="E1853" s="562">
        <v>6</v>
      </c>
      <c r="F1853" s="562" t="s">
        <v>184</v>
      </c>
      <c r="G1853" s="562" t="s">
        <v>191</v>
      </c>
      <c r="H1853" s="562" t="s">
        <v>191</v>
      </c>
    </row>
    <row r="1854" spans="1:8" x14ac:dyDescent="0.2">
      <c r="A1854" s="562" t="s">
        <v>255</v>
      </c>
      <c r="B1854" s="562" t="s">
        <v>1438</v>
      </c>
      <c r="C1854" s="562" t="s">
        <v>435</v>
      </c>
      <c r="D1854" s="562">
        <v>3</v>
      </c>
      <c r="E1854" s="562">
        <v>4</v>
      </c>
      <c r="F1854" s="562" t="s">
        <v>184</v>
      </c>
      <c r="G1854" s="562" t="s">
        <v>191</v>
      </c>
      <c r="H1854" s="562" t="s">
        <v>191</v>
      </c>
    </row>
    <row r="1855" spans="1:8" x14ac:dyDescent="0.2">
      <c r="A1855" s="562" t="s">
        <v>255</v>
      </c>
      <c r="B1855" s="562" t="s">
        <v>1438</v>
      </c>
      <c r="C1855" s="562" t="s">
        <v>736</v>
      </c>
      <c r="D1855" s="562">
        <v>2</v>
      </c>
      <c r="E1855" s="562">
        <v>6</v>
      </c>
      <c r="F1855" s="562" t="s">
        <v>184</v>
      </c>
      <c r="G1855" s="562" t="s">
        <v>191</v>
      </c>
      <c r="H1855" s="562" t="s">
        <v>191</v>
      </c>
    </row>
    <row r="1856" spans="1:8" x14ac:dyDescent="0.2">
      <c r="A1856" s="562" t="s">
        <v>255</v>
      </c>
      <c r="B1856" s="562" t="s">
        <v>1438</v>
      </c>
      <c r="C1856" s="562" t="s">
        <v>775</v>
      </c>
      <c r="D1856" s="562">
        <v>1</v>
      </c>
      <c r="E1856" s="562">
        <v>5</v>
      </c>
      <c r="F1856" s="562" t="s">
        <v>184</v>
      </c>
      <c r="G1856" s="562" t="s">
        <v>191</v>
      </c>
      <c r="H1856" s="562" t="s">
        <v>191</v>
      </c>
    </row>
    <row r="1857" spans="1:8" x14ac:dyDescent="0.2">
      <c r="A1857" s="562" t="s">
        <v>255</v>
      </c>
      <c r="B1857" s="562" t="s">
        <v>1438</v>
      </c>
      <c r="C1857" s="562" t="s">
        <v>277</v>
      </c>
      <c r="D1857" s="562">
        <v>1</v>
      </c>
      <c r="E1857" s="562">
        <v>6</v>
      </c>
      <c r="F1857" s="562" t="s">
        <v>184</v>
      </c>
      <c r="G1857" s="562" t="s">
        <v>191</v>
      </c>
      <c r="H1857" s="562" t="s">
        <v>191</v>
      </c>
    </row>
    <row r="1858" spans="1:8" x14ac:dyDescent="0.2">
      <c r="A1858" s="562" t="s">
        <v>255</v>
      </c>
      <c r="B1858" s="562" t="s">
        <v>1438</v>
      </c>
      <c r="C1858" s="562" t="s">
        <v>287</v>
      </c>
      <c r="D1858" s="562">
        <v>2</v>
      </c>
      <c r="E1858" s="562">
        <v>5</v>
      </c>
      <c r="F1858" s="562" t="s">
        <v>184</v>
      </c>
      <c r="G1858" s="562" t="s">
        <v>191</v>
      </c>
      <c r="H1858" s="562" t="s">
        <v>191</v>
      </c>
    </row>
    <row r="1859" spans="1:8" x14ac:dyDescent="0.2">
      <c r="A1859" s="562" t="s">
        <v>255</v>
      </c>
      <c r="B1859" s="562" t="s">
        <v>1438</v>
      </c>
      <c r="C1859" s="562" t="s">
        <v>289</v>
      </c>
      <c r="D1859" s="562">
        <v>2</v>
      </c>
      <c r="E1859" s="562">
        <v>6</v>
      </c>
      <c r="F1859" s="562" t="s">
        <v>184</v>
      </c>
      <c r="G1859" s="562" t="s">
        <v>191</v>
      </c>
      <c r="H1859" s="562" t="s">
        <v>191</v>
      </c>
    </row>
    <row r="1860" spans="1:8" x14ac:dyDescent="0.2">
      <c r="A1860" s="562" t="s">
        <v>255</v>
      </c>
      <c r="B1860" s="562" t="s">
        <v>1438</v>
      </c>
      <c r="C1860" s="562" t="s">
        <v>579</v>
      </c>
      <c r="D1860" s="562">
        <v>3</v>
      </c>
      <c r="E1860" s="562">
        <v>4</v>
      </c>
      <c r="F1860" s="562" t="s">
        <v>184</v>
      </c>
      <c r="G1860" s="562" t="s">
        <v>191</v>
      </c>
      <c r="H1860" s="562" t="s">
        <v>191</v>
      </c>
    </row>
    <row r="1861" spans="1:8" x14ac:dyDescent="0.2">
      <c r="A1861" s="562" t="s">
        <v>255</v>
      </c>
      <c r="B1861" s="562" t="s">
        <v>1438</v>
      </c>
      <c r="C1861" s="562" t="s">
        <v>1450</v>
      </c>
      <c r="D1861" s="562">
        <v>3</v>
      </c>
      <c r="E1861" s="562">
        <v>4</v>
      </c>
      <c r="F1861" s="562" t="s">
        <v>184</v>
      </c>
      <c r="G1861" s="562" t="s">
        <v>191</v>
      </c>
      <c r="H1861" s="562" t="s">
        <v>191</v>
      </c>
    </row>
    <row r="1862" spans="1:8" x14ac:dyDescent="0.2">
      <c r="A1862" s="562" t="s">
        <v>255</v>
      </c>
      <c r="B1862" s="562" t="s">
        <v>1438</v>
      </c>
      <c r="C1862" s="562" t="s">
        <v>1451</v>
      </c>
      <c r="D1862" s="562">
        <v>2</v>
      </c>
      <c r="E1862" s="562">
        <v>5</v>
      </c>
      <c r="F1862" s="562" t="s">
        <v>184</v>
      </c>
      <c r="G1862" s="562" t="s">
        <v>191</v>
      </c>
      <c r="H1862" s="562" t="s">
        <v>191</v>
      </c>
    </row>
    <row r="1863" spans="1:8" x14ac:dyDescent="0.2">
      <c r="A1863" s="562" t="s">
        <v>255</v>
      </c>
      <c r="B1863" s="562" t="s">
        <v>1438</v>
      </c>
      <c r="C1863" s="562" t="s">
        <v>739</v>
      </c>
      <c r="D1863" s="562">
        <v>2</v>
      </c>
      <c r="E1863" s="562">
        <v>6</v>
      </c>
      <c r="F1863" s="562" t="s">
        <v>184</v>
      </c>
      <c r="G1863" s="562" t="s">
        <v>191</v>
      </c>
      <c r="H1863" s="562" t="s">
        <v>191</v>
      </c>
    </row>
    <row r="1864" spans="1:8" x14ac:dyDescent="0.2">
      <c r="A1864" s="562" t="s">
        <v>255</v>
      </c>
      <c r="B1864" s="562" t="s">
        <v>1438</v>
      </c>
      <c r="C1864" s="562" t="s">
        <v>1452</v>
      </c>
      <c r="D1864" s="562">
        <v>1</v>
      </c>
      <c r="E1864" s="562">
        <v>5</v>
      </c>
      <c r="F1864" s="562" t="s">
        <v>184</v>
      </c>
      <c r="G1864" s="562" t="s">
        <v>191</v>
      </c>
      <c r="H1864" s="562" t="s">
        <v>191</v>
      </c>
    </row>
    <row r="1865" spans="1:8" x14ac:dyDescent="0.2">
      <c r="A1865" s="562" t="s">
        <v>255</v>
      </c>
      <c r="B1865" s="562" t="s">
        <v>1438</v>
      </c>
      <c r="C1865" s="562" t="s">
        <v>1453</v>
      </c>
      <c r="D1865" s="562">
        <v>1</v>
      </c>
      <c r="E1865" s="562">
        <v>5</v>
      </c>
      <c r="F1865" s="562" t="s">
        <v>184</v>
      </c>
      <c r="G1865" s="562" t="s">
        <v>191</v>
      </c>
      <c r="H1865" s="562" t="s">
        <v>191</v>
      </c>
    </row>
    <row r="1866" spans="1:8" x14ac:dyDescent="0.2">
      <c r="A1866" s="562" t="s">
        <v>255</v>
      </c>
      <c r="B1866" s="562" t="s">
        <v>1438</v>
      </c>
      <c r="C1866" s="562" t="s">
        <v>448</v>
      </c>
      <c r="D1866" s="562">
        <v>1</v>
      </c>
      <c r="E1866" s="562">
        <v>5</v>
      </c>
      <c r="F1866" s="562" t="s">
        <v>184</v>
      </c>
      <c r="G1866" s="562" t="s">
        <v>191</v>
      </c>
      <c r="H1866" s="562" t="s">
        <v>191</v>
      </c>
    </row>
    <row r="1867" spans="1:8" x14ac:dyDescent="0.2">
      <c r="A1867" s="562" t="s">
        <v>255</v>
      </c>
      <c r="B1867" s="562" t="s">
        <v>1438</v>
      </c>
      <c r="C1867" s="562" t="s">
        <v>1038</v>
      </c>
      <c r="D1867" s="562">
        <v>2</v>
      </c>
      <c r="E1867" s="562">
        <v>5</v>
      </c>
      <c r="F1867" s="562" t="s">
        <v>184</v>
      </c>
      <c r="G1867" s="562" t="s">
        <v>191</v>
      </c>
      <c r="H1867" s="562" t="s">
        <v>191</v>
      </c>
    </row>
    <row r="1868" spans="1:8" x14ac:dyDescent="0.2">
      <c r="A1868" s="562" t="s">
        <v>255</v>
      </c>
      <c r="B1868" s="562" t="s">
        <v>1438</v>
      </c>
      <c r="C1868" s="562" t="s">
        <v>1454</v>
      </c>
      <c r="D1868" s="562">
        <v>2</v>
      </c>
      <c r="E1868" s="562">
        <v>5</v>
      </c>
      <c r="F1868" s="562" t="s">
        <v>184</v>
      </c>
      <c r="G1868" s="562" t="s">
        <v>191</v>
      </c>
      <c r="H1868" s="562" t="s">
        <v>191</v>
      </c>
    </row>
    <row r="1869" spans="1:8" x14ac:dyDescent="0.2">
      <c r="A1869" s="562" t="s">
        <v>255</v>
      </c>
      <c r="B1869" s="562" t="s">
        <v>1438</v>
      </c>
      <c r="C1869" s="562" t="s">
        <v>1154</v>
      </c>
      <c r="D1869" s="562">
        <v>1</v>
      </c>
      <c r="E1869" s="562">
        <v>6</v>
      </c>
      <c r="F1869" s="562" t="s">
        <v>184</v>
      </c>
      <c r="G1869" s="562" t="s">
        <v>191</v>
      </c>
      <c r="H1869" s="562" t="s">
        <v>191</v>
      </c>
    </row>
    <row r="1870" spans="1:8" x14ac:dyDescent="0.2">
      <c r="A1870" s="562" t="s">
        <v>255</v>
      </c>
      <c r="B1870" s="562" t="s">
        <v>1438</v>
      </c>
      <c r="C1870" s="562" t="s">
        <v>586</v>
      </c>
      <c r="D1870" s="562">
        <v>1</v>
      </c>
      <c r="E1870" s="562">
        <v>5</v>
      </c>
      <c r="F1870" s="562" t="s">
        <v>184</v>
      </c>
      <c r="G1870" s="562" t="s">
        <v>191</v>
      </c>
      <c r="H1870" s="562" t="s">
        <v>191</v>
      </c>
    </row>
    <row r="1871" spans="1:8" x14ac:dyDescent="0.2">
      <c r="A1871" s="562" t="s">
        <v>255</v>
      </c>
      <c r="B1871" s="562" t="s">
        <v>1438</v>
      </c>
      <c r="C1871" s="562" t="s">
        <v>1455</v>
      </c>
      <c r="D1871" s="562">
        <v>3</v>
      </c>
      <c r="E1871" s="562">
        <v>4</v>
      </c>
      <c r="F1871" s="562" t="s">
        <v>184</v>
      </c>
      <c r="G1871" s="562" t="s">
        <v>191</v>
      </c>
      <c r="H1871" s="562" t="s">
        <v>191</v>
      </c>
    </row>
    <row r="1872" spans="1:8" x14ac:dyDescent="0.2">
      <c r="A1872" s="562" t="s">
        <v>255</v>
      </c>
      <c r="B1872" s="562" t="s">
        <v>1438</v>
      </c>
      <c r="C1872" s="562" t="s">
        <v>1456</v>
      </c>
      <c r="D1872" s="562">
        <v>1</v>
      </c>
      <c r="E1872" s="562">
        <v>5</v>
      </c>
      <c r="F1872" s="562" t="s">
        <v>184</v>
      </c>
      <c r="G1872" s="562" t="s">
        <v>191</v>
      </c>
      <c r="H1872" s="562" t="s">
        <v>191</v>
      </c>
    </row>
    <row r="1873" spans="1:8" x14ac:dyDescent="0.2">
      <c r="A1873" s="562" t="s">
        <v>255</v>
      </c>
      <c r="B1873" s="562" t="s">
        <v>1438</v>
      </c>
      <c r="C1873" s="562" t="s">
        <v>677</v>
      </c>
      <c r="D1873" s="562">
        <v>3</v>
      </c>
      <c r="E1873" s="562">
        <v>4</v>
      </c>
      <c r="F1873" s="562" t="s">
        <v>184</v>
      </c>
      <c r="G1873" s="562" t="s">
        <v>191</v>
      </c>
      <c r="H1873" s="562" t="s">
        <v>191</v>
      </c>
    </row>
    <row r="1874" spans="1:8" x14ac:dyDescent="0.2">
      <c r="A1874" s="562" t="s">
        <v>255</v>
      </c>
      <c r="B1874" s="562" t="s">
        <v>1438</v>
      </c>
      <c r="C1874" s="562" t="s">
        <v>1457</v>
      </c>
      <c r="D1874" s="562">
        <v>3</v>
      </c>
      <c r="E1874" s="562">
        <v>5</v>
      </c>
      <c r="F1874" s="562" t="s">
        <v>184</v>
      </c>
      <c r="G1874" s="562" t="s">
        <v>191</v>
      </c>
      <c r="H1874" s="562" t="s">
        <v>191</v>
      </c>
    </row>
    <row r="1875" spans="1:8" x14ac:dyDescent="0.2">
      <c r="A1875" s="562" t="s">
        <v>255</v>
      </c>
      <c r="B1875" s="562" t="s">
        <v>1438</v>
      </c>
      <c r="C1875" s="562" t="s">
        <v>1458</v>
      </c>
      <c r="D1875" s="562">
        <v>2</v>
      </c>
      <c r="E1875" s="562">
        <v>6</v>
      </c>
      <c r="F1875" s="562" t="s">
        <v>184</v>
      </c>
      <c r="G1875" s="562" t="s">
        <v>191</v>
      </c>
      <c r="H1875" s="562" t="s">
        <v>191</v>
      </c>
    </row>
    <row r="1876" spans="1:8" x14ac:dyDescent="0.2">
      <c r="A1876" s="562" t="s">
        <v>255</v>
      </c>
      <c r="B1876" s="562" t="s">
        <v>1438</v>
      </c>
      <c r="C1876" s="562" t="s">
        <v>1459</v>
      </c>
      <c r="D1876" s="562">
        <v>2</v>
      </c>
      <c r="E1876" s="562">
        <v>5</v>
      </c>
      <c r="F1876" s="562" t="s">
        <v>184</v>
      </c>
      <c r="G1876" s="562" t="s">
        <v>191</v>
      </c>
      <c r="H1876" s="562" t="s">
        <v>191</v>
      </c>
    </row>
    <row r="1877" spans="1:8" x14ac:dyDescent="0.2">
      <c r="A1877" s="562" t="s">
        <v>255</v>
      </c>
      <c r="B1877" s="562" t="s">
        <v>1438</v>
      </c>
      <c r="C1877" s="562" t="s">
        <v>1460</v>
      </c>
      <c r="D1877" s="562">
        <v>2</v>
      </c>
      <c r="E1877" s="562">
        <v>5</v>
      </c>
      <c r="F1877" s="562" t="s">
        <v>184</v>
      </c>
      <c r="G1877" s="562" t="s">
        <v>191</v>
      </c>
      <c r="H1877" s="562" t="s">
        <v>191</v>
      </c>
    </row>
    <row r="1878" spans="1:8" x14ac:dyDescent="0.2">
      <c r="A1878" s="562" t="s">
        <v>255</v>
      </c>
      <c r="B1878" s="562" t="s">
        <v>1438</v>
      </c>
      <c r="C1878" s="562" t="s">
        <v>1461</v>
      </c>
      <c r="D1878" s="562">
        <v>1</v>
      </c>
      <c r="E1878" s="562">
        <v>6</v>
      </c>
      <c r="F1878" s="562" t="s">
        <v>184</v>
      </c>
      <c r="G1878" s="562" t="s">
        <v>191</v>
      </c>
      <c r="H1878" s="562" t="s">
        <v>191</v>
      </c>
    </row>
    <row r="1879" spans="1:8" x14ac:dyDescent="0.2">
      <c r="A1879" s="562" t="s">
        <v>255</v>
      </c>
      <c r="B1879" s="562" t="s">
        <v>1438</v>
      </c>
      <c r="C1879" s="562" t="s">
        <v>791</v>
      </c>
      <c r="D1879" s="562">
        <v>1</v>
      </c>
      <c r="E1879" s="562">
        <v>6</v>
      </c>
      <c r="F1879" s="562" t="s">
        <v>184</v>
      </c>
      <c r="G1879" s="562" t="s">
        <v>191</v>
      </c>
      <c r="H1879" s="562" t="s">
        <v>191</v>
      </c>
    </row>
    <row r="1880" spans="1:8" x14ac:dyDescent="0.2">
      <c r="A1880" s="562" t="s">
        <v>255</v>
      </c>
      <c r="B1880" s="562" t="s">
        <v>1438</v>
      </c>
      <c r="C1880" s="562" t="s">
        <v>1462</v>
      </c>
      <c r="D1880" s="562">
        <v>1</v>
      </c>
      <c r="E1880" s="562">
        <v>5</v>
      </c>
      <c r="F1880" s="562" t="s">
        <v>184</v>
      </c>
      <c r="G1880" s="562" t="s">
        <v>191</v>
      </c>
      <c r="H1880" s="562" t="s">
        <v>191</v>
      </c>
    </row>
    <row r="1881" spans="1:8" x14ac:dyDescent="0.2">
      <c r="A1881" s="562" t="s">
        <v>255</v>
      </c>
      <c r="B1881" s="562" t="s">
        <v>1438</v>
      </c>
      <c r="C1881" s="562" t="s">
        <v>833</v>
      </c>
      <c r="D1881" s="562">
        <v>1</v>
      </c>
      <c r="E1881" s="562">
        <v>6</v>
      </c>
      <c r="F1881" s="562" t="s">
        <v>184</v>
      </c>
      <c r="G1881" s="562" t="s">
        <v>191</v>
      </c>
      <c r="H1881" s="562" t="s">
        <v>191</v>
      </c>
    </row>
    <row r="1882" spans="1:8" x14ac:dyDescent="0.2">
      <c r="A1882" s="562" t="s">
        <v>255</v>
      </c>
      <c r="B1882" s="562" t="s">
        <v>1438</v>
      </c>
      <c r="C1882" s="562" t="s">
        <v>1100</v>
      </c>
      <c r="D1882" s="562">
        <v>3</v>
      </c>
      <c r="E1882" s="562">
        <v>4</v>
      </c>
      <c r="F1882" s="562" t="s">
        <v>184</v>
      </c>
      <c r="G1882" s="562" t="s">
        <v>191</v>
      </c>
      <c r="H1882" s="562" t="s">
        <v>191</v>
      </c>
    </row>
    <row r="1883" spans="1:8" x14ac:dyDescent="0.2">
      <c r="A1883" s="562" t="s">
        <v>255</v>
      </c>
      <c r="B1883" s="562" t="s">
        <v>1438</v>
      </c>
      <c r="C1883" s="562" t="s">
        <v>834</v>
      </c>
      <c r="D1883" s="562">
        <v>1</v>
      </c>
      <c r="E1883" s="562">
        <v>6</v>
      </c>
      <c r="F1883" s="562" t="s">
        <v>184</v>
      </c>
      <c r="G1883" s="562" t="s">
        <v>191</v>
      </c>
      <c r="H1883" s="562" t="s">
        <v>191</v>
      </c>
    </row>
    <row r="1884" spans="1:8" x14ac:dyDescent="0.2">
      <c r="A1884" s="562" t="s">
        <v>255</v>
      </c>
      <c r="B1884" s="562" t="s">
        <v>1438</v>
      </c>
      <c r="C1884" s="562" t="s">
        <v>1463</v>
      </c>
      <c r="D1884" s="562">
        <v>1</v>
      </c>
      <c r="E1884" s="562">
        <v>5</v>
      </c>
      <c r="F1884" s="562" t="s">
        <v>184</v>
      </c>
      <c r="G1884" s="562" t="s">
        <v>191</v>
      </c>
      <c r="H1884" s="562" t="s">
        <v>191</v>
      </c>
    </row>
    <row r="1885" spans="1:8" x14ac:dyDescent="0.2">
      <c r="A1885" s="562" t="s">
        <v>255</v>
      </c>
      <c r="B1885" s="562" t="s">
        <v>1438</v>
      </c>
      <c r="C1885" s="562" t="s">
        <v>1464</v>
      </c>
      <c r="D1885" s="562">
        <v>1</v>
      </c>
      <c r="E1885" s="562">
        <v>6</v>
      </c>
      <c r="F1885" s="562" t="s">
        <v>184</v>
      </c>
      <c r="G1885" s="562" t="s">
        <v>191</v>
      </c>
      <c r="H1885" s="562" t="s">
        <v>191</v>
      </c>
    </row>
    <row r="1886" spans="1:8" x14ac:dyDescent="0.2">
      <c r="A1886" s="562" t="s">
        <v>255</v>
      </c>
      <c r="B1886" s="562" t="s">
        <v>1438</v>
      </c>
      <c r="C1886" s="562" t="s">
        <v>1465</v>
      </c>
      <c r="D1886" s="562">
        <v>1</v>
      </c>
      <c r="E1886" s="562">
        <v>6</v>
      </c>
      <c r="F1886" s="562" t="s">
        <v>184</v>
      </c>
      <c r="G1886" s="562" t="s">
        <v>191</v>
      </c>
      <c r="H1886" s="562" t="s">
        <v>191</v>
      </c>
    </row>
    <row r="1887" spans="1:8" x14ac:dyDescent="0.2">
      <c r="A1887" s="562" t="s">
        <v>255</v>
      </c>
      <c r="B1887" s="562" t="s">
        <v>1438</v>
      </c>
      <c r="C1887" s="562" t="s">
        <v>699</v>
      </c>
      <c r="D1887" s="562">
        <v>3</v>
      </c>
      <c r="E1887" s="562">
        <v>6</v>
      </c>
      <c r="F1887" s="562" t="s">
        <v>184</v>
      </c>
      <c r="G1887" s="562" t="s">
        <v>191</v>
      </c>
      <c r="H1887" s="562" t="s">
        <v>191</v>
      </c>
    </row>
    <row r="1888" spans="1:8" x14ac:dyDescent="0.2">
      <c r="A1888" s="562" t="s">
        <v>255</v>
      </c>
      <c r="B1888" s="562" t="s">
        <v>1438</v>
      </c>
      <c r="C1888" s="562" t="s">
        <v>309</v>
      </c>
      <c r="D1888" s="562">
        <v>1</v>
      </c>
      <c r="E1888" s="562">
        <v>5</v>
      </c>
      <c r="F1888" s="562" t="s">
        <v>184</v>
      </c>
      <c r="G1888" s="562" t="s">
        <v>191</v>
      </c>
      <c r="H1888" s="562" t="s">
        <v>191</v>
      </c>
    </row>
    <row r="1889" spans="1:8" x14ac:dyDescent="0.2">
      <c r="A1889" s="562" t="s">
        <v>255</v>
      </c>
      <c r="B1889" s="562" t="s">
        <v>1438</v>
      </c>
      <c r="C1889" s="562" t="s">
        <v>700</v>
      </c>
      <c r="D1889" s="562">
        <v>2</v>
      </c>
      <c r="E1889" s="562">
        <v>5</v>
      </c>
      <c r="F1889" s="562" t="s">
        <v>184</v>
      </c>
      <c r="G1889" s="562" t="s">
        <v>191</v>
      </c>
      <c r="H1889" s="562" t="s">
        <v>191</v>
      </c>
    </row>
    <row r="1890" spans="1:8" x14ac:dyDescent="0.2">
      <c r="A1890" s="562" t="s">
        <v>255</v>
      </c>
      <c r="B1890" s="562" t="s">
        <v>1438</v>
      </c>
      <c r="C1890" s="562" t="s">
        <v>1466</v>
      </c>
      <c r="D1890" s="562">
        <v>3</v>
      </c>
      <c r="E1890" s="562">
        <v>4</v>
      </c>
      <c r="F1890" s="562" t="s">
        <v>184</v>
      </c>
      <c r="G1890" s="562" t="s">
        <v>191</v>
      </c>
      <c r="H1890" s="562" t="s">
        <v>191</v>
      </c>
    </row>
    <row r="1891" spans="1:8" x14ac:dyDescent="0.2">
      <c r="A1891" s="562" t="s">
        <v>255</v>
      </c>
      <c r="B1891" s="562" t="s">
        <v>1438</v>
      </c>
      <c r="C1891" s="562" t="s">
        <v>1467</v>
      </c>
      <c r="D1891" s="562">
        <v>1</v>
      </c>
      <c r="E1891" s="562">
        <v>6</v>
      </c>
      <c r="F1891" s="562" t="s">
        <v>184</v>
      </c>
      <c r="G1891" s="562" t="s">
        <v>191</v>
      </c>
      <c r="H1891" s="562" t="s">
        <v>191</v>
      </c>
    </row>
    <row r="1892" spans="1:8" x14ac:dyDescent="0.2">
      <c r="A1892" s="562" t="s">
        <v>255</v>
      </c>
      <c r="B1892" s="562" t="s">
        <v>1438</v>
      </c>
      <c r="C1892" s="562" t="s">
        <v>1468</v>
      </c>
      <c r="D1892" s="562">
        <v>1</v>
      </c>
      <c r="E1892" s="562">
        <v>5</v>
      </c>
      <c r="F1892" s="562" t="s">
        <v>184</v>
      </c>
      <c r="G1892" s="562" t="s">
        <v>191</v>
      </c>
      <c r="H1892" s="562" t="s">
        <v>191</v>
      </c>
    </row>
    <row r="1893" spans="1:8" x14ac:dyDescent="0.2">
      <c r="A1893" s="562" t="s">
        <v>66</v>
      </c>
      <c r="B1893" s="562" t="s">
        <v>1469</v>
      </c>
      <c r="C1893" s="562" t="s">
        <v>1470</v>
      </c>
      <c r="D1893" s="562">
        <v>3</v>
      </c>
      <c r="E1893" s="562">
        <v>4</v>
      </c>
      <c r="F1893" s="562" t="s">
        <v>184</v>
      </c>
      <c r="G1893" s="562" t="s">
        <v>191</v>
      </c>
      <c r="H1893" s="562" t="s">
        <v>191</v>
      </c>
    </row>
    <row r="1894" spans="1:8" x14ac:dyDescent="0.2">
      <c r="A1894" s="562" t="s">
        <v>66</v>
      </c>
      <c r="B1894" s="562" t="s">
        <v>1469</v>
      </c>
      <c r="C1894" s="562" t="s">
        <v>748</v>
      </c>
      <c r="D1894" s="562">
        <v>2</v>
      </c>
      <c r="E1894" s="562">
        <v>4</v>
      </c>
      <c r="F1894" s="562" t="s">
        <v>184</v>
      </c>
      <c r="G1894" s="562" t="s">
        <v>191</v>
      </c>
      <c r="H1894" s="562" t="s">
        <v>191</v>
      </c>
    </row>
    <row r="1895" spans="1:8" x14ac:dyDescent="0.2">
      <c r="A1895" s="562" t="s">
        <v>66</v>
      </c>
      <c r="B1895" s="562" t="s">
        <v>1469</v>
      </c>
      <c r="C1895" s="562" t="s">
        <v>1471</v>
      </c>
      <c r="D1895" s="562">
        <v>1</v>
      </c>
      <c r="E1895" s="562">
        <v>5</v>
      </c>
      <c r="F1895" s="562" t="s">
        <v>184</v>
      </c>
      <c r="G1895" s="562" t="s">
        <v>191</v>
      </c>
      <c r="H1895" s="562" t="s">
        <v>191</v>
      </c>
    </row>
    <row r="1896" spans="1:8" x14ac:dyDescent="0.2">
      <c r="A1896" s="562" t="s">
        <v>66</v>
      </c>
      <c r="B1896" s="562" t="s">
        <v>1469</v>
      </c>
      <c r="C1896" s="562" t="s">
        <v>1472</v>
      </c>
      <c r="D1896" s="562">
        <v>3</v>
      </c>
      <c r="E1896" s="562">
        <v>3</v>
      </c>
      <c r="F1896" s="562" t="s">
        <v>184</v>
      </c>
      <c r="G1896" s="562" t="s">
        <v>191</v>
      </c>
      <c r="H1896" s="562" t="s">
        <v>191</v>
      </c>
    </row>
    <row r="1897" spans="1:8" x14ac:dyDescent="0.2">
      <c r="A1897" s="562" t="s">
        <v>66</v>
      </c>
      <c r="B1897" s="562" t="s">
        <v>1469</v>
      </c>
      <c r="C1897" s="562" t="s">
        <v>1473</v>
      </c>
      <c r="D1897" s="562">
        <v>2</v>
      </c>
      <c r="E1897" s="562">
        <v>5</v>
      </c>
      <c r="F1897" s="562" t="s">
        <v>184</v>
      </c>
      <c r="G1897" s="562" t="s">
        <v>191</v>
      </c>
      <c r="H1897" s="562" t="s">
        <v>191</v>
      </c>
    </row>
    <row r="1898" spans="1:8" x14ac:dyDescent="0.2">
      <c r="A1898" s="562" t="s">
        <v>66</v>
      </c>
      <c r="B1898" s="562" t="s">
        <v>1469</v>
      </c>
      <c r="C1898" s="562" t="s">
        <v>1474</v>
      </c>
      <c r="D1898" s="562">
        <v>2</v>
      </c>
      <c r="E1898" s="562">
        <v>5</v>
      </c>
      <c r="F1898" s="562" t="s">
        <v>184</v>
      </c>
      <c r="G1898" s="562" t="s">
        <v>191</v>
      </c>
      <c r="H1898" s="562" t="s">
        <v>191</v>
      </c>
    </row>
    <row r="1899" spans="1:8" x14ac:dyDescent="0.2">
      <c r="A1899" s="562" t="s">
        <v>66</v>
      </c>
      <c r="B1899" s="562" t="s">
        <v>1469</v>
      </c>
      <c r="C1899" s="562" t="s">
        <v>1475</v>
      </c>
      <c r="D1899" s="562">
        <v>3</v>
      </c>
      <c r="E1899" s="562">
        <v>3</v>
      </c>
      <c r="F1899" s="562" t="s">
        <v>184</v>
      </c>
      <c r="G1899" s="562" t="s">
        <v>191</v>
      </c>
      <c r="H1899" s="562" t="s">
        <v>191</v>
      </c>
    </row>
    <row r="1900" spans="1:8" x14ac:dyDescent="0.2">
      <c r="A1900" s="562" t="s">
        <v>66</v>
      </c>
      <c r="B1900" s="562" t="s">
        <v>1469</v>
      </c>
      <c r="C1900" s="562" t="s">
        <v>1476</v>
      </c>
      <c r="D1900" s="562">
        <v>3</v>
      </c>
      <c r="E1900" s="562">
        <v>4</v>
      </c>
      <c r="F1900" s="562" t="s">
        <v>184</v>
      </c>
      <c r="G1900" s="562" t="s">
        <v>191</v>
      </c>
      <c r="H1900" s="562" t="s">
        <v>191</v>
      </c>
    </row>
    <row r="1901" spans="1:8" x14ac:dyDescent="0.2">
      <c r="A1901" s="562" t="s">
        <v>66</v>
      </c>
      <c r="B1901" s="562" t="s">
        <v>1469</v>
      </c>
      <c r="C1901" s="562" t="s">
        <v>1477</v>
      </c>
      <c r="D1901" s="562">
        <v>3</v>
      </c>
      <c r="E1901" s="562">
        <v>3</v>
      </c>
      <c r="F1901" s="562" t="s">
        <v>184</v>
      </c>
      <c r="G1901" s="562" t="s">
        <v>191</v>
      </c>
      <c r="H1901" s="562" t="s">
        <v>191</v>
      </c>
    </row>
    <row r="1902" spans="1:8" x14ac:dyDescent="0.2">
      <c r="A1902" s="562" t="s">
        <v>66</v>
      </c>
      <c r="B1902" s="562" t="s">
        <v>1469</v>
      </c>
      <c r="C1902" s="562" t="s">
        <v>1478</v>
      </c>
      <c r="D1902" s="562">
        <v>3</v>
      </c>
      <c r="E1902" s="562">
        <v>3</v>
      </c>
      <c r="F1902" s="562" t="s">
        <v>184</v>
      </c>
      <c r="G1902" s="562" t="s">
        <v>190</v>
      </c>
      <c r="H1902" s="562" t="s">
        <v>191</v>
      </c>
    </row>
    <row r="1903" spans="1:8" x14ac:dyDescent="0.2">
      <c r="A1903" s="562" t="s">
        <v>66</v>
      </c>
      <c r="B1903" s="562" t="s">
        <v>1469</v>
      </c>
      <c r="C1903" s="562" t="s">
        <v>1479</v>
      </c>
      <c r="D1903" s="562">
        <v>1</v>
      </c>
      <c r="E1903" s="562">
        <v>4</v>
      </c>
      <c r="F1903" s="562" t="s">
        <v>184</v>
      </c>
      <c r="G1903" s="562" t="s">
        <v>191</v>
      </c>
      <c r="H1903" s="562" t="s">
        <v>191</v>
      </c>
    </row>
    <row r="1904" spans="1:8" x14ac:dyDescent="0.2">
      <c r="A1904" s="562" t="s">
        <v>66</v>
      </c>
      <c r="B1904" s="562" t="s">
        <v>1469</v>
      </c>
      <c r="C1904" s="562" t="s">
        <v>611</v>
      </c>
      <c r="D1904" s="562">
        <v>2</v>
      </c>
      <c r="E1904" s="562">
        <v>4</v>
      </c>
      <c r="F1904" s="562" t="s">
        <v>184</v>
      </c>
      <c r="G1904" s="562" t="s">
        <v>191</v>
      </c>
      <c r="H1904" s="562" t="s">
        <v>191</v>
      </c>
    </row>
    <row r="1905" spans="1:8" x14ac:dyDescent="0.2">
      <c r="A1905" s="562" t="s">
        <v>66</v>
      </c>
      <c r="B1905" s="562" t="s">
        <v>1469</v>
      </c>
      <c r="C1905" s="562" t="s">
        <v>1480</v>
      </c>
      <c r="D1905" s="562">
        <v>3</v>
      </c>
      <c r="E1905" s="562">
        <v>3</v>
      </c>
      <c r="F1905" s="562" t="s">
        <v>184</v>
      </c>
      <c r="G1905" s="562" t="s">
        <v>191</v>
      </c>
      <c r="H1905" s="562" t="s">
        <v>191</v>
      </c>
    </row>
    <row r="1906" spans="1:8" x14ac:dyDescent="0.2">
      <c r="A1906" s="562" t="s">
        <v>66</v>
      </c>
      <c r="B1906" s="562" t="s">
        <v>1469</v>
      </c>
      <c r="C1906" s="562" t="s">
        <v>969</v>
      </c>
      <c r="D1906" s="562">
        <v>2</v>
      </c>
      <c r="E1906" s="562">
        <v>4</v>
      </c>
      <c r="F1906" s="562" t="s">
        <v>184</v>
      </c>
      <c r="G1906" s="562" t="s">
        <v>191</v>
      </c>
      <c r="H1906" s="562" t="s">
        <v>191</v>
      </c>
    </row>
    <row r="1907" spans="1:8" x14ac:dyDescent="0.2">
      <c r="A1907" s="562" t="s">
        <v>66</v>
      </c>
      <c r="B1907" s="562" t="s">
        <v>1469</v>
      </c>
      <c r="C1907" s="562" t="s">
        <v>613</v>
      </c>
      <c r="D1907" s="562">
        <v>3</v>
      </c>
      <c r="E1907" s="562">
        <v>3</v>
      </c>
      <c r="F1907" s="562" t="s">
        <v>184</v>
      </c>
      <c r="G1907" s="562" t="s">
        <v>191</v>
      </c>
      <c r="H1907" s="562" t="s">
        <v>191</v>
      </c>
    </row>
    <row r="1908" spans="1:8" x14ac:dyDescent="0.2">
      <c r="A1908" s="562" t="s">
        <v>66</v>
      </c>
      <c r="B1908" s="562" t="s">
        <v>1469</v>
      </c>
      <c r="C1908" s="562" t="s">
        <v>1481</v>
      </c>
      <c r="D1908" s="562">
        <v>3</v>
      </c>
      <c r="E1908" s="562">
        <v>3</v>
      </c>
      <c r="F1908" s="562" t="s">
        <v>184</v>
      </c>
      <c r="G1908" s="562" t="s">
        <v>190</v>
      </c>
      <c r="H1908" s="562" t="s">
        <v>191</v>
      </c>
    </row>
    <row r="1909" spans="1:8" x14ac:dyDescent="0.2">
      <c r="A1909" s="562" t="s">
        <v>66</v>
      </c>
      <c r="B1909" s="562" t="s">
        <v>1469</v>
      </c>
      <c r="C1909" s="562" t="s">
        <v>1482</v>
      </c>
      <c r="D1909" s="562">
        <v>2</v>
      </c>
      <c r="E1909" s="562">
        <v>4</v>
      </c>
      <c r="F1909" s="562" t="s">
        <v>184</v>
      </c>
      <c r="G1909" s="562" t="s">
        <v>191</v>
      </c>
      <c r="H1909" s="562" t="s">
        <v>191</v>
      </c>
    </row>
    <row r="1910" spans="1:8" x14ac:dyDescent="0.2">
      <c r="A1910" s="562" t="s">
        <v>66</v>
      </c>
      <c r="B1910" s="562" t="s">
        <v>1469</v>
      </c>
      <c r="C1910" s="562" t="s">
        <v>1483</v>
      </c>
      <c r="D1910" s="562">
        <v>2</v>
      </c>
      <c r="E1910" s="562">
        <v>4</v>
      </c>
      <c r="F1910" s="562" t="s">
        <v>184</v>
      </c>
      <c r="G1910" s="562" t="s">
        <v>191</v>
      </c>
      <c r="H1910" s="562" t="s">
        <v>191</v>
      </c>
    </row>
    <row r="1911" spans="1:8" x14ac:dyDescent="0.2">
      <c r="A1911" s="562" t="s">
        <v>66</v>
      </c>
      <c r="B1911" s="562" t="s">
        <v>1469</v>
      </c>
      <c r="C1911" s="562" t="s">
        <v>617</v>
      </c>
      <c r="D1911" s="562">
        <v>3</v>
      </c>
      <c r="E1911" s="562">
        <v>4</v>
      </c>
      <c r="F1911" s="562" t="s">
        <v>184</v>
      </c>
      <c r="G1911" s="562" t="s">
        <v>191</v>
      </c>
      <c r="H1911" s="562" t="s">
        <v>191</v>
      </c>
    </row>
    <row r="1912" spans="1:8" x14ac:dyDescent="0.2">
      <c r="A1912" s="562" t="s">
        <v>66</v>
      </c>
      <c r="B1912" s="562" t="s">
        <v>1469</v>
      </c>
      <c r="C1912" s="562" t="s">
        <v>208</v>
      </c>
      <c r="D1912" s="562">
        <v>1</v>
      </c>
      <c r="E1912" s="562">
        <v>4</v>
      </c>
      <c r="F1912" s="562" t="s">
        <v>184</v>
      </c>
      <c r="G1912" s="562" t="s">
        <v>191</v>
      </c>
      <c r="H1912" s="562" t="s">
        <v>191</v>
      </c>
    </row>
    <row r="1913" spans="1:8" x14ac:dyDescent="0.2">
      <c r="A1913" s="562" t="s">
        <v>66</v>
      </c>
      <c r="B1913" s="562" t="s">
        <v>1469</v>
      </c>
      <c r="C1913" s="562" t="s">
        <v>1484</v>
      </c>
      <c r="D1913" s="562">
        <v>3</v>
      </c>
      <c r="E1913" s="562">
        <v>3</v>
      </c>
      <c r="F1913" s="562" t="s">
        <v>184</v>
      </c>
      <c r="G1913" s="562" t="s">
        <v>191</v>
      </c>
      <c r="H1913" s="562" t="s">
        <v>191</v>
      </c>
    </row>
    <row r="1914" spans="1:8" x14ac:dyDescent="0.2">
      <c r="A1914" s="562" t="s">
        <v>66</v>
      </c>
      <c r="B1914" s="562" t="s">
        <v>1469</v>
      </c>
      <c r="C1914" s="562" t="s">
        <v>216</v>
      </c>
      <c r="D1914" s="562">
        <v>2</v>
      </c>
      <c r="E1914" s="562">
        <v>4</v>
      </c>
      <c r="F1914" s="562" t="s">
        <v>184</v>
      </c>
      <c r="G1914" s="562" t="s">
        <v>191</v>
      </c>
      <c r="H1914" s="562" t="s">
        <v>191</v>
      </c>
    </row>
    <row r="1915" spans="1:8" x14ac:dyDescent="0.2">
      <c r="A1915" s="562" t="s">
        <v>66</v>
      </c>
      <c r="B1915" s="562" t="s">
        <v>1469</v>
      </c>
      <c r="C1915" s="562" t="s">
        <v>370</v>
      </c>
      <c r="D1915" s="562">
        <v>2</v>
      </c>
      <c r="E1915" s="562">
        <v>4</v>
      </c>
      <c r="F1915" s="562" t="s">
        <v>184</v>
      </c>
      <c r="G1915" s="562" t="s">
        <v>191</v>
      </c>
      <c r="H1915" s="562" t="s">
        <v>191</v>
      </c>
    </row>
    <row r="1916" spans="1:8" x14ac:dyDescent="0.2">
      <c r="A1916" s="562" t="s">
        <v>66</v>
      </c>
      <c r="B1916" s="562" t="s">
        <v>1469</v>
      </c>
      <c r="C1916" s="562" t="s">
        <v>1485</v>
      </c>
      <c r="D1916" s="562">
        <v>3</v>
      </c>
      <c r="E1916" s="562">
        <v>3</v>
      </c>
      <c r="F1916" s="562" t="s">
        <v>184</v>
      </c>
      <c r="G1916" s="562" t="s">
        <v>190</v>
      </c>
      <c r="H1916" s="562" t="s">
        <v>191</v>
      </c>
    </row>
    <row r="1917" spans="1:8" x14ac:dyDescent="0.2">
      <c r="A1917" s="562" t="s">
        <v>66</v>
      </c>
      <c r="B1917" s="562" t="s">
        <v>1469</v>
      </c>
      <c r="C1917" s="562" t="s">
        <v>1486</v>
      </c>
      <c r="D1917" s="562">
        <v>3</v>
      </c>
      <c r="E1917" s="562">
        <v>3</v>
      </c>
      <c r="F1917" s="562" t="s">
        <v>184</v>
      </c>
      <c r="G1917" s="562" t="s">
        <v>191</v>
      </c>
      <c r="H1917" s="562" t="s">
        <v>191</v>
      </c>
    </row>
    <row r="1918" spans="1:8" x14ac:dyDescent="0.2">
      <c r="A1918" s="562" t="s">
        <v>66</v>
      </c>
      <c r="B1918" s="562" t="s">
        <v>1469</v>
      </c>
      <c r="C1918" s="562" t="s">
        <v>757</v>
      </c>
      <c r="D1918" s="562">
        <v>3</v>
      </c>
      <c r="E1918" s="562">
        <v>3</v>
      </c>
      <c r="F1918" s="562" t="s">
        <v>184</v>
      </c>
      <c r="G1918" s="562" t="s">
        <v>191</v>
      </c>
      <c r="H1918" s="562" t="s">
        <v>191</v>
      </c>
    </row>
    <row r="1919" spans="1:8" x14ac:dyDescent="0.2">
      <c r="A1919" s="562" t="s">
        <v>66</v>
      </c>
      <c r="B1919" s="562" t="s">
        <v>1469</v>
      </c>
      <c r="C1919" s="562" t="s">
        <v>1487</v>
      </c>
      <c r="D1919" s="562">
        <v>3</v>
      </c>
      <c r="E1919" s="562">
        <v>3</v>
      </c>
      <c r="F1919" s="562" t="s">
        <v>184</v>
      </c>
      <c r="G1919" s="562" t="s">
        <v>191</v>
      </c>
      <c r="H1919" s="562" t="s">
        <v>191</v>
      </c>
    </row>
    <row r="1920" spans="1:8" x14ac:dyDescent="0.2">
      <c r="A1920" s="562" t="s">
        <v>66</v>
      </c>
      <c r="B1920" s="562" t="s">
        <v>1469</v>
      </c>
      <c r="C1920" s="562" t="s">
        <v>1488</v>
      </c>
      <c r="D1920" s="562">
        <v>3</v>
      </c>
      <c r="E1920" s="562">
        <v>3</v>
      </c>
      <c r="F1920" s="562" t="s">
        <v>184</v>
      </c>
      <c r="G1920" s="562" t="s">
        <v>191</v>
      </c>
      <c r="H1920" s="562" t="s">
        <v>191</v>
      </c>
    </row>
    <row r="1921" spans="1:8" x14ac:dyDescent="0.2">
      <c r="A1921" s="562" t="s">
        <v>66</v>
      </c>
      <c r="B1921" s="562" t="s">
        <v>1469</v>
      </c>
      <c r="C1921" s="562" t="s">
        <v>1489</v>
      </c>
      <c r="D1921" s="562">
        <v>3</v>
      </c>
      <c r="E1921" s="562">
        <v>3</v>
      </c>
      <c r="F1921" s="562" t="s">
        <v>184</v>
      </c>
      <c r="G1921" s="562" t="s">
        <v>191</v>
      </c>
      <c r="H1921" s="562" t="s">
        <v>191</v>
      </c>
    </row>
    <row r="1922" spans="1:8" x14ac:dyDescent="0.2">
      <c r="A1922" s="562" t="s">
        <v>66</v>
      </c>
      <c r="B1922" s="562" t="s">
        <v>1469</v>
      </c>
      <c r="C1922" s="562" t="s">
        <v>1490</v>
      </c>
      <c r="D1922" s="562">
        <v>3</v>
      </c>
      <c r="E1922" s="562">
        <v>4</v>
      </c>
      <c r="F1922" s="562" t="s">
        <v>184</v>
      </c>
      <c r="G1922" s="562" t="s">
        <v>191</v>
      </c>
      <c r="H1922" s="562" t="s">
        <v>191</v>
      </c>
    </row>
    <row r="1923" spans="1:8" x14ac:dyDescent="0.2">
      <c r="A1923" s="562" t="s">
        <v>66</v>
      </c>
      <c r="B1923" s="562" t="s">
        <v>1469</v>
      </c>
      <c r="C1923" s="562" t="s">
        <v>1491</v>
      </c>
      <c r="D1923" s="562">
        <v>3</v>
      </c>
      <c r="E1923" s="562">
        <v>3</v>
      </c>
      <c r="F1923" s="562" t="s">
        <v>184</v>
      </c>
      <c r="G1923" s="562" t="s">
        <v>191</v>
      </c>
      <c r="H1923" s="562" t="s">
        <v>191</v>
      </c>
    </row>
    <row r="1924" spans="1:8" x14ac:dyDescent="0.2">
      <c r="A1924" s="562" t="s">
        <v>66</v>
      </c>
      <c r="B1924" s="562" t="s">
        <v>1469</v>
      </c>
      <c r="C1924" s="562" t="s">
        <v>1492</v>
      </c>
      <c r="D1924" s="562">
        <v>3</v>
      </c>
      <c r="E1924" s="562">
        <v>4</v>
      </c>
      <c r="F1924" s="562" t="s">
        <v>184</v>
      </c>
      <c r="G1924" s="562" t="s">
        <v>191</v>
      </c>
      <c r="H1924" s="562" t="s">
        <v>191</v>
      </c>
    </row>
    <row r="1925" spans="1:8" x14ac:dyDescent="0.2">
      <c r="A1925" s="562" t="s">
        <v>66</v>
      </c>
      <c r="B1925" s="562" t="s">
        <v>1469</v>
      </c>
      <c r="C1925" s="562" t="s">
        <v>1493</v>
      </c>
      <c r="D1925" s="562">
        <v>3</v>
      </c>
      <c r="E1925" s="562">
        <v>3</v>
      </c>
      <c r="F1925" s="562" t="s">
        <v>184</v>
      </c>
      <c r="G1925" s="562" t="s">
        <v>191</v>
      </c>
      <c r="H1925" s="562" t="s">
        <v>191</v>
      </c>
    </row>
    <row r="1926" spans="1:8" x14ac:dyDescent="0.2">
      <c r="A1926" s="562" t="s">
        <v>66</v>
      </c>
      <c r="B1926" s="562" t="s">
        <v>1469</v>
      </c>
      <c r="C1926" s="562" t="s">
        <v>641</v>
      </c>
      <c r="D1926" s="562">
        <v>2</v>
      </c>
      <c r="E1926" s="562">
        <v>4</v>
      </c>
      <c r="F1926" s="562" t="s">
        <v>184</v>
      </c>
      <c r="G1926" s="562" t="s">
        <v>191</v>
      </c>
      <c r="H1926" s="562" t="s">
        <v>191</v>
      </c>
    </row>
    <row r="1927" spans="1:8" x14ac:dyDescent="0.2">
      <c r="A1927" s="562" t="s">
        <v>66</v>
      </c>
      <c r="B1927" s="562" t="s">
        <v>1469</v>
      </c>
      <c r="C1927" s="562" t="s">
        <v>248</v>
      </c>
      <c r="D1927" s="562">
        <v>2</v>
      </c>
      <c r="E1927" s="562">
        <v>4</v>
      </c>
      <c r="F1927" s="562" t="s">
        <v>184</v>
      </c>
      <c r="G1927" s="562" t="s">
        <v>191</v>
      </c>
      <c r="H1927" s="562" t="s">
        <v>191</v>
      </c>
    </row>
    <row r="1928" spans="1:8" x14ac:dyDescent="0.2">
      <c r="A1928" s="562" t="s">
        <v>66</v>
      </c>
      <c r="B1928" s="562" t="s">
        <v>1469</v>
      </c>
      <c r="C1928" s="562" t="s">
        <v>1494</v>
      </c>
      <c r="D1928" s="562">
        <v>2</v>
      </c>
      <c r="E1928" s="562">
        <v>3</v>
      </c>
      <c r="F1928" s="562" t="s">
        <v>184</v>
      </c>
      <c r="G1928" s="562" t="s">
        <v>191</v>
      </c>
      <c r="H1928" s="562" t="s">
        <v>191</v>
      </c>
    </row>
    <row r="1929" spans="1:8" x14ac:dyDescent="0.2">
      <c r="A1929" s="562" t="s">
        <v>66</v>
      </c>
      <c r="B1929" s="562" t="s">
        <v>1469</v>
      </c>
      <c r="C1929" s="562" t="s">
        <v>1495</v>
      </c>
      <c r="D1929" s="562">
        <v>3</v>
      </c>
      <c r="E1929" s="562">
        <v>4</v>
      </c>
      <c r="F1929" s="562" t="s">
        <v>184</v>
      </c>
      <c r="G1929" s="562" t="s">
        <v>191</v>
      </c>
      <c r="H1929" s="562" t="s">
        <v>191</v>
      </c>
    </row>
    <row r="1930" spans="1:8" x14ac:dyDescent="0.2">
      <c r="A1930" s="562" t="s">
        <v>66</v>
      </c>
      <c r="B1930" s="562" t="s">
        <v>1469</v>
      </c>
      <c r="C1930" s="562" t="s">
        <v>349</v>
      </c>
      <c r="D1930" s="562">
        <v>2</v>
      </c>
      <c r="E1930" s="562">
        <v>4</v>
      </c>
      <c r="F1930" s="562" t="s">
        <v>184</v>
      </c>
      <c r="G1930" s="562" t="s">
        <v>191</v>
      </c>
      <c r="H1930" s="562" t="s">
        <v>191</v>
      </c>
    </row>
    <row r="1931" spans="1:8" x14ac:dyDescent="0.2">
      <c r="A1931" s="562" t="s">
        <v>66</v>
      </c>
      <c r="B1931" s="562" t="s">
        <v>1469</v>
      </c>
      <c r="C1931" s="562" t="s">
        <v>1496</v>
      </c>
      <c r="D1931" s="562">
        <v>3</v>
      </c>
      <c r="E1931" s="562">
        <v>4</v>
      </c>
      <c r="F1931" s="562" t="s">
        <v>184</v>
      </c>
      <c r="G1931" s="562" t="s">
        <v>191</v>
      </c>
      <c r="H1931" s="562" t="s">
        <v>191</v>
      </c>
    </row>
    <row r="1932" spans="1:8" x14ac:dyDescent="0.2">
      <c r="A1932" s="562" t="s">
        <v>66</v>
      </c>
      <c r="B1932" s="562" t="s">
        <v>1469</v>
      </c>
      <c r="C1932" s="562" t="s">
        <v>252</v>
      </c>
      <c r="D1932" s="562">
        <v>3</v>
      </c>
      <c r="E1932" s="562">
        <v>3</v>
      </c>
      <c r="F1932" s="562" t="s">
        <v>184</v>
      </c>
      <c r="G1932" s="562" t="s">
        <v>191</v>
      </c>
      <c r="H1932" s="562" t="s">
        <v>191</v>
      </c>
    </row>
    <row r="1933" spans="1:8" x14ac:dyDescent="0.2">
      <c r="A1933" s="562" t="s">
        <v>66</v>
      </c>
      <c r="B1933" s="562" t="s">
        <v>1469</v>
      </c>
      <c r="C1933" s="562" t="s">
        <v>1497</v>
      </c>
      <c r="D1933" s="562">
        <v>3</v>
      </c>
      <c r="E1933" s="562">
        <v>4</v>
      </c>
      <c r="F1933" s="562" t="s">
        <v>184</v>
      </c>
      <c r="G1933" s="562" t="s">
        <v>191</v>
      </c>
      <c r="H1933" s="562" t="s">
        <v>191</v>
      </c>
    </row>
    <row r="1934" spans="1:8" x14ac:dyDescent="0.2">
      <c r="A1934" s="562" t="s">
        <v>66</v>
      </c>
      <c r="B1934" s="562" t="s">
        <v>1469</v>
      </c>
      <c r="C1934" s="562" t="s">
        <v>1498</v>
      </c>
      <c r="D1934" s="562">
        <v>3</v>
      </c>
      <c r="E1934" s="562">
        <v>4</v>
      </c>
      <c r="F1934" s="562" t="s">
        <v>184</v>
      </c>
      <c r="G1934" s="562" t="s">
        <v>191</v>
      </c>
      <c r="H1934" s="562" t="s">
        <v>191</v>
      </c>
    </row>
    <row r="1935" spans="1:8" x14ac:dyDescent="0.2">
      <c r="A1935" s="562" t="s">
        <v>66</v>
      </c>
      <c r="B1935" s="562" t="s">
        <v>1469</v>
      </c>
      <c r="C1935" s="562" t="s">
        <v>1499</v>
      </c>
      <c r="D1935" s="562">
        <v>3</v>
      </c>
      <c r="E1935" s="562">
        <v>4</v>
      </c>
      <c r="F1935" s="562" t="s">
        <v>184</v>
      </c>
      <c r="G1935" s="562" t="s">
        <v>191</v>
      </c>
      <c r="H1935" s="562" t="s">
        <v>191</v>
      </c>
    </row>
    <row r="1936" spans="1:8" x14ac:dyDescent="0.2">
      <c r="A1936" s="562" t="s">
        <v>66</v>
      </c>
      <c r="B1936" s="562" t="s">
        <v>1469</v>
      </c>
      <c r="C1936" s="562" t="s">
        <v>1500</v>
      </c>
      <c r="D1936" s="562">
        <v>2</v>
      </c>
      <c r="E1936" s="562">
        <v>4</v>
      </c>
      <c r="F1936" s="562" t="s">
        <v>184</v>
      </c>
      <c r="G1936" s="562" t="s">
        <v>191</v>
      </c>
      <c r="H1936" s="562" t="s">
        <v>191</v>
      </c>
    </row>
    <row r="1937" spans="1:8" x14ac:dyDescent="0.2">
      <c r="A1937" s="562" t="s">
        <v>66</v>
      </c>
      <c r="B1937" s="562" t="s">
        <v>1469</v>
      </c>
      <c r="C1937" s="562" t="s">
        <v>766</v>
      </c>
      <c r="D1937" s="562">
        <v>1</v>
      </c>
      <c r="E1937" s="562">
        <v>4</v>
      </c>
      <c r="F1937" s="562" t="s">
        <v>184</v>
      </c>
      <c r="G1937" s="562" t="s">
        <v>191</v>
      </c>
      <c r="H1937" s="562" t="s">
        <v>191</v>
      </c>
    </row>
    <row r="1938" spans="1:8" x14ac:dyDescent="0.2">
      <c r="A1938" s="562" t="s">
        <v>66</v>
      </c>
      <c r="B1938" s="562" t="s">
        <v>1469</v>
      </c>
      <c r="C1938" s="562" t="s">
        <v>1501</v>
      </c>
      <c r="D1938" s="562">
        <v>3</v>
      </c>
      <c r="E1938" s="562">
        <v>4</v>
      </c>
      <c r="F1938" s="562" t="s">
        <v>184</v>
      </c>
      <c r="G1938" s="562" t="s">
        <v>191</v>
      </c>
      <c r="H1938" s="562" t="s">
        <v>191</v>
      </c>
    </row>
    <row r="1939" spans="1:8" x14ac:dyDescent="0.2">
      <c r="A1939" s="562" t="s">
        <v>66</v>
      </c>
      <c r="B1939" s="562" t="s">
        <v>1469</v>
      </c>
      <c r="C1939" s="562" t="s">
        <v>1502</v>
      </c>
      <c r="D1939" s="562">
        <v>3</v>
      </c>
      <c r="E1939" s="562">
        <v>3</v>
      </c>
      <c r="F1939" s="562" t="s">
        <v>184</v>
      </c>
      <c r="G1939" s="562" t="s">
        <v>191</v>
      </c>
      <c r="H1939" s="562" t="s">
        <v>191</v>
      </c>
    </row>
    <row r="1940" spans="1:8" x14ac:dyDescent="0.2">
      <c r="A1940" s="562" t="s">
        <v>66</v>
      </c>
      <c r="B1940" s="562" t="s">
        <v>1469</v>
      </c>
      <c r="C1940" s="562" t="s">
        <v>1503</v>
      </c>
      <c r="D1940" s="562">
        <v>3</v>
      </c>
      <c r="E1940" s="562">
        <v>3</v>
      </c>
      <c r="F1940" s="562" t="s">
        <v>184</v>
      </c>
      <c r="G1940" s="562" t="s">
        <v>191</v>
      </c>
      <c r="H1940" s="562" t="s">
        <v>191</v>
      </c>
    </row>
    <row r="1941" spans="1:8" x14ac:dyDescent="0.2">
      <c r="A1941" s="562" t="s">
        <v>66</v>
      </c>
      <c r="B1941" s="562" t="s">
        <v>1469</v>
      </c>
      <c r="C1941" s="562" t="s">
        <v>1504</v>
      </c>
      <c r="D1941" s="562">
        <v>2</v>
      </c>
      <c r="E1941" s="562">
        <v>4</v>
      </c>
      <c r="F1941" s="562" t="s">
        <v>184</v>
      </c>
      <c r="G1941" s="562" t="s">
        <v>191</v>
      </c>
      <c r="H1941" s="562" t="s">
        <v>191</v>
      </c>
    </row>
    <row r="1942" spans="1:8" x14ac:dyDescent="0.2">
      <c r="A1942" s="562" t="s">
        <v>66</v>
      </c>
      <c r="B1942" s="562" t="s">
        <v>1469</v>
      </c>
      <c r="C1942" s="562" t="s">
        <v>259</v>
      </c>
      <c r="D1942" s="562">
        <v>2</v>
      </c>
      <c r="E1942" s="562">
        <v>4</v>
      </c>
      <c r="F1942" s="562" t="s">
        <v>184</v>
      </c>
      <c r="G1942" s="562" t="s">
        <v>191</v>
      </c>
      <c r="H1942" s="562" t="s">
        <v>191</v>
      </c>
    </row>
    <row r="1943" spans="1:8" x14ac:dyDescent="0.2">
      <c r="A1943" s="562" t="s">
        <v>66</v>
      </c>
      <c r="B1943" s="562" t="s">
        <v>1469</v>
      </c>
      <c r="C1943" s="562" t="s">
        <v>1505</v>
      </c>
      <c r="D1943" s="562">
        <v>3</v>
      </c>
      <c r="E1943" s="562">
        <v>3</v>
      </c>
      <c r="F1943" s="562" t="s">
        <v>184</v>
      </c>
      <c r="G1943" s="562" t="s">
        <v>191</v>
      </c>
      <c r="H1943" s="562" t="s">
        <v>191</v>
      </c>
    </row>
    <row r="1944" spans="1:8" x14ac:dyDescent="0.2">
      <c r="A1944" s="562" t="s">
        <v>66</v>
      </c>
      <c r="B1944" s="562" t="s">
        <v>1469</v>
      </c>
      <c r="C1944" s="562" t="s">
        <v>659</v>
      </c>
      <c r="D1944" s="562">
        <v>3</v>
      </c>
      <c r="E1944" s="562">
        <v>3</v>
      </c>
      <c r="F1944" s="562" t="s">
        <v>184</v>
      </c>
      <c r="G1944" s="562" t="s">
        <v>191</v>
      </c>
      <c r="H1944" s="562" t="s">
        <v>191</v>
      </c>
    </row>
    <row r="1945" spans="1:8" x14ac:dyDescent="0.2">
      <c r="A1945" s="562" t="s">
        <v>66</v>
      </c>
      <c r="B1945" s="562" t="s">
        <v>1469</v>
      </c>
      <c r="C1945" s="562" t="s">
        <v>269</v>
      </c>
      <c r="D1945" s="562">
        <v>3</v>
      </c>
      <c r="E1945" s="562">
        <v>4</v>
      </c>
      <c r="F1945" s="562" t="s">
        <v>184</v>
      </c>
      <c r="G1945" s="562" t="s">
        <v>191</v>
      </c>
      <c r="H1945" s="562" t="s">
        <v>191</v>
      </c>
    </row>
    <row r="1946" spans="1:8" x14ac:dyDescent="0.2">
      <c r="A1946" s="562" t="s">
        <v>66</v>
      </c>
      <c r="B1946" s="562" t="s">
        <v>1469</v>
      </c>
      <c r="C1946" s="562" t="s">
        <v>1506</v>
      </c>
      <c r="D1946" s="562">
        <v>3</v>
      </c>
      <c r="E1946" s="562">
        <v>3</v>
      </c>
      <c r="F1946" s="562" t="s">
        <v>184</v>
      </c>
      <c r="G1946" s="562" t="s">
        <v>191</v>
      </c>
      <c r="H1946" s="562" t="s">
        <v>191</v>
      </c>
    </row>
    <row r="1947" spans="1:8" x14ac:dyDescent="0.2">
      <c r="A1947" s="562" t="s">
        <v>66</v>
      </c>
      <c r="B1947" s="562" t="s">
        <v>1469</v>
      </c>
      <c r="C1947" s="562" t="s">
        <v>390</v>
      </c>
      <c r="D1947" s="562">
        <v>2</v>
      </c>
      <c r="E1947" s="562">
        <v>4</v>
      </c>
      <c r="F1947" s="562" t="s">
        <v>184</v>
      </c>
      <c r="G1947" s="562" t="s">
        <v>191</v>
      </c>
      <c r="H1947" s="562" t="s">
        <v>191</v>
      </c>
    </row>
    <row r="1948" spans="1:8" x14ac:dyDescent="0.2">
      <c r="A1948" s="562" t="s">
        <v>66</v>
      </c>
      <c r="B1948" s="562" t="s">
        <v>1469</v>
      </c>
      <c r="C1948" s="562" t="s">
        <v>275</v>
      </c>
      <c r="D1948" s="562">
        <v>2</v>
      </c>
      <c r="E1948" s="562">
        <v>4</v>
      </c>
      <c r="F1948" s="562" t="s">
        <v>184</v>
      </c>
      <c r="G1948" s="562" t="s">
        <v>191</v>
      </c>
      <c r="H1948" s="562" t="s">
        <v>191</v>
      </c>
    </row>
    <row r="1949" spans="1:8" x14ac:dyDescent="0.2">
      <c r="A1949" s="562" t="s">
        <v>66</v>
      </c>
      <c r="B1949" s="562" t="s">
        <v>1469</v>
      </c>
      <c r="C1949" s="562" t="s">
        <v>277</v>
      </c>
      <c r="D1949" s="562">
        <v>2</v>
      </c>
      <c r="E1949" s="562">
        <v>4</v>
      </c>
      <c r="F1949" s="562" t="s">
        <v>184</v>
      </c>
      <c r="G1949" s="562" t="s">
        <v>191</v>
      </c>
      <c r="H1949" s="562" t="s">
        <v>191</v>
      </c>
    </row>
    <row r="1950" spans="1:8" x14ac:dyDescent="0.2">
      <c r="A1950" s="562" t="s">
        <v>66</v>
      </c>
      <c r="B1950" s="562" t="s">
        <v>1469</v>
      </c>
      <c r="C1950" s="562" t="s">
        <v>577</v>
      </c>
      <c r="D1950" s="562">
        <v>3</v>
      </c>
      <c r="E1950" s="562">
        <v>3</v>
      </c>
      <c r="F1950" s="562" t="s">
        <v>184</v>
      </c>
      <c r="G1950" s="562" t="s">
        <v>191</v>
      </c>
      <c r="H1950" s="562" t="s">
        <v>191</v>
      </c>
    </row>
    <row r="1951" spans="1:8" x14ac:dyDescent="0.2">
      <c r="A1951" s="562" t="s">
        <v>66</v>
      </c>
      <c r="B1951" s="562" t="s">
        <v>1469</v>
      </c>
      <c r="C1951" s="562" t="s">
        <v>1507</v>
      </c>
      <c r="D1951" s="562">
        <v>2</v>
      </c>
      <c r="E1951" s="562">
        <v>4</v>
      </c>
      <c r="F1951" s="562" t="s">
        <v>184</v>
      </c>
      <c r="G1951" s="562" t="s">
        <v>191</v>
      </c>
      <c r="H1951" s="562" t="s">
        <v>191</v>
      </c>
    </row>
    <row r="1952" spans="1:8" x14ac:dyDescent="0.2">
      <c r="A1952" s="562" t="s">
        <v>66</v>
      </c>
      <c r="B1952" s="562" t="s">
        <v>1469</v>
      </c>
      <c r="C1952" s="562" t="s">
        <v>1508</v>
      </c>
      <c r="D1952" s="562">
        <v>3</v>
      </c>
      <c r="E1952" s="562">
        <v>3</v>
      </c>
      <c r="F1952" s="562" t="s">
        <v>184</v>
      </c>
      <c r="G1952" s="562" t="s">
        <v>191</v>
      </c>
      <c r="H1952" s="562" t="s">
        <v>191</v>
      </c>
    </row>
    <row r="1953" spans="1:8" x14ac:dyDescent="0.2">
      <c r="A1953" s="562" t="s">
        <v>66</v>
      </c>
      <c r="B1953" s="562" t="s">
        <v>1469</v>
      </c>
      <c r="C1953" s="562" t="s">
        <v>667</v>
      </c>
      <c r="D1953" s="562">
        <v>1</v>
      </c>
      <c r="E1953" s="562">
        <v>5</v>
      </c>
      <c r="F1953" s="562" t="s">
        <v>184</v>
      </c>
      <c r="G1953" s="562" t="s">
        <v>191</v>
      </c>
      <c r="H1953" s="562" t="s">
        <v>191</v>
      </c>
    </row>
    <row r="1954" spans="1:8" x14ac:dyDescent="0.2">
      <c r="A1954" s="562" t="s">
        <v>66</v>
      </c>
      <c r="B1954" s="562" t="s">
        <v>1469</v>
      </c>
      <c r="C1954" s="562" t="s">
        <v>289</v>
      </c>
      <c r="D1954" s="562">
        <v>3</v>
      </c>
      <c r="E1954" s="562">
        <v>3</v>
      </c>
      <c r="F1954" s="562" t="s">
        <v>184</v>
      </c>
      <c r="G1954" s="562" t="s">
        <v>191</v>
      </c>
      <c r="H1954" s="562" t="s">
        <v>191</v>
      </c>
    </row>
    <row r="1955" spans="1:8" x14ac:dyDescent="0.2">
      <c r="A1955" s="562" t="s">
        <v>66</v>
      </c>
      <c r="B1955" s="562" t="s">
        <v>1469</v>
      </c>
      <c r="C1955" s="562" t="s">
        <v>1509</v>
      </c>
      <c r="D1955" s="562">
        <v>3</v>
      </c>
      <c r="E1955" s="562">
        <v>3</v>
      </c>
      <c r="F1955" s="562" t="s">
        <v>184</v>
      </c>
      <c r="G1955" s="562" t="s">
        <v>191</v>
      </c>
      <c r="H1955" s="562" t="s">
        <v>191</v>
      </c>
    </row>
    <row r="1956" spans="1:8" x14ac:dyDescent="0.2">
      <c r="A1956" s="562" t="s">
        <v>66</v>
      </c>
      <c r="B1956" s="562" t="s">
        <v>1469</v>
      </c>
      <c r="C1956" s="562" t="s">
        <v>1510</v>
      </c>
      <c r="D1956" s="562">
        <v>3</v>
      </c>
      <c r="E1956" s="562">
        <v>4</v>
      </c>
      <c r="F1956" s="562" t="s">
        <v>184</v>
      </c>
      <c r="G1956" s="562" t="s">
        <v>191</v>
      </c>
      <c r="H1956" s="562" t="s">
        <v>191</v>
      </c>
    </row>
    <row r="1957" spans="1:8" x14ac:dyDescent="0.2">
      <c r="A1957" s="562" t="s">
        <v>66</v>
      </c>
      <c r="B1957" s="562" t="s">
        <v>1469</v>
      </c>
      <c r="C1957" s="562" t="s">
        <v>1511</v>
      </c>
      <c r="D1957" s="562">
        <v>3</v>
      </c>
      <c r="E1957" s="562">
        <v>3</v>
      </c>
      <c r="F1957" s="562" t="s">
        <v>184</v>
      </c>
      <c r="G1957" s="562" t="s">
        <v>190</v>
      </c>
      <c r="H1957" s="562" t="s">
        <v>191</v>
      </c>
    </row>
    <row r="1958" spans="1:8" x14ac:dyDescent="0.2">
      <c r="A1958" s="562" t="s">
        <v>66</v>
      </c>
      <c r="B1958" s="562" t="s">
        <v>1469</v>
      </c>
      <c r="C1958" s="562" t="s">
        <v>1512</v>
      </c>
      <c r="D1958" s="562">
        <v>3</v>
      </c>
      <c r="E1958" s="562">
        <v>4</v>
      </c>
      <c r="F1958" s="562" t="s">
        <v>184</v>
      </c>
      <c r="G1958" s="562" t="s">
        <v>191</v>
      </c>
      <c r="H1958" s="562" t="s">
        <v>191</v>
      </c>
    </row>
    <row r="1959" spans="1:8" x14ac:dyDescent="0.2">
      <c r="A1959" s="562" t="s">
        <v>66</v>
      </c>
      <c r="B1959" s="562" t="s">
        <v>1469</v>
      </c>
      <c r="C1959" s="562" t="s">
        <v>1513</v>
      </c>
      <c r="D1959" s="562">
        <v>3</v>
      </c>
      <c r="E1959" s="562">
        <v>3</v>
      </c>
      <c r="F1959" s="562" t="s">
        <v>184</v>
      </c>
      <c r="G1959" s="562" t="s">
        <v>190</v>
      </c>
      <c r="H1959" s="562" t="s">
        <v>191</v>
      </c>
    </row>
    <row r="1960" spans="1:8" x14ac:dyDescent="0.2">
      <c r="A1960" s="562" t="s">
        <v>66</v>
      </c>
      <c r="B1960" s="562" t="s">
        <v>1469</v>
      </c>
      <c r="C1960" s="562" t="s">
        <v>448</v>
      </c>
      <c r="D1960" s="562">
        <v>3</v>
      </c>
      <c r="E1960" s="562">
        <v>4</v>
      </c>
      <c r="F1960" s="562" t="s">
        <v>184</v>
      </c>
      <c r="G1960" s="562" t="s">
        <v>191</v>
      </c>
      <c r="H1960" s="562" t="s">
        <v>191</v>
      </c>
    </row>
    <row r="1961" spans="1:8" x14ac:dyDescent="0.2">
      <c r="A1961" s="562" t="s">
        <v>66</v>
      </c>
      <c r="B1961" s="562" t="s">
        <v>1469</v>
      </c>
      <c r="C1961" s="562" t="s">
        <v>1514</v>
      </c>
      <c r="D1961" s="562">
        <v>3</v>
      </c>
      <c r="E1961" s="562">
        <v>3</v>
      </c>
      <c r="F1961" s="562" t="s">
        <v>184</v>
      </c>
      <c r="G1961" s="562" t="s">
        <v>191</v>
      </c>
      <c r="H1961" s="562" t="s">
        <v>191</v>
      </c>
    </row>
    <row r="1962" spans="1:8" x14ac:dyDescent="0.2">
      <c r="A1962" s="562" t="s">
        <v>66</v>
      </c>
      <c r="B1962" s="562" t="s">
        <v>1469</v>
      </c>
      <c r="C1962" s="562" t="s">
        <v>1515</v>
      </c>
      <c r="D1962" s="562">
        <v>3</v>
      </c>
      <c r="E1962" s="562">
        <v>3</v>
      </c>
      <c r="F1962" s="562" t="s">
        <v>184</v>
      </c>
      <c r="G1962" s="562" t="s">
        <v>191</v>
      </c>
      <c r="H1962" s="562" t="s">
        <v>191</v>
      </c>
    </row>
    <row r="1963" spans="1:8" x14ac:dyDescent="0.2">
      <c r="A1963" s="562" t="s">
        <v>66</v>
      </c>
      <c r="B1963" s="562" t="s">
        <v>1469</v>
      </c>
      <c r="C1963" s="562" t="s">
        <v>1516</v>
      </c>
      <c r="D1963" s="562">
        <v>3</v>
      </c>
      <c r="E1963" s="562">
        <v>3</v>
      </c>
      <c r="F1963" s="562" t="s">
        <v>184</v>
      </c>
      <c r="G1963" s="562" t="s">
        <v>190</v>
      </c>
      <c r="H1963" s="562" t="s">
        <v>191</v>
      </c>
    </row>
    <row r="1964" spans="1:8" x14ac:dyDescent="0.2">
      <c r="A1964" s="562" t="s">
        <v>66</v>
      </c>
      <c r="B1964" s="562" t="s">
        <v>1469</v>
      </c>
      <c r="C1964" s="562" t="s">
        <v>1517</v>
      </c>
      <c r="D1964" s="562">
        <v>3</v>
      </c>
      <c r="E1964" s="562">
        <v>3</v>
      </c>
      <c r="F1964" s="562" t="s">
        <v>184</v>
      </c>
      <c r="G1964" s="562" t="s">
        <v>191</v>
      </c>
      <c r="H1964" s="562" t="s">
        <v>191</v>
      </c>
    </row>
    <row r="1965" spans="1:8" x14ac:dyDescent="0.2">
      <c r="A1965" s="562" t="s">
        <v>66</v>
      </c>
      <c r="B1965" s="562" t="s">
        <v>1469</v>
      </c>
      <c r="C1965" s="562" t="s">
        <v>1518</v>
      </c>
      <c r="D1965" s="562">
        <v>3</v>
      </c>
      <c r="E1965" s="562">
        <v>4</v>
      </c>
      <c r="F1965" s="562" t="s">
        <v>184</v>
      </c>
      <c r="G1965" s="562" t="s">
        <v>191</v>
      </c>
      <c r="H1965" s="562" t="s">
        <v>191</v>
      </c>
    </row>
    <row r="1966" spans="1:8" x14ac:dyDescent="0.2">
      <c r="A1966" s="562" t="s">
        <v>66</v>
      </c>
      <c r="B1966" s="562" t="s">
        <v>1469</v>
      </c>
      <c r="C1966" s="562" t="s">
        <v>1519</v>
      </c>
      <c r="D1966" s="562">
        <v>3</v>
      </c>
      <c r="E1966" s="562">
        <v>3</v>
      </c>
      <c r="F1966" s="562" t="s">
        <v>184</v>
      </c>
      <c r="G1966" s="562" t="s">
        <v>191</v>
      </c>
      <c r="H1966" s="562" t="s">
        <v>191</v>
      </c>
    </row>
    <row r="1967" spans="1:8" x14ac:dyDescent="0.2">
      <c r="A1967" s="562" t="s">
        <v>66</v>
      </c>
      <c r="B1967" s="562" t="s">
        <v>1469</v>
      </c>
      <c r="C1967" s="562" t="s">
        <v>401</v>
      </c>
      <c r="D1967" s="562">
        <v>2</v>
      </c>
      <c r="E1967" s="562">
        <v>4</v>
      </c>
      <c r="F1967" s="562" t="s">
        <v>184</v>
      </c>
      <c r="G1967" s="562" t="s">
        <v>191</v>
      </c>
      <c r="H1967" s="562" t="s">
        <v>191</v>
      </c>
    </row>
    <row r="1968" spans="1:8" x14ac:dyDescent="0.2">
      <c r="A1968" s="562" t="s">
        <v>66</v>
      </c>
      <c r="B1968" s="562" t="s">
        <v>1469</v>
      </c>
      <c r="C1968" s="562" t="s">
        <v>299</v>
      </c>
      <c r="D1968" s="562">
        <v>3</v>
      </c>
      <c r="E1968" s="562">
        <v>3</v>
      </c>
      <c r="F1968" s="562" t="s">
        <v>184</v>
      </c>
      <c r="G1968" s="562" t="s">
        <v>191</v>
      </c>
      <c r="H1968" s="562" t="s">
        <v>191</v>
      </c>
    </row>
    <row r="1969" spans="1:8" x14ac:dyDescent="0.2">
      <c r="A1969" s="562" t="s">
        <v>66</v>
      </c>
      <c r="B1969" s="562" t="s">
        <v>1469</v>
      </c>
      <c r="C1969" s="562" t="s">
        <v>677</v>
      </c>
      <c r="D1969" s="562">
        <v>3</v>
      </c>
      <c r="E1969" s="562">
        <v>3</v>
      </c>
      <c r="F1969" s="562" t="s">
        <v>184</v>
      </c>
      <c r="G1969" s="562" t="s">
        <v>191</v>
      </c>
      <c r="H1969" s="562" t="s">
        <v>191</v>
      </c>
    </row>
    <row r="1970" spans="1:8" x14ac:dyDescent="0.2">
      <c r="A1970" s="562" t="s">
        <v>66</v>
      </c>
      <c r="B1970" s="562" t="s">
        <v>1469</v>
      </c>
      <c r="C1970" s="562" t="s">
        <v>1520</v>
      </c>
      <c r="D1970" s="562">
        <v>3</v>
      </c>
      <c r="E1970" s="562">
        <v>3</v>
      </c>
      <c r="F1970" s="562" t="s">
        <v>184</v>
      </c>
      <c r="G1970" s="562" t="s">
        <v>191</v>
      </c>
      <c r="H1970" s="562" t="s">
        <v>191</v>
      </c>
    </row>
    <row r="1971" spans="1:8" x14ac:dyDescent="0.2">
      <c r="A1971" s="562" t="s">
        <v>66</v>
      </c>
      <c r="B1971" s="562" t="s">
        <v>1469</v>
      </c>
      <c r="C1971" s="562" t="s">
        <v>1399</v>
      </c>
      <c r="D1971" s="562">
        <v>1</v>
      </c>
      <c r="E1971" s="562">
        <v>4</v>
      </c>
      <c r="F1971" s="562" t="s">
        <v>184</v>
      </c>
      <c r="G1971" s="562" t="s">
        <v>191</v>
      </c>
      <c r="H1971" s="562" t="s">
        <v>191</v>
      </c>
    </row>
    <row r="1972" spans="1:8" x14ac:dyDescent="0.2">
      <c r="A1972" s="562" t="s">
        <v>66</v>
      </c>
      <c r="B1972" s="562" t="s">
        <v>1469</v>
      </c>
      <c r="C1972" s="562" t="s">
        <v>1008</v>
      </c>
      <c r="D1972" s="562">
        <v>3</v>
      </c>
      <c r="E1972" s="562">
        <v>3</v>
      </c>
      <c r="F1972" s="562" t="s">
        <v>184</v>
      </c>
      <c r="G1972" s="562" t="s">
        <v>191</v>
      </c>
      <c r="H1972" s="562" t="s">
        <v>191</v>
      </c>
    </row>
    <row r="1973" spans="1:8" x14ac:dyDescent="0.2">
      <c r="A1973" s="562" t="s">
        <v>66</v>
      </c>
      <c r="B1973" s="562" t="s">
        <v>1469</v>
      </c>
      <c r="C1973" s="562" t="s">
        <v>1521</v>
      </c>
      <c r="D1973" s="562">
        <v>2</v>
      </c>
      <c r="E1973" s="562">
        <v>4</v>
      </c>
      <c r="F1973" s="562" t="s">
        <v>184</v>
      </c>
      <c r="G1973" s="562" t="s">
        <v>191</v>
      </c>
      <c r="H1973" s="562" t="s">
        <v>191</v>
      </c>
    </row>
    <row r="1974" spans="1:8" x14ac:dyDescent="0.2">
      <c r="A1974" s="562" t="s">
        <v>66</v>
      </c>
      <c r="B1974" s="562" t="s">
        <v>1469</v>
      </c>
      <c r="C1974" s="562" t="s">
        <v>1522</v>
      </c>
      <c r="D1974" s="562">
        <v>3</v>
      </c>
      <c r="E1974" s="562">
        <v>3</v>
      </c>
      <c r="F1974" s="562" t="s">
        <v>184</v>
      </c>
      <c r="G1974" s="562" t="s">
        <v>191</v>
      </c>
      <c r="H1974" s="562" t="s">
        <v>191</v>
      </c>
    </row>
    <row r="1975" spans="1:8" x14ac:dyDescent="0.2">
      <c r="A1975" s="562" t="s">
        <v>66</v>
      </c>
      <c r="B1975" s="562" t="s">
        <v>1469</v>
      </c>
      <c r="C1975" s="562" t="s">
        <v>1298</v>
      </c>
      <c r="D1975" s="562">
        <v>3</v>
      </c>
      <c r="E1975" s="562">
        <v>3</v>
      </c>
      <c r="F1975" s="562" t="s">
        <v>184</v>
      </c>
      <c r="G1975" s="562" t="s">
        <v>191</v>
      </c>
      <c r="H1975" s="562" t="s">
        <v>191</v>
      </c>
    </row>
    <row r="1976" spans="1:8" x14ac:dyDescent="0.2">
      <c r="A1976" s="562" t="s">
        <v>66</v>
      </c>
      <c r="B1976" s="562" t="s">
        <v>1469</v>
      </c>
      <c r="C1976" s="562" t="s">
        <v>1523</v>
      </c>
      <c r="D1976" s="562">
        <v>3</v>
      </c>
      <c r="E1976" s="562">
        <v>3</v>
      </c>
      <c r="F1976" s="562" t="s">
        <v>184</v>
      </c>
      <c r="G1976" s="562" t="s">
        <v>191</v>
      </c>
      <c r="H1976" s="562" t="s">
        <v>191</v>
      </c>
    </row>
    <row r="1977" spans="1:8" x14ac:dyDescent="0.2">
      <c r="A1977" s="562" t="s">
        <v>66</v>
      </c>
      <c r="B1977" s="562" t="s">
        <v>1469</v>
      </c>
      <c r="C1977" s="562" t="s">
        <v>1524</v>
      </c>
      <c r="D1977" s="562">
        <v>2</v>
      </c>
      <c r="E1977" s="562">
        <v>4</v>
      </c>
      <c r="F1977" s="562" t="s">
        <v>184</v>
      </c>
      <c r="G1977" s="562" t="s">
        <v>191</v>
      </c>
      <c r="H1977" s="562" t="s">
        <v>191</v>
      </c>
    </row>
    <row r="1978" spans="1:8" x14ac:dyDescent="0.2">
      <c r="A1978" s="562" t="s">
        <v>66</v>
      </c>
      <c r="B1978" s="562" t="s">
        <v>1469</v>
      </c>
      <c r="C1978" s="562" t="s">
        <v>1525</v>
      </c>
      <c r="D1978" s="562">
        <v>2</v>
      </c>
      <c r="E1978" s="562">
        <v>4</v>
      </c>
      <c r="F1978" s="562" t="s">
        <v>184</v>
      </c>
      <c r="G1978" s="562" t="s">
        <v>191</v>
      </c>
      <c r="H1978" s="562" t="s">
        <v>191</v>
      </c>
    </row>
    <row r="1979" spans="1:8" x14ac:dyDescent="0.2">
      <c r="A1979" s="562" t="s">
        <v>66</v>
      </c>
      <c r="B1979" s="562" t="s">
        <v>1469</v>
      </c>
      <c r="C1979" s="562" t="s">
        <v>1526</v>
      </c>
      <c r="D1979" s="562">
        <v>2</v>
      </c>
      <c r="E1979" s="562">
        <v>4</v>
      </c>
      <c r="F1979" s="562" t="s">
        <v>184</v>
      </c>
      <c r="G1979" s="562" t="s">
        <v>191</v>
      </c>
      <c r="H1979" s="562" t="s">
        <v>191</v>
      </c>
    </row>
    <row r="1980" spans="1:8" x14ac:dyDescent="0.2">
      <c r="A1980" s="562" t="s">
        <v>66</v>
      </c>
      <c r="B1980" s="562" t="s">
        <v>1469</v>
      </c>
      <c r="C1980" s="562" t="s">
        <v>1527</v>
      </c>
      <c r="D1980" s="562">
        <v>1</v>
      </c>
      <c r="E1980" s="562">
        <v>4</v>
      </c>
      <c r="F1980" s="562" t="s">
        <v>184</v>
      </c>
      <c r="G1980" s="562" t="s">
        <v>191</v>
      </c>
      <c r="H1980" s="562" t="s">
        <v>191</v>
      </c>
    </row>
    <row r="1981" spans="1:8" x14ac:dyDescent="0.2">
      <c r="A1981" s="562" t="s">
        <v>66</v>
      </c>
      <c r="B1981" s="562" t="s">
        <v>1469</v>
      </c>
      <c r="C1981" s="562" t="s">
        <v>1528</v>
      </c>
      <c r="D1981" s="562">
        <v>3</v>
      </c>
      <c r="E1981" s="562">
        <v>3</v>
      </c>
      <c r="F1981" s="562" t="s">
        <v>184</v>
      </c>
      <c r="G1981" s="562" t="s">
        <v>191</v>
      </c>
      <c r="H1981" s="562" t="s">
        <v>191</v>
      </c>
    </row>
    <row r="1982" spans="1:8" x14ac:dyDescent="0.2">
      <c r="A1982" s="562" t="s">
        <v>66</v>
      </c>
      <c r="B1982" s="562" t="s">
        <v>1469</v>
      </c>
      <c r="C1982" s="562" t="s">
        <v>413</v>
      </c>
      <c r="D1982" s="562">
        <v>3</v>
      </c>
      <c r="E1982" s="562">
        <v>3</v>
      </c>
      <c r="F1982" s="562" t="s">
        <v>184</v>
      </c>
      <c r="G1982" s="562" t="s">
        <v>191</v>
      </c>
      <c r="H1982" s="562" t="s">
        <v>191</v>
      </c>
    </row>
    <row r="1983" spans="1:8" x14ac:dyDescent="0.2">
      <c r="A1983" s="562" t="s">
        <v>66</v>
      </c>
      <c r="B1983" s="562" t="s">
        <v>1469</v>
      </c>
      <c r="C1983" s="562" t="s">
        <v>1529</v>
      </c>
      <c r="D1983" s="562">
        <v>2</v>
      </c>
      <c r="E1983" s="562">
        <v>4</v>
      </c>
      <c r="F1983" s="562" t="s">
        <v>184</v>
      </c>
      <c r="G1983" s="562" t="s">
        <v>191</v>
      </c>
      <c r="H1983" s="562" t="s">
        <v>191</v>
      </c>
    </row>
    <row r="1984" spans="1:8" x14ac:dyDescent="0.2">
      <c r="A1984" s="562" t="s">
        <v>66</v>
      </c>
      <c r="B1984" s="562" t="s">
        <v>1469</v>
      </c>
      <c r="C1984" s="562" t="s">
        <v>1530</v>
      </c>
      <c r="D1984" s="562">
        <v>2</v>
      </c>
      <c r="E1984" s="562">
        <v>4</v>
      </c>
      <c r="F1984" s="562" t="s">
        <v>184</v>
      </c>
      <c r="G1984" s="562" t="s">
        <v>191</v>
      </c>
      <c r="H1984" s="562" t="s">
        <v>191</v>
      </c>
    </row>
    <row r="1985" spans="1:8" x14ac:dyDescent="0.2">
      <c r="A1985" s="562" t="s">
        <v>66</v>
      </c>
      <c r="B1985" s="562" t="s">
        <v>1469</v>
      </c>
      <c r="C1985" s="562" t="s">
        <v>699</v>
      </c>
      <c r="D1985" s="562">
        <v>2</v>
      </c>
      <c r="E1985" s="562">
        <v>4</v>
      </c>
      <c r="F1985" s="562" t="s">
        <v>184</v>
      </c>
      <c r="G1985" s="562" t="s">
        <v>191</v>
      </c>
      <c r="H1985" s="562" t="s">
        <v>191</v>
      </c>
    </row>
    <row r="1986" spans="1:8" x14ac:dyDescent="0.2">
      <c r="A1986" s="562" t="s">
        <v>66</v>
      </c>
      <c r="B1986" s="562" t="s">
        <v>1469</v>
      </c>
      <c r="C1986" s="562" t="s">
        <v>309</v>
      </c>
      <c r="D1986" s="562">
        <v>3</v>
      </c>
      <c r="E1986" s="562">
        <v>3</v>
      </c>
      <c r="F1986" s="562" t="s">
        <v>184</v>
      </c>
      <c r="G1986" s="562" t="s">
        <v>191</v>
      </c>
      <c r="H1986" s="562" t="s">
        <v>191</v>
      </c>
    </row>
    <row r="1987" spans="1:8" x14ac:dyDescent="0.2">
      <c r="A1987" s="562" t="s">
        <v>66</v>
      </c>
      <c r="B1987" s="562" t="s">
        <v>1469</v>
      </c>
      <c r="C1987" s="562" t="s">
        <v>1531</v>
      </c>
      <c r="D1987" s="562">
        <v>1</v>
      </c>
      <c r="E1987" s="562">
        <v>5</v>
      </c>
      <c r="F1987" s="562" t="s">
        <v>184</v>
      </c>
      <c r="G1987" s="562" t="s">
        <v>191</v>
      </c>
      <c r="H1987" s="562" t="s">
        <v>191</v>
      </c>
    </row>
    <row r="1988" spans="1:8" x14ac:dyDescent="0.2">
      <c r="A1988" s="562" t="s">
        <v>66</v>
      </c>
      <c r="B1988" s="562" t="s">
        <v>1469</v>
      </c>
      <c r="C1988" s="562" t="s">
        <v>700</v>
      </c>
      <c r="D1988" s="562">
        <v>3</v>
      </c>
      <c r="E1988" s="562">
        <v>3</v>
      </c>
      <c r="F1988" s="562" t="s">
        <v>184</v>
      </c>
      <c r="G1988" s="562" t="s">
        <v>191</v>
      </c>
      <c r="H1988" s="562" t="s">
        <v>191</v>
      </c>
    </row>
    <row r="1989" spans="1:8" x14ac:dyDescent="0.2">
      <c r="A1989" s="562" t="s">
        <v>66</v>
      </c>
      <c r="B1989" s="562" t="s">
        <v>1469</v>
      </c>
      <c r="C1989" s="562" t="s">
        <v>704</v>
      </c>
      <c r="D1989" s="562">
        <v>2</v>
      </c>
      <c r="E1989" s="562">
        <v>4</v>
      </c>
      <c r="F1989" s="562" t="s">
        <v>184</v>
      </c>
      <c r="G1989" s="562" t="s">
        <v>191</v>
      </c>
      <c r="H1989" s="562" t="s">
        <v>191</v>
      </c>
    </row>
    <row r="1990" spans="1:8" x14ac:dyDescent="0.2">
      <c r="A1990" s="562" t="s">
        <v>66</v>
      </c>
      <c r="B1990" s="562" t="s">
        <v>1469</v>
      </c>
      <c r="C1990" s="562" t="s">
        <v>955</v>
      </c>
      <c r="D1990" s="562">
        <v>3</v>
      </c>
      <c r="E1990" s="562">
        <v>3</v>
      </c>
      <c r="F1990" s="562" t="s">
        <v>184</v>
      </c>
      <c r="G1990" s="562" t="s">
        <v>191</v>
      </c>
      <c r="H1990" s="562" t="s">
        <v>191</v>
      </c>
    </row>
    <row r="1991" spans="1:8" x14ac:dyDescent="0.2">
      <c r="A1991" s="562" t="s">
        <v>66</v>
      </c>
      <c r="B1991" s="562" t="s">
        <v>1469</v>
      </c>
      <c r="C1991" s="562" t="s">
        <v>1532</v>
      </c>
      <c r="D1991" s="562">
        <v>2</v>
      </c>
      <c r="E1991" s="562">
        <v>4</v>
      </c>
      <c r="F1991" s="562" t="s">
        <v>184</v>
      </c>
      <c r="G1991" s="562" t="s">
        <v>191</v>
      </c>
      <c r="H1991" s="562" t="s">
        <v>191</v>
      </c>
    </row>
    <row r="1992" spans="1:8" x14ac:dyDescent="0.2">
      <c r="A1992" s="562" t="s">
        <v>66</v>
      </c>
      <c r="B1992" s="562" t="s">
        <v>1469</v>
      </c>
      <c r="C1992" s="562" t="s">
        <v>1533</v>
      </c>
      <c r="D1992" s="562">
        <v>2</v>
      </c>
      <c r="E1992" s="562">
        <v>5</v>
      </c>
      <c r="F1992" s="562" t="s">
        <v>184</v>
      </c>
      <c r="G1992" s="562" t="s">
        <v>191</v>
      </c>
      <c r="H1992" s="562" t="s">
        <v>191</v>
      </c>
    </row>
    <row r="1993" spans="1:8" x14ac:dyDescent="0.2">
      <c r="A1993" s="562" t="s">
        <v>258</v>
      </c>
      <c r="B1993" s="562" t="s">
        <v>1534</v>
      </c>
      <c r="C1993" s="562" t="s">
        <v>477</v>
      </c>
      <c r="D1993" s="562">
        <v>1</v>
      </c>
      <c r="E1993" s="562">
        <v>6</v>
      </c>
      <c r="F1993" s="562" t="s">
        <v>184</v>
      </c>
      <c r="G1993" s="562" t="s">
        <v>191</v>
      </c>
      <c r="H1993" s="562" t="s">
        <v>191</v>
      </c>
    </row>
    <row r="1994" spans="1:8" x14ac:dyDescent="0.2">
      <c r="A1994" s="562" t="s">
        <v>258</v>
      </c>
      <c r="B1994" s="562" t="s">
        <v>1534</v>
      </c>
      <c r="C1994" s="562" t="s">
        <v>1535</v>
      </c>
      <c r="D1994" s="562">
        <v>1</v>
      </c>
      <c r="E1994" s="562">
        <v>7</v>
      </c>
      <c r="F1994" s="562" t="s">
        <v>191</v>
      </c>
      <c r="G1994" s="562" t="s">
        <v>191</v>
      </c>
      <c r="H1994" s="562" t="s">
        <v>191</v>
      </c>
    </row>
    <row r="1995" spans="1:8" x14ac:dyDescent="0.2">
      <c r="A1995" s="562" t="s">
        <v>258</v>
      </c>
      <c r="B1995" s="562" t="s">
        <v>1534</v>
      </c>
      <c r="C1995" s="562" t="s">
        <v>1536</v>
      </c>
      <c r="D1995" s="562">
        <v>1</v>
      </c>
      <c r="E1995" s="562">
        <v>7</v>
      </c>
      <c r="F1995" s="562" t="s">
        <v>191</v>
      </c>
      <c r="G1995" s="562" t="s">
        <v>191</v>
      </c>
      <c r="H1995" s="562" t="s">
        <v>191</v>
      </c>
    </row>
    <row r="1996" spans="1:8" x14ac:dyDescent="0.2">
      <c r="A1996" s="562" t="s">
        <v>258</v>
      </c>
      <c r="B1996" s="562" t="s">
        <v>1534</v>
      </c>
      <c r="C1996" s="562" t="s">
        <v>1537</v>
      </c>
      <c r="D1996" s="562">
        <v>1</v>
      </c>
      <c r="E1996" s="562">
        <v>6</v>
      </c>
      <c r="F1996" s="562" t="s">
        <v>184</v>
      </c>
      <c r="G1996" s="562" t="s">
        <v>191</v>
      </c>
      <c r="H1996" s="562" t="s">
        <v>191</v>
      </c>
    </row>
    <row r="1997" spans="1:8" x14ac:dyDescent="0.2">
      <c r="A1997" s="562" t="s">
        <v>258</v>
      </c>
      <c r="B1997" s="562" t="s">
        <v>1534</v>
      </c>
      <c r="C1997" s="562" t="s">
        <v>1538</v>
      </c>
      <c r="D1997" s="562">
        <v>1</v>
      </c>
      <c r="E1997" s="562">
        <v>7</v>
      </c>
      <c r="F1997" s="562" t="s">
        <v>191</v>
      </c>
      <c r="G1997" s="562" t="s">
        <v>191</v>
      </c>
      <c r="H1997" s="562" t="s">
        <v>191</v>
      </c>
    </row>
    <row r="1998" spans="1:8" x14ac:dyDescent="0.2">
      <c r="A1998" s="562" t="s">
        <v>258</v>
      </c>
      <c r="B1998" s="562" t="s">
        <v>1534</v>
      </c>
      <c r="C1998" s="562" t="s">
        <v>1539</v>
      </c>
      <c r="D1998" s="562">
        <v>1</v>
      </c>
      <c r="E1998" s="562">
        <v>6</v>
      </c>
      <c r="F1998" s="562" t="s">
        <v>184</v>
      </c>
      <c r="G1998" s="562" t="s">
        <v>191</v>
      </c>
      <c r="H1998" s="562" t="s">
        <v>191</v>
      </c>
    </row>
    <row r="1999" spans="1:8" x14ac:dyDescent="0.2">
      <c r="A1999" s="562" t="s">
        <v>258</v>
      </c>
      <c r="B1999" s="562" t="s">
        <v>1534</v>
      </c>
      <c r="C1999" s="562" t="s">
        <v>611</v>
      </c>
      <c r="D1999" s="562">
        <v>1</v>
      </c>
      <c r="E1999" s="562">
        <v>7</v>
      </c>
      <c r="F1999" s="562" t="s">
        <v>191</v>
      </c>
      <c r="G1999" s="562" t="s">
        <v>191</v>
      </c>
      <c r="H1999" s="562" t="s">
        <v>191</v>
      </c>
    </row>
    <row r="2000" spans="1:8" x14ac:dyDescent="0.2">
      <c r="A2000" s="562" t="s">
        <v>258</v>
      </c>
      <c r="B2000" s="562" t="s">
        <v>1534</v>
      </c>
      <c r="C2000" s="562" t="s">
        <v>1540</v>
      </c>
      <c r="D2000" s="562">
        <v>1</v>
      </c>
      <c r="E2000" s="562">
        <v>6</v>
      </c>
      <c r="F2000" s="562" t="s">
        <v>184</v>
      </c>
      <c r="G2000" s="562" t="s">
        <v>191</v>
      </c>
      <c r="H2000" s="562" t="s">
        <v>191</v>
      </c>
    </row>
    <row r="2001" spans="1:8" x14ac:dyDescent="0.2">
      <c r="A2001" s="562" t="s">
        <v>258</v>
      </c>
      <c r="B2001" s="562" t="s">
        <v>1534</v>
      </c>
      <c r="C2001" s="562" t="s">
        <v>752</v>
      </c>
      <c r="D2001" s="562">
        <v>1</v>
      </c>
      <c r="E2001" s="562">
        <v>7</v>
      </c>
      <c r="F2001" s="562" t="s">
        <v>191</v>
      </c>
      <c r="G2001" s="562" t="s">
        <v>191</v>
      </c>
      <c r="H2001" s="562" t="s">
        <v>191</v>
      </c>
    </row>
    <row r="2002" spans="1:8" x14ac:dyDescent="0.2">
      <c r="A2002" s="562" t="s">
        <v>258</v>
      </c>
      <c r="B2002" s="562" t="s">
        <v>1534</v>
      </c>
      <c r="C2002" s="562" t="s">
        <v>1541</v>
      </c>
      <c r="D2002" s="562">
        <v>1</v>
      </c>
      <c r="E2002" s="562">
        <v>7</v>
      </c>
      <c r="F2002" s="562" t="s">
        <v>191</v>
      </c>
      <c r="G2002" s="562" t="s">
        <v>191</v>
      </c>
      <c r="H2002" s="562" t="s">
        <v>191</v>
      </c>
    </row>
    <row r="2003" spans="1:8" x14ac:dyDescent="0.2">
      <c r="A2003" s="562" t="s">
        <v>258</v>
      </c>
      <c r="B2003" s="562" t="s">
        <v>1534</v>
      </c>
      <c r="C2003" s="562" t="s">
        <v>1542</v>
      </c>
      <c r="D2003" s="562">
        <v>1</v>
      </c>
      <c r="E2003" s="562">
        <v>6</v>
      </c>
      <c r="F2003" s="562" t="s">
        <v>184</v>
      </c>
      <c r="G2003" s="562" t="s">
        <v>191</v>
      </c>
      <c r="H2003" s="562" t="s">
        <v>191</v>
      </c>
    </row>
    <row r="2004" spans="1:8" x14ac:dyDescent="0.2">
      <c r="A2004" s="562" t="s">
        <v>258</v>
      </c>
      <c r="B2004" s="562" t="s">
        <v>1534</v>
      </c>
      <c r="C2004" s="562" t="s">
        <v>1543</v>
      </c>
      <c r="D2004" s="562">
        <v>1</v>
      </c>
      <c r="E2004" s="562">
        <v>7</v>
      </c>
      <c r="F2004" s="562" t="s">
        <v>191</v>
      </c>
      <c r="G2004" s="562" t="s">
        <v>191</v>
      </c>
      <c r="H2004" s="562" t="s">
        <v>191</v>
      </c>
    </row>
    <row r="2005" spans="1:8" x14ac:dyDescent="0.2">
      <c r="A2005" s="562" t="s">
        <v>258</v>
      </c>
      <c r="B2005" s="562" t="s">
        <v>1534</v>
      </c>
      <c r="C2005" s="562" t="s">
        <v>1544</v>
      </c>
      <c r="D2005" s="562">
        <v>1</v>
      </c>
      <c r="E2005" s="562">
        <v>6</v>
      </c>
      <c r="F2005" s="562" t="s">
        <v>184</v>
      </c>
      <c r="G2005" s="562" t="s">
        <v>191</v>
      </c>
      <c r="H2005" s="562" t="s">
        <v>191</v>
      </c>
    </row>
    <row r="2006" spans="1:8" x14ac:dyDescent="0.2">
      <c r="A2006" s="562" t="s">
        <v>258</v>
      </c>
      <c r="B2006" s="562" t="s">
        <v>1534</v>
      </c>
      <c r="C2006" s="562" t="s">
        <v>1421</v>
      </c>
      <c r="D2006" s="562">
        <v>1</v>
      </c>
      <c r="E2006" s="562">
        <v>7</v>
      </c>
      <c r="F2006" s="562" t="s">
        <v>191</v>
      </c>
      <c r="G2006" s="562" t="s">
        <v>191</v>
      </c>
      <c r="H2006" s="562" t="s">
        <v>191</v>
      </c>
    </row>
    <row r="2007" spans="1:8" x14ac:dyDescent="0.2">
      <c r="A2007" s="562" t="s">
        <v>258</v>
      </c>
      <c r="B2007" s="562" t="s">
        <v>1534</v>
      </c>
      <c r="C2007" s="562" t="s">
        <v>1545</v>
      </c>
      <c r="D2007" s="562">
        <v>1</v>
      </c>
      <c r="E2007" s="562">
        <v>6</v>
      </c>
      <c r="F2007" s="562" t="s">
        <v>184</v>
      </c>
      <c r="G2007" s="562" t="s">
        <v>191</v>
      </c>
      <c r="H2007" s="562" t="s">
        <v>191</v>
      </c>
    </row>
    <row r="2008" spans="1:8" x14ac:dyDescent="0.2">
      <c r="A2008" s="562" t="s">
        <v>258</v>
      </c>
      <c r="B2008" s="562" t="s">
        <v>1534</v>
      </c>
      <c r="C2008" s="562" t="s">
        <v>1546</v>
      </c>
      <c r="D2008" s="562">
        <v>1</v>
      </c>
      <c r="E2008" s="562">
        <v>7</v>
      </c>
      <c r="F2008" s="562" t="s">
        <v>191</v>
      </c>
      <c r="G2008" s="562" t="s">
        <v>191</v>
      </c>
      <c r="H2008" s="562" t="s">
        <v>191</v>
      </c>
    </row>
    <row r="2009" spans="1:8" x14ac:dyDescent="0.2">
      <c r="A2009" s="562" t="s">
        <v>258</v>
      </c>
      <c r="B2009" s="562" t="s">
        <v>1534</v>
      </c>
      <c r="C2009" s="562" t="s">
        <v>1316</v>
      </c>
      <c r="D2009" s="562">
        <v>1</v>
      </c>
      <c r="E2009" s="562">
        <v>6</v>
      </c>
      <c r="F2009" s="562" t="s">
        <v>184</v>
      </c>
      <c r="G2009" s="562" t="s">
        <v>191</v>
      </c>
      <c r="H2009" s="562" t="s">
        <v>191</v>
      </c>
    </row>
    <row r="2010" spans="1:8" x14ac:dyDescent="0.2">
      <c r="A2010" s="562" t="s">
        <v>258</v>
      </c>
      <c r="B2010" s="562" t="s">
        <v>1534</v>
      </c>
      <c r="C2010" s="562" t="s">
        <v>1547</v>
      </c>
      <c r="D2010" s="562">
        <v>1</v>
      </c>
      <c r="E2010" s="562">
        <v>7</v>
      </c>
      <c r="F2010" s="562" t="s">
        <v>191</v>
      </c>
      <c r="G2010" s="562" t="s">
        <v>191</v>
      </c>
      <c r="H2010" s="562" t="s">
        <v>191</v>
      </c>
    </row>
    <row r="2011" spans="1:8" x14ac:dyDescent="0.2">
      <c r="A2011" s="562" t="s">
        <v>258</v>
      </c>
      <c r="B2011" s="562" t="s">
        <v>1534</v>
      </c>
      <c r="C2011" s="562" t="s">
        <v>382</v>
      </c>
      <c r="D2011" s="562">
        <v>1</v>
      </c>
      <c r="E2011" s="562">
        <v>6</v>
      </c>
      <c r="F2011" s="562" t="s">
        <v>184</v>
      </c>
      <c r="G2011" s="562" t="s">
        <v>191</v>
      </c>
      <c r="H2011" s="562" t="s">
        <v>191</v>
      </c>
    </row>
    <row r="2012" spans="1:8" x14ac:dyDescent="0.2">
      <c r="A2012" s="562" t="s">
        <v>258</v>
      </c>
      <c r="B2012" s="562" t="s">
        <v>1534</v>
      </c>
      <c r="C2012" s="562" t="s">
        <v>1548</v>
      </c>
      <c r="D2012" s="562">
        <v>1</v>
      </c>
      <c r="E2012" s="562">
        <v>7</v>
      </c>
      <c r="F2012" s="562" t="s">
        <v>191</v>
      </c>
      <c r="G2012" s="562" t="s">
        <v>191</v>
      </c>
      <c r="H2012" s="562" t="s">
        <v>191</v>
      </c>
    </row>
    <row r="2013" spans="1:8" x14ac:dyDescent="0.2">
      <c r="A2013" s="562" t="s">
        <v>258</v>
      </c>
      <c r="B2013" s="562" t="s">
        <v>1534</v>
      </c>
      <c r="C2013" s="562" t="s">
        <v>1549</v>
      </c>
      <c r="D2013" s="562">
        <v>1</v>
      </c>
      <c r="E2013" s="562">
        <v>6</v>
      </c>
      <c r="F2013" s="562" t="s">
        <v>184</v>
      </c>
      <c r="G2013" s="562" t="s">
        <v>191</v>
      </c>
      <c r="H2013" s="562" t="s">
        <v>191</v>
      </c>
    </row>
    <row r="2014" spans="1:8" x14ac:dyDescent="0.2">
      <c r="A2014" s="562" t="s">
        <v>258</v>
      </c>
      <c r="B2014" s="562" t="s">
        <v>1534</v>
      </c>
      <c r="C2014" s="562" t="s">
        <v>1550</v>
      </c>
      <c r="D2014" s="562">
        <v>1</v>
      </c>
      <c r="E2014" s="562">
        <v>7</v>
      </c>
      <c r="F2014" s="562" t="s">
        <v>191</v>
      </c>
      <c r="G2014" s="562" t="s">
        <v>191</v>
      </c>
      <c r="H2014" s="562" t="s">
        <v>191</v>
      </c>
    </row>
    <row r="2015" spans="1:8" x14ac:dyDescent="0.2">
      <c r="A2015" s="562" t="s">
        <v>258</v>
      </c>
      <c r="B2015" s="562" t="s">
        <v>1534</v>
      </c>
      <c r="C2015" s="562" t="s">
        <v>1551</v>
      </c>
      <c r="D2015" s="562">
        <v>1</v>
      </c>
      <c r="E2015" s="562">
        <v>6</v>
      </c>
      <c r="F2015" s="562" t="s">
        <v>184</v>
      </c>
      <c r="G2015" s="562" t="s">
        <v>191</v>
      </c>
      <c r="H2015" s="562" t="s">
        <v>191</v>
      </c>
    </row>
    <row r="2016" spans="1:8" x14ac:dyDescent="0.2">
      <c r="A2016" s="562" t="s">
        <v>258</v>
      </c>
      <c r="B2016" s="562" t="s">
        <v>1534</v>
      </c>
      <c r="C2016" s="562" t="s">
        <v>392</v>
      </c>
      <c r="D2016" s="562">
        <v>1</v>
      </c>
      <c r="E2016" s="562">
        <v>6</v>
      </c>
      <c r="F2016" s="562" t="s">
        <v>184</v>
      </c>
      <c r="G2016" s="562" t="s">
        <v>191</v>
      </c>
      <c r="H2016" s="562" t="s">
        <v>191</v>
      </c>
    </row>
    <row r="2017" spans="1:8" x14ac:dyDescent="0.2">
      <c r="A2017" s="562" t="s">
        <v>258</v>
      </c>
      <c r="B2017" s="562" t="s">
        <v>1534</v>
      </c>
      <c r="C2017" s="562" t="s">
        <v>780</v>
      </c>
      <c r="D2017" s="562">
        <v>1</v>
      </c>
      <c r="E2017" s="562">
        <v>7</v>
      </c>
      <c r="F2017" s="562" t="s">
        <v>191</v>
      </c>
      <c r="G2017" s="562" t="s">
        <v>191</v>
      </c>
      <c r="H2017" s="562" t="s">
        <v>191</v>
      </c>
    </row>
    <row r="2018" spans="1:8" x14ac:dyDescent="0.2">
      <c r="A2018" s="562" t="s">
        <v>258</v>
      </c>
      <c r="B2018" s="562" t="s">
        <v>1534</v>
      </c>
      <c r="C2018" s="562" t="s">
        <v>665</v>
      </c>
      <c r="D2018" s="562">
        <v>1</v>
      </c>
      <c r="E2018" s="562">
        <v>6</v>
      </c>
      <c r="F2018" s="562" t="s">
        <v>184</v>
      </c>
      <c r="G2018" s="562" t="s">
        <v>191</v>
      </c>
      <c r="H2018" s="562" t="s">
        <v>191</v>
      </c>
    </row>
    <row r="2019" spans="1:8" x14ac:dyDescent="0.2">
      <c r="A2019" s="562" t="s">
        <v>258</v>
      </c>
      <c r="B2019" s="562" t="s">
        <v>1534</v>
      </c>
      <c r="C2019" s="562" t="s">
        <v>1552</v>
      </c>
      <c r="D2019" s="562">
        <v>1</v>
      </c>
      <c r="E2019" s="562">
        <v>6</v>
      </c>
      <c r="F2019" s="562" t="s">
        <v>184</v>
      </c>
      <c r="G2019" s="562" t="s">
        <v>191</v>
      </c>
      <c r="H2019" s="562" t="s">
        <v>191</v>
      </c>
    </row>
    <row r="2020" spans="1:8" x14ac:dyDescent="0.2">
      <c r="A2020" s="562" t="s">
        <v>258</v>
      </c>
      <c r="B2020" s="562" t="s">
        <v>1534</v>
      </c>
      <c r="C2020" s="562" t="s">
        <v>781</v>
      </c>
      <c r="D2020" s="562">
        <v>1</v>
      </c>
      <c r="E2020" s="562">
        <v>7</v>
      </c>
      <c r="F2020" s="562" t="s">
        <v>191</v>
      </c>
      <c r="G2020" s="562" t="s">
        <v>191</v>
      </c>
      <c r="H2020" s="562" t="s">
        <v>191</v>
      </c>
    </row>
    <row r="2021" spans="1:8" x14ac:dyDescent="0.2">
      <c r="A2021" s="562" t="s">
        <v>258</v>
      </c>
      <c r="B2021" s="562" t="s">
        <v>1534</v>
      </c>
      <c r="C2021" s="562" t="s">
        <v>783</v>
      </c>
      <c r="D2021" s="562">
        <v>1</v>
      </c>
      <c r="E2021" s="562">
        <v>6</v>
      </c>
      <c r="F2021" s="562" t="s">
        <v>184</v>
      </c>
      <c r="G2021" s="562" t="s">
        <v>191</v>
      </c>
      <c r="H2021" s="562" t="s">
        <v>191</v>
      </c>
    </row>
    <row r="2022" spans="1:8" x14ac:dyDescent="0.2">
      <c r="A2022" s="562" t="s">
        <v>258</v>
      </c>
      <c r="B2022" s="562" t="s">
        <v>1534</v>
      </c>
      <c r="C2022" s="562" t="s">
        <v>925</v>
      </c>
      <c r="D2022" s="562">
        <v>1</v>
      </c>
      <c r="E2022" s="562">
        <v>6</v>
      </c>
      <c r="F2022" s="562" t="s">
        <v>184</v>
      </c>
      <c r="G2022" s="562" t="s">
        <v>191</v>
      </c>
      <c r="H2022" s="562" t="s">
        <v>191</v>
      </c>
    </row>
    <row r="2023" spans="1:8" x14ac:dyDescent="0.2">
      <c r="A2023" s="562" t="s">
        <v>258</v>
      </c>
      <c r="B2023" s="562" t="s">
        <v>1534</v>
      </c>
      <c r="C2023" s="562" t="s">
        <v>1553</v>
      </c>
      <c r="D2023" s="562">
        <v>1</v>
      </c>
      <c r="E2023" s="562">
        <v>7</v>
      </c>
      <c r="F2023" s="562" t="s">
        <v>191</v>
      </c>
      <c r="G2023" s="562" t="s">
        <v>191</v>
      </c>
      <c r="H2023" s="562" t="s">
        <v>191</v>
      </c>
    </row>
    <row r="2024" spans="1:8" x14ac:dyDescent="0.2">
      <c r="A2024" s="562" t="s">
        <v>258</v>
      </c>
      <c r="B2024" s="562" t="s">
        <v>1534</v>
      </c>
      <c r="C2024" s="562" t="s">
        <v>1000</v>
      </c>
      <c r="D2024" s="562">
        <v>1</v>
      </c>
      <c r="E2024" s="562">
        <v>7</v>
      </c>
      <c r="F2024" s="562" t="s">
        <v>191</v>
      </c>
      <c r="G2024" s="562" t="s">
        <v>191</v>
      </c>
      <c r="H2024" s="562" t="s">
        <v>191</v>
      </c>
    </row>
    <row r="2025" spans="1:8" x14ac:dyDescent="0.2">
      <c r="A2025" s="562" t="s">
        <v>258</v>
      </c>
      <c r="B2025" s="562" t="s">
        <v>1534</v>
      </c>
      <c r="C2025" s="562" t="s">
        <v>1554</v>
      </c>
      <c r="D2025" s="562">
        <v>1</v>
      </c>
      <c r="E2025" s="562">
        <v>6</v>
      </c>
      <c r="F2025" s="562" t="s">
        <v>184</v>
      </c>
      <c r="G2025" s="562" t="s">
        <v>191</v>
      </c>
      <c r="H2025" s="562" t="s">
        <v>191</v>
      </c>
    </row>
    <row r="2026" spans="1:8" x14ac:dyDescent="0.2">
      <c r="A2026" s="562" t="s">
        <v>258</v>
      </c>
      <c r="B2026" s="562" t="s">
        <v>1534</v>
      </c>
      <c r="C2026" s="562" t="s">
        <v>1555</v>
      </c>
      <c r="D2026" s="562">
        <v>1</v>
      </c>
      <c r="E2026" s="562">
        <v>7</v>
      </c>
      <c r="F2026" s="562" t="s">
        <v>191</v>
      </c>
      <c r="G2026" s="562" t="s">
        <v>191</v>
      </c>
      <c r="H2026" s="562" t="s">
        <v>191</v>
      </c>
    </row>
    <row r="2027" spans="1:8" x14ac:dyDescent="0.2">
      <c r="A2027" s="562" t="s">
        <v>258</v>
      </c>
      <c r="B2027" s="562" t="s">
        <v>1534</v>
      </c>
      <c r="C2027" s="562" t="s">
        <v>674</v>
      </c>
      <c r="D2027" s="562">
        <v>1</v>
      </c>
      <c r="E2027" s="562">
        <v>7</v>
      </c>
      <c r="F2027" s="562" t="s">
        <v>191</v>
      </c>
      <c r="G2027" s="562" t="s">
        <v>191</v>
      </c>
      <c r="H2027" s="562" t="s">
        <v>191</v>
      </c>
    </row>
    <row r="2028" spans="1:8" x14ac:dyDescent="0.2">
      <c r="A2028" s="562" t="s">
        <v>258</v>
      </c>
      <c r="B2028" s="562" t="s">
        <v>1534</v>
      </c>
      <c r="C2028" s="562" t="s">
        <v>1207</v>
      </c>
      <c r="D2028" s="562">
        <v>1</v>
      </c>
      <c r="E2028" s="562">
        <v>7</v>
      </c>
      <c r="F2028" s="562" t="s">
        <v>191</v>
      </c>
      <c r="G2028" s="562" t="s">
        <v>191</v>
      </c>
      <c r="H2028" s="562" t="s">
        <v>191</v>
      </c>
    </row>
    <row r="2029" spans="1:8" x14ac:dyDescent="0.2">
      <c r="A2029" s="562" t="s">
        <v>258</v>
      </c>
      <c r="B2029" s="562" t="s">
        <v>1534</v>
      </c>
      <c r="C2029" s="562" t="s">
        <v>1556</v>
      </c>
      <c r="D2029" s="562">
        <v>1</v>
      </c>
      <c r="E2029" s="562">
        <v>6</v>
      </c>
      <c r="F2029" s="562" t="s">
        <v>184</v>
      </c>
      <c r="G2029" s="562" t="s">
        <v>191</v>
      </c>
      <c r="H2029" s="562" t="s">
        <v>191</v>
      </c>
    </row>
    <row r="2030" spans="1:8" x14ac:dyDescent="0.2">
      <c r="A2030" s="562" t="s">
        <v>258</v>
      </c>
      <c r="B2030" s="562" t="s">
        <v>1534</v>
      </c>
      <c r="C2030" s="562" t="s">
        <v>1210</v>
      </c>
      <c r="D2030" s="562">
        <v>1</v>
      </c>
      <c r="E2030" s="562">
        <v>7</v>
      </c>
      <c r="F2030" s="562" t="s">
        <v>191</v>
      </c>
      <c r="G2030" s="562" t="s">
        <v>191</v>
      </c>
      <c r="H2030" s="562" t="s">
        <v>191</v>
      </c>
    </row>
    <row r="2031" spans="1:8" x14ac:dyDescent="0.2">
      <c r="A2031" s="562" t="s">
        <v>258</v>
      </c>
      <c r="B2031" s="562" t="s">
        <v>1534</v>
      </c>
      <c r="C2031" s="562" t="s">
        <v>788</v>
      </c>
      <c r="D2031" s="562">
        <v>1</v>
      </c>
      <c r="E2031" s="562">
        <v>6</v>
      </c>
      <c r="F2031" s="562" t="s">
        <v>184</v>
      </c>
      <c r="G2031" s="562" t="s">
        <v>191</v>
      </c>
      <c r="H2031" s="562" t="s">
        <v>191</v>
      </c>
    </row>
    <row r="2032" spans="1:8" x14ac:dyDescent="0.2">
      <c r="A2032" s="562" t="s">
        <v>258</v>
      </c>
      <c r="B2032" s="562" t="s">
        <v>1534</v>
      </c>
      <c r="C2032" s="562" t="s">
        <v>1557</v>
      </c>
      <c r="D2032" s="562">
        <v>1</v>
      </c>
      <c r="E2032" s="562">
        <v>7</v>
      </c>
      <c r="F2032" s="562" t="s">
        <v>191</v>
      </c>
      <c r="G2032" s="562" t="s">
        <v>191</v>
      </c>
      <c r="H2032" s="562" t="s">
        <v>191</v>
      </c>
    </row>
    <row r="2033" spans="1:8" x14ac:dyDescent="0.2">
      <c r="A2033" s="562" t="s">
        <v>258</v>
      </c>
      <c r="B2033" s="562" t="s">
        <v>1534</v>
      </c>
      <c r="C2033" s="562" t="s">
        <v>1558</v>
      </c>
      <c r="D2033" s="562">
        <v>1</v>
      </c>
      <c r="E2033" s="562">
        <v>6</v>
      </c>
      <c r="F2033" s="562" t="s">
        <v>184</v>
      </c>
      <c r="G2033" s="562" t="s">
        <v>191</v>
      </c>
      <c r="H2033" s="562" t="s">
        <v>191</v>
      </c>
    </row>
    <row r="2034" spans="1:8" x14ac:dyDescent="0.2">
      <c r="A2034" s="562" t="s">
        <v>258</v>
      </c>
      <c r="B2034" s="562" t="s">
        <v>1534</v>
      </c>
      <c r="C2034" s="562" t="s">
        <v>944</v>
      </c>
      <c r="D2034" s="562">
        <v>1</v>
      </c>
      <c r="E2034" s="562">
        <v>7</v>
      </c>
      <c r="F2034" s="562" t="s">
        <v>191</v>
      </c>
      <c r="G2034" s="562" t="s">
        <v>191</v>
      </c>
      <c r="H2034" s="562" t="s">
        <v>191</v>
      </c>
    </row>
    <row r="2035" spans="1:8" x14ac:dyDescent="0.2">
      <c r="A2035" s="562" t="s">
        <v>258</v>
      </c>
      <c r="B2035" s="562" t="s">
        <v>1534</v>
      </c>
      <c r="C2035" s="562" t="s">
        <v>883</v>
      </c>
      <c r="D2035" s="562">
        <v>1</v>
      </c>
      <c r="E2035" s="562">
        <v>6</v>
      </c>
      <c r="F2035" s="562" t="s">
        <v>184</v>
      </c>
      <c r="G2035" s="562" t="s">
        <v>191</v>
      </c>
      <c r="H2035" s="562" t="s">
        <v>191</v>
      </c>
    </row>
    <row r="2036" spans="1:8" x14ac:dyDescent="0.2">
      <c r="A2036" s="562" t="s">
        <v>258</v>
      </c>
      <c r="B2036" s="562" t="s">
        <v>1534</v>
      </c>
      <c r="C2036" s="562" t="s">
        <v>1559</v>
      </c>
      <c r="D2036" s="562">
        <v>1</v>
      </c>
      <c r="E2036" s="562">
        <v>6</v>
      </c>
      <c r="F2036" s="562" t="s">
        <v>184</v>
      </c>
      <c r="G2036" s="562" t="s">
        <v>191</v>
      </c>
      <c r="H2036" s="562" t="s">
        <v>191</v>
      </c>
    </row>
    <row r="2037" spans="1:8" x14ac:dyDescent="0.2">
      <c r="A2037" s="562" t="s">
        <v>258</v>
      </c>
      <c r="B2037" s="562" t="s">
        <v>1534</v>
      </c>
      <c r="C2037" s="562" t="s">
        <v>792</v>
      </c>
      <c r="D2037" s="562">
        <v>1</v>
      </c>
      <c r="E2037" s="562">
        <v>6</v>
      </c>
      <c r="F2037" s="562" t="s">
        <v>184</v>
      </c>
      <c r="G2037" s="562" t="s">
        <v>191</v>
      </c>
      <c r="H2037" s="562" t="s">
        <v>191</v>
      </c>
    </row>
    <row r="2038" spans="1:8" x14ac:dyDescent="0.2">
      <c r="A2038" s="562" t="s">
        <v>258</v>
      </c>
      <c r="B2038" s="562" t="s">
        <v>1534</v>
      </c>
      <c r="C2038" s="562" t="s">
        <v>1217</v>
      </c>
      <c r="D2038" s="562">
        <v>1</v>
      </c>
      <c r="E2038" s="562">
        <v>7</v>
      </c>
      <c r="F2038" s="562" t="s">
        <v>191</v>
      </c>
      <c r="G2038" s="562" t="s">
        <v>191</v>
      </c>
      <c r="H2038" s="562" t="s">
        <v>191</v>
      </c>
    </row>
    <row r="2039" spans="1:8" x14ac:dyDescent="0.2">
      <c r="A2039" s="562" t="s">
        <v>258</v>
      </c>
      <c r="B2039" s="562" t="s">
        <v>1534</v>
      </c>
      <c r="C2039" s="562" t="s">
        <v>1560</v>
      </c>
      <c r="D2039" s="562">
        <v>1</v>
      </c>
      <c r="E2039" s="562">
        <v>7</v>
      </c>
      <c r="F2039" s="562" t="s">
        <v>191</v>
      </c>
      <c r="G2039" s="562" t="s">
        <v>191</v>
      </c>
      <c r="H2039" s="562" t="s">
        <v>191</v>
      </c>
    </row>
    <row r="2040" spans="1:8" x14ac:dyDescent="0.2">
      <c r="A2040" s="562" t="s">
        <v>258</v>
      </c>
      <c r="B2040" s="562" t="s">
        <v>1534</v>
      </c>
      <c r="C2040" s="562" t="s">
        <v>1561</v>
      </c>
      <c r="D2040" s="562">
        <v>1</v>
      </c>
      <c r="E2040" s="562">
        <v>7</v>
      </c>
      <c r="F2040" s="562" t="s">
        <v>191</v>
      </c>
      <c r="G2040" s="562" t="s">
        <v>191</v>
      </c>
      <c r="H2040" s="562" t="s">
        <v>191</v>
      </c>
    </row>
    <row r="2041" spans="1:8" x14ac:dyDescent="0.2">
      <c r="A2041" s="562" t="s">
        <v>258</v>
      </c>
      <c r="B2041" s="562" t="s">
        <v>1534</v>
      </c>
      <c r="C2041" s="562" t="s">
        <v>1562</v>
      </c>
      <c r="D2041" s="562">
        <v>1</v>
      </c>
      <c r="E2041" s="562">
        <v>7</v>
      </c>
      <c r="F2041" s="562" t="s">
        <v>191</v>
      </c>
      <c r="G2041" s="562" t="s">
        <v>191</v>
      </c>
      <c r="H2041" s="562" t="s">
        <v>191</v>
      </c>
    </row>
    <row r="2042" spans="1:8" x14ac:dyDescent="0.2">
      <c r="A2042" s="562" t="s">
        <v>258</v>
      </c>
      <c r="B2042" s="562" t="s">
        <v>1534</v>
      </c>
      <c r="C2042" s="562" t="s">
        <v>1563</v>
      </c>
      <c r="D2042" s="562">
        <v>1</v>
      </c>
      <c r="E2042" s="562">
        <v>7</v>
      </c>
      <c r="F2042" s="562" t="s">
        <v>191</v>
      </c>
      <c r="G2042" s="562" t="s">
        <v>191</v>
      </c>
      <c r="H2042" s="562" t="s">
        <v>191</v>
      </c>
    </row>
    <row r="2043" spans="1:8" x14ac:dyDescent="0.2">
      <c r="A2043" s="562" t="s">
        <v>258</v>
      </c>
      <c r="B2043" s="562" t="s">
        <v>1534</v>
      </c>
      <c r="C2043" s="562" t="s">
        <v>1564</v>
      </c>
      <c r="D2043" s="562">
        <v>1</v>
      </c>
      <c r="E2043" s="562">
        <v>7</v>
      </c>
      <c r="F2043" s="562" t="s">
        <v>191</v>
      </c>
      <c r="G2043" s="562" t="s">
        <v>191</v>
      </c>
      <c r="H2043" s="562" t="s">
        <v>191</v>
      </c>
    </row>
    <row r="2044" spans="1:8" x14ac:dyDescent="0.2">
      <c r="A2044" s="562" t="s">
        <v>258</v>
      </c>
      <c r="B2044" s="562" t="s">
        <v>1534</v>
      </c>
      <c r="C2044" s="562" t="s">
        <v>842</v>
      </c>
      <c r="D2044" s="562">
        <v>1</v>
      </c>
      <c r="E2044" s="562">
        <v>7</v>
      </c>
      <c r="F2044" s="562" t="s">
        <v>191</v>
      </c>
      <c r="G2044" s="562" t="s">
        <v>191</v>
      </c>
      <c r="H2044" s="562" t="s">
        <v>191</v>
      </c>
    </row>
    <row r="2045" spans="1:8" x14ac:dyDescent="0.2">
      <c r="A2045" s="562" t="s">
        <v>258</v>
      </c>
      <c r="B2045" s="562" t="s">
        <v>1534</v>
      </c>
      <c r="C2045" s="562" t="s">
        <v>1565</v>
      </c>
      <c r="D2045" s="562">
        <v>1</v>
      </c>
      <c r="E2045" s="562">
        <v>7</v>
      </c>
      <c r="F2045" s="562" t="s">
        <v>191</v>
      </c>
      <c r="G2045" s="562" t="s">
        <v>191</v>
      </c>
      <c r="H2045" s="562" t="s">
        <v>191</v>
      </c>
    </row>
    <row r="2046" spans="1:8" x14ac:dyDescent="0.2">
      <c r="A2046" s="562" t="s">
        <v>296</v>
      </c>
      <c r="B2046" s="562"/>
      <c r="C2046" s="562" t="s">
        <v>1566</v>
      </c>
      <c r="D2046" s="562" t="s">
        <v>191</v>
      </c>
      <c r="E2046" s="562">
        <v>1</v>
      </c>
      <c r="F2046" s="562" t="s">
        <v>184</v>
      </c>
      <c r="G2046" s="562" t="s">
        <v>190</v>
      </c>
      <c r="H2046" s="562" t="s">
        <v>186</v>
      </c>
    </row>
    <row r="2047" spans="1:8" x14ac:dyDescent="0.2">
      <c r="A2047" s="562" t="s">
        <v>260</v>
      </c>
      <c r="B2047" s="562" t="s">
        <v>1567</v>
      </c>
      <c r="C2047" s="562" t="s">
        <v>477</v>
      </c>
      <c r="D2047" s="562">
        <v>1</v>
      </c>
      <c r="E2047" s="562">
        <v>4</v>
      </c>
      <c r="F2047" s="562" t="s">
        <v>184</v>
      </c>
      <c r="G2047" s="562" t="s">
        <v>191</v>
      </c>
      <c r="H2047" s="562" t="s">
        <v>191</v>
      </c>
    </row>
    <row r="2048" spans="1:8" x14ac:dyDescent="0.2">
      <c r="A2048" s="562" t="s">
        <v>260</v>
      </c>
      <c r="B2048" s="562" t="s">
        <v>1567</v>
      </c>
      <c r="C2048" s="562" t="s">
        <v>803</v>
      </c>
      <c r="D2048" s="562">
        <v>1</v>
      </c>
      <c r="E2048" s="562">
        <v>5</v>
      </c>
      <c r="F2048" s="562" t="s">
        <v>184</v>
      </c>
      <c r="G2048" s="562" t="s">
        <v>191</v>
      </c>
      <c r="H2048" s="562" t="s">
        <v>191</v>
      </c>
    </row>
    <row r="2049" spans="1:8" x14ac:dyDescent="0.2">
      <c r="A2049" s="562" t="s">
        <v>260</v>
      </c>
      <c r="B2049" s="562" t="s">
        <v>1567</v>
      </c>
      <c r="C2049" s="562" t="s">
        <v>1568</v>
      </c>
      <c r="D2049" s="562">
        <v>1</v>
      </c>
      <c r="E2049" s="562">
        <v>5</v>
      </c>
      <c r="F2049" s="562" t="s">
        <v>184</v>
      </c>
      <c r="G2049" s="562" t="s">
        <v>191</v>
      </c>
      <c r="H2049" s="562" t="s">
        <v>191</v>
      </c>
    </row>
    <row r="2050" spans="1:8" x14ac:dyDescent="0.2">
      <c r="A2050" s="562" t="s">
        <v>260</v>
      </c>
      <c r="B2050" s="562" t="s">
        <v>1567</v>
      </c>
      <c r="C2050" s="562" t="s">
        <v>1569</v>
      </c>
      <c r="D2050" s="562">
        <v>2</v>
      </c>
      <c r="E2050" s="562">
        <v>5</v>
      </c>
      <c r="F2050" s="562" t="s">
        <v>184</v>
      </c>
      <c r="G2050" s="562" t="s">
        <v>191</v>
      </c>
      <c r="H2050" s="562" t="s">
        <v>191</v>
      </c>
    </row>
    <row r="2051" spans="1:8" x14ac:dyDescent="0.2">
      <c r="A2051" s="562" t="s">
        <v>260</v>
      </c>
      <c r="B2051" s="562" t="s">
        <v>1567</v>
      </c>
      <c r="C2051" s="562" t="s">
        <v>1570</v>
      </c>
      <c r="D2051" s="562">
        <v>2</v>
      </c>
      <c r="E2051" s="562">
        <v>5</v>
      </c>
      <c r="F2051" s="562" t="s">
        <v>184</v>
      </c>
      <c r="G2051" s="562" t="s">
        <v>191</v>
      </c>
      <c r="H2051" s="562" t="s">
        <v>191</v>
      </c>
    </row>
    <row r="2052" spans="1:8" x14ac:dyDescent="0.2">
      <c r="A2052" s="562" t="s">
        <v>260</v>
      </c>
      <c r="B2052" s="562" t="s">
        <v>1567</v>
      </c>
      <c r="C2052" s="562" t="s">
        <v>1571</v>
      </c>
      <c r="D2052" s="562">
        <v>1</v>
      </c>
      <c r="E2052" s="562">
        <v>5</v>
      </c>
      <c r="F2052" s="562" t="s">
        <v>184</v>
      </c>
      <c r="G2052" s="562" t="s">
        <v>191</v>
      </c>
      <c r="H2052" s="562" t="s">
        <v>191</v>
      </c>
    </row>
    <row r="2053" spans="1:8" x14ac:dyDescent="0.2">
      <c r="A2053" s="562" t="s">
        <v>260</v>
      </c>
      <c r="B2053" s="562" t="s">
        <v>1567</v>
      </c>
      <c r="C2053" s="562" t="s">
        <v>1572</v>
      </c>
      <c r="D2053" s="562">
        <v>1</v>
      </c>
      <c r="E2053" s="562">
        <v>5</v>
      </c>
      <c r="F2053" s="562" t="s">
        <v>184</v>
      </c>
      <c r="G2053" s="562" t="s">
        <v>191</v>
      </c>
      <c r="H2053" s="562" t="s">
        <v>191</v>
      </c>
    </row>
    <row r="2054" spans="1:8" x14ac:dyDescent="0.2">
      <c r="A2054" s="562" t="s">
        <v>260</v>
      </c>
      <c r="B2054" s="562" t="s">
        <v>1567</v>
      </c>
      <c r="C2054" s="562" t="s">
        <v>750</v>
      </c>
      <c r="D2054" s="562">
        <v>2</v>
      </c>
      <c r="E2054" s="562">
        <v>4</v>
      </c>
      <c r="F2054" s="562" t="s">
        <v>184</v>
      </c>
      <c r="G2054" s="562" t="s">
        <v>191</v>
      </c>
      <c r="H2054" s="562" t="s">
        <v>191</v>
      </c>
    </row>
    <row r="2055" spans="1:8" x14ac:dyDescent="0.2">
      <c r="A2055" s="562" t="s">
        <v>260</v>
      </c>
      <c r="B2055" s="562" t="s">
        <v>1567</v>
      </c>
      <c r="C2055" s="562" t="s">
        <v>202</v>
      </c>
      <c r="D2055" s="562">
        <v>1</v>
      </c>
      <c r="E2055" s="562">
        <v>5</v>
      </c>
      <c r="F2055" s="562" t="s">
        <v>184</v>
      </c>
      <c r="G2055" s="562" t="s">
        <v>191</v>
      </c>
      <c r="H2055" s="562" t="s">
        <v>191</v>
      </c>
    </row>
    <row r="2056" spans="1:8" x14ac:dyDescent="0.2">
      <c r="A2056" s="562" t="s">
        <v>260</v>
      </c>
      <c r="B2056" s="562" t="s">
        <v>1567</v>
      </c>
      <c r="C2056" s="562" t="s">
        <v>367</v>
      </c>
      <c r="D2056" s="562">
        <v>1</v>
      </c>
      <c r="E2056" s="562">
        <v>5</v>
      </c>
      <c r="F2056" s="562" t="s">
        <v>184</v>
      </c>
      <c r="G2056" s="562" t="s">
        <v>191</v>
      </c>
      <c r="H2056" s="562" t="s">
        <v>191</v>
      </c>
    </row>
    <row r="2057" spans="1:8" x14ac:dyDescent="0.2">
      <c r="A2057" s="562" t="s">
        <v>260</v>
      </c>
      <c r="B2057" s="562" t="s">
        <v>1567</v>
      </c>
      <c r="C2057" s="562" t="s">
        <v>753</v>
      </c>
      <c r="D2057" s="562">
        <v>1</v>
      </c>
      <c r="E2057" s="562">
        <v>5</v>
      </c>
      <c r="F2057" s="562" t="s">
        <v>184</v>
      </c>
      <c r="G2057" s="562" t="s">
        <v>191</v>
      </c>
      <c r="H2057" s="562" t="s">
        <v>191</v>
      </c>
    </row>
    <row r="2058" spans="1:8" x14ac:dyDescent="0.2">
      <c r="A2058" s="562" t="s">
        <v>260</v>
      </c>
      <c r="B2058" s="562" t="s">
        <v>1567</v>
      </c>
      <c r="C2058" s="562" t="s">
        <v>369</v>
      </c>
      <c r="D2058" s="562">
        <v>1</v>
      </c>
      <c r="E2058" s="562">
        <v>5</v>
      </c>
      <c r="F2058" s="562" t="s">
        <v>184</v>
      </c>
      <c r="G2058" s="562" t="s">
        <v>191</v>
      </c>
      <c r="H2058" s="562" t="s">
        <v>191</v>
      </c>
    </row>
    <row r="2059" spans="1:8" x14ac:dyDescent="0.2">
      <c r="A2059" s="562" t="s">
        <v>260</v>
      </c>
      <c r="B2059" s="562" t="s">
        <v>1567</v>
      </c>
      <c r="C2059" s="562" t="s">
        <v>1573</v>
      </c>
      <c r="D2059" s="562">
        <v>2</v>
      </c>
      <c r="E2059" s="562">
        <v>4</v>
      </c>
      <c r="F2059" s="562" t="s">
        <v>184</v>
      </c>
      <c r="G2059" s="562" t="s">
        <v>191</v>
      </c>
      <c r="H2059" s="562" t="s">
        <v>191</v>
      </c>
    </row>
    <row r="2060" spans="1:8" x14ac:dyDescent="0.2">
      <c r="A2060" s="562" t="s">
        <v>260</v>
      </c>
      <c r="B2060" s="562" t="s">
        <v>1567</v>
      </c>
      <c r="C2060" s="562" t="s">
        <v>755</v>
      </c>
      <c r="D2060" s="562">
        <v>1</v>
      </c>
      <c r="E2060" s="562">
        <v>5</v>
      </c>
      <c r="F2060" s="562" t="s">
        <v>184</v>
      </c>
      <c r="G2060" s="562" t="s">
        <v>191</v>
      </c>
      <c r="H2060" s="562" t="s">
        <v>191</v>
      </c>
    </row>
    <row r="2061" spans="1:8" x14ac:dyDescent="0.2">
      <c r="A2061" s="562" t="s">
        <v>260</v>
      </c>
      <c r="B2061" s="562" t="s">
        <v>1567</v>
      </c>
      <c r="C2061" s="562" t="s">
        <v>1574</v>
      </c>
      <c r="D2061" s="562">
        <v>1</v>
      </c>
      <c r="E2061" s="562">
        <v>5</v>
      </c>
      <c r="F2061" s="562" t="s">
        <v>184</v>
      </c>
      <c r="G2061" s="562" t="s">
        <v>191</v>
      </c>
      <c r="H2061" s="562" t="s">
        <v>191</v>
      </c>
    </row>
    <row r="2062" spans="1:8" x14ac:dyDescent="0.2">
      <c r="A2062" s="562" t="s">
        <v>260</v>
      </c>
      <c r="B2062" s="562" t="s">
        <v>1567</v>
      </c>
      <c r="C2062" s="562" t="s">
        <v>1575</v>
      </c>
      <c r="D2062" s="562">
        <v>1</v>
      </c>
      <c r="E2062" s="562">
        <v>5</v>
      </c>
      <c r="F2062" s="562" t="s">
        <v>184</v>
      </c>
      <c r="G2062" s="562" t="s">
        <v>191</v>
      </c>
      <c r="H2062" s="562" t="s">
        <v>191</v>
      </c>
    </row>
    <row r="2063" spans="1:8" x14ac:dyDescent="0.2">
      <c r="A2063" s="562" t="s">
        <v>260</v>
      </c>
      <c r="B2063" s="562" t="s">
        <v>1567</v>
      </c>
      <c r="C2063" s="562" t="s">
        <v>374</v>
      </c>
      <c r="D2063" s="562">
        <v>1</v>
      </c>
      <c r="E2063" s="562">
        <v>5</v>
      </c>
      <c r="F2063" s="562" t="s">
        <v>184</v>
      </c>
      <c r="G2063" s="562" t="s">
        <v>191</v>
      </c>
      <c r="H2063" s="562" t="s">
        <v>191</v>
      </c>
    </row>
    <row r="2064" spans="1:8" x14ac:dyDescent="0.2">
      <c r="A2064" s="562" t="s">
        <v>260</v>
      </c>
      <c r="B2064" s="562" t="s">
        <v>1567</v>
      </c>
      <c r="C2064" s="562" t="s">
        <v>1576</v>
      </c>
      <c r="D2064" s="562">
        <v>2</v>
      </c>
      <c r="E2064" s="562">
        <v>5</v>
      </c>
      <c r="F2064" s="562" t="s">
        <v>184</v>
      </c>
      <c r="G2064" s="562" t="s">
        <v>191</v>
      </c>
      <c r="H2064" s="562" t="s">
        <v>191</v>
      </c>
    </row>
    <row r="2065" spans="1:8" x14ac:dyDescent="0.2">
      <c r="A2065" s="562" t="s">
        <v>260</v>
      </c>
      <c r="B2065" s="562" t="s">
        <v>1567</v>
      </c>
      <c r="C2065" s="562" t="s">
        <v>1577</v>
      </c>
      <c r="D2065" s="562">
        <v>1</v>
      </c>
      <c r="E2065" s="562">
        <v>5</v>
      </c>
      <c r="F2065" s="562" t="s">
        <v>184</v>
      </c>
      <c r="G2065" s="562" t="s">
        <v>191</v>
      </c>
      <c r="H2065" s="562" t="s">
        <v>191</v>
      </c>
    </row>
    <row r="2066" spans="1:8" x14ac:dyDescent="0.2">
      <c r="A2066" s="562" t="s">
        <v>260</v>
      </c>
      <c r="B2066" s="562" t="s">
        <v>1567</v>
      </c>
      <c r="C2066" s="562" t="s">
        <v>1578</v>
      </c>
      <c r="D2066" s="562">
        <v>2</v>
      </c>
      <c r="E2066" s="562">
        <v>5</v>
      </c>
      <c r="F2066" s="562" t="s">
        <v>184</v>
      </c>
      <c r="G2066" s="562" t="s">
        <v>191</v>
      </c>
      <c r="H2066" s="562" t="s">
        <v>191</v>
      </c>
    </row>
    <row r="2067" spans="1:8" x14ac:dyDescent="0.2">
      <c r="A2067" s="562" t="s">
        <v>260</v>
      </c>
      <c r="B2067" s="562" t="s">
        <v>1567</v>
      </c>
      <c r="C2067" s="562" t="s">
        <v>808</v>
      </c>
      <c r="D2067" s="562">
        <v>1</v>
      </c>
      <c r="E2067" s="562">
        <v>5</v>
      </c>
      <c r="F2067" s="562" t="s">
        <v>184</v>
      </c>
      <c r="G2067" s="562" t="s">
        <v>191</v>
      </c>
      <c r="H2067" s="562" t="s">
        <v>191</v>
      </c>
    </row>
    <row r="2068" spans="1:8" x14ac:dyDescent="0.2">
      <c r="A2068" s="562" t="s">
        <v>260</v>
      </c>
      <c r="B2068" s="562" t="s">
        <v>1567</v>
      </c>
      <c r="C2068" s="562" t="s">
        <v>1448</v>
      </c>
      <c r="D2068" s="562">
        <v>2</v>
      </c>
      <c r="E2068" s="562">
        <v>5</v>
      </c>
      <c r="F2068" s="562" t="s">
        <v>184</v>
      </c>
      <c r="G2068" s="562" t="s">
        <v>191</v>
      </c>
      <c r="H2068" s="562" t="s">
        <v>191</v>
      </c>
    </row>
    <row r="2069" spans="1:8" x14ac:dyDescent="0.2">
      <c r="A2069" s="562" t="s">
        <v>260</v>
      </c>
      <c r="B2069" s="562" t="s">
        <v>1567</v>
      </c>
      <c r="C2069" s="562" t="s">
        <v>533</v>
      </c>
      <c r="D2069" s="562">
        <v>1</v>
      </c>
      <c r="E2069" s="562">
        <v>5</v>
      </c>
      <c r="F2069" s="562" t="s">
        <v>184</v>
      </c>
      <c r="G2069" s="562" t="s">
        <v>191</v>
      </c>
      <c r="H2069" s="562" t="s">
        <v>191</v>
      </c>
    </row>
    <row r="2070" spans="1:8" x14ac:dyDescent="0.2">
      <c r="A2070" s="562" t="s">
        <v>260</v>
      </c>
      <c r="B2070" s="562" t="s">
        <v>1567</v>
      </c>
      <c r="C2070" s="562" t="s">
        <v>246</v>
      </c>
      <c r="D2070" s="562">
        <v>1</v>
      </c>
      <c r="E2070" s="562">
        <v>5</v>
      </c>
      <c r="F2070" s="562" t="s">
        <v>184</v>
      </c>
      <c r="G2070" s="562" t="s">
        <v>191</v>
      </c>
      <c r="H2070" s="562" t="s">
        <v>191</v>
      </c>
    </row>
    <row r="2071" spans="1:8" x14ac:dyDescent="0.2">
      <c r="A2071" s="562" t="s">
        <v>260</v>
      </c>
      <c r="B2071" s="562" t="s">
        <v>1567</v>
      </c>
      <c r="C2071" s="562" t="s">
        <v>248</v>
      </c>
      <c r="D2071" s="562">
        <v>1</v>
      </c>
      <c r="E2071" s="562">
        <v>5</v>
      </c>
      <c r="F2071" s="562" t="s">
        <v>184</v>
      </c>
      <c r="G2071" s="562" t="s">
        <v>191</v>
      </c>
      <c r="H2071" s="562" t="s">
        <v>191</v>
      </c>
    </row>
    <row r="2072" spans="1:8" x14ac:dyDescent="0.2">
      <c r="A2072" s="562" t="s">
        <v>260</v>
      </c>
      <c r="B2072" s="562" t="s">
        <v>1567</v>
      </c>
      <c r="C2072" s="562" t="s">
        <v>380</v>
      </c>
      <c r="D2072" s="562">
        <v>2</v>
      </c>
      <c r="E2072" s="562">
        <v>5</v>
      </c>
      <c r="F2072" s="562" t="s">
        <v>184</v>
      </c>
      <c r="G2072" s="562" t="s">
        <v>191</v>
      </c>
      <c r="H2072" s="562" t="s">
        <v>191</v>
      </c>
    </row>
    <row r="2073" spans="1:8" x14ac:dyDescent="0.2">
      <c r="A2073" s="562" t="s">
        <v>260</v>
      </c>
      <c r="B2073" s="562" t="s">
        <v>1567</v>
      </c>
      <c r="C2073" s="562" t="s">
        <v>1579</v>
      </c>
      <c r="D2073" s="562">
        <v>2</v>
      </c>
      <c r="E2073" s="562">
        <v>4</v>
      </c>
      <c r="F2073" s="562" t="s">
        <v>184</v>
      </c>
      <c r="G2073" s="562" t="s">
        <v>191</v>
      </c>
      <c r="H2073" s="562" t="s">
        <v>191</v>
      </c>
    </row>
    <row r="2074" spans="1:8" x14ac:dyDescent="0.2">
      <c r="A2074" s="562" t="s">
        <v>260</v>
      </c>
      <c r="B2074" s="562" t="s">
        <v>1567</v>
      </c>
      <c r="C2074" s="562" t="s">
        <v>1580</v>
      </c>
      <c r="D2074" s="562">
        <v>2</v>
      </c>
      <c r="E2074" s="562">
        <v>5</v>
      </c>
      <c r="F2074" s="562" t="s">
        <v>184</v>
      </c>
      <c r="G2074" s="562" t="s">
        <v>191</v>
      </c>
      <c r="H2074" s="562" t="s">
        <v>191</v>
      </c>
    </row>
    <row r="2075" spans="1:8" x14ac:dyDescent="0.2">
      <c r="A2075" s="562" t="s">
        <v>260</v>
      </c>
      <c r="B2075" s="562" t="s">
        <v>1567</v>
      </c>
      <c r="C2075" s="562" t="s">
        <v>252</v>
      </c>
      <c r="D2075" s="562">
        <v>1</v>
      </c>
      <c r="E2075" s="562">
        <v>5</v>
      </c>
      <c r="F2075" s="562" t="s">
        <v>184</v>
      </c>
      <c r="G2075" s="562" t="s">
        <v>191</v>
      </c>
      <c r="H2075" s="562" t="s">
        <v>191</v>
      </c>
    </row>
    <row r="2076" spans="1:8" x14ac:dyDescent="0.2">
      <c r="A2076" s="562" t="s">
        <v>260</v>
      </c>
      <c r="B2076" s="562" t="s">
        <v>1567</v>
      </c>
      <c r="C2076" s="562" t="s">
        <v>1581</v>
      </c>
      <c r="D2076" s="562">
        <v>1</v>
      </c>
      <c r="E2076" s="562">
        <v>5</v>
      </c>
      <c r="F2076" s="562" t="s">
        <v>184</v>
      </c>
      <c r="G2076" s="562" t="s">
        <v>191</v>
      </c>
      <c r="H2076" s="562" t="s">
        <v>191</v>
      </c>
    </row>
    <row r="2077" spans="1:8" x14ac:dyDescent="0.2">
      <c r="A2077" s="562" t="s">
        <v>260</v>
      </c>
      <c r="B2077" s="562" t="s">
        <v>1567</v>
      </c>
      <c r="C2077" s="562" t="s">
        <v>565</v>
      </c>
      <c r="D2077" s="562">
        <v>1</v>
      </c>
      <c r="E2077" s="562">
        <v>4</v>
      </c>
      <c r="F2077" s="562" t="s">
        <v>184</v>
      </c>
      <c r="G2077" s="562" t="s">
        <v>191</v>
      </c>
      <c r="H2077" s="562" t="s">
        <v>191</v>
      </c>
    </row>
    <row r="2078" spans="1:8" x14ac:dyDescent="0.2">
      <c r="A2078" s="562" t="s">
        <v>260</v>
      </c>
      <c r="B2078" s="562" t="s">
        <v>1567</v>
      </c>
      <c r="C2078" s="562" t="s">
        <v>650</v>
      </c>
      <c r="D2078" s="562">
        <v>1</v>
      </c>
      <c r="E2078" s="562">
        <v>5</v>
      </c>
      <c r="F2078" s="562" t="s">
        <v>184</v>
      </c>
      <c r="G2078" s="562" t="s">
        <v>191</v>
      </c>
      <c r="H2078" s="562" t="s">
        <v>191</v>
      </c>
    </row>
    <row r="2079" spans="1:8" x14ac:dyDescent="0.2">
      <c r="A2079" s="562" t="s">
        <v>260</v>
      </c>
      <c r="B2079" s="562" t="s">
        <v>1567</v>
      </c>
      <c r="C2079" s="562" t="s">
        <v>765</v>
      </c>
      <c r="D2079" s="562">
        <v>1</v>
      </c>
      <c r="E2079" s="562">
        <v>5</v>
      </c>
      <c r="F2079" s="562" t="s">
        <v>184</v>
      </c>
      <c r="G2079" s="562" t="s">
        <v>191</v>
      </c>
      <c r="H2079" s="562" t="s">
        <v>191</v>
      </c>
    </row>
    <row r="2080" spans="1:8" x14ac:dyDescent="0.2">
      <c r="A2080" s="562" t="s">
        <v>260</v>
      </c>
      <c r="B2080" s="562" t="s">
        <v>1567</v>
      </c>
      <c r="C2080" s="562" t="s">
        <v>813</v>
      </c>
      <c r="D2080" s="562">
        <v>1</v>
      </c>
      <c r="E2080" s="562">
        <v>5</v>
      </c>
      <c r="F2080" s="562" t="s">
        <v>184</v>
      </c>
      <c r="G2080" s="562" t="s">
        <v>191</v>
      </c>
      <c r="H2080" s="562" t="s">
        <v>191</v>
      </c>
    </row>
    <row r="2081" spans="1:8" x14ac:dyDescent="0.2">
      <c r="A2081" s="562" t="s">
        <v>260</v>
      </c>
      <c r="B2081" s="562" t="s">
        <v>1567</v>
      </c>
      <c r="C2081" s="562" t="s">
        <v>256</v>
      </c>
      <c r="D2081" s="562">
        <v>2</v>
      </c>
      <c r="E2081" s="562">
        <v>5</v>
      </c>
      <c r="F2081" s="562" t="s">
        <v>184</v>
      </c>
      <c r="G2081" s="562" t="s">
        <v>191</v>
      </c>
      <c r="H2081" s="562" t="s">
        <v>191</v>
      </c>
    </row>
    <row r="2082" spans="1:8" x14ac:dyDescent="0.2">
      <c r="A2082" s="562" t="s">
        <v>260</v>
      </c>
      <c r="B2082" s="562" t="s">
        <v>1567</v>
      </c>
      <c r="C2082" s="562" t="s">
        <v>1582</v>
      </c>
      <c r="D2082" s="562">
        <v>2</v>
      </c>
      <c r="E2082" s="562">
        <v>5</v>
      </c>
      <c r="F2082" s="562" t="s">
        <v>184</v>
      </c>
      <c r="G2082" s="562" t="s">
        <v>191</v>
      </c>
      <c r="H2082" s="562" t="s">
        <v>191</v>
      </c>
    </row>
    <row r="2083" spans="1:8" x14ac:dyDescent="0.2">
      <c r="A2083" s="562" t="s">
        <v>260</v>
      </c>
      <c r="B2083" s="562" t="s">
        <v>1567</v>
      </c>
      <c r="C2083" s="562" t="s">
        <v>1583</v>
      </c>
      <c r="D2083" s="562">
        <v>2</v>
      </c>
      <c r="E2083" s="562">
        <v>5</v>
      </c>
      <c r="F2083" s="562" t="s">
        <v>184</v>
      </c>
      <c r="G2083" s="562" t="s">
        <v>191</v>
      </c>
      <c r="H2083" s="562" t="s">
        <v>191</v>
      </c>
    </row>
    <row r="2084" spans="1:8" x14ac:dyDescent="0.2">
      <c r="A2084" s="562" t="s">
        <v>260</v>
      </c>
      <c r="B2084" s="562" t="s">
        <v>1567</v>
      </c>
      <c r="C2084" s="562" t="s">
        <v>571</v>
      </c>
      <c r="D2084" s="562">
        <v>1</v>
      </c>
      <c r="E2084" s="562">
        <v>5</v>
      </c>
      <c r="F2084" s="562" t="s">
        <v>184</v>
      </c>
      <c r="G2084" s="562" t="s">
        <v>191</v>
      </c>
      <c r="H2084" s="562" t="s">
        <v>191</v>
      </c>
    </row>
    <row r="2085" spans="1:8" x14ac:dyDescent="0.2">
      <c r="A2085" s="562" t="s">
        <v>260</v>
      </c>
      <c r="B2085" s="562" t="s">
        <v>1567</v>
      </c>
      <c r="C2085" s="562" t="s">
        <v>1124</v>
      </c>
      <c r="D2085" s="562">
        <v>1</v>
      </c>
      <c r="E2085" s="562">
        <v>5</v>
      </c>
      <c r="F2085" s="562" t="s">
        <v>184</v>
      </c>
      <c r="G2085" s="562" t="s">
        <v>191</v>
      </c>
      <c r="H2085" s="562" t="s">
        <v>191</v>
      </c>
    </row>
    <row r="2086" spans="1:8" x14ac:dyDescent="0.2">
      <c r="A2086" s="562" t="s">
        <v>260</v>
      </c>
      <c r="B2086" s="562" t="s">
        <v>1567</v>
      </c>
      <c r="C2086" s="562" t="s">
        <v>259</v>
      </c>
      <c r="D2086" s="562">
        <v>2</v>
      </c>
      <c r="E2086" s="562">
        <v>5</v>
      </c>
      <c r="F2086" s="562" t="s">
        <v>184</v>
      </c>
      <c r="G2086" s="562" t="s">
        <v>191</v>
      </c>
      <c r="H2086" s="562" t="s">
        <v>191</v>
      </c>
    </row>
    <row r="2087" spans="1:8" x14ac:dyDescent="0.2">
      <c r="A2087" s="562" t="s">
        <v>260</v>
      </c>
      <c r="B2087" s="562" t="s">
        <v>1567</v>
      </c>
      <c r="C2087" s="562" t="s">
        <v>261</v>
      </c>
      <c r="D2087" s="562">
        <v>1</v>
      </c>
      <c r="E2087" s="562">
        <v>5</v>
      </c>
      <c r="F2087" s="562" t="s">
        <v>184</v>
      </c>
      <c r="G2087" s="562" t="s">
        <v>191</v>
      </c>
      <c r="H2087" s="562" t="s">
        <v>191</v>
      </c>
    </row>
    <row r="2088" spans="1:8" x14ac:dyDescent="0.2">
      <c r="A2088" s="562" t="s">
        <v>260</v>
      </c>
      <c r="B2088" s="562" t="s">
        <v>1567</v>
      </c>
      <c r="C2088" s="562" t="s">
        <v>773</v>
      </c>
      <c r="D2088" s="562">
        <v>1</v>
      </c>
      <c r="E2088" s="562">
        <v>5</v>
      </c>
      <c r="F2088" s="562" t="s">
        <v>184</v>
      </c>
      <c r="G2088" s="562" t="s">
        <v>191</v>
      </c>
      <c r="H2088" s="562" t="s">
        <v>191</v>
      </c>
    </row>
    <row r="2089" spans="1:8" x14ac:dyDescent="0.2">
      <c r="A2089" s="562" t="s">
        <v>260</v>
      </c>
      <c r="B2089" s="562" t="s">
        <v>1567</v>
      </c>
      <c r="C2089" s="562" t="s">
        <v>436</v>
      </c>
      <c r="D2089" s="562">
        <v>2</v>
      </c>
      <c r="E2089" s="562">
        <v>5</v>
      </c>
      <c r="F2089" s="562" t="s">
        <v>184</v>
      </c>
      <c r="G2089" s="562" t="s">
        <v>191</v>
      </c>
      <c r="H2089" s="562" t="s">
        <v>191</v>
      </c>
    </row>
    <row r="2090" spans="1:8" x14ac:dyDescent="0.2">
      <c r="A2090" s="562" t="s">
        <v>260</v>
      </c>
      <c r="B2090" s="562" t="s">
        <v>1567</v>
      </c>
      <c r="C2090" s="562" t="s">
        <v>267</v>
      </c>
      <c r="D2090" s="562">
        <v>2</v>
      </c>
      <c r="E2090" s="562">
        <v>4</v>
      </c>
      <c r="F2090" s="562" t="s">
        <v>184</v>
      </c>
      <c r="G2090" s="562" t="s">
        <v>191</v>
      </c>
      <c r="H2090" s="562" t="s">
        <v>191</v>
      </c>
    </row>
    <row r="2091" spans="1:8" x14ac:dyDescent="0.2">
      <c r="A2091" s="562" t="s">
        <v>260</v>
      </c>
      <c r="B2091" s="562" t="s">
        <v>1567</v>
      </c>
      <c r="C2091" s="562" t="s">
        <v>1584</v>
      </c>
      <c r="D2091" s="562">
        <v>1</v>
      </c>
      <c r="E2091" s="562">
        <v>5</v>
      </c>
      <c r="F2091" s="562" t="s">
        <v>184</v>
      </c>
      <c r="G2091" s="562" t="s">
        <v>191</v>
      </c>
      <c r="H2091" s="562" t="s">
        <v>191</v>
      </c>
    </row>
    <row r="2092" spans="1:8" x14ac:dyDescent="0.2">
      <c r="A2092" s="562" t="s">
        <v>260</v>
      </c>
      <c r="B2092" s="562" t="s">
        <v>1567</v>
      </c>
      <c r="C2092" s="562" t="s">
        <v>392</v>
      </c>
      <c r="D2092" s="562">
        <v>1</v>
      </c>
      <c r="E2092" s="562">
        <v>5</v>
      </c>
      <c r="F2092" s="562" t="s">
        <v>184</v>
      </c>
      <c r="G2092" s="562" t="s">
        <v>191</v>
      </c>
      <c r="H2092" s="562" t="s">
        <v>191</v>
      </c>
    </row>
    <row r="2093" spans="1:8" x14ac:dyDescent="0.2">
      <c r="A2093" s="562" t="s">
        <v>260</v>
      </c>
      <c r="B2093" s="562" t="s">
        <v>1567</v>
      </c>
      <c r="C2093" s="562" t="s">
        <v>1585</v>
      </c>
      <c r="D2093" s="562">
        <v>2</v>
      </c>
      <c r="E2093" s="562">
        <v>5</v>
      </c>
      <c r="F2093" s="562" t="s">
        <v>184</v>
      </c>
      <c r="G2093" s="562" t="s">
        <v>191</v>
      </c>
      <c r="H2093" s="562" t="s">
        <v>191</v>
      </c>
    </row>
    <row r="2094" spans="1:8" x14ac:dyDescent="0.2">
      <c r="A2094" s="562" t="s">
        <v>260</v>
      </c>
      <c r="B2094" s="562" t="s">
        <v>1567</v>
      </c>
      <c r="C2094" s="562" t="s">
        <v>868</v>
      </c>
      <c r="D2094" s="562">
        <v>2</v>
      </c>
      <c r="E2094" s="562">
        <v>5</v>
      </c>
      <c r="F2094" s="562" t="s">
        <v>184</v>
      </c>
      <c r="G2094" s="562" t="s">
        <v>191</v>
      </c>
      <c r="H2094" s="562" t="s">
        <v>191</v>
      </c>
    </row>
    <row r="2095" spans="1:8" x14ac:dyDescent="0.2">
      <c r="A2095" s="562" t="s">
        <v>260</v>
      </c>
      <c r="B2095" s="562" t="s">
        <v>1567</v>
      </c>
      <c r="C2095" s="562" t="s">
        <v>277</v>
      </c>
      <c r="D2095" s="562">
        <v>1</v>
      </c>
      <c r="E2095" s="562">
        <v>5</v>
      </c>
      <c r="F2095" s="562" t="s">
        <v>184</v>
      </c>
      <c r="G2095" s="562" t="s">
        <v>191</v>
      </c>
      <c r="H2095" s="562" t="s">
        <v>191</v>
      </c>
    </row>
    <row r="2096" spans="1:8" x14ac:dyDescent="0.2">
      <c r="A2096" s="562" t="s">
        <v>260</v>
      </c>
      <c r="B2096" s="562" t="s">
        <v>1567</v>
      </c>
      <c r="C2096" s="562" t="s">
        <v>1586</v>
      </c>
      <c r="D2096" s="562">
        <v>2</v>
      </c>
      <c r="E2096" s="562">
        <v>5</v>
      </c>
      <c r="F2096" s="562" t="s">
        <v>184</v>
      </c>
      <c r="G2096" s="562" t="s">
        <v>191</v>
      </c>
      <c r="H2096" s="562" t="s">
        <v>191</v>
      </c>
    </row>
    <row r="2097" spans="1:8" x14ac:dyDescent="0.2">
      <c r="A2097" s="562" t="s">
        <v>260</v>
      </c>
      <c r="B2097" s="562" t="s">
        <v>1567</v>
      </c>
      <c r="C2097" s="562" t="s">
        <v>281</v>
      </c>
      <c r="D2097" s="562">
        <v>1</v>
      </c>
      <c r="E2097" s="562">
        <v>5</v>
      </c>
      <c r="F2097" s="562" t="s">
        <v>184</v>
      </c>
      <c r="G2097" s="562" t="s">
        <v>191</v>
      </c>
      <c r="H2097" s="562" t="s">
        <v>191</v>
      </c>
    </row>
    <row r="2098" spans="1:8" x14ac:dyDescent="0.2">
      <c r="A2098" s="562" t="s">
        <v>260</v>
      </c>
      <c r="B2098" s="562" t="s">
        <v>1567</v>
      </c>
      <c r="C2098" s="562" t="s">
        <v>1587</v>
      </c>
      <c r="D2098" s="562">
        <v>2</v>
      </c>
      <c r="E2098" s="562">
        <v>5</v>
      </c>
      <c r="F2098" s="562" t="s">
        <v>184</v>
      </c>
      <c r="G2098" s="562" t="s">
        <v>191</v>
      </c>
      <c r="H2098" s="562" t="s">
        <v>191</v>
      </c>
    </row>
    <row r="2099" spans="1:8" x14ac:dyDescent="0.2">
      <c r="A2099" s="562" t="s">
        <v>260</v>
      </c>
      <c r="B2099" s="562" t="s">
        <v>1567</v>
      </c>
      <c r="C2099" s="562" t="s">
        <v>1588</v>
      </c>
      <c r="D2099" s="562">
        <v>2</v>
      </c>
      <c r="E2099" s="562">
        <v>5</v>
      </c>
      <c r="F2099" s="562" t="s">
        <v>184</v>
      </c>
      <c r="G2099" s="562" t="s">
        <v>191</v>
      </c>
      <c r="H2099" s="562" t="s">
        <v>191</v>
      </c>
    </row>
    <row r="2100" spans="1:8" x14ac:dyDescent="0.2">
      <c r="A2100" s="562" t="s">
        <v>260</v>
      </c>
      <c r="B2100" s="562" t="s">
        <v>1567</v>
      </c>
      <c r="C2100" s="562" t="s">
        <v>783</v>
      </c>
      <c r="D2100" s="562">
        <v>1</v>
      </c>
      <c r="E2100" s="562">
        <v>5</v>
      </c>
      <c r="F2100" s="562" t="s">
        <v>184</v>
      </c>
      <c r="G2100" s="562" t="s">
        <v>191</v>
      </c>
      <c r="H2100" s="562" t="s">
        <v>191</v>
      </c>
    </row>
    <row r="2101" spans="1:8" x14ac:dyDescent="0.2">
      <c r="A2101" s="562" t="s">
        <v>260</v>
      </c>
      <c r="B2101" s="562" t="s">
        <v>1567</v>
      </c>
      <c r="C2101" s="562" t="s">
        <v>821</v>
      </c>
      <c r="D2101" s="562">
        <v>1</v>
      </c>
      <c r="E2101" s="562">
        <v>5</v>
      </c>
      <c r="F2101" s="562" t="s">
        <v>184</v>
      </c>
      <c r="G2101" s="562" t="s">
        <v>191</v>
      </c>
      <c r="H2101" s="562" t="s">
        <v>191</v>
      </c>
    </row>
    <row r="2102" spans="1:8" x14ac:dyDescent="0.2">
      <c r="A2102" s="562" t="s">
        <v>260</v>
      </c>
      <c r="B2102" s="562" t="s">
        <v>1567</v>
      </c>
      <c r="C2102" s="562" t="s">
        <v>287</v>
      </c>
      <c r="D2102" s="562">
        <v>2</v>
      </c>
      <c r="E2102" s="562">
        <v>5</v>
      </c>
      <c r="F2102" s="562" t="s">
        <v>184</v>
      </c>
      <c r="G2102" s="562" t="s">
        <v>191</v>
      </c>
      <c r="H2102" s="562" t="s">
        <v>191</v>
      </c>
    </row>
    <row r="2103" spans="1:8" x14ac:dyDescent="0.2">
      <c r="A2103" s="562" t="s">
        <v>260</v>
      </c>
      <c r="B2103" s="562" t="s">
        <v>1567</v>
      </c>
      <c r="C2103" s="562" t="s">
        <v>289</v>
      </c>
      <c r="D2103" s="562">
        <v>1</v>
      </c>
      <c r="E2103" s="562">
        <v>5</v>
      </c>
      <c r="F2103" s="562" t="s">
        <v>184</v>
      </c>
      <c r="G2103" s="562" t="s">
        <v>191</v>
      </c>
      <c r="H2103" s="562" t="s">
        <v>191</v>
      </c>
    </row>
    <row r="2104" spans="1:8" x14ac:dyDescent="0.2">
      <c r="A2104" s="562" t="s">
        <v>260</v>
      </c>
      <c r="B2104" s="562" t="s">
        <v>1567</v>
      </c>
      <c r="C2104" s="562" t="s">
        <v>291</v>
      </c>
      <c r="D2104" s="562">
        <v>2</v>
      </c>
      <c r="E2104" s="562">
        <v>5</v>
      </c>
      <c r="F2104" s="562" t="s">
        <v>184</v>
      </c>
      <c r="G2104" s="562" t="s">
        <v>191</v>
      </c>
      <c r="H2104" s="562" t="s">
        <v>191</v>
      </c>
    </row>
    <row r="2105" spans="1:8" x14ac:dyDescent="0.2">
      <c r="A2105" s="562" t="s">
        <v>260</v>
      </c>
      <c r="B2105" s="562" t="s">
        <v>1567</v>
      </c>
      <c r="C2105" s="562" t="s">
        <v>1589</v>
      </c>
      <c r="D2105" s="562">
        <v>1</v>
      </c>
      <c r="E2105" s="562">
        <v>5</v>
      </c>
      <c r="F2105" s="562" t="s">
        <v>184</v>
      </c>
      <c r="G2105" s="562" t="s">
        <v>191</v>
      </c>
      <c r="H2105" s="562" t="s">
        <v>191</v>
      </c>
    </row>
    <row r="2106" spans="1:8" x14ac:dyDescent="0.2">
      <c r="A2106" s="562" t="s">
        <v>260</v>
      </c>
      <c r="B2106" s="562" t="s">
        <v>1567</v>
      </c>
      <c r="C2106" s="562" t="s">
        <v>1590</v>
      </c>
      <c r="D2106" s="562">
        <v>1</v>
      </c>
      <c r="E2106" s="562">
        <v>5</v>
      </c>
      <c r="F2106" s="562" t="s">
        <v>184</v>
      </c>
      <c r="G2106" s="562" t="s">
        <v>191</v>
      </c>
      <c r="H2106" s="562" t="s">
        <v>191</v>
      </c>
    </row>
    <row r="2107" spans="1:8" x14ac:dyDescent="0.2">
      <c r="A2107" s="562" t="s">
        <v>260</v>
      </c>
      <c r="B2107" s="562" t="s">
        <v>1567</v>
      </c>
      <c r="C2107" s="562" t="s">
        <v>822</v>
      </c>
      <c r="D2107" s="562">
        <v>2</v>
      </c>
      <c r="E2107" s="562">
        <v>5</v>
      </c>
      <c r="F2107" s="562" t="s">
        <v>184</v>
      </c>
      <c r="G2107" s="562" t="s">
        <v>191</v>
      </c>
      <c r="H2107" s="562" t="s">
        <v>191</v>
      </c>
    </row>
    <row r="2108" spans="1:8" x14ac:dyDescent="0.2">
      <c r="A2108" s="562" t="s">
        <v>260</v>
      </c>
      <c r="B2108" s="562" t="s">
        <v>1567</v>
      </c>
      <c r="C2108" s="562" t="s">
        <v>932</v>
      </c>
      <c r="D2108" s="562">
        <v>2</v>
      </c>
      <c r="E2108" s="562">
        <v>5</v>
      </c>
      <c r="F2108" s="562" t="s">
        <v>184</v>
      </c>
      <c r="G2108" s="562" t="s">
        <v>191</v>
      </c>
      <c r="H2108" s="562" t="s">
        <v>191</v>
      </c>
    </row>
    <row r="2109" spans="1:8" x14ac:dyDescent="0.2">
      <c r="A2109" s="562" t="s">
        <v>260</v>
      </c>
      <c r="B2109" s="562" t="s">
        <v>1567</v>
      </c>
      <c r="C2109" s="562" t="s">
        <v>672</v>
      </c>
      <c r="D2109" s="562">
        <v>2</v>
      </c>
      <c r="E2109" s="562">
        <v>5</v>
      </c>
      <c r="F2109" s="562" t="s">
        <v>184</v>
      </c>
      <c r="G2109" s="562" t="s">
        <v>191</v>
      </c>
      <c r="H2109" s="562" t="s">
        <v>191</v>
      </c>
    </row>
    <row r="2110" spans="1:8" x14ac:dyDescent="0.2">
      <c r="A2110" s="562" t="s">
        <v>260</v>
      </c>
      <c r="B2110" s="562" t="s">
        <v>1567</v>
      </c>
      <c r="C2110" s="562" t="s">
        <v>293</v>
      </c>
      <c r="D2110" s="562">
        <v>1</v>
      </c>
      <c r="E2110" s="562">
        <v>5</v>
      </c>
      <c r="F2110" s="562" t="s">
        <v>184</v>
      </c>
      <c r="G2110" s="562" t="s">
        <v>191</v>
      </c>
      <c r="H2110" s="562" t="s">
        <v>191</v>
      </c>
    </row>
    <row r="2111" spans="1:8" x14ac:dyDescent="0.2">
      <c r="A2111" s="562" t="s">
        <v>260</v>
      </c>
      <c r="B2111" s="562" t="s">
        <v>1567</v>
      </c>
      <c r="C2111" s="562" t="s">
        <v>1591</v>
      </c>
      <c r="D2111" s="562">
        <v>1</v>
      </c>
      <c r="E2111" s="562">
        <v>5</v>
      </c>
      <c r="F2111" s="562" t="s">
        <v>184</v>
      </c>
      <c r="G2111" s="562" t="s">
        <v>191</v>
      </c>
      <c r="H2111" s="562" t="s">
        <v>191</v>
      </c>
    </row>
    <row r="2112" spans="1:8" x14ac:dyDescent="0.2">
      <c r="A2112" s="562" t="s">
        <v>260</v>
      </c>
      <c r="B2112" s="562" t="s">
        <v>1567</v>
      </c>
      <c r="C2112" s="562" t="s">
        <v>297</v>
      </c>
      <c r="D2112" s="562">
        <v>1</v>
      </c>
      <c r="E2112" s="562">
        <v>4</v>
      </c>
      <c r="F2112" s="562" t="s">
        <v>184</v>
      </c>
      <c r="G2112" s="562" t="s">
        <v>191</v>
      </c>
      <c r="H2112" s="562" t="s">
        <v>191</v>
      </c>
    </row>
    <row r="2113" spans="1:8" x14ac:dyDescent="0.2">
      <c r="A2113" s="562" t="s">
        <v>260</v>
      </c>
      <c r="B2113" s="562" t="s">
        <v>1567</v>
      </c>
      <c r="C2113" s="562" t="s">
        <v>1592</v>
      </c>
      <c r="D2113" s="562">
        <v>2</v>
      </c>
      <c r="E2113" s="562">
        <v>5</v>
      </c>
      <c r="F2113" s="562" t="s">
        <v>184</v>
      </c>
      <c r="G2113" s="562" t="s">
        <v>191</v>
      </c>
      <c r="H2113" s="562" t="s">
        <v>191</v>
      </c>
    </row>
    <row r="2114" spans="1:8" x14ac:dyDescent="0.2">
      <c r="A2114" s="562" t="s">
        <v>260</v>
      </c>
      <c r="B2114" s="562" t="s">
        <v>1567</v>
      </c>
      <c r="C2114" s="562" t="s">
        <v>1593</v>
      </c>
      <c r="D2114" s="562">
        <v>1</v>
      </c>
      <c r="E2114" s="562">
        <v>5</v>
      </c>
      <c r="F2114" s="562" t="s">
        <v>184</v>
      </c>
      <c r="G2114" s="562" t="s">
        <v>191</v>
      </c>
      <c r="H2114" s="562" t="s">
        <v>191</v>
      </c>
    </row>
    <row r="2115" spans="1:8" x14ac:dyDescent="0.2">
      <c r="A2115" s="562" t="s">
        <v>260</v>
      </c>
      <c r="B2115" s="562" t="s">
        <v>1567</v>
      </c>
      <c r="C2115" s="562" t="s">
        <v>586</v>
      </c>
      <c r="D2115" s="562">
        <v>2</v>
      </c>
      <c r="E2115" s="562">
        <v>5</v>
      </c>
      <c r="F2115" s="562" t="s">
        <v>184</v>
      </c>
      <c r="G2115" s="562" t="s">
        <v>191</v>
      </c>
      <c r="H2115" s="562" t="s">
        <v>191</v>
      </c>
    </row>
    <row r="2116" spans="1:8" x14ac:dyDescent="0.2">
      <c r="A2116" s="562" t="s">
        <v>260</v>
      </c>
      <c r="B2116" s="562" t="s">
        <v>1567</v>
      </c>
      <c r="C2116" s="562" t="s">
        <v>788</v>
      </c>
      <c r="D2116" s="562">
        <v>1</v>
      </c>
      <c r="E2116" s="562">
        <v>5</v>
      </c>
      <c r="F2116" s="562" t="s">
        <v>184</v>
      </c>
      <c r="G2116" s="562" t="s">
        <v>191</v>
      </c>
      <c r="H2116" s="562" t="s">
        <v>191</v>
      </c>
    </row>
    <row r="2117" spans="1:8" x14ac:dyDescent="0.2">
      <c r="A2117" s="562" t="s">
        <v>260</v>
      </c>
      <c r="B2117" s="562" t="s">
        <v>1567</v>
      </c>
      <c r="C2117" s="562" t="s">
        <v>1594</v>
      </c>
      <c r="D2117" s="562">
        <v>1</v>
      </c>
      <c r="E2117" s="562">
        <v>5</v>
      </c>
      <c r="F2117" s="562" t="s">
        <v>184</v>
      </c>
      <c r="G2117" s="562" t="s">
        <v>191</v>
      </c>
      <c r="H2117" s="562" t="s">
        <v>191</v>
      </c>
    </row>
    <row r="2118" spans="1:8" x14ac:dyDescent="0.2">
      <c r="A2118" s="562" t="s">
        <v>260</v>
      </c>
      <c r="B2118" s="562" t="s">
        <v>1567</v>
      </c>
      <c r="C2118" s="562" t="s">
        <v>1595</v>
      </c>
      <c r="D2118" s="562">
        <v>2</v>
      </c>
      <c r="E2118" s="562">
        <v>5</v>
      </c>
      <c r="F2118" s="562" t="s">
        <v>184</v>
      </c>
      <c r="G2118" s="562" t="s">
        <v>191</v>
      </c>
      <c r="H2118" s="562" t="s">
        <v>191</v>
      </c>
    </row>
    <row r="2119" spans="1:8" x14ac:dyDescent="0.2">
      <c r="A2119" s="562" t="s">
        <v>260</v>
      </c>
      <c r="B2119" s="562" t="s">
        <v>1567</v>
      </c>
      <c r="C2119" s="562" t="s">
        <v>1596</v>
      </c>
      <c r="D2119" s="562">
        <v>2</v>
      </c>
      <c r="E2119" s="562">
        <v>4</v>
      </c>
      <c r="F2119" s="562" t="s">
        <v>184</v>
      </c>
      <c r="G2119" s="562" t="s">
        <v>191</v>
      </c>
      <c r="H2119" s="562" t="s">
        <v>191</v>
      </c>
    </row>
    <row r="2120" spans="1:8" x14ac:dyDescent="0.2">
      <c r="A2120" s="562" t="s">
        <v>260</v>
      </c>
      <c r="B2120" s="562" t="s">
        <v>1567</v>
      </c>
      <c r="C2120" s="562" t="s">
        <v>1462</v>
      </c>
      <c r="D2120" s="562">
        <v>1</v>
      </c>
      <c r="E2120" s="562">
        <v>5</v>
      </c>
      <c r="F2120" s="562" t="s">
        <v>184</v>
      </c>
      <c r="G2120" s="562" t="s">
        <v>191</v>
      </c>
      <c r="H2120" s="562" t="s">
        <v>191</v>
      </c>
    </row>
    <row r="2121" spans="1:8" x14ac:dyDescent="0.2">
      <c r="A2121" s="562" t="s">
        <v>260</v>
      </c>
      <c r="B2121" s="562" t="s">
        <v>1567</v>
      </c>
      <c r="C2121" s="562" t="s">
        <v>303</v>
      </c>
      <c r="D2121" s="562">
        <v>1</v>
      </c>
      <c r="E2121" s="562">
        <v>5</v>
      </c>
      <c r="F2121" s="562" t="s">
        <v>184</v>
      </c>
      <c r="G2121" s="562" t="s">
        <v>191</v>
      </c>
      <c r="H2121" s="562" t="s">
        <v>191</v>
      </c>
    </row>
    <row r="2122" spans="1:8" x14ac:dyDescent="0.2">
      <c r="A2122" s="562" t="s">
        <v>260</v>
      </c>
      <c r="B2122" s="562" t="s">
        <v>1567</v>
      </c>
      <c r="C2122" s="562" t="s">
        <v>792</v>
      </c>
      <c r="D2122" s="562">
        <v>1</v>
      </c>
      <c r="E2122" s="562">
        <v>5</v>
      </c>
      <c r="F2122" s="562" t="s">
        <v>184</v>
      </c>
      <c r="G2122" s="562" t="s">
        <v>191</v>
      </c>
      <c r="H2122" s="562" t="s">
        <v>191</v>
      </c>
    </row>
    <row r="2123" spans="1:8" x14ac:dyDescent="0.2">
      <c r="A2123" s="562" t="s">
        <v>260</v>
      </c>
      <c r="B2123" s="562" t="s">
        <v>1567</v>
      </c>
      <c r="C2123" s="562" t="s">
        <v>529</v>
      </c>
      <c r="D2123" s="562">
        <v>1</v>
      </c>
      <c r="E2123" s="562">
        <v>5</v>
      </c>
      <c r="F2123" s="562" t="s">
        <v>184</v>
      </c>
      <c r="G2123" s="562" t="s">
        <v>191</v>
      </c>
      <c r="H2123" s="562" t="s">
        <v>191</v>
      </c>
    </row>
    <row r="2124" spans="1:8" x14ac:dyDescent="0.2">
      <c r="A2124" s="562" t="s">
        <v>260</v>
      </c>
      <c r="B2124" s="562" t="s">
        <v>1567</v>
      </c>
      <c r="C2124" s="562" t="s">
        <v>1597</v>
      </c>
      <c r="D2124" s="562">
        <v>2</v>
      </c>
      <c r="E2124" s="562">
        <v>5</v>
      </c>
      <c r="F2124" s="562" t="s">
        <v>184</v>
      </c>
      <c r="G2124" s="562" t="s">
        <v>191</v>
      </c>
      <c r="H2124" s="562" t="s">
        <v>191</v>
      </c>
    </row>
    <row r="2125" spans="1:8" x14ac:dyDescent="0.2">
      <c r="A2125" s="562" t="s">
        <v>260</v>
      </c>
      <c r="B2125" s="562" t="s">
        <v>1567</v>
      </c>
      <c r="C2125" s="562" t="s">
        <v>1598</v>
      </c>
      <c r="D2125" s="562">
        <v>1</v>
      </c>
      <c r="E2125" s="562">
        <v>5</v>
      </c>
      <c r="F2125" s="562" t="s">
        <v>184</v>
      </c>
      <c r="G2125" s="562" t="s">
        <v>191</v>
      </c>
      <c r="H2125" s="562" t="s">
        <v>191</v>
      </c>
    </row>
    <row r="2126" spans="1:8" x14ac:dyDescent="0.2">
      <c r="A2126" s="562" t="s">
        <v>260</v>
      </c>
      <c r="B2126" s="562" t="s">
        <v>1567</v>
      </c>
      <c r="C2126" s="562" t="s">
        <v>413</v>
      </c>
      <c r="D2126" s="562">
        <v>1</v>
      </c>
      <c r="E2126" s="562">
        <v>5</v>
      </c>
      <c r="F2126" s="562" t="s">
        <v>184</v>
      </c>
      <c r="G2126" s="562" t="s">
        <v>191</v>
      </c>
      <c r="H2126" s="562" t="s">
        <v>191</v>
      </c>
    </row>
    <row r="2127" spans="1:8" x14ac:dyDescent="0.2">
      <c r="A2127" s="562" t="s">
        <v>260</v>
      </c>
      <c r="B2127" s="562" t="s">
        <v>1567</v>
      </c>
      <c r="C2127" s="562" t="s">
        <v>1599</v>
      </c>
      <c r="D2127" s="562">
        <v>1</v>
      </c>
      <c r="E2127" s="562">
        <v>5</v>
      </c>
      <c r="F2127" s="562" t="s">
        <v>184</v>
      </c>
      <c r="G2127" s="562" t="s">
        <v>191</v>
      </c>
      <c r="H2127" s="562" t="s">
        <v>191</v>
      </c>
    </row>
    <row r="2128" spans="1:8" x14ac:dyDescent="0.2">
      <c r="A2128" s="562" t="s">
        <v>260</v>
      </c>
      <c r="B2128" s="562" t="s">
        <v>1567</v>
      </c>
      <c r="C2128" s="562" t="s">
        <v>1600</v>
      </c>
      <c r="D2128" s="562">
        <v>2</v>
      </c>
      <c r="E2128" s="562">
        <v>5</v>
      </c>
      <c r="F2128" s="562" t="s">
        <v>184</v>
      </c>
      <c r="G2128" s="562" t="s">
        <v>191</v>
      </c>
      <c r="H2128" s="562" t="s">
        <v>191</v>
      </c>
    </row>
    <row r="2129" spans="1:8" x14ac:dyDescent="0.2">
      <c r="A2129" s="562" t="s">
        <v>260</v>
      </c>
      <c r="B2129" s="562" t="s">
        <v>1567</v>
      </c>
      <c r="C2129" s="562" t="s">
        <v>699</v>
      </c>
      <c r="D2129" s="562">
        <v>1</v>
      </c>
      <c r="E2129" s="562">
        <v>5</v>
      </c>
      <c r="F2129" s="562" t="s">
        <v>184</v>
      </c>
      <c r="G2129" s="562" t="s">
        <v>191</v>
      </c>
      <c r="H2129" s="562" t="s">
        <v>191</v>
      </c>
    </row>
    <row r="2130" spans="1:8" x14ac:dyDescent="0.2">
      <c r="A2130" s="562" t="s">
        <v>260</v>
      </c>
      <c r="B2130" s="562" t="s">
        <v>1567</v>
      </c>
      <c r="C2130" s="562" t="s">
        <v>309</v>
      </c>
      <c r="D2130" s="562">
        <v>2</v>
      </c>
      <c r="E2130" s="562">
        <v>4</v>
      </c>
      <c r="F2130" s="562" t="s">
        <v>184</v>
      </c>
      <c r="G2130" s="562" t="s">
        <v>191</v>
      </c>
      <c r="H2130" s="562" t="s">
        <v>191</v>
      </c>
    </row>
    <row r="2131" spans="1:8" x14ac:dyDescent="0.2">
      <c r="A2131" s="562" t="s">
        <v>260</v>
      </c>
      <c r="B2131" s="562" t="s">
        <v>1567</v>
      </c>
      <c r="C2131" s="562" t="s">
        <v>700</v>
      </c>
      <c r="D2131" s="562">
        <v>1</v>
      </c>
      <c r="E2131" s="562">
        <v>5</v>
      </c>
      <c r="F2131" s="562" t="s">
        <v>184</v>
      </c>
      <c r="G2131" s="562" t="s">
        <v>191</v>
      </c>
      <c r="H2131" s="562" t="s">
        <v>191</v>
      </c>
    </row>
    <row r="2132" spans="1:8" x14ac:dyDescent="0.2">
      <c r="A2132" s="562" t="s">
        <v>260</v>
      </c>
      <c r="B2132" s="562" t="s">
        <v>1567</v>
      </c>
      <c r="C2132" s="562" t="s">
        <v>1565</v>
      </c>
      <c r="D2132" s="562">
        <v>2</v>
      </c>
      <c r="E2132" s="562">
        <v>5</v>
      </c>
      <c r="F2132" s="562" t="s">
        <v>184</v>
      </c>
      <c r="G2132" s="562" t="s">
        <v>191</v>
      </c>
      <c r="H2132" s="562" t="s">
        <v>191</v>
      </c>
    </row>
    <row r="2133" spans="1:8" x14ac:dyDescent="0.2">
      <c r="A2133" s="562" t="s">
        <v>260</v>
      </c>
      <c r="B2133" s="562" t="s">
        <v>1567</v>
      </c>
      <c r="C2133" s="562" t="s">
        <v>1601</v>
      </c>
      <c r="D2133" s="562">
        <v>2</v>
      </c>
      <c r="E2133" s="562">
        <v>5</v>
      </c>
      <c r="F2133" s="562" t="s">
        <v>184</v>
      </c>
      <c r="G2133" s="562" t="s">
        <v>191</v>
      </c>
      <c r="H2133" s="562" t="s">
        <v>191</v>
      </c>
    </row>
    <row r="2134" spans="1:8" x14ac:dyDescent="0.2">
      <c r="A2134" s="562" t="s">
        <v>260</v>
      </c>
      <c r="B2134" s="562" t="s">
        <v>1567</v>
      </c>
      <c r="C2134" s="562" t="s">
        <v>1602</v>
      </c>
      <c r="D2134" s="562">
        <v>1</v>
      </c>
      <c r="E2134" s="562">
        <v>5</v>
      </c>
      <c r="F2134" s="562" t="s">
        <v>184</v>
      </c>
      <c r="G2134" s="562" t="s">
        <v>191</v>
      </c>
      <c r="H2134" s="562" t="s">
        <v>191</v>
      </c>
    </row>
    <row r="2135" spans="1:8" x14ac:dyDescent="0.2">
      <c r="A2135" s="562" t="s">
        <v>262</v>
      </c>
      <c r="B2135" s="562" t="s">
        <v>1603</v>
      </c>
      <c r="C2135" s="562" t="s">
        <v>845</v>
      </c>
      <c r="D2135" s="562">
        <v>2</v>
      </c>
      <c r="E2135" s="562">
        <v>3</v>
      </c>
      <c r="F2135" s="562" t="s">
        <v>184</v>
      </c>
      <c r="G2135" s="562" t="s">
        <v>191</v>
      </c>
      <c r="H2135" s="562" t="s">
        <v>191</v>
      </c>
    </row>
    <row r="2136" spans="1:8" x14ac:dyDescent="0.2">
      <c r="A2136" s="562" t="s">
        <v>262</v>
      </c>
      <c r="B2136" s="562" t="s">
        <v>1603</v>
      </c>
      <c r="C2136" s="562" t="s">
        <v>1604</v>
      </c>
      <c r="D2136" s="562">
        <v>3</v>
      </c>
      <c r="E2136" s="562">
        <v>3</v>
      </c>
      <c r="F2136" s="562" t="s">
        <v>184</v>
      </c>
      <c r="G2136" s="562" t="s">
        <v>191</v>
      </c>
      <c r="H2136" s="562" t="s">
        <v>191</v>
      </c>
    </row>
    <row r="2137" spans="1:8" x14ac:dyDescent="0.2">
      <c r="A2137" s="562" t="s">
        <v>262</v>
      </c>
      <c r="B2137" s="562" t="s">
        <v>1603</v>
      </c>
      <c r="C2137" s="562" t="s">
        <v>1605</v>
      </c>
      <c r="D2137" s="562">
        <v>3</v>
      </c>
      <c r="E2137" s="562">
        <v>3</v>
      </c>
      <c r="F2137" s="562" t="s">
        <v>184</v>
      </c>
      <c r="G2137" s="562" t="s">
        <v>191</v>
      </c>
      <c r="H2137" s="562" t="s">
        <v>191</v>
      </c>
    </row>
    <row r="2138" spans="1:8" x14ac:dyDescent="0.2">
      <c r="A2138" s="562" t="s">
        <v>262</v>
      </c>
      <c r="B2138" s="562" t="s">
        <v>1603</v>
      </c>
      <c r="C2138" s="562" t="s">
        <v>1606</v>
      </c>
      <c r="D2138" s="562">
        <v>2</v>
      </c>
      <c r="E2138" s="562">
        <v>4</v>
      </c>
      <c r="F2138" s="562" t="s">
        <v>345</v>
      </c>
      <c r="G2138" s="562" t="s">
        <v>191</v>
      </c>
      <c r="H2138" s="562" t="s">
        <v>191</v>
      </c>
    </row>
    <row r="2139" spans="1:8" x14ac:dyDescent="0.2">
      <c r="A2139" s="562" t="s">
        <v>262</v>
      </c>
      <c r="B2139" s="562" t="s">
        <v>1603</v>
      </c>
      <c r="C2139" s="562" t="s">
        <v>1607</v>
      </c>
      <c r="D2139" s="562">
        <v>3</v>
      </c>
      <c r="E2139" s="562">
        <v>3</v>
      </c>
      <c r="F2139" s="562" t="s">
        <v>184</v>
      </c>
      <c r="G2139" s="562" t="s">
        <v>191</v>
      </c>
      <c r="H2139" s="562" t="s">
        <v>191</v>
      </c>
    </row>
    <row r="2140" spans="1:8" x14ac:dyDescent="0.2">
      <c r="A2140" s="562" t="s">
        <v>262</v>
      </c>
      <c r="B2140" s="562" t="s">
        <v>1603</v>
      </c>
      <c r="C2140" s="562" t="s">
        <v>719</v>
      </c>
      <c r="D2140" s="562">
        <v>3</v>
      </c>
      <c r="E2140" s="562">
        <v>3</v>
      </c>
      <c r="F2140" s="562" t="s">
        <v>184</v>
      </c>
      <c r="G2140" s="562" t="s">
        <v>191</v>
      </c>
      <c r="H2140" s="562" t="s">
        <v>191</v>
      </c>
    </row>
    <row r="2141" spans="1:8" x14ac:dyDescent="0.2">
      <c r="A2141" s="562" t="s">
        <v>262</v>
      </c>
      <c r="B2141" s="562" t="s">
        <v>1603</v>
      </c>
      <c r="C2141" s="562" t="s">
        <v>609</v>
      </c>
      <c r="D2141" s="562">
        <v>3</v>
      </c>
      <c r="E2141" s="562">
        <v>3</v>
      </c>
      <c r="F2141" s="562" t="s">
        <v>184</v>
      </c>
      <c r="G2141" s="562" t="s">
        <v>191</v>
      </c>
      <c r="H2141" s="562" t="s">
        <v>191</v>
      </c>
    </row>
    <row r="2142" spans="1:8" x14ac:dyDescent="0.2">
      <c r="A2142" s="562" t="s">
        <v>262</v>
      </c>
      <c r="B2142" s="562" t="s">
        <v>1603</v>
      </c>
      <c r="C2142" s="562" t="s">
        <v>1022</v>
      </c>
      <c r="D2142" s="562">
        <v>3</v>
      </c>
      <c r="E2142" s="562">
        <v>3</v>
      </c>
      <c r="F2142" s="562" t="s">
        <v>184</v>
      </c>
      <c r="G2142" s="562" t="s">
        <v>191</v>
      </c>
      <c r="H2142" s="562" t="s">
        <v>191</v>
      </c>
    </row>
    <row r="2143" spans="1:8" x14ac:dyDescent="0.2">
      <c r="A2143" s="562" t="s">
        <v>262</v>
      </c>
      <c r="B2143" s="562" t="s">
        <v>1603</v>
      </c>
      <c r="C2143" s="562" t="s">
        <v>1608</v>
      </c>
      <c r="D2143" s="562">
        <v>3</v>
      </c>
      <c r="E2143" s="562">
        <v>3</v>
      </c>
      <c r="F2143" s="562" t="s">
        <v>184</v>
      </c>
      <c r="G2143" s="562" t="s">
        <v>191</v>
      </c>
      <c r="H2143" s="562" t="s">
        <v>191</v>
      </c>
    </row>
    <row r="2144" spans="1:8" x14ac:dyDescent="0.2">
      <c r="A2144" s="562" t="s">
        <v>262</v>
      </c>
      <c r="B2144" s="562" t="s">
        <v>1603</v>
      </c>
      <c r="C2144" s="562" t="s">
        <v>973</v>
      </c>
      <c r="D2144" s="562">
        <v>3</v>
      </c>
      <c r="E2144" s="562">
        <v>3</v>
      </c>
      <c r="F2144" s="562" t="s">
        <v>184</v>
      </c>
      <c r="G2144" s="562" t="s">
        <v>191</v>
      </c>
      <c r="H2144" s="562" t="s">
        <v>191</v>
      </c>
    </row>
    <row r="2145" spans="1:8" x14ac:dyDescent="0.2">
      <c r="A2145" s="562" t="s">
        <v>262</v>
      </c>
      <c r="B2145" s="562" t="s">
        <v>1603</v>
      </c>
      <c r="C2145" s="562" t="s">
        <v>208</v>
      </c>
      <c r="D2145" s="562">
        <v>2</v>
      </c>
      <c r="E2145" s="562">
        <v>3</v>
      </c>
      <c r="F2145" s="562" t="s">
        <v>184</v>
      </c>
      <c r="G2145" s="562" t="s">
        <v>191</v>
      </c>
      <c r="H2145" s="562" t="s">
        <v>191</v>
      </c>
    </row>
    <row r="2146" spans="1:8" x14ac:dyDescent="0.2">
      <c r="A2146" s="562" t="s">
        <v>262</v>
      </c>
      <c r="B2146" s="562" t="s">
        <v>1603</v>
      </c>
      <c r="C2146" s="562" t="s">
        <v>212</v>
      </c>
      <c r="D2146" s="562">
        <v>3</v>
      </c>
      <c r="E2146" s="562">
        <v>3</v>
      </c>
      <c r="F2146" s="562" t="s">
        <v>184</v>
      </c>
      <c r="G2146" s="562" t="s">
        <v>191</v>
      </c>
      <c r="H2146" s="562" t="s">
        <v>191</v>
      </c>
    </row>
    <row r="2147" spans="1:8" x14ac:dyDescent="0.2">
      <c r="A2147" s="562" t="s">
        <v>262</v>
      </c>
      <c r="B2147" s="562" t="s">
        <v>1603</v>
      </c>
      <c r="C2147" s="562" t="s">
        <v>1609</v>
      </c>
      <c r="D2147" s="562">
        <v>2</v>
      </c>
      <c r="E2147" s="562">
        <v>4</v>
      </c>
      <c r="F2147" s="562" t="s">
        <v>345</v>
      </c>
      <c r="G2147" s="562" t="s">
        <v>191</v>
      </c>
      <c r="H2147" s="562" t="s">
        <v>191</v>
      </c>
    </row>
    <row r="2148" spans="1:8" x14ac:dyDescent="0.2">
      <c r="A2148" s="562" t="s">
        <v>262</v>
      </c>
      <c r="B2148" s="562" t="s">
        <v>1603</v>
      </c>
      <c r="C2148" s="562" t="s">
        <v>370</v>
      </c>
      <c r="D2148" s="562">
        <v>3</v>
      </c>
      <c r="E2148" s="562">
        <v>3</v>
      </c>
      <c r="F2148" s="562" t="s">
        <v>184</v>
      </c>
      <c r="G2148" s="562" t="s">
        <v>191</v>
      </c>
      <c r="H2148" s="562" t="s">
        <v>191</v>
      </c>
    </row>
    <row r="2149" spans="1:8" x14ac:dyDescent="0.2">
      <c r="A2149" s="562" t="s">
        <v>262</v>
      </c>
      <c r="B2149" s="562" t="s">
        <v>1603</v>
      </c>
      <c r="C2149" s="562" t="s">
        <v>1610</v>
      </c>
      <c r="D2149" s="562">
        <v>3</v>
      </c>
      <c r="E2149" s="562">
        <v>3</v>
      </c>
      <c r="F2149" s="562" t="s">
        <v>184</v>
      </c>
      <c r="G2149" s="562" t="s">
        <v>191</v>
      </c>
      <c r="H2149" s="562" t="s">
        <v>191</v>
      </c>
    </row>
    <row r="2150" spans="1:8" x14ac:dyDescent="0.2">
      <c r="A2150" s="562" t="s">
        <v>262</v>
      </c>
      <c r="B2150" s="562" t="s">
        <v>1603</v>
      </c>
      <c r="C2150" s="562" t="s">
        <v>900</v>
      </c>
      <c r="D2150" s="562">
        <v>3</v>
      </c>
      <c r="E2150" s="562">
        <v>3</v>
      </c>
      <c r="F2150" s="562" t="s">
        <v>184</v>
      </c>
      <c r="G2150" s="562" t="s">
        <v>191</v>
      </c>
      <c r="H2150" s="562" t="s">
        <v>191</v>
      </c>
    </row>
    <row r="2151" spans="1:8" x14ac:dyDescent="0.2">
      <c r="A2151" s="562" t="s">
        <v>262</v>
      </c>
      <c r="B2151" s="562" t="s">
        <v>1603</v>
      </c>
      <c r="C2151" s="562" t="s">
        <v>1611</v>
      </c>
      <c r="D2151" s="562">
        <v>3</v>
      </c>
      <c r="E2151" s="562">
        <v>3</v>
      </c>
      <c r="F2151" s="562" t="s">
        <v>184</v>
      </c>
      <c r="G2151" s="562" t="s">
        <v>191</v>
      </c>
      <c r="H2151" s="562" t="s">
        <v>191</v>
      </c>
    </row>
    <row r="2152" spans="1:8" x14ac:dyDescent="0.2">
      <c r="A2152" s="562" t="s">
        <v>262</v>
      </c>
      <c r="B2152" s="562" t="s">
        <v>1603</v>
      </c>
      <c r="C2152" s="562" t="s">
        <v>1612</v>
      </c>
      <c r="D2152" s="562">
        <v>3</v>
      </c>
      <c r="E2152" s="562">
        <v>3</v>
      </c>
      <c r="F2152" s="562" t="s">
        <v>184</v>
      </c>
      <c r="G2152" s="562" t="s">
        <v>191</v>
      </c>
      <c r="H2152" s="562" t="s">
        <v>191</v>
      </c>
    </row>
    <row r="2153" spans="1:8" x14ac:dyDescent="0.2">
      <c r="A2153" s="562" t="s">
        <v>262</v>
      </c>
      <c r="B2153" s="562" t="s">
        <v>1603</v>
      </c>
      <c r="C2153" s="562" t="s">
        <v>1613</v>
      </c>
      <c r="D2153" s="562">
        <v>3</v>
      </c>
      <c r="E2153" s="562">
        <v>3</v>
      </c>
      <c r="F2153" s="562" t="s">
        <v>184</v>
      </c>
      <c r="G2153" s="562" t="s">
        <v>191</v>
      </c>
      <c r="H2153" s="562" t="s">
        <v>191</v>
      </c>
    </row>
    <row r="2154" spans="1:8" x14ac:dyDescent="0.2">
      <c r="A2154" s="562" t="s">
        <v>262</v>
      </c>
      <c r="B2154" s="562" t="s">
        <v>1603</v>
      </c>
      <c r="C2154" s="562" t="s">
        <v>491</v>
      </c>
      <c r="D2154" s="562">
        <v>3</v>
      </c>
      <c r="E2154" s="562">
        <v>3</v>
      </c>
      <c r="F2154" s="562" t="s">
        <v>184</v>
      </c>
      <c r="G2154" s="562" t="s">
        <v>191</v>
      </c>
      <c r="H2154" s="562" t="s">
        <v>191</v>
      </c>
    </row>
    <row r="2155" spans="1:8" x14ac:dyDescent="0.2">
      <c r="A2155" s="562" t="s">
        <v>262</v>
      </c>
      <c r="B2155" s="562" t="s">
        <v>1603</v>
      </c>
      <c r="C2155" s="562" t="s">
        <v>808</v>
      </c>
      <c r="D2155" s="562">
        <v>2</v>
      </c>
      <c r="E2155" s="562">
        <v>3</v>
      </c>
      <c r="F2155" s="562" t="s">
        <v>184</v>
      </c>
      <c r="G2155" s="562" t="s">
        <v>191</v>
      </c>
      <c r="H2155" s="562" t="s">
        <v>191</v>
      </c>
    </row>
    <row r="2156" spans="1:8" x14ac:dyDescent="0.2">
      <c r="A2156" s="562" t="s">
        <v>262</v>
      </c>
      <c r="B2156" s="562" t="s">
        <v>1603</v>
      </c>
      <c r="C2156" s="562" t="s">
        <v>1614</v>
      </c>
      <c r="D2156" s="562">
        <v>3</v>
      </c>
      <c r="E2156" s="562">
        <v>3</v>
      </c>
      <c r="F2156" s="562" t="s">
        <v>184</v>
      </c>
      <c r="G2156" s="562" t="s">
        <v>191</v>
      </c>
      <c r="H2156" s="562" t="s">
        <v>191</v>
      </c>
    </row>
    <row r="2157" spans="1:8" x14ac:dyDescent="0.2">
      <c r="A2157" s="562" t="s">
        <v>262</v>
      </c>
      <c r="B2157" s="562" t="s">
        <v>1603</v>
      </c>
      <c r="C2157" s="562" t="s">
        <v>904</v>
      </c>
      <c r="D2157" s="562">
        <v>2</v>
      </c>
      <c r="E2157" s="562">
        <v>3</v>
      </c>
      <c r="F2157" s="562" t="s">
        <v>184</v>
      </c>
      <c r="G2157" s="562" t="s">
        <v>191</v>
      </c>
      <c r="H2157" s="562" t="s">
        <v>191</v>
      </c>
    </row>
    <row r="2158" spans="1:8" x14ac:dyDescent="0.2">
      <c r="A2158" s="562" t="s">
        <v>262</v>
      </c>
      <c r="B2158" s="562" t="s">
        <v>1603</v>
      </c>
      <c r="C2158" s="562" t="s">
        <v>500</v>
      </c>
      <c r="D2158" s="562">
        <v>3</v>
      </c>
      <c r="E2158" s="562">
        <v>3</v>
      </c>
      <c r="F2158" s="562" t="s">
        <v>184</v>
      </c>
      <c r="G2158" s="562" t="s">
        <v>191</v>
      </c>
      <c r="H2158" s="562" t="s">
        <v>191</v>
      </c>
    </row>
    <row r="2159" spans="1:8" x14ac:dyDescent="0.2">
      <c r="A2159" s="562" t="s">
        <v>262</v>
      </c>
      <c r="B2159" s="562" t="s">
        <v>1603</v>
      </c>
      <c r="C2159" s="562" t="s">
        <v>1615</v>
      </c>
      <c r="D2159" s="562">
        <v>3</v>
      </c>
      <c r="E2159" s="562">
        <v>3</v>
      </c>
      <c r="F2159" s="562" t="s">
        <v>184</v>
      </c>
      <c r="G2159" s="562" t="s">
        <v>191</v>
      </c>
      <c r="H2159" s="562" t="s">
        <v>191</v>
      </c>
    </row>
    <row r="2160" spans="1:8" x14ac:dyDescent="0.2">
      <c r="A2160" s="562" t="s">
        <v>262</v>
      </c>
      <c r="B2160" s="562" t="s">
        <v>1603</v>
      </c>
      <c r="C2160" s="562" t="s">
        <v>646</v>
      </c>
      <c r="D2160" s="562">
        <v>3</v>
      </c>
      <c r="E2160" s="562">
        <v>3</v>
      </c>
      <c r="F2160" s="562" t="s">
        <v>184</v>
      </c>
      <c r="G2160" s="562" t="s">
        <v>191</v>
      </c>
      <c r="H2160" s="562" t="s">
        <v>191</v>
      </c>
    </row>
    <row r="2161" spans="1:8" x14ac:dyDescent="0.2">
      <c r="A2161" s="562" t="s">
        <v>262</v>
      </c>
      <c r="B2161" s="562" t="s">
        <v>1603</v>
      </c>
      <c r="C2161" s="562" t="s">
        <v>382</v>
      </c>
      <c r="D2161" s="562">
        <v>3</v>
      </c>
      <c r="E2161" s="562">
        <v>3</v>
      </c>
      <c r="F2161" s="562" t="s">
        <v>184</v>
      </c>
      <c r="G2161" s="562" t="s">
        <v>191</v>
      </c>
      <c r="H2161" s="562" t="s">
        <v>191</v>
      </c>
    </row>
    <row r="2162" spans="1:8" x14ac:dyDescent="0.2">
      <c r="A2162" s="562" t="s">
        <v>262</v>
      </c>
      <c r="B2162" s="562" t="s">
        <v>1603</v>
      </c>
      <c r="C2162" s="562" t="s">
        <v>1616</v>
      </c>
      <c r="D2162" s="562">
        <v>3</v>
      </c>
      <c r="E2162" s="562">
        <v>3</v>
      </c>
      <c r="F2162" s="562" t="s">
        <v>184</v>
      </c>
      <c r="G2162" s="562" t="s">
        <v>191</v>
      </c>
      <c r="H2162" s="562" t="s">
        <v>191</v>
      </c>
    </row>
    <row r="2163" spans="1:8" x14ac:dyDescent="0.2">
      <c r="A2163" s="562" t="s">
        <v>262</v>
      </c>
      <c r="B2163" s="562" t="s">
        <v>1603</v>
      </c>
      <c r="C2163" s="562" t="s">
        <v>1617</v>
      </c>
      <c r="D2163" s="562">
        <v>3</v>
      </c>
      <c r="E2163" s="562">
        <v>3</v>
      </c>
      <c r="F2163" s="562" t="s">
        <v>184</v>
      </c>
      <c r="G2163" s="562" t="s">
        <v>191</v>
      </c>
      <c r="H2163" s="562" t="s">
        <v>191</v>
      </c>
    </row>
    <row r="2164" spans="1:8" x14ac:dyDescent="0.2">
      <c r="A2164" s="562" t="s">
        <v>262</v>
      </c>
      <c r="B2164" s="562" t="s">
        <v>1603</v>
      </c>
      <c r="C2164" s="562" t="s">
        <v>912</v>
      </c>
      <c r="D2164" s="562">
        <v>3</v>
      </c>
      <c r="E2164" s="562">
        <v>3</v>
      </c>
      <c r="F2164" s="562" t="s">
        <v>184</v>
      </c>
      <c r="G2164" s="562" t="s">
        <v>191</v>
      </c>
      <c r="H2164" s="562" t="s">
        <v>191</v>
      </c>
    </row>
    <row r="2165" spans="1:8" x14ac:dyDescent="0.2">
      <c r="A2165" s="562" t="s">
        <v>262</v>
      </c>
      <c r="B2165" s="562" t="s">
        <v>1603</v>
      </c>
      <c r="C2165" s="562" t="s">
        <v>914</v>
      </c>
      <c r="D2165" s="562">
        <v>3</v>
      </c>
      <c r="E2165" s="562">
        <v>3</v>
      </c>
      <c r="F2165" s="562" t="s">
        <v>184</v>
      </c>
      <c r="G2165" s="562" t="s">
        <v>191</v>
      </c>
      <c r="H2165" s="562" t="s">
        <v>191</v>
      </c>
    </row>
    <row r="2166" spans="1:8" x14ac:dyDescent="0.2">
      <c r="A2166" s="562" t="s">
        <v>262</v>
      </c>
      <c r="B2166" s="562" t="s">
        <v>1603</v>
      </c>
      <c r="C2166" s="562" t="s">
        <v>1618</v>
      </c>
      <c r="D2166" s="562">
        <v>3</v>
      </c>
      <c r="E2166" s="562">
        <v>3</v>
      </c>
      <c r="F2166" s="562" t="s">
        <v>184</v>
      </c>
      <c r="G2166" s="562" t="s">
        <v>191</v>
      </c>
      <c r="H2166" s="562" t="s">
        <v>191</v>
      </c>
    </row>
    <row r="2167" spans="1:8" x14ac:dyDescent="0.2">
      <c r="A2167" s="562" t="s">
        <v>262</v>
      </c>
      <c r="B2167" s="562" t="s">
        <v>1603</v>
      </c>
      <c r="C2167" s="562" t="s">
        <v>259</v>
      </c>
      <c r="D2167" s="562">
        <v>3</v>
      </c>
      <c r="E2167" s="562">
        <v>3</v>
      </c>
      <c r="F2167" s="562" t="s">
        <v>184</v>
      </c>
      <c r="G2167" s="562" t="s">
        <v>191</v>
      </c>
      <c r="H2167" s="562" t="s">
        <v>191</v>
      </c>
    </row>
    <row r="2168" spans="1:8" x14ac:dyDescent="0.2">
      <c r="A2168" s="562" t="s">
        <v>262</v>
      </c>
      <c r="B2168" s="562" t="s">
        <v>1603</v>
      </c>
      <c r="C2168" s="562" t="s">
        <v>261</v>
      </c>
      <c r="D2168" s="562">
        <v>3</v>
      </c>
      <c r="E2168" s="562">
        <v>3</v>
      </c>
      <c r="F2168" s="562" t="s">
        <v>184</v>
      </c>
      <c r="G2168" s="562" t="s">
        <v>191</v>
      </c>
      <c r="H2168" s="562" t="s">
        <v>191</v>
      </c>
    </row>
    <row r="2169" spans="1:8" x14ac:dyDescent="0.2">
      <c r="A2169" s="562" t="s">
        <v>262</v>
      </c>
      <c r="B2169" s="562" t="s">
        <v>1603</v>
      </c>
      <c r="C2169" s="562" t="s">
        <v>1505</v>
      </c>
      <c r="D2169" s="562">
        <v>3</v>
      </c>
      <c r="E2169" s="562">
        <v>3</v>
      </c>
      <c r="F2169" s="562" t="s">
        <v>184</v>
      </c>
      <c r="G2169" s="562" t="s">
        <v>191</v>
      </c>
      <c r="H2169" s="562" t="s">
        <v>191</v>
      </c>
    </row>
    <row r="2170" spans="1:8" x14ac:dyDescent="0.2">
      <c r="A2170" s="562" t="s">
        <v>262</v>
      </c>
      <c r="B2170" s="562" t="s">
        <v>1603</v>
      </c>
      <c r="C2170" s="562" t="s">
        <v>1619</v>
      </c>
      <c r="D2170" s="562">
        <v>3</v>
      </c>
      <c r="E2170" s="562">
        <v>3</v>
      </c>
      <c r="F2170" s="562" t="s">
        <v>184</v>
      </c>
      <c r="G2170" s="562" t="s">
        <v>191</v>
      </c>
      <c r="H2170" s="562" t="s">
        <v>191</v>
      </c>
    </row>
    <row r="2171" spans="1:8" x14ac:dyDescent="0.2">
      <c r="A2171" s="562" t="s">
        <v>262</v>
      </c>
      <c r="B2171" s="562" t="s">
        <v>1603</v>
      </c>
      <c r="C2171" s="562" t="s">
        <v>1620</v>
      </c>
      <c r="D2171" s="562">
        <v>3</v>
      </c>
      <c r="E2171" s="562">
        <v>3</v>
      </c>
      <c r="F2171" s="562" t="s">
        <v>184</v>
      </c>
      <c r="G2171" s="562" t="s">
        <v>191</v>
      </c>
      <c r="H2171" s="562" t="s">
        <v>191</v>
      </c>
    </row>
    <row r="2172" spans="1:8" x14ac:dyDescent="0.2">
      <c r="A2172" s="562" t="s">
        <v>262</v>
      </c>
      <c r="B2172" s="562" t="s">
        <v>1603</v>
      </c>
      <c r="C2172" s="562" t="s">
        <v>506</v>
      </c>
      <c r="D2172" s="562">
        <v>3</v>
      </c>
      <c r="E2172" s="562">
        <v>3</v>
      </c>
      <c r="F2172" s="562" t="s">
        <v>184</v>
      </c>
      <c r="G2172" s="562" t="s">
        <v>191</v>
      </c>
      <c r="H2172" s="562" t="s">
        <v>191</v>
      </c>
    </row>
    <row r="2173" spans="1:8" x14ac:dyDescent="0.2">
      <c r="A2173" s="562" t="s">
        <v>262</v>
      </c>
      <c r="B2173" s="562" t="s">
        <v>1603</v>
      </c>
      <c r="C2173" s="562" t="s">
        <v>1621</v>
      </c>
      <c r="D2173" s="562">
        <v>3</v>
      </c>
      <c r="E2173" s="562">
        <v>3</v>
      </c>
      <c r="F2173" s="562" t="s">
        <v>184</v>
      </c>
      <c r="G2173" s="562" t="s">
        <v>191</v>
      </c>
      <c r="H2173" s="562" t="s">
        <v>191</v>
      </c>
    </row>
    <row r="2174" spans="1:8" x14ac:dyDescent="0.2">
      <c r="A2174" s="562" t="s">
        <v>262</v>
      </c>
      <c r="B2174" s="562" t="s">
        <v>1603</v>
      </c>
      <c r="C2174" s="562" t="s">
        <v>1622</v>
      </c>
      <c r="D2174" s="562">
        <v>3</v>
      </c>
      <c r="E2174" s="562">
        <v>3</v>
      </c>
      <c r="F2174" s="562" t="s">
        <v>184</v>
      </c>
      <c r="G2174" s="562" t="s">
        <v>191</v>
      </c>
      <c r="H2174" s="562" t="s">
        <v>191</v>
      </c>
    </row>
    <row r="2175" spans="1:8" x14ac:dyDescent="0.2">
      <c r="A2175" s="562" t="s">
        <v>262</v>
      </c>
      <c r="B2175" s="562" t="s">
        <v>1603</v>
      </c>
      <c r="C2175" s="562" t="s">
        <v>390</v>
      </c>
      <c r="D2175" s="562">
        <v>3</v>
      </c>
      <c r="E2175" s="562">
        <v>3</v>
      </c>
      <c r="F2175" s="562" t="s">
        <v>184</v>
      </c>
      <c r="G2175" s="562" t="s">
        <v>191</v>
      </c>
      <c r="H2175" s="562" t="s">
        <v>191</v>
      </c>
    </row>
    <row r="2176" spans="1:8" x14ac:dyDescent="0.2">
      <c r="A2176" s="562" t="s">
        <v>262</v>
      </c>
      <c r="B2176" s="562" t="s">
        <v>1603</v>
      </c>
      <c r="C2176" s="562" t="s">
        <v>392</v>
      </c>
      <c r="D2176" s="562">
        <v>3</v>
      </c>
      <c r="E2176" s="562">
        <v>3</v>
      </c>
      <c r="F2176" s="562" t="s">
        <v>184</v>
      </c>
      <c r="G2176" s="562" t="s">
        <v>191</v>
      </c>
      <c r="H2176" s="562" t="s">
        <v>191</v>
      </c>
    </row>
    <row r="2177" spans="1:8" x14ac:dyDescent="0.2">
      <c r="A2177" s="562" t="s">
        <v>262</v>
      </c>
      <c r="B2177" s="562" t="s">
        <v>1603</v>
      </c>
      <c r="C2177" s="562" t="s">
        <v>1623</v>
      </c>
      <c r="D2177" s="562">
        <v>3</v>
      </c>
      <c r="E2177" s="562">
        <v>3</v>
      </c>
      <c r="F2177" s="562" t="s">
        <v>184</v>
      </c>
      <c r="G2177" s="562" t="s">
        <v>191</v>
      </c>
      <c r="H2177" s="562" t="s">
        <v>191</v>
      </c>
    </row>
    <row r="2178" spans="1:8" x14ac:dyDescent="0.2">
      <c r="A2178" s="562" t="s">
        <v>262</v>
      </c>
      <c r="B2178" s="562" t="s">
        <v>1603</v>
      </c>
      <c r="C2178" s="562" t="s">
        <v>1624</v>
      </c>
      <c r="D2178" s="562">
        <v>3</v>
      </c>
      <c r="E2178" s="562">
        <v>3</v>
      </c>
      <c r="F2178" s="562" t="s">
        <v>184</v>
      </c>
      <c r="G2178" s="562" t="s">
        <v>191</v>
      </c>
      <c r="H2178" s="562" t="s">
        <v>191</v>
      </c>
    </row>
    <row r="2179" spans="1:8" x14ac:dyDescent="0.2">
      <c r="A2179" s="562" t="s">
        <v>262</v>
      </c>
      <c r="B2179" s="562" t="s">
        <v>1603</v>
      </c>
      <c r="C2179" s="562" t="s">
        <v>283</v>
      </c>
      <c r="D2179" s="562">
        <v>3</v>
      </c>
      <c r="E2179" s="562">
        <v>3</v>
      </c>
      <c r="F2179" s="562" t="s">
        <v>184</v>
      </c>
      <c r="G2179" s="562" t="s">
        <v>191</v>
      </c>
      <c r="H2179" s="562" t="s">
        <v>191</v>
      </c>
    </row>
    <row r="2180" spans="1:8" x14ac:dyDescent="0.2">
      <c r="A2180" s="562" t="s">
        <v>262</v>
      </c>
      <c r="B2180" s="562" t="s">
        <v>1603</v>
      </c>
      <c r="C2180" s="562" t="s">
        <v>1625</v>
      </c>
      <c r="D2180" s="562">
        <v>2</v>
      </c>
      <c r="E2180" s="562">
        <v>3</v>
      </c>
      <c r="F2180" s="562" t="s">
        <v>184</v>
      </c>
      <c r="G2180" s="562" t="s">
        <v>191</v>
      </c>
      <c r="H2180" s="562" t="s">
        <v>191</v>
      </c>
    </row>
    <row r="2181" spans="1:8" x14ac:dyDescent="0.2">
      <c r="A2181" s="562" t="s">
        <v>262</v>
      </c>
      <c r="B2181" s="562" t="s">
        <v>1603</v>
      </c>
      <c r="C2181" s="562" t="s">
        <v>1626</v>
      </c>
      <c r="D2181" s="562">
        <v>3</v>
      </c>
      <c r="E2181" s="562">
        <v>3</v>
      </c>
      <c r="F2181" s="562" t="s">
        <v>184</v>
      </c>
      <c r="G2181" s="562" t="s">
        <v>191</v>
      </c>
      <c r="H2181" s="562" t="s">
        <v>191</v>
      </c>
    </row>
    <row r="2182" spans="1:8" x14ac:dyDescent="0.2">
      <c r="A2182" s="562" t="s">
        <v>262</v>
      </c>
      <c r="B2182" s="562" t="s">
        <v>1603</v>
      </c>
      <c r="C2182" s="562" t="s">
        <v>1627</v>
      </c>
      <c r="D2182" s="562">
        <v>3</v>
      </c>
      <c r="E2182" s="562">
        <v>3</v>
      </c>
      <c r="F2182" s="562" t="s">
        <v>184</v>
      </c>
      <c r="G2182" s="562" t="s">
        <v>191</v>
      </c>
      <c r="H2182" s="562" t="s">
        <v>191</v>
      </c>
    </row>
    <row r="2183" spans="1:8" x14ac:dyDescent="0.2">
      <c r="A2183" s="562" t="s">
        <v>262</v>
      </c>
      <c r="B2183" s="562" t="s">
        <v>1603</v>
      </c>
      <c r="C2183" s="562" t="s">
        <v>665</v>
      </c>
      <c r="D2183" s="562">
        <v>3</v>
      </c>
      <c r="E2183" s="562">
        <v>3</v>
      </c>
      <c r="F2183" s="562" t="s">
        <v>184</v>
      </c>
      <c r="G2183" s="562" t="s">
        <v>191</v>
      </c>
      <c r="H2183" s="562" t="s">
        <v>191</v>
      </c>
    </row>
    <row r="2184" spans="1:8" x14ac:dyDescent="0.2">
      <c r="A2184" s="562" t="s">
        <v>262</v>
      </c>
      <c r="B2184" s="562" t="s">
        <v>1603</v>
      </c>
      <c r="C2184" s="562" t="s">
        <v>668</v>
      </c>
      <c r="D2184" s="562">
        <v>3</v>
      </c>
      <c r="E2184" s="562">
        <v>3</v>
      </c>
      <c r="F2184" s="562" t="s">
        <v>184</v>
      </c>
      <c r="G2184" s="562" t="s">
        <v>191</v>
      </c>
      <c r="H2184" s="562" t="s">
        <v>191</v>
      </c>
    </row>
    <row r="2185" spans="1:8" x14ac:dyDescent="0.2">
      <c r="A2185" s="562" t="s">
        <v>262</v>
      </c>
      <c r="B2185" s="562" t="s">
        <v>1603</v>
      </c>
      <c r="C2185" s="562" t="s">
        <v>1628</v>
      </c>
      <c r="D2185" s="562">
        <v>3</v>
      </c>
      <c r="E2185" s="562">
        <v>3</v>
      </c>
      <c r="F2185" s="562" t="s">
        <v>184</v>
      </c>
      <c r="G2185" s="562" t="s">
        <v>191</v>
      </c>
      <c r="H2185" s="562" t="s">
        <v>191</v>
      </c>
    </row>
    <row r="2186" spans="1:8" x14ac:dyDescent="0.2">
      <c r="A2186" s="562" t="s">
        <v>262</v>
      </c>
      <c r="B2186" s="562" t="s">
        <v>1603</v>
      </c>
      <c r="C2186" s="562" t="s">
        <v>822</v>
      </c>
      <c r="D2186" s="562">
        <v>3</v>
      </c>
      <c r="E2186" s="562">
        <v>3</v>
      </c>
      <c r="F2186" s="562" t="s">
        <v>184</v>
      </c>
      <c r="G2186" s="562" t="s">
        <v>191</v>
      </c>
      <c r="H2186" s="562" t="s">
        <v>191</v>
      </c>
    </row>
    <row r="2187" spans="1:8" x14ac:dyDescent="0.2">
      <c r="A2187" s="562" t="s">
        <v>262</v>
      </c>
      <c r="B2187" s="562" t="s">
        <v>1603</v>
      </c>
      <c r="C2187" s="562" t="s">
        <v>1629</v>
      </c>
      <c r="D2187" s="562">
        <v>3</v>
      </c>
      <c r="E2187" s="562">
        <v>3</v>
      </c>
      <c r="F2187" s="562" t="s">
        <v>184</v>
      </c>
      <c r="G2187" s="562" t="s">
        <v>191</v>
      </c>
      <c r="H2187" s="562" t="s">
        <v>191</v>
      </c>
    </row>
    <row r="2188" spans="1:8" x14ac:dyDescent="0.2">
      <c r="A2188" s="562" t="s">
        <v>262</v>
      </c>
      <c r="B2188" s="562" t="s">
        <v>1603</v>
      </c>
      <c r="C2188" s="562" t="s">
        <v>1630</v>
      </c>
      <c r="D2188" s="562">
        <v>3</v>
      </c>
      <c r="E2188" s="562">
        <v>3</v>
      </c>
      <c r="F2188" s="562" t="s">
        <v>184</v>
      </c>
      <c r="G2188" s="562" t="s">
        <v>191</v>
      </c>
      <c r="H2188" s="562" t="s">
        <v>191</v>
      </c>
    </row>
    <row r="2189" spans="1:8" x14ac:dyDescent="0.2">
      <c r="A2189" s="562" t="s">
        <v>262</v>
      </c>
      <c r="B2189" s="562" t="s">
        <v>1603</v>
      </c>
      <c r="C2189" s="562" t="s">
        <v>1631</v>
      </c>
      <c r="D2189" s="562">
        <v>3</v>
      </c>
      <c r="E2189" s="562">
        <v>3</v>
      </c>
      <c r="F2189" s="562" t="s">
        <v>184</v>
      </c>
      <c r="G2189" s="562" t="s">
        <v>191</v>
      </c>
      <c r="H2189" s="562" t="s">
        <v>191</v>
      </c>
    </row>
    <row r="2190" spans="1:8" x14ac:dyDescent="0.2">
      <c r="A2190" s="562" t="s">
        <v>262</v>
      </c>
      <c r="B2190" s="562" t="s">
        <v>1603</v>
      </c>
      <c r="C2190" s="562" t="s">
        <v>1632</v>
      </c>
      <c r="D2190" s="562">
        <v>3</v>
      </c>
      <c r="E2190" s="562">
        <v>3</v>
      </c>
      <c r="F2190" s="562" t="s">
        <v>184</v>
      </c>
      <c r="G2190" s="562" t="s">
        <v>191</v>
      </c>
      <c r="H2190" s="562" t="s">
        <v>191</v>
      </c>
    </row>
    <row r="2191" spans="1:8" x14ac:dyDescent="0.2">
      <c r="A2191" s="562" t="s">
        <v>262</v>
      </c>
      <c r="B2191" s="562" t="s">
        <v>1603</v>
      </c>
      <c r="C2191" s="562" t="s">
        <v>930</v>
      </c>
      <c r="D2191" s="562">
        <v>3</v>
      </c>
      <c r="E2191" s="562">
        <v>3</v>
      </c>
      <c r="F2191" s="562" t="s">
        <v>184</v>
      </c>
      <c r="G2191" s="562" t="s">
        <v>191</v>
      </c>
      <c r="H2191" s="562" t="s">
        <v>191</v>
      </c>
    </row>
    <row r="2192" spans="1:8" x14ac:dyDescent="0.2">
      <c r="A2192" s="562" t="s">
        <v>262</v>
      </c>
      <c r="B2192" s="562" t="s">
        <v>1603</v>
      </c>
      <c r="C2192" s="562" t="s">
        <v>932</v>
      </c>
      <c r="D2192" s="562">
        <v>3</v>
      </c>
      <c r="E2192" s="562">
        <v>3</v>
      </c>
      <c r="F2192" s="562" t="s">
        <v>184</v>
      </c>
      <c r="G2192" s="562" t="s">
        <v>191</v>
      </c>
      <c r="H2192" s="562" t="s">
        <v>191</v>
      </c>
    </row>
    <row r="2193" spans="1:8" x14ac:dyDescent="0.2">
      <c r="A2193" s="562" t="s">
        <v>262</v>
      </c>
      <c r="B2193" s="562" t="s">
        <v>1603</v>
      </c>
      <c r="C2193" s="562" t="s">
        <v>933</v>
      </c>
      <c r="D2193" s="562">
        <v>3</v>
      </c>
      <c r="E2193" s="562">
        <v>3</v>
      </c>
      <c r="F2193" s="562" t="s">
        <v>184</v>
      </c>
      <c r="G2193" s="562" t="s">
        <v>191</v>
      </c>
      <c r="H2193" s="562" t="s">
        <v>191</v>
      </c>
    </row>
    <row r="2194" spans="1:8" x14ac:dyDescent="0.2">
      <c r="A2194" s="562" t="s">
        <v>262</v>
      </c>
      <c r="B2194" s="562" t="s">
        <v>1603</v>
      </c>
      <c r="C2194" s="562" t="s">
        <v>1633</v>
      </c>
      <c r="D2194" s="562">
        <v>3</v>
      </c>
      <c r="E2194" s="562">
        <v>3</v>
      </c>
      <c r="F2194" s="562" t="s">
        <v>184</v>
      </c>
      <c r="G2194" s="562" t="s">
        <v>191</v>
      </c>
      <c r="H2194" s="562" t="s">
        <v>191</v>
      </c>
    </row>
    <row r="2195" spans="1:8" x14ac:dyDescent="0.2">
      <c r="A2195" s="562" t="s">
        <v>262</v>
      </c>
      <c r="B2195" s="562" t="s">
        <v>1603</v>
      </c>
      <c r="C2195" s="562" t="s">
        <v>1634</v>
      </c>
      <c r="D2195" s="562">
        <v>3</v>
      </c>
      <c r="E2195" s="562">
        <v>3</v>
      </c>
      <c r="F2195" s="562" t="s">
        <v>184</v>
      </c>
      <c r="G2195" s="562" t="s">
        <v>191</v>
      </c>
      <c r="H2195" s="562" t="s">
        <v>191</v>
      </c>
    </row>
    <row r="2196" spans="1:8" x14ac:dyDescent="0.2">
      <c r="A2196" s="562" t="s">
        <v>262</v>
      </c>
      <c r="B2196" s="562" t="s">
        <v>1603</v>
      </c>
      <c r="C2196" s="562" t="s">
        <v>1250</v>
      </c>
      <c r="D2196" s="562">
        <v>3</v>
      </c>
      <c r="E2196" s="562">
        <v>3</v>
      </c>
      <c r="F2196" s="562" t="s">
        <v>184</v>
      </c>
      <c r="G2196" s="562" t="s">
        <v>191</v>
      </c>
      <c r="H2196" s="562" t="s">
        <v>191</v>
      </c>
    </row>
    <row r="2197" spans="1:8" x14ac:dyDescent="0.2">
      <c r="A2197" s="562" t="s">
        <v>262</v>
      </c>
      <c r="B2197" s="562" t="s">
        <v>1603</v>
      </c>
      <c r="C2197" s="562" t="s">
        <v>934</v>
      </c>
      <c r="D2197" s="562">
        <v>3</v>
      </c>
      <c r="E2197" s="562">
        <v>3</v>
      </c>
      <c r="F2197" s="562" t="s">
        <v>184</v>
      </c>
      <c r="G2197" s="562" t="s">
        <v>191</v>
      </c>
      <c r="H2197" s="562" t="s">
        <v>191</v>
      </c>
    </row>
    <row r="2198" spans="1:8" x14ac:dyDescent="0.2">
      <c r="A2198" s="562" t="s">
        <v>262</v>
      </c>
      <c r="B2198" s="562" t="s">
        <v>1603</v>
      </c>
      <c r="C2198" s="562" t="s">
        <v>1635</v>
      </c>
      <c r="D2198" s="562">
        <v>3</v>
      </c>
      <c r="E2198" s="562">
        <v>3</v>
      </c>
      <c r="F2198" s="562" t="s">
        <v>184</v>
      </c>
      <c r="G2198" s="562" t="s">
        <v>191</v>
      </c>
      <c r="H2198" s="562" t="s">
        <v>191</v>
      </c>
    </row>
    <row r="2199" spans="1:8" x14ac:dyDescent="0.2">
      <c r="A2199" s="562" t="s">
        <v>262</v>
      </c>
      <c r="B2199" s="562" t="s">
        <v>1603</v>
      </c>
      <c r="C2199" s="562" t="s">
        <v>1636</v>
      </c>
      <c r="D2199" s="562">
        <v>3</v>
      </c>
      <c r="E2199" s="562">
        <v>3</v>
      </c>
      <c r="F2199" s="562" t="s">
        <v>184</v>
      </c>
      <c r="G2199" s="562" t="s">
        <v>191</v>
      </c>
      <c r="H2199" s="562" t="s">
        <v>191</v>
      </c>
    </row>
    <row r="2200" spans="1:8" x14ac:dyDescent="0.2">
      <c r="A2200" s="562" t="s">
        <v>262</v>
      </c>
      <c r="B2200" s="562" t="s">
        <v>1603</v>
      </c>
      <c r="C2200" s="562" t="s">
        <v>1637</v>
      </c>
      <c r="D2200" s="562">
        <v>3</v>
      </c>
      <c r="E2200" s="562">
        <v>3</v>
      </c>
      <c r="F2200" s="562" t="s">
        <v>184</v>
      </c>
      <c r="G2200" s="562" t="s">
        <v>191</v>
      </c>
      <c r="H2200" s="562" t="s">
        <v>191</v>
      </c>
    </row>
    <row r="2201" spans="1:8" x14ac:dyDescent="0.2">
      <c r="A2201" s="562" t="s">
        <v>262</v>
      </c>
      <c r="B2201" s="562" t="s">
        <v>1603</v>
      </c>
      <c r="C2201" s="562" t="s">
        <v>591</v>
      </c>
      <c r="D2201" s="562">
        <v>3</v>
      </c>
      <c r="E2201" s="562">
        <v>3</v>
      </c>
      <c r="F2201" s="562" t="s">
        <v>184</v>
      </c>
      <c r="G2201" s="562" t="s">
        <v>191</v>
      </c>
      <c r="H2201" s="562" t="s">
        <v>191</v>
      </c>
    </row>
    <row r="2202" spans="1:8" x14ac:dyDescent="0.2">
      <c r="A2202" s="562" t="s">
        <v>262</v>
      </c>
      <c r="B2202" s="562" t="s">
        <v>1603</v>
      </c>
      <c r="C2202" s="562" t="s">
        <v>1638</v>
      </c>
      <c r="D2202" s="562">
        <v>2</v>
      </c>
      <c r="E2202" s="562">
        <v>3</v>
      </c>
      <c r="F2202" s="562" t="s">
        <v>184</v>
      </c>
      <c r="G2202" s="562" t="s">
        <v>191</v>
      </c>
      <c r="H2202" s="562" t="s">
        <v>191</v>
      </c>
    </row>
    <row r="2203" spans="1:8" x14ac:dyDescent="0.2">
      <c r="A2203" s="562" t="s">
        <v>262</v>
      </c>
      <c r="B2203" s="562" t="s">
        <v>1603</v>
      </c>
      <c r="C2203" s="562" t="s">
        <v>682</v>
      </c>
      <c r="D2203" s="562">
        <v>3</v>
      </c>
      <c r="E2203" s="562">
        <v>3</v>
      </c>
      <c r="F2203" s="562" t="s">
        <v>184</v>
      </c>
      <c r="G2203" s="562" t="s">
        <v>191</v>
      </c>
      <c r="H2203" s="562" t="s">
        <v>191</v>
      </c>
    </row>
    <row r="2204" spans="1:8" x14ac:dyDescent="0.2">
      <c r="A2204" s="562" t="s">
        <v>262</v>
      </c>
      <c r="B2204" s="562" t="s">
        <v>1603</v>
      </c>
      <c r="C2204" s="562" t="s">
        <v>1302</v>
      </c>
      <c r="D2204" s="562">
        <v>2</v>
      </c>
      <c r="E2204" s="562">
        <v>4</v>
      </c>
      <c r="F2204" s="562" t="s">
        <v>345</v>
      </c>
      <c r="G2204" s="562" t="s">
        <v>191</v>
      </c>
      <c r="H2204" s="562" t="s">
        <v>191</v>
      </c>
    </row>
    <row r="2205" spans="1:8" x14ac:dyDescent="0.2">
      <c r="A2205" s="562" t="s">
        <v>262</v>
      </c>
      <c r="B2205" s="562" t="s">
        <v>1603</v>
      </c>
      <c r="C2205" s="562" t="s">
        <v>1639</v>
      </c>
      <c r="D2205" s="562">
        <v>3</v>
      </c>
      <c r="E2205" s="562">
        <v>3</v>
      </c>
      <c r="F2205" s="562" t="s">
        <v>184</v>
      </c>
      <c r="G2205" s="562" t="s">
        <v>191</v>
      </c>
      <c r="H2205" s="562" t="s">
        <v>191</v>
      </c>
    </row>
    <row r="2206" spans="1:8" x14ac:dyDescent="0.2">
      <c r="A2206" s="562" t="s">
        <v>262</v>
      </c>
      <c r="B2206" s="562" t="s">
        <v>1603</v>
      </c>
      <c r="C2206" s="562" t="s">
        <v>1640</v>
      </c>
      <c r="D2206" s="562">
        <v>3</v>
      </c>
      <c r="E2206" s="562">
        <v>3</v>
      </c>
      <c r="F2206" s="562" t="s">
        <v>184</v>
      </c>
      <c r="G2206" s="562" t="s">
        <v>191</v>
      </c>
      <c r="H2206" s="562" t="s">
        <v>191</v>
      </c>
    </row>
    <row r="2207" spans="1:8" x14ac:dyDescent="0.2">
      <c r="A2207" s="562" t="s">
        <v>262</v>
      </c>
      <c r="B2207" s="562" t="s">
        <v>1603</v>
      </c>
      <c r="C2207" s="562" t="s">
        <v>1641</v>
      </c>
      <c r="D2207" s="562">
        <v>3</v>
      </c>
      <c r="E2207" s="562">
        <v>3</v>
      </c>
      <c r="F2207" s="562" t="s">
        <v>184</v>
      </c>
      <c r="G2207" s="562" t="s">
        <v>191</v>
      </c>
      <c r="H2207" s="562" t="s">
        <v>191</v>
      </c>
    </row>
    <row r="2208" spans="1:8" x14ac:dyDescent="0.2">
      <c r="A2208" s="562" t="s">
        <v>262</v>
      </c>
      <c r="B2208" s="562" t="s">
        <v>1603</v>
      </c>
      <c r="C2208" s="562" t="s">
        <v>309</v>
      </c>
      <c r="D2208" s="562">
        <v>3</v>
      </c>
      <c r="E2208" s="562">
        <v>3</v>
      </c>
      <c r="F2208" s="562" t="s">
        <v>184</v>
      </c>
      <c r="G2208" s="562" t="s">
        <v>191</v>
      </c>
      <c r="H2208" s="562" t="s">
        <v>191</v>
      </c>
    </row>
    <row r="2209" spans="1:8" x14ac:dyDescent="0.2">
      <c r="A2209" s="562" t="s">
        <v>262</v>
      </c>
      <c r="B2209" s="562" t="s">
        <v>1603</v>
      </c>
      <c r="C2209" s="562" t="s">
        <v>1642</v>
      </c>
      <c r="D2209" s="562">
        <v>3</v>
      </c>
      <c r="E2209" s="562">
        <v>3</v>
      </c>
      <c r="F2209" s="562" t="s">
        <v>184</v>
      </c>
      <c r="G2209" s="562" t="s">
        <v>191</v>
      </c>
      <c r="H2209" s="562" t="s">
        <v>191</v>
      </c>
    </row>
    <row r="2210" spans="1:8" x14ac:dyDescent="0.2">
      <c r="A2210" s="562" t="s">
        <v>262</v>
      </c>
      <c r="B2210" s="562" t="s">
        <v>1603</v>
      </c>
      <c r="C2210" s="562" t="s">
        <v>1643</v>
      </c>
      <c r="D2210" s="562">
        <v>3</v>
      </c>
      <c r="E2210" s="562">
        <v>3</v>
      </c>
      <c r="F2210" s="562" t="s">
        <v>184</v>
      </c>
      <c r="G2210" s="562" t="s">
        <v>191</v>
      </c>
      <c r="H2210" s="562" t="s">
        <v>191</v>
      </c>
    </row>
    <row r="2211" spans="1:8" x14ac:dyDescent="0.2">
      <c r="A2211" s="562" t="s">
        <v>262</v>
      </c>
      <c r="B2211" s="562" t="s">
        <v>1603</v>
      </c>
      <c r="C2211" s="562" t="s">
        <v>1644</v>
      </c>
      <c r="D2211" s="562">
        <v>3</v>
      </c>
      <c r="E2211" s="562">
        <v>3</v>
      </c>
      <c r="F2211" s="562" t="s">
        <v>184</v>
      </c>
      <c r="G2211" s="562" t="s">
        <v>191</v>
      </c>
      <c r="H2211" s="562" t="s">
        <v>191</v>
      </c>
    </row>
    <row r="2212" spans="1:8" x14ac:dyDescent="0.2">
      <c r="A2212" s="562" t="s">
        <v>264</v>
      </c>
      <c r="B2212" s="562" t="s">
        <v>1645</v>
      </c>
      <c r="C2212" s="562" t="s">
        <v>549</v>
      </c>
      <c r="D2212" s="562">
        <v>2</v>
      </c>
      <c r="E2212" s="562">
        <v>5</v>
      </c>
      <c r="F2212" s="562" t="s">
        <v>345</v>
      </c>
      <c r="G2212" s="562" t="s">
        <v>191</v>
      </c>
      <c r="H2212" s="562" t="s">
        <v>191</v>
      </c>
    </row>
    <row r="2213" spans="1:8" x14ac:dyDescent="0.2">
      <c r="A2213" s="562" t="s">
        <v>264</v>
      </c>
      <c r="B2213" s="562" t="s">
        <v>1645</v>
      </c>
      <c r="C2213" s="562" t="s">
        <v>364</v>
      </c>
      <c r="D2213" s="562">
        <v>3</v>
      </c>
      <c r="E2213" s="562">
        <v>4</v>
      </c>
      <c r="F2213" s="562" t="s">
        <v>420</v>
      </c>
      <c r="G2213" s="562" t="s">
        <v>191</v>
      </c>
      <c r="H2213" s="562" t="s">
        <v>191</v>
      </c>
    </row>
    <row r="2214" spans="1:8" x14ac:dyDescent="0.2">
      <c r="A2214" s="562" t="s">
        <v>264</v>
      </c>
      <c r="B2214" s="562" t="s">
        <v>1645</v>
      </c>
      <c r="C2214" s="562" t="s">
        <v>1646</v>
      </c>
      <c r="D2214" s="562">
        <v>3</v>
      </c>
      <c r="E2214" s="562">
        <v>4</v>
      </c>
      <c r="F2214" s="562" t="s">
        <v>420</v>
      </c>
      <c r="G2214" s="562" t="s">
        <v>191</v>
      </c>
      <c r="H2214" s="562" t="s">
        <v>191</v>
      </c>
    </row>
    <row r="2215" spans="1:8" x14ac:dyDescent="0.2">
      <c r="A2215" s="562" t="s">
        <v>264</v>
      </c>
      <c r="B2215" s="562" t="s">
        <v>1645</v>
      </c>
      <c r="C2215" s="562" t="s">
        <v>1647</v>
      </c>
      <c r="D2215" s="562">
        <v>2</v>
      </c>
      <c r="E2215" s="562">
        <v>4</v>
      </c>
      <c r="F2215" s="562" t="s">
        <v>420</v>
      </c>
      <c r="G2215" s="562" t="s">
        <v>191</v>
      </c>
      <c r="H2215" s="562" t="s">
        <v>191</v>
      </c>
    </row>
    <row r="2216" spans="1:8" x14ac:dyDescent="0.2">
      <c r="A2216" s="562" t="s">
        <v>264</v>
      </c>
      <c r="B2216" s="562" t="s">
        <v>1645</v>
      </c>
      <c r="C2216" s="562" t="s">
        <v>371</v>
      </c>
      <c r="D2216" s="562">
        <v>2</v>
      </c>
      <c r="E2216" s="562">
        <v>4</v>
      </c>
      <c r="F2216" s="562" t="s">
        <v>420</v>
      </c>
      <c r="G2216" s="562" t="s">
        <v>191</v>
      </c>
      <c r="H2216" s="562" t="s">
        <v>191</v>
      </c>
    </row>
    <row r="2217" spans="1:8" x14ac:dyDescent="0.2">
      <c r="A2217" s="562" t="s">
        <v>264</v>
      </c>
      <c r="B2217" s="562" t="s">
        <v>1645</v>
      </c>
      <c r="C2217" s="562" t="s">
        <v>1396</v>
      </c>
      <c r="D2217" s="562">
        <v>3</v>
      </c>
      <c r="E2217" s="562">
        <v>4</v>
      </c>
      <c r="F2217" s="562" t="s">
        <v>420</v>
      </c>
      <c r="G2217" s="562" t="s">
        <v>191</v>
      </c>
      <c r="H2217" s="562" t="s">
        <v>191</v>
      </c>
    </row>
    <row r="2218" spans="1:8" x14ac:dyDescent="0.2">
      <c r="A2218" s="562" t="s">
        <v>264</v>
      </c>
      <c r="B2218" s="562" t="s">
        <v>1645</v>
      </c>
      <c r="C2218" s="562" t="s">
        <v>1648</v>
      </c>
      <c r="D2218" s="562">
        <v>2</v>
      </c>
      <c r="E2218" s="562">
        <v>5</v>
      </c>
      <c r="F2218" s="562" t="s">
        <v>345</v>
      </c>
      <c r="G2218" s="562" t="s">
        <v>191</v>
      </c>
      <c r="H2218" s="562" t="s">
        <v>191</v>
      </c>
    </row>
    <row r="2219" spans="1:8" x14ac:dyDescent="0.2">
      <c r="A2219" s="562" t="s">
        <v>264</v>
      </c>
      <c r="B2219" s="562" t="s">
        <v>1645</v>
      </c>
      <c r="C2219" s="562" t="s">
        <v>1418</v>
      </c>
      <c r="D2219" s="562">
        <v>3</v>
      </c>
      <c r="E2219" s="562">
        <v>4</v>
      </c>
      <c r="F2219" s="562" t="s">
        <v>420</v>
      </c>
      <c r="G2219" s="562" t="s">
        <v>191</v>
      </c>
      <c r="H2219" s="562" t="s">
        <v>191</v>
      </c>
    </row>
    <row r="2220" spans="1:8" x14ac:dyDescent="0.2">
      <c r="A2220" s="562" t="s">
        <v>264</v>
      </c>
      <c r="B2220" s="562" t="s">
        <v>1645</v>
      </c>
      <c r="C2220" s="562" t="s">
        <v>1649</v>
      </c>
      <c r="D2220" s="562">
        <v>3</v>
      </c>
      <c r="E2220" s="562">
        <v>5</v>
      </c>
      <c r="F2220" s="562" t="s">
        <v>345</v>
      </c>
      <c r="G2220" s="562" t="s">
        <v>191</v>
      </c>
      <c r="H2220" s="562" t="s">
        <v>191</v>
      </c>
    </row>
    <row r="2221" spans="1:8" x14ac:dyDescent="0.2">
      <c r="A2221" s="562" t="s">
        <v>264</v>
      </c>
      <c r="B2221" s="562" t="s">
        <v>1645</v>
      </c>
      <c r="C2221" s="562" t="s">
        <v>495</v>
      </c>
      <c r="D2221" s="562">
        <v>3</v>
      </c>
      <c r="E2221" s="562">
        <v>4</v>
      </c>
      <c r="F2221" s="562" t="s">
        <v>420</v>
      </c>
      <c r="G2221" s="562" t="s">
        <v>191</v>
      </c>
      <c r="H2221" s="562" t="s">
        <v>191</v>
      </c>
    </row>
    <row r="2222" spans="1:8" x14ac:dyDescent="0.2">
      <c r="A2222" s="562" t="s">
        <v>264</v>
      </c>
      <c r="B2222" s="562" t="s">
        <v>1645</v>
      </c>
      <c r="C2222" s="562" t="s">
        <v>1650</v>
      </c>
      <c r="D2222" s="562">
        <v>2</v>
      </c>
      <c r="E2222" s="562">
        <v>5</v>
      </c>
      <c r="F2222" s="562" t="s">
        <v>345</v>
      </c>
      <c r="G2222" s="562" t="s">
        <v>191</v>
      </c>
      <c r="H2222" s="562" t="s">
        <v>191</v>
      </c>
    </row>
    <row r="2223" spans="1:8" x14ac:dyDescent="0.2">
      <c r="A2223" s="562" t="s">
        <v>264</v>
      </c>
      <c r="B2223" s="562" t="s">
        <v>1645</v>
      </c>
      <c r="C2223" s="562" t="s">
        <v>382</v>
      </c>
      <c r="D2223" s="562">
        <v>2</v>
      </c>
      <c r="E2223" s="562">
        <v>5</v>
      </c>
      <c r="F2223" s="562" t="s">
        <v>345</v>
      </c>
      <c r="G2223" s="562" t="s">
        <v>191</v>
      </c>
      <c r="H2223" s="562" t="s">
        <v>191</v>
      </c>
    </row>
    <row r="2224" spans="1:8" x14ac:dyDescent="0.2">
      <c r="A2224" s="562" t="s">
        <v>264</v>
      </c>
      <c r="B2224" s="562" t="s">
        <v>1645</v>
      </c>
      <c r="C2224" s="562" t="s">
        <v>1651</v>
      </c>
      <c r="D2224" s="562">
        <v>2</v>
      </c>
      <c r="E2224" s="562">
        <v>5</v>
      </c>
      <c r="F2224" s="562" t="s">
        <v>345</v>
      </c>
      <c r="G2224" s="562" t="s">
        <v>191</v>
      </c>
      <c r="H2224" s="562" t="s">
        <v>191</v>
      </c>
    </row>
    <row r="2225" spans="1:8" x14ac:dyDescent="0.2">
      <c r="A2225" s="562" t="s">
        <v>264</v>
      </c>
      <c r="B2225" s="562" t="s">
        <v>1645</v>
      </c>
      <c r="C2225" s="562" t="s">
        <v>1652</v>
      </c>
      <c r="D2225" s="562">
        <v>2</v>
      </c>
      <c r="E2225" s="562">
        <v>5</v>
      </c>
      <c r="F2225" s="562" t="s">
        <v>345</v>
      </c>
      <c r="G2225" s="562" t="s">
        <v>191</v>
      </c>
      <c r="H2225" s="562" t="s">
        <v>191</v>
      </c>
    </row>
    <row r="2226" spans="1:8" x14ac:dyDescent="0.2">
      <c r="A2226" s="562" t="s">
        <v>264</v>
      </c>
      <c r="B2226" s="562" t="s">
        <v>1645</v>
      </c>
      <c r="C2226" s="562" t="s">
        <v>259</v>
      </c>
      <c r="D2226" s="562">
        <v>3</v>
      </c>
      <c r="E2226" s="562">
        <v>4</v>
      </c>
      <c r="F2226" s="562" t="s">
        <v>420</v>
      </c>
      <c r="G2226" s="562" t="s">
        <v>191</v>
      </c>
      <c r="H2226" s="562" t="s">
        <v>191</v>
      </c>
    </row>
    <row r="2227" spans="1:8" x14ac:dyDescent="0.2">
      <c r="A2227" s="562" t="s">
        <v>264</v>
      </c>
      <c r="B2227" s="562" t="s">
        <v>1645</v>
      </c>
      <c r="C2227" s="562" t="s">
        <v>261</v>
      </c>
      <c r="D2227" s="562">
        <v>2</v>
      </c>
      <c r="E2227" s="562">
        <v>5</v>
      </c>
      <c r="F2227" s="562" t="s">
        <v>345</v>
      </c>
      <c r="G2227" s="562" t="s">
        <v>191</v>
      </c>
      <c r="H2227" s="562" t="s">
        <v>191</v>
      </c>
    </row>
    <row r="2228" spans="1:8" x14ac:dyDescent="0.2">
      <c r="A2228" s="562" t="s">
        <v>264</v>
      </c>
      <c r="B2228" s="562" t="s">
        <v>1645</v>
      </c>
      <c r="C2228" s="562" t="s">
        <v>1653</v>
      </c>
      <c r="D2228" s="562">
        <v>3</v>
      </c>
      <c r="E2228" s="562">
        <v>4</v>
      </c>
      <c r="F2228" s="562" t="s">
        <v>420</v>
      </c>
      <c r="G2228" s="562" t="s">
        <v>191</v>
      </c>
      <c r="H2228" s="562" t="s">
        <v>191</v>
      </c>
    </row>
    <row r="2229" spans="1:8" x14ac:dyDescent="0.2">
      <c r="A2229" s="562" t="s">
        <v>264</v>
      </c>
      <c r="B2229" s="562" t="s">
        <v>1645</v>
      </c>
      <c r="C2229" s="562" t="s">
        <v>1654</v>
      </c>
      <c r="D2229" s="562">
        <v>2</v>
      </c>
      <c r="E2229" s="562">
        <v>5</v>
      </c>
      <c r="F2229" s="562" t="s">
        <v>345</v>
      </c>
      <c r="G2229" s="562" t="s">
        <v>191</v>
      </c>
      <c r="H2229" s="562" t="s">
        <v>191</v>
      </c>
    </row>
    <row r="2230" spans="1:8" x14ac:dyDescent="0.2">
      <c r="A2230" s="562" t="s">
        <v>264</v>
      </c>
      <c r="B2230" s="562" t="s">
        <v>1645</v>
      </c>
      <c r="C2230" s="562" t="s">
        <v>436</v>
      </c>
      <c r="D2230" s="562">
        <v>2</v>
      </c>
      <c r="E2230" s="562">
        <v>5</v>
      </c>
      <c r="F2230" s="562" t="s">
        <v>345</v>
      </c>
      <c r="G2230" s="562" t="s">
        <v>191</v>
      </c>
      <c r="H2230" s="562" t="s">
        <v>191</v>
      </c>
    </row>
    <row r="2231" spans="1:8" x14ac:dyDescent="0.2">
      <c r="A2231" s="562" t="s">
        <v>264</v>
      </c>
      <c r="B2231" s="562" t="s">
        <v>1645</v>
      </c>
      <c r="C2231" s="562" t="s">
        <v>920</v>
      </c>
      <c r="D2231" s="562">
        <v>3</v>
      </c>
      <c r="E2231" s="562">
        <v>4</v>
      </c>
      <c r="F2231" s="562" t="s">
        <v>420</v>
      </c>
      <c r="G2231" s="562" t="s">
        <v>191</v>
      </c>
      <c r="H2231" s="562" t="s">
        <v>191</v>
      </c>
    </row>
    <row r="2232" spans="1:8" x14ac:dyDescent="0.2">
      <c r="A2232" s="562" t="s">
        <v>264</v>
      </c>
      <c r="B2232" s="562" t="s">
        <v>1645</v>
      </c>
      <c r="C2232" s="562" t="s">
        <v>390</v>
      </c>
      <c r="D2232" s="562">
        <v>3</v>
      </c>
      <c r="E2232" s="562">
        <v>4</v>
      </c>
      <c r="F2232" s="562" t="s">
        <v>420</v>
      </c>
      <c r="G2232" s="562" t="s">
        <v>191</v>
      </c>
      <c r="H2232" s="562" t="s">
        <v>191</v>
      </c>
    </row>
    <row r="2233" spans="1:8" x14ac:dyDescent="0.2">
      <c r="A2233" s="562" t="s">
        <v>264</v>
      </c>
      <c r="B2233" s="562" t="s">
        <v>1645</v>
      </c>
      <c r="C2233" s="562" t="s">
        <v>866</v>
      </c>
      <c r="D2233" s="562">
        <v>3</v>
      </c>
      <c r="E2233" s="562">
        <v>4</v>
      </c>
      <c r="F2233" s="562" t="s">
        <v>420</v>
      </c>
      <c r="G2233" s="562" t="s">
        <v>191</v>
      </c>
      <c r="H2233" s="562" t="s">
        <v>191</v>
      </c>
    </row>
    <row r="2234" spans="1:8" x14ac:dyDescent="0.2">
      <c r="A2234" s="562" t="s">
        <v>264</v>
      </c>
      <c r="B2234" s="562" t="s">
        <v>1645</v>
      </c>
      <c r="C2234" s="562" t="s">
        <v>1655</v>
      </c>
      <c r="D2234" s="562">
        <v>2</v>
      </c>
      <c r="E2234" s="562">
        <v>5</v>
      </c>
      <c r="F2234" s="562" t="s">
        <v>345</v>
      </c>
      <c r="G2234" s="562" t="s">
        <v>191</v>
      </c>
      <c r="H2234" s="562" t="s">
        <v>191</v>
      </c>
    </row>
    <row r="2235" spans="1:8" x14ac:dyDescent="0.2">
      <c r="A2235" s="562" t="s">
        <v>264</v>
      </c>
      <c r="B2235" s="562" t="s">
        <v>1645</v>
      </c>
      <c r="C2235" s="562" t="s">
        <v>281</v>
      </c>
      <c r="D2235" s="562">
        <v>3</v>
      </c>
      <c r="E2235" s="562">
        <v>4</v>
      </c>
      <c r="F2235" s="562" t="s">
        <v>420</v>
      </c>
      <c r="G2235" s="562" t="s">
        <v>191</v>
      </c>
      <c r="H2235" s="562" t="s">
        <v>191</v>
      </c>
    </row>
    <row r="2236" spans="1:8" x14ac:dyDescent="0.2">
      <c r="A2236" s="562" t="s">
        <v>264</v>
      </c>
      <c r="B2236" s="562" t="s">
        <v>1645</v>
      </c>
      <c r="C2236" s="562" t="s">
        <v>1589</v>
      </c>
      <c r="D2236" s="562">
        <v>2</v>
      </c>
      <c r="E2236" s="562">
        <v>5</v>
      </c>
      <c r="F2236" s="562" t="s">
        <v>345</v>
      </c>
      <c r="G2236" s="562" t="s">
        <v>191</v>
      </c>
      <c r="H2236" s="562" t="s">
        <v>191</v>
      </c>
    </row>
    <row r="2237" spans="1:8" x14ac:dyDescent="0.2">
      <c r="A2237" s="562" t="s">
        <v>264</v>
      </c>
      <c r="B2237" s="562" t="s">
        <v>1645</v>
      </c>
      <c r="C2237" s="562" t="s">
        <v>1656</v>
      </c>
      <c r="D2237" s="562">
        <v>2</v>
      </c>
      <c r="E2237" s="562">
        <v>4</v>
      </c>
      <c r="F2237" s="562" t="s">
        <v>420</v>
      </c>
      <c r="G2237" s="562" t="s">
        <v>191</v>
      </c>
      <c r="H2237" s="562" t="s">
        <v>191</v>
      </c>
    </row>
    <row r="2238" spans="1:8" x14ac:dyDescent="0.2">
      <c r="A2238" s="562" t="s">
        <v>264</v>
      </c>
      <c r="B2238" s="562" t="s">
        <v>1645</v>
      </c>
      <c r="C2238" s="562" t="s">
        <v>401</v>
      </c>
      <c r="D2238" s="562">
        <v>3</v>
      </c>
      <c r="E2238" s="562">
        <v>4</v>
      </c>
      <c r="F2238" s="562" t="s">
        <v>420</v>
      </c>
      <c r="G2238" s="562" t="s">
        <v>191</v>
      </c>
      <c r="H2238" s="562" t="s">
        <v>191</v>
      </c>
    </row>
    <row r="2239" spans="1:8" x14ac:dyDescent="0.2">
      <c r="A2239" s="562" t="s">
        <v>264</v>
      </c>
      <c r="B2239" s="562" t="s">
        <v>1645</v>
      </c>
      <c r="C2239" s="562" t="s">
        <v>945</v>
      </c>
      <c r="D2239" s="562">
        <v>2</v>
      </c>
      <c r="E2239" s="562">
        <v>5</v>
      </c>
      <c r="F2239" s="562" t="s">
        <v>345</v>
      </c>
      <c r="G2239" s="562" t="s">
        <v>191</v>
      </c>
      <c r="H2239" s="562" t="s">
        <v>191</v>
      </c>
    </row>
    <row r="2240" spans="1:8" x14ac:dyDescent="0.2">
      <c r="A2240" s="562" t="s">
        <v>264</v>
      </c>
      <c r="B2240" s="562" t="s">
        <v>1645</v>
      </c>
      <c r="C2240" s="562" t="s">
        <v>1657</v>
      </c>
      <c r="D2240" s="562">
        <v>3</v>
      </c>
      <c r="E2240" s="562">
        <v>4</v>
      </c>
      <c r="F2240" s="562" t="s">
        <v>420</v>
      </c>
      <c r="G2240" s="562" t="s">
        <v>191</v>
      </c>
      <c r="H2240" s="562" t="s">
        <v>191</v>
      </c>
    </row>
    <row r="2241" spans="1:8" x14ac:dyDescent="0.2">
      <c r="A2241" s="562" t="s">
        <v>264</v>
      </c>
      <c r="B2241" s="562" t="s">
        <v>1645</v>
      </c>
      <c r="C2241" s="562" t="s">
        <v>1658</v>
      </c>
      <c r="D2241" s="562">
        <v>2</v>
      </c>
      <c r="E2241" s="562">
        <v>5</v>
      </c>
      <c r="F2241" s="562" t="s">
        <v>345</v>
      </c>
      <c r="G2241" s="562" t="s">
        <v>191</v>
      </c>
      <c r="H2241" s="562" t="s">
        <v>191</v>
      </c>
    </row>
    <row r="2242" spans="1:8" x14ac:dyDescent="0.2">
      <c r="A2242" s="562" t="s">
        <v>264</v>
      </c>
      <c r="B2242" s="562" t="s">
        <v>1645</v>
      </c>
      <c r="C2242" s="562" t="s">
        <v>413</v>
      </c>
      <c r="D2242" s="562">
        <v>2</v>
      </c>
      <c r="E2242" s="562">
        <v>5</v>
      </c>
      <c r="F2242" s="562" t="s">
        <v>345</v>
      </c>
      <c r="G2242" s="562" t="s">
        <v>191</v>
      </c>
      <c r="H2242" s="562" t="s">
        <v>191</v>
      </c>
    </row>
    <row r="2243" spans="1:8" x14ac:dyDescent="0.2">
      <c r="A2243" s="562" t="s">
        <v>264</v>
      </c>
      <c r="B2243" s="562" t="s">
        <v>1645</v>
      </c>
      <c r="C2243" s="562" t="s">
        <v>1659</v>
      </c>
      <c r="D2243" s="562">
        <v>3</v>
      </c>
      <c r="E2243" s="562">
        <v>5</v>
      </c>
      <c r="F2243" s="562" t="s">
        <v>345</v>
      </c>
      <c r="G2243" s="562" t="s">
        <v>191</v>
      </c>
      <c r="H2243" s="562" t="s">
        <v>191</v>
      </c>
    </row>
    <row r="2244" spans="1:8" x14ac:dyDescent="0.2">
      <c r="A2244" s="562" t="s">
        <v>264</v>
      </c>
      <c r="B2244" s="562" t="s">
        <v>1645</v>
      </c>
      <c r="C2244" s="562" t="s">
        <v>1660</v>
      </c>
      <c r="D2244" s="562">
        <v>2</v>
      </c>
      <c r="E2244" s="562">
        <v>5</v>
      </c>
      <c r="F2244" s="562" t="s">
        <v>345</v>
      </c>
      <c r="G2244" s="562" t="s">
        <v>191</v>
      </c>
      <c r="H2244" s="562" t="s">
        <v>191</v>
      </c>
    </row>
    <row r="2245" spans="1:8" x14ac:dyDescent="0.2">
      <c r="A2245" s="562" t="s">
        <v>264</v>
      </c>
      <c r="B2245" s="562" t="s">
        <v>1645</v>
      </c>
      <c r="C2245" s="562" t="s">
        <v>309</v>
      </c>
      <c r="D2245" s="562">
        <v>2</v>
      </c>
      <c r="E2245" s="562">
        <v>4</v>
      </c>
      <c r="F2245" s="562" t="s">
        <v>420</v>
      </c>
      <c r="G2245" s="562" t="s">
        <v>191</v>
      </c>
      <c r="H2245" s="562" t="s">
        <v>191</v>
      </c>
    </row>
    <row r="2246" spans="1:8" x14ac:dyDescent="0.2">
      <c r="A2246" s="562" t="s">
        <v>264</v>
      </c>
      <c r="B2246" s="562" t="s">
        <v>1645</v>
      </c>
      <c r="C2246" s="562" t="s">
        <v>702</v>
      </c>
      <c r="D2246" s="562">
        <v>2</v>
      </c>
      <c r="E2246" s="562">
        <v>5</v>
      </c>
      <c r="F2246" s="562" t="s">
        <v>345</v>
      </c>
      <c r="G2246" s="562" t="s">
        <v>191</v>
      </c>
      <c r="H2246" s="562" t="s">
        <v>191</v>
      </c>
    </row>
    <row r="2247" spans="1:8" x14ac:dyDescent="0.2">
      <c r="A2247" s="562" t="s">
        <v>264</v>
      </c>
      <c r="B2247" s="562" t="s">
        <v>1645</v>
      </c>
      <c r="C2247" s="562" t="s">
        <v>1661</v>
      </c>
      <c r="D2247" s="562">
        <v>2</v>
      </c>
      <c r="E2247" s="562">
        <v>4</v>
      </c>
      <c r="F2247" s="562" t="s">
        <v>420</v>
      </c>
      <c r="G2247" s="562" t="s">
        <v>191</v>
      </c>
      <c r="H2247" s="562" t="s">
        <v>191</v>
      </c>
    </row>
    <row r="2248" spans="1:8" x14ac:dyDescent="0.2">
      <c r="A2248" s="562" t="s">
        <v>266</v>
      </c>
      <c r="B2248" s="562" t="s">
        <v>1662</v>
      </c>
      <c r="C2248" s="562" t="s">
        <v>477</v>
      </c>
      <c r="D2248" s="562">
        <v>1</v>
      </c>
      <c r="E2248" s="562">
        <v>5</v>
      </c>
      <c r="F2248" s="562" t="s">
        <v>184</v>
      </c>
      <c r="G2248" s="562" t="s">
        <v>191</v>
      </c>
      <c r="H2248" s="562" t="s">
        <v>191</v>
      </c>
    </row>
    <row r="2249" spans="1:8" x14ac:dyDescent="0.2">
      <c r="A2249" s="562" t="s">
        <v>266</v>
      </c>
      <c r="B2249" s="562" t="s">
        <v>1662</v>
      </c>
      <c r="C2249" s="562" t="s">
        <v>1663</v>
      </c>
      <c r="D2249" s="562">
        <v>1</v>
      </c>
      <c r="E2249" s="562">
        <v>5</v>
      </c>
      <c r="F2249" s="562" t="s">
        <v>184</v>
      </c>
      <c r="G2249" s="562" t="s">
        <v>191</v>
      </c>
      <c r="H2249" s="562" t="s">
        <v>191</v>
      </c>
    </row>
    <row r="2250" spans="1:8" x14ac:dyDescent="0.2">
      <c r="A2250" s="562" t="s">
        <v>266</v>
      </c>
      <c r="B2250" s="562" t="s">
        <v>1662</v>
      </c>
      <c r="C2250" s="562" t="s">
        <v>1664</v>
      </c>
      <c r="D2250" s="562">
        <v>1</v>
      </c>
      <c r="E2250" s="562">
        <v>5</v>
      </c>
      <c r="F2250" s="562" t="s">
        <v>184</v>
      </c>
      <c r="G2250" s="562" t="s">
        <v>191</v>
      </c>
      <c r="H2250" s="562" t="s">
        <v>191</v>
      </c>
    </row>
    <row r="2251" spans="1:8" x14ac:dyDescent="0.2">
      <c r="A2251" s="562" t="s">
        <v>266</v>
      </c>
      <c r="B2251" s="562" t="s">
        <v>1662</v>
      </c>
      <c r="C2251" s="562" t="s">
        <v>1606</v>
      </c>
      <c r="D2251" s="562">
        <v>1</v>
      </c>
      <c r="E2251" s="562">
        <v>5</v>
      </c>
      <c r="F2251" s="562" t="s">
        <v>184</v>
      </c>
      <c r="G2251" s="562" t="s">
        <v>191</v>
      </c>
      <c r="H2251" s="562" t="s">
        <v>191</v>
      </c>
    </row>
    <row r="2252" spans="1:8" x14ac:dyDescent="0.2">
      <c r="A2252" s="562" t="s">
        <v>266</v>
      </c>
      <c r="B2252" s="562" t="s">
        <v>1662</v>
      </c>
      <c r="C2252" s="562" t="s">
        <v>1665</v>
      </c>
      <c r="D2252" s="562">
        <v>1</v>
      </c>
      <c r="E2252" s="562">
        <v>5</v>
      </c>
      <c r="F2252" s="562" t="s">
        <v>184</v>
      </c>
      <c r="G2252" s="562" t="s">
        <v>191</v>
      </c>
      <c r="H2252" s="562" t="s">
        <v>191</v>
      </c>
    </row>
    <row r="2253" spans="1:8" x14ac:dyDescent="0.2">
      <c r="A2253" s="562" t="s">
        <v>266</v>
      </c>
      <c r="B2253" s="562" t="s">
        <v>1662</v>
      </c>
      <c r="C2253" s="562" t="s">
        <v>1666</v>
      </c>
      <c r="D2253" s="562">
        <v>1</v>
      </c>
      <c r="E2253" s="562">
        <v>5</v>
      </c>
      <c r="F2253" s="562" t="s">
        <v>184</v>
      </c>
      <c r="G2253" s="562" t="s">
        <v>191</v>
      </c>
      <c r="H2253" s="562" t="s">
        <v>191</v>
      </c>
    </row>
    <row r="2254" spans="1:8" x14ac:dyDescent="0.2">
      <c r="A2254" s="562" t="s">
        <v>266</v>
      </c>
      <c r="B2254" s="562" t="s">
        <v>1662</v>
      </c>
      <c r="C2254" s="562" t="s">
        <v>1667</v>
      </c>
      <c r="D2254" s="562">
        <v>1</v>
      </c>
      <c r="E2254" s="562">
        <v>5</v>
      </c>
      <c r="F2254" s="562" t="s">
        <v>184</v>
      </c>
      <c r="G2254" s="562" t="s">
        <v>191</v>
      </c>
      <c r="H2254" s="562" t="s">
        <v>191</v>
      </c>
    </row>
    <row r="2255" spans="1:8" x14ac:dyDescent="0.2">
      <c r="A2255" s="562" t="s">
        <v>266</v>
      </c>
      <c r="B2255" s="562" t="s">
        <v>1662</v>
      </c>
      <c r="C2255" s="562" t="s">
        <v>551</v>
      </c>
      <c r="D2255" s="562">
        <v>1</v>
      </c>
      <c r="E2255" s="562">
        <v>5</v>
      </c>
      <c r="F2255" s="562" t="s">
        <v>184</v>
      </c>
      <c r="G2255" s="562" t="s">
        <v>191</v>
      </c>
      <c r="H2255" s="562" t="s">
        <v>191</v>
      </c>
    </row>
    <row r="2256" spans="1:8" x14ac:dyDescent="0.2">
      <c r="A2256" s="562" t="s">
        <v>266</v>
      </c>
      <c r="B2256" s="562" t="s">
        <v>1662</v>
      </c>
      <c r="C2256" s="562" t="s">
        <v>1668</v>
      </c>
      <c r="D2256" s="562">
        <v>1</v>
      </c>
      <c r="E2256" s="562">
        <v>4</v>
      </c>
      <c r="F2256" s="562" t="s">
        <v>184</v>
      </c>
      <c r="G2256" s="562" t="s">
        <v>191</v>
      </c>
      <c r="H2256" s="562" t="s">
        <v>191</v>
      </c>
    </row>
    <row r="2257" spans="1:8" x14ac:dyDescent="0.2">
      <c r="A2257" s="562" t="s">
        <v>266</v>
      </c>
      <c r="B2257" s="562" t="s">
        <v>1662</v>
      </c>
      <c r="C2257" s="562" t="s">
        <v>202</v>
      </c>
      <c r="D2257" s="562">
        <v>1</v>
      </c>
      <c r="E2257" s="562">
        <v>5</v>
      </c>
      <c r="F2257" s="562" t="s">
        <v>184</v>
      </c>
      <c r="G2257" s="562" t="s">
        <v>191</v>
      </c>
      <c r="H2257" s="562" t="s">
        <v>191</v>
      </c>
    </row>
    <row r="2258" spans="1:8" x14ac:dyDescent="0.2">
      <c r="A2258" s="562" t="s">
        <v>266</v>
      </c>
      <c r="B2258" s="562" t="s">
        <v>1662</v>
      </c>
      <c r="C2258" s="562" t="s">
        <v>1669</v>
      </c>
      <c r="D2258" s="562">
        <v>2</v>
      </c>
      <c r="E2258" s="562">
        <v>5</v>
      </c>
      <c r="F2258" s="562" t="s">
        <v>184</v>
      </c>
      <c r="G2258" s="562" t="s">
        <v>191</v>
      </c>
      <c r="H2258" s="562" t="s">
        <v>191</v>
      </c>
    </row>
    <row r="2259" spans="1:8" x14ac:dyDescent="0.2">
      <c r="A2259" s="562" t="s">
        <v>266</v>
      </c>
      <c r="B2259" s="562" t="s">
        <v>1662</v>
      </c>
      <c r="C2259" s="562" t="s">
        <v>1024</v>
      </c>
      <c r="D2259" s="562">
        <v>1</v>
      </c>
      <c r="E2259" s="562">
        <v>6</v>
      </c>
      <c r="F2259" s="562" t="s">
        <v>184</v>
      </c>
      <c r="G2259" s="562" t="s">
        <v>191</v>
      </c>
      <c r="H2259" s="562" t="s">
        <v>191</v>
      </c>
    </row>
    <row r="2260" spans="1:8" x14ac:dyDescent="0.2">
      <c r="A2260" s="562" t="s">
        <v>266</v>
      </c>
      <c r="B2260" s="562" t="s">
        <v>1662</v>
      </c>
      <c r="C2260" s="562" t="s">
        <v>1307</v>
      </c>
      <c r="D2260" s="562">
        <v>1</v>
      </c>
      <c r="E2260" s="562">
        <v>5</v>
      </c>
      <c r="F2260" s="562" t="s">
        <v>184</v>
      </c>
      <c r="G2260" s="562" t="s">
        <v>191</v>
      </c>
      <c r="H2260" s="562" t="s">
        <v>191</v>
      </c>
    </row>
    <row r="2261" spans="1:8" x14ac:dyDescent="0.2">
      <c r="A2261" s="562" t="s">
        <v>266</v>
      </c>
      <c r="B2261" s="562" t="s">
        <v>1662</v>
      </c>
      <c r="C2261" s="562" t="s">
        <v>1670</v>
      </c>
      <c r="D2261" s="562">
        <v>1</v>
      </c>
      <c r="E2261" s="562">
        <v>5</v>
      </c>
      <c r="F2261" s="562" t="s">
        <v>184</v>
      </c>
      <c r="G2261" s="562" t="s">
        <v>191</v>
      </c>
      <c r="H2261" s="562" t="s">
        <v>191</v>
      </c>
    </row>
    <row r="2262" spans="1:8" x14ac:dyDescent="0.2">
      <c r="A2262" s="562" t="s">
        <v>266</v>
      </c>
      <c r="B2262" s="562" t="s">
        <v>1662</v>
      </c>
      <c r="C2262" s="562" t="s">
        <v>1671</v>
      </c>
      <c r="D2262" s="562">
        <v>1</v>
      </c>
      <c r="E2262" s="562">
        <v>4</v>
      </c>
      <c r="F2262" s="562" t="s">
        <v>184</v>
      </c>
      <c r="G2262" s="562" t="s">
        <v>191</v>
      </c>
      <c r="H2262" s="562" t="s">
        <v>191</v>
      </c>
    </row>
    <row r="2263" spans="1:8" x14ac:dyDescent="0.2">
      <c r="A2263" s="562" t="s">
        <v>266</v>
      </c>
      <c r="B2263" s="562" t="s">
        <v>1662</v>
      </c>
      <c r="C2263" s="562" t="s">
        <v>1672</v>
      </c>
      <c r="D2263" s="562">
        <v>1</v>
      </c>
      <c r="E2263" s="562">
        <v>5</v>
      </c>
      <c r="F2263" s="562" t="s">
        <v>184</v>
      </c>
      <c r="G2263" s="562" t="s">
        <v>191</v>
      </c>
      <c r="H2263" s="562" t="s">
        <v>191</v>
      </c>
    </row>
    <row r="2264" spans="1:8" x14ac:dyDescent="0.2">
      <c r="A2264" s="562" t="s">
        <v>266</v>
      </c>
      <c r="B2264" s="562" t="s">
        <v>1662</v>
      </c>
      <c r="C2264" s="562" t="s">
        <v>1673</v>
      </c>
      <c r="D2264" s="562">
        <v>1</v>
      </c>
      <c r="E2264" s="562">
        <v>6</v>
      </c>
      <c r="F2264" s="562" t="s">
        <v>184</v>
      </c>
      <c r="G2264" s="562" t="s">
        <v>191</v>
      </c>
      <c r="H2264" s="562" t="s">
        <v>191</v>
      </c>
    </row>
    <row r="2265" spans="1:8" x14ac:dyDescent="0.2">
      <c r="A2265" s="562" t="s">
        <v>266</v>
      </c>
      <c r="B2265" s="562" t="s">
        <v>1662</v>
      </c>
      <c r="C2265" s="562" t="s">
        <v>755</v>
      </c>
      <c r="D2265" s="562">
        <v>1</v>
      </c>
      <c r="E2265" s="562">
        <v>5</v>
      </c>
      <c r="F2265" s="562" t="s">
        <v>184</v>
      </c>
      <c r="G2265" s="562" t="s">
        <v>191</v>
      </c>
      <c r="H2265" s="562" t="s">
        <v>191</v>
      </c>
    </row>
    <row r="2266" spans="1:8" x14ac:dyDescent="0.2">
      <c r="A2266" s="562" t="s">
        <v>266</v>
      </c>
      <c r="B2266" s="562" t="s">
        <v>1662</v>
      </c>
      <c r="C2266" s="562" t="s">
        <v>371</v>
      </c>
      <c r="D2266" s="562">
        <v>1</v>
      </c>
      <c r="E2266" s="562">
        <v>5</v>
      </c>
      <c r="F2266" s="562" t="s">
        <v>184</v>
      </c>
      <c r="G2266" s="562" t="s">
        <v>191</v>
      </c>
      <c r="H2266" s="562" t="s">
        <v>191</v>
      </c>
    </row>
    <row r="2267" spans="1:8" x14ac:dyDescent="0.2">
      <c r="A2267" s="562" t="s">
        <v>266</v>
      </c>
      <c r="B2267" s="562" t="s">
        <v>1662</v>
      </c>
      <c r="C2267" s="562" t="s">
        <v>374</v>
      </c>
      <c r="D2267" s="562">
        <v>2</v>
      </c>
      <c r="E2267" s="562">
        <v>5</v>
      </c>
      <c r="F2267" s="562" t="s">
        <v>184</v>
      </c>
      <c r="G2267" s="562" t="s">
        <v>191</v>
      </c>
      <c r="H2267" s="562" t="s">
        <v>191</v>
      </c>
    </row>
    <row r="2268" spans="1:8" x14ac:dyDescent="0.2">
      <c r="A2268" s="562" t="s">
        <v>266</v>
      </c>
      <c r="B2268" s="562" t="s">
        <v>1662</v>
      </c>
      <c r="C2268" s="562" t="s">
        <v>757</v>
      </c>
      <c r="D2268" s="562">
        <v>1</v>
      </c>
      <c r="E2268" s="562">
        <v>5</v>
      </c>
      <c r="F2268" s="562" t="s">
        <v>184</v>
      </c>
      <c r="G2268" s="562" t="s">
        <v>191</v>
      </c>
      <c r="H2268" s="562" t="s">
        <v>191</v>
      </c>
    </row>
    <row r="2269" spans="1:8" x14ac:dyDescent="0.2">
      <c r="A2269" s="562" t="s">
        <v>266</v>
      </c>
      <c r="B2269" s="562" t="s">
        <v>1662</v>
      </c>
      <c r="C2269" s="562" t="s">
        <v>1674</v>
      </c>
      <c r="D2269" s="562">
        <v>1</v>
      </c>
      <c r="E2269" s="562">
        <v>5</v>
      </c>
      <c r="F2269" s="562" t="s">
        <v>184</v>
      </c>
      <c r="G2269" s="562" t="s">
        <v>191</v>
      </c>
      <c r="H2269" s="562" t="s">
        <v>191</v>
      </c>
    </row>
    <row r="2270" spans="1:8" x14ac:dyDescent="0.2">
      <c r="A2270" s="562" t="s">
        <v>266</v>
      </c>
      <c r="B2270" s="562" t="s">
        <v>1662</v>
      </c>
      <c r="C2270" s="562" t="s">
        <v>808</v>
      </c>
      <c r="D2270" s="562">
        <v>1</v>
      </c>
      <c r="E2270" s="562">
        <v>4</v>
      </c>
      <c r="F2270" s="562" t="s">
        <v>184</v>
      </c>
      <c r="G2270" s="562" t="s">
        <v>191</v>
      </c>
      <c r="H2270" s="562" t="s">
        <v>191</v>
      </c>
    </row>
    <row r="2271" spans="1:8" x14ac:dyDescent="0.2">
      <c r="A2271" s="562" t="s">
        <v>266</v>
      </c>
      <c r="B2271" s="562" t="s">
        <v>1662</v>
      </c>
      <c r="C2271" s="562" t="s">
        <v>903</v>
      </c>
      <c r="D2271" s="562">
        <v>2</v>
      </c>
      <c r="E2271" s="562">
        <v>6</v>
      </c>
      <c r="F2271" s="562" t="s">
        <v>184</v>
      </c>
      <c r="G2271" s="562" t="s">
        <v>191</v>
      </c>
      <c r="H2271" s="562" t="s">
        <v>191</v>
      </c>
    </row>
    <row r="2272" spans="1:8" x14ac:dyDescent="0.2">
      <c r="A2272" s="562" t="s">
        <v>266</v>
      </c>
      <c r="B2272" s="562" t="s">
        <v>1662</v>
      </c>
      <c r="C2272" s="562" t="s">
        <v>1448</v>
      </c>
      <c r="D2272" s="562">
        <v>2</v>
      </c>
      <c r="E2272" s="562">
        <v>5</v>
      </c>
      <c r="F2272" s="562" t="s">
        <v>184</v>
      </c>
      <c r="G2272" s="562" t="s">
        <v>191</v>
      </c>
      <c r="H2272" s="562" t="s">
        <v>191</v>
      </c>
    </row>
    <row r="2273" spans="1:8" x14ac:dyDescent="0.2">
      <c r="A2273" s="562" t="s">
        <v>266</v>
      </c>
      <c r="B2273" s="562" t="s">
        <v>1662</v>
      </c>
      <c r="C2273" s="562" t="s">
        <v>246</v>
      </c>
      <c r="D2273" s="562">
        <v>2</v>
      </c>
      <c r="E2273" s="562">
        <v>5</v>
      </c>
      <c r="F2273" s="562" t="s">
        <v>184</v>
      </c>
      <c r="G2273" s="562" t="s">
        <v>191</v>
      </c>
      <c r="H2273" s="562" t="s">
        <v>191</v>
      </c>
    </row>
    <row r="2274" spans="1:8" x14ac:dyDescent="0.2">
      <c r="A2274" s="562" t="s">
        <v>266</v>
      </c>
      <c r="B2274" s="562" t="s">
        <v>1662</v>
      </c>
      <c r="C2274" s="562" t="s">
        <v>1675</v>
      </c>
      <c r="D2274" s="562">
        <v>2</v>
      </c>
      <c r="E2274" s="562">
        <v>5</v>
      </c>
      <c r="F2274" s="562" t="s">
        <v>184</v>
      </c>
      <c r="G2274" s="562" t="s">
        <v>191</v>
      </c>
      <c r="H2274" s="562" t="s">
        <v>191</v>
      </c>
    </row>
    <row r="2275" spans="1:8" x14ac:dyDescent="0.2">
      <c r="A2275" s="562" t="s">
        <v>266</v>
      </c>
      <c r="B2275" s="562" t="s">
        <v>1662</v>
      </c>
      <c r="C2275" s="562" t="s">
        <v>248</v>
      </c>
      <c r="D2275" s="562">
        <v>1</v>
      </c>
      <c r="E2275" s="562">
        <v>5</v>
      </c>
      <c r="F2275" s="562" t="s">
        <v>184</v>
      </c>
      <c r="G2275" s="562" t="s">
        <v>191</v>
      </c>
      <c r="H2275" s="562" t="s">
        <v>191</v>
      </c>
    </row>
    <row r="2276" spans="1:8" x14ac:dyDescent="0.2">
      <c r="A2276" s="562" t="s">
        <v>266</v>
      </c>
      <c r="B2276" s="562" t="s">
        <v>1662</v>
      </c>
      <c r="C2276" s="562" t="s">
        <v>380</v>
      </c>
      <c r="D2276" s="562">
        <v>1</v>
      </c>
      <c r="E2276" s="562">
        <v>5</v>
      </c>
      <c r="F2276" s="562" t="s">
        <v>184</v>
      </c>
      <c r="G2276" s="562" t="s">
        <v>191</v>
      </c>
      <c r="H2276" s="562" t="s">
        <v>191</v>
      </c>
    </row>
    <row r="2277" spans="1:8" x14ac:dyDescent="0.2">
      <c r="A2277" s="562" t="s">
        <v>266</v>
      </c>
      <c r="B2277" s="562" t="s">
        <v>1662</v>
      </c>
      <c r="C2277" s="562" t="s">
        <v>252</v>
      </c>
      <c r="D2277" s="562">
        <v>2</v>
      </c>
      <c r="E2277" s="562">
        <v>5</v>
      </c>
      <c r="F2277" s="562" t="s">
        <v>184</v>
      </c>
      <c r="G2277" s="562" t="s">
        <v>191</v>
      </c>
      <c r="H2277" s="562" t="s">
        <v>191</v>
      </c>
    </row>
    <row r="2278" spans="1:8" x14ac:dyDescent="0.2">
      <c r="A2278" s="562" t="s">
        <v>266</v>
      </c>
      <c r="B2278" s="562" t="s">
        <v>1662</v>
      </c>
      <c r="C2278" s="562" t="s">
        <v>1676</v>
      </c>
      <c r="D2278" s="562">
        <v>1</v>
      </c>
      <c r="E2278" s="562">
        <v>5</v>
      </c>
      <c r="F2278" s="562" t="s">
        <v>184</v>
      </c>
      <c r="G2278" s="562" t="s">
        <v>191</v>
      </c>
      <c r="H2278" s="562" t="s">
        <v>191</v>
      </c>
    </row>
    <row r="2279" spans="1:8" x14ac:dyDescent="0.2">
      <c r="A2279" s="562" t="s">
        <v>266</v>
      </c>
      <c r="B2279" s="562" t="s">
        <v>1662</v>
      </c>
      <c r="C2279" s="562" t="s">
        <v>1677</v>
      </c>
      <c r="D2279" s="562">
        <v>1</v>
      </c>
      <c r="E2279" s="562">
        <v>5</v>
      </c>
      <c r="F2279" s="562" t="s">
        <v>184</v>
      </c>
      <c r="G2279" s="562" t="s">
        <v>191</v>
      </c>
      <c r="H2279" s="562" t="s">
        <v>191</v>
      </c>
    </row>
    <row r="2280" spans="1:8" x14ac:dyDescent="0.2">
      <c r="A2280" s="562" t="s">
        <v>266</v>
      </c>
      <c r="B2280" s="562" t="s">
        <v>1662</v>
      </c>
      <c r="C2280" s="562" t="s">
        <v>261</v>
      </c>
      <c r="D2280" s="562">
        <v>2</v>
      </c>
      <c r="E2280" s="562">
        <v>5</v>
      </c>
      <c r="F2280" s="562" t="s">
        <v>184</v>
      </c>
      <c r="G2280" s="562" t="s">
        <v>191</v>
      </c>
      <c r="H2280" s="562" t="s">
        <v>191</v>
      </c>
    </row>
    <row r="2281" spans="1:8" x14ac:dyDescent="0.2">
      <c r="A2281" s="562" t="s">
        <v>266</v>
      </c>
      <c r="B2281" s="562" t="s">
        <v>1662</v>
      </c>
      <c r="C2281" s="562" t="s">
        <v>1678</v>
      </c>
      <c r="D2281" s="562">
        <v>1</v>
      </c>
      <c r="E2281" s="562">
        <v>5</v>
      </c>
      <c r="F2281" s="562" t="s">
        <v>184</v>
      </c>
      <c r="G2281" s="562" t="s">
        <v>191</v>
      </c>
      <c r="H2281" s="562" t="s">
        <v>191</v>
      </c>
    </row>
    <row r="2282" spans="1:8" x14ac:dyDescent="0.2">
      <c r="A2282" s="562" t="s">
        <v>266</v>
      </c>
      <c r="B2282" s="562" t="s">
        <v>1662</v>
      </c>
      <c r="C2282" s="562" t="s">
        <v>1679</v>
      </c>
      <c r="D2282" s="562">
        <v>1</v>
      </c>
      <c r="E2282" s="562">
        <v>5</v>
      </c>
      <c r="F2282" s="562" t="s">
        <v>184</v>
      </c>
      <c r="G2282" s="562" t="s">
        <v>191</v>
      </c>
      <c r="H2282" s="562" t="s">
        <v>191</v>
      </c>
    </row>
    <row r="2283" spans="1:8" x14ac:dyDescent="0.2">
      <c r="A2283" s="562" t="s">
        <v>266</v>
      </c>
      <c r="B2283" s="562" t="s">
        <v>1662</v>
      </c>
      <c r="C2283" s="562" t="s">
        <v>1366</v>
      </c>
      <c r="D2283" s="562">
        <v>1</v>
      </c>
      <c r="E2283" s="562">
        <v>5</v>
      </c>
      <c r="F2283" s="562" t="s">
        <v>184</v>
      </c>
      <c r="G2283" s="562" t="s">
        <v>191</v>
      </c>
      <c r="H2283" s="562" t="s">
        <v>191</v>
      </c>
    </row>
    <row r="2284" spans="1:8" x14ac:dyDescent="0.2">
      <c r="A2284" s="562" t="s">
        <v>266</v>
      </c>
      <c r="B2284" s="562" t="s">
        <v>1662</v>
      </c>
      <c r="C2284" s="562" t="s">
        <v>267</v>
      </c>
      <c r="D2284" s="562">
        <v>2</v>
      </c>
      <c r="E2284" s="562">
        <v>5</v>
      </c>
      <c r="F2284" s="562" t="s">
        <v>184</v>
      </c>
      <c r="G2284" s="562" t="s">
        <v>191</v>
      </c>
      <c r="H2284" s="562" t="s">
        <v>191</v>
      </c>
    </row>
    <row r="2285" spans="1:8" x14ac:dyDescent="0.2">
      <c r="A2285" s="562" t="s">
        <v>266</v>
      </c>
      <c r="B2285" s="562" t="s">
        <v>1662</v>
      </c>
      <c r="C2285" s="562" t="s">
        <v>1680</v>
      </c>
      <c r="D2285" s="562">
        <v>1</v>
      </c>
      <c r="E2285" s="562">
        <v>5</v>
      </c>
      <c r="F2285" s="562" t="s">
        <v>184</v>
      </c>
      <c r="G2285" s="562" t="s">
        <v>191</v>
      </c>
      <c r="H2285" s="562" t="s">
        <v>191</v>
      </c>
    </row>
    <row r="2286" spans="1:8" x14ac:dyDescent="0.2">
      <c r="A2286" s="562" t="s">
        <v>266</v>
      </c>
      <c r="B2286" s="562" t="s">
        <v>1662</v>
      </c>
      <c r="C2286" s="562" t="s">
        <v>1681</v>
      </c>
      <c r="D2286" s="562">
        <v>1</v>
      </c>
      <c r="E2286" s="562">
        <v>5</v>
      </c>
      <c r="F2286" s="562" t="s">
        <v>184</v>
      </c>
      <c r="G2286" s="562" t="s">
        <v>191</v>
      </c>
      <c r="H2286" s="562" t="s">
        <v>191</v>
      </c>
    </row>
    <row r="2287" spans="1:8" x14ac:dyDescent="0.2">
      <c r="A2287" s="562" t="s">
        <v>266</v>
      </c>
      <c r="B2287" s="562" t="s">
        <v>1662</v>
      </c>
      <c r="C2287" s="562" t="s">
        <v>1682</v>
      </c>
      <c r="D2287" s="562">
        <v>1</v>
      </c>
      <c r="E2287" s="562">
        <v>5</v>
      </c>
      <c r="F2287" s="562" t="s">
        <v>184</v>
      </c>
      <c r="G2287" s="562" t="s">
        <v>191</v>
      </c>
      <c r="H2287" s="562" t="s">
        <v>191</v>
      </c>
    </row>
    <row r="2288" spans="1:8" x14ac:dyDescent="0.2">
      <c r="A2288" s="562" t="s">
        <v>266</v>
      </c>
      <c r="B2288" s="562" t="s">
        <v>1662</v>
      </c>
      <c r="C2288" s="562" t="s">
        <v>1683</v>
      </c>
      <c r="D2288" s="562">
        <v>1</v>
      </c>
      <c r="E2288" s="562">
        <v>5</v>
      </c>
      <c r="F2288" s="562" t="s">
        <v>184</v>
      </c>
      <c r="G2288" s="562" t="s">
        <v>191</v>
      </c>
      <c r="H2288" s="562" t="s">
        <v>191</v>
      </c>
    </row>
    <row r="2289" spans="1:8" x14ac:dyDescent="0.2">
      <c r="A2289" s="562" t="s">
        <v>266</v>
      </c>
      <c r="B2289" s="562" t="s">
        <v>1662</v>
      </c>
      <c r="C2289" s="562" t="s">
        <v>1684</v>
      </c>
      <c r="D2289" s="562">
        <v>2</v>
      </c>
      <c r="E2289" s="562">
        <v>6</v>
      </c>
      <c r="F2289" s="562" t="s">
        <v>184</v>
      </c>
      <c r="G2289" s="562" t="s">
        <v>191</v>
      </c>
      <c r="H2289" s="562" t="s">
        <v>191</v>
      </c>
    </row>
    <row r="2290" spans="1:8" x14ac:dyDescent="0.2">
      <c r="A2290" s="562" t="s">
        <v>266</v>
      </c>
      <c r="B2290" s="562" t="s">
        <v>1662</v>
      </c>
      <c r="C2290" s="562" t="s">
        <v>783</v>
      </c>
      <c r="D2290" s="562">
        <v>2</v>
      </c>
      <c r="E2290" s="562">
        <v>5</v>
      </c>
      <c r="F2290" s="562" t="s">
        <v>184</v>
      </c>
      <c r="G2290" s="562" t="s">
        <v>191</v>
      </c>
      <c r="H2290" s="562" t="s">
        <v>191</v>
      </c>
    </row>
    <row r="2291" spans="1:8" x14ac:dyDescent="0.2">
      <c r="A2291" s="562" t="s">
        <v>266</v>
      </c>
      <c r="B2291" s="562" t="s">
        <v>1662</v>
      </c>
      <c r="C2291" s="562" t="s">
        <v>1685</v>
      </c>
      <c r="D2291" s="562">
        <v>1</v>
      </c>
      <c r="E2291" s="562">
        <v>5</v>
      </c>
      <c r="F2291" s="562" t="s">
        <v>184</v>
      </c>
      <c r="G2291" s="562" t="s">
        <v>191</v>
      </c>
      <c r="H2291" s="562" t="s">
        <v>191</v>
      </c>
    </row>
    <row r="2292" spans="1:8" x14ac:dyDescent="0.2">
      <c r="A2292" s="562" t="s">
        <v>266</v>
      </c>
      <c r="B2292" s="562" t="s">
        <v>1662</v>
      </c>
      <c r="C2292" s="562" t="s">
        <v>287</v>
      </c>
      <c r="D2292" s="562">
        <v>1</v>
      </c>
      <c r="E2292" s="562">
        <v>5</v>
      </c>
      <c r="F2292" s="562" t="s">
        <v>184</v>
      </c>
      <c r="G2292" s="562" t="s">
        <v>191</v>
      </c>
      <c r="H2292" s="562" t="s">
        <v>191</v>
      </c>
    </row>
    <row r="2293" spans="1:8" x14ac:dyDescent="0.2">
      <c r="A2293" s="562" t="s">
        <v>266</v>
      </c>
      <c r="B2293" s="562" t="s">
        <v>1662</v>
      </c>
      <c r="C2293" s="562" t="s">
        <v>289</v>
      </c>
      <c r="D2293" s="562">
        <v>1</v>
      </c>
      <c r="E2293" s="562">
        <v>4</v>
      </c>
      <c r="F2293" s="562" t="s">
        <v>184</v>
      </c>
      <c r="G2293" s="562" t="s">
        <v>191</v>
      </c>
      <c r="H2293" s="562" t="s">
        <v>191</v>
      </c>
    </row>
    <row r="2294" spans="1:8" x14ac:dyDescent="0.2">
      <c r="A2294" s="562" t="s">
        <v>266</v>
      </c>
      <c r="B2294" s="562" t="s">
        <v>1662</v>
      </c>
      <c r="C2294" s="562" t="s">
        <v>1686</v>
      </c>
      <c r="D2294" s="562">
        <v>1</v>
      </c>
      <c r="E2294" s="562">
        <v>5</v>
      </c>
      <c r="F2294" s="562" t="s">
        <v>184</v>
      </c>
      <c r="G2294" s="562" t="s">
        <v>191</v>
      </c>
      <c r="H2294" s="562" t="s">
        <v>191</v>
      </c>
    </row>
    <row r="2295" spans="1:8" x14ac:dyDescent="0.2">
      <c r="A2295" s="562" t="s">
        <v>266</v>
      </c>
      <c r="B2295" s="562" t="s">
        <v>1662</v>
      </c>
      <c r="C2295" s="562" t="s">
        <v>1512</v>
      </c>
      <c r="D2295" s="562">
        <v>1</v>
      </c>
      <c r="E2295" s="562">
        <v>5</v>
      </c>
      <c r="F2295" s="562" t="s">
        <v>184</v>
      </c>
      <c r="G2295" s="562" t="s">
        <v>191</v>
      </c>
      <c r="H2295" s="562" t="s">
        <v>191</v>
      </c>
    </row>
    <row r="2296" spans="1:8" x14ac:dyDescent="0.2">
      <c r="A2296" s="562" t="s">
        <v>266</v>
      </c>
      <c r="B2296" s="562" t="s">
        <v>1662</v>
      </c>
      <c r="C2296" s="562" t="s">
        <v>1687</v>
      </c>
      <c r="D2296" s="562">
        <v>1</v>
      </c>
      <c r="E2296" s="562">
        <v>5</v>
      </c>
      <c r="F2296" s="562" t="s">
        <v>184</v>
      </c>
      <c r="G2296" s="562" t="s">
        <v>191</v>
      </c>
      <c r="H2296" s="562" t="s">
        <v>191</v>
      </c>
    </row>
    <row r="2297" spans="1:8" x14ac:dyDescent="0.2">
      <c r="A2297" s="562" t="s">
        <v>266</v>
      </c>
      <c r="B2297" s="562" t="s">
        <v>1662</v>
      </c>
      <c r="C2297" s="562" t="s">
        <v>293</v>
      </c>
      <c r="D2297" s="562">
        <v>1</v>
      </c>
      <c r="E2297" s="562">
        <v>5</v>
      </c>
      <c r="F2297" s="562" t="s">
        <v>184</v>
      </c>
      <c r="G2297" s="562" t="s">
        <v>191</v>
      </c>
      <c r="H2297" s="562" t="s">
        <v>191</v>
      </c>
    </row>
    <row r="2298" spans="1:8" x14ac:dyDescent="0.2">
      <c r="A2298" s="562" t="s">
        <v>266</v>
      </c>
      <c r="B2298" s="562" t="s">
        <v>1662</v>
      </c>
      <c r="C2298" s="562" t="s">
        <v>1688</v>
      </c>
      <c r="D2298" s="562">
        <v>3</v>
      </c>
      <c r="E2298" s="562">
        <v>4</v>
      </c>
      <c r="F2298" s="562" t="s">
        <v>184</v>
      </c>
      <c r="G2298" s="562" t="s">
        <v>191</v>
      </c>
      <c r="H2298" s="562" t="s">
        <v>191</v>
      </c>
    </row>
    <row r="2299" spans="1:8" x14ac:dyDescent="0.2">
      <c r="A2299" s="562" t="s">
        <v>266</v>
      </c>
      <c r="B2299" s="562" t="s">
        <v>1662</v>
      </c>
      <c r="C2299" s="562" t="s">
        <v>297</v>
      </c>
      <c r="D2299" s="562">
        <v>2</v>
      </c>
      <c r="E2299" s="562">
        <v>5</v>
      </c>
      <c r="F2299" s="562" t="s">
        <v>184</v>
      </c>
      <c r="G2299" s="562" t="s">
        <v>191</v>
      </c>
      <c r="H2299" s="562" t="s">
        <v>191</v>
      </c>
    </row>
    <row r="2300" spans="1:8" x14ac:dyDescent="0.2">
      <c r="A2300" s="562" t="s">
        <v>266</v>
      </c>
      <c r="B2300" s="562" t="s">
        <v>1662</v>
      </c>
      <c r="C2300" s="562" t="s">
        <v>1689</v>
      </c>
      <c r="D2300" s="562">
        <v>2</v>
      </c>
      <c r="E2300" s="562">
        <v>6</v>
      </c>
      <c r="F2300" s="562" t="s">
        <v>184</v>
      </c>
      <c r="G2300" s="562" t="s">
        <v>191</v>
      </c>
      <c r="H2300" s="562" t="s">
        <v>191</v>
      </c>
    </row>
    <row r="2301" spans="1:8" x14ac:dyDescent="0.2">
      <c r="A2301" s="562" t="s">
        <v>266</v>
      </c>
      <c r="B2301" s="562" t="s">
        <v>1662</v>
      </c>
      <c r="C2301" s="562" t="s">
        <v>1690</v>
      </c>
      <c r="D2301" s="562">
        <v>1</v>
      </c>
      <c r="E2301" s="562">
        <v>5</v>
      </c>
      <c r="F2301" s="562" t="s">
        <v>184</v>
      </c>
      <c r="G2301" s="562" t="s">
        <v>191</v>
      </c>
      <c r="H2301" s="562" t="s">
        <v>191</v>
      </c>
    </row>
    <row r="2302" spans="1:8" x14ac:dyDescent="0.2">
      <c r="A2302" s="562" t="s">
        <v>266</v>
      </c>
      <c r="B2302" s="562" t="s">
        <v>1662</v>
      </c>
      <c r="C2302" s="562" t="s">
        <v>1691</v>
      </c>
      <c r="D2302" s="562">
        <v>1</v>
      </c>
      <c r="E2302" s="562">
        <v>5</v>
      </c>
      <c r="F2302" s="562" t="s">
        <v>184</v>
      </c>
      <c r="G2302" s="562" t="s">
        <v>191</v>
      </c>
      <c r="H2302" s="562" t="s">
        <v>191</v>
      </c>
    </row>
    <row r="2303" spans="1:8" x14ac:dyDescent="0.2">
      <c r="A2303" s="562" t="s">
        <v>266</v>
      </c>
      <c r="B2303" s="562" t="s">
        <v>1662</v>
      </c>
      <c r="C2303" s="562" t="s">
        <v>1069</v>
      </c>
      <c r="D2303" s="562">
        <v>2</v>
      </c>
      <c r="E2303" s="562">
        <v>5</v>
      </c>
      <c r="F2303" s="562" t="s">
        <v>184</v>
      </c>
      <c r="G2303" s="562" t="s">
        <v>191</v>
      </c>
      <c r="H2303" s="562" t="s">
        <v>191</v>
      </c>
    </row>
    <row r="2304" spans="1:8" x14ac:dyDescent="0.2">
      <c r="A2304" s="562" t="s">
        <v>266</v>
      </c>
      <c r="B2304" s="562" t="s">
        <v>1662</v>
      </c>
      <c r="C2304" s="562" t="s">
        <v>834</v>
      </c>
      <c r="D2304" s="562">
        <v>1</v>
      </c>
      <c r="E2304" s="562">
        <v>5</v>
      </c>
      <c r="F2304" s="562" t="s">
        <v>184</v>
      </c>
      <c r="G2304" s="562" t="s">
        <v>191</v>
      </c>
      <c r="H2304" s="562" t="s">
        <v>191</v>
      </c>
    </row>
    <row r="2305" spans="1:8" x14ac:dyDescent="0.2">
      <c r="A2305" s="562" t="s">
        <v>266</v>
      </c>
      <c r="B2305" s="562" t="s">
        <v>1662</v>
      </c>
      <c r="C2305" s="562" t="s">
        <v>1692</v>
      </c>
      <c r="D2305" s="562">
        <v>1</v>
      </c>
      <c r="E2305" s="562">
        <v>6</v>
      </c>
      <c r="F2305" s="562" t="s">
        <v>184</v>
      </c>
      <c r="G2305" s="562" t="s">
        <v>191</v>
      </c>
      <c r="H2305" s="562" t="s">
        <v>191</v>
      </c>
    </row>
    <row r="2306" spans="1:8" x14ac:dyDescent="0.2">
      <c r="A2306" s="562" t="s">
        <v>266</v>
      </c>
      <c r="B2306" s="562" t="s">
        <v>1662</v>
      </c>
      <c r="C2306" s="562" t="s">
        <v>1463</v>
      </c>
      <c r="D2306" s="562">
        <v>1</v>
      </c>
      <c r="E2306" s="562">
        <v>6</v>
      </c>
      <c r="F2306" s="562" t="s">
        <v>184</v>
      </c>
      <c r="G2306" s="562" t="s">
        <v>191</v>
      </c>
      <c r="H2306" s="562" t="s">
        <v>191</v>
      </c>
    </row>
    <row r="2307" spans="1:8" x14ac:dyDescent="0.2">
      <c r="A2307" s="562" t="s">
        <v>266</v>
      </c>
      <c r="B2307" s="562" t="s">
        <v>1662</v>
      </c>
      <c r="C2307" s="562" t="s">
        <v>413</v>
      </c>
      <c r="D2307" s="562">
        <v>1</v>
      </c>
      <c r="E2307" s="562">
        <v>5</v>
      </c>
      <c r="F2307" s="562" t="s">
        <v>184</v>
      </c>
      <c r="G2307" s="562" t="s">
        <v>191</v>
      </c>
      <c r="H2307" s="562" t="s">
        <v>191</v>
      </c>
    </row>
    <row r="2308" spans="1:8" x14ac:dyDescent="0.2">
      <c r="A2308" s="562" t="s">
        <v>266</v>
      </c>
      <c r="B2308" s="562" t="s">
        <v>1662</v>
      </c>
      <c r="C2308" s="562" t="s">
        <v>1693</v>
      </c>
      <c r="D2308" s="562">
        <v>1</v>
      </c>
      <c r="E2308" s="562">
        <v>5</v>
      </c>
      <c r="F2308" s="562" t="s">
        <v>184</v>
      </c>
      <c r="G2308" s="562" t="s">
        <v>191</v>
      </c>
      <c r="H2308" s="562" t="s">
        <v>191</v>
      </c>
    </row>
    <row r="2309" spans="1:8" x14ac:dyDescent="0.2">
      <c r="A2309" s="562" t="s">
        <v>266</v>
      </c>
      <c r="B2309" s="562" t="s">
        <v>1662</v>
      </c>
      <c r="C2309" s="562" t="s">
        <v>699</v>
      </c>
      <c r="D2309" s="562">
        <v>2</v>
      </c>
      <c r="E2309" s="562">
        <v>5</v>
      </c>
      <c r="F2309" s="562" t="s">
        <v>184</v>
      </c>
      <c r="G2309" s="562" t="s">
        <v>191</v>
      </c>
      <c r="H2309" s="562" t="s">
        <v>191</v>
      </c>
    </row>
    <row r="2310" spans="1:8" x14ac:dyDescent="0.2">
      <c r="A2310" s="562" t="s">
        <v>266</v>
      </c>
      <c r="B2310" s="562" t="s">
        <v>1662</v>
      </c>
      <c r="C2310" s="562" t="s">
        <v>309</v>
      </c>
      <c r="D2310" s="562">
        <v>2</v>
      </c>
      <c r="E2310" s="562">
        <v>5</v>
      </c>
      <c r="F2310" s="562" t="s">
        <v>184</v>
      </c>
      <c r="G2310" s="562" t="s">
        <v>191</v>
      </c>
      <c r="H2310" s="562" t="s">
        <v>191</v>
      </c>
    </row>
    <row r="2311" spans="1:8" x14ac:dyDescent="0.2">
      <c r="A2311" s="562" t="s">
        <v>266</v>
      </c>
      <c r="B2311" s="562" t="s">
        <v>1662</v>
      </c>
      <c r="C2311" s="562" t="s">
        <v>700</v>
      </c>
      <c r="D2311" s="562">
        <v>2</v>
      </c>
      <c r="E2311" s="562">
        <v>6</v>
      </c>
      <c r="F2311" s="562" t="s">
        <v>184</v>
      </c>
      <c r="G2311" s="562" t="s">
        <v>191</v>
      </c>
      <c r="H2311" s="562" t="s">
        <v>191</v>
      </c>
    </row>
    <row r="2312" spans="1:8" x14ac:dyDescent="0.2">
      <c r="A2312" s="562" t="s">
        <v>266</v>
      </c>
      <c r="B2312" s="562" t="s">
        <v>1662</v>
      </c>
      <c r="C2312" s="562" t="s">
        <v>1694</v>
      </c>
      <c r="D2312" s="562">
        <v>1</v>
      </c>
      <c r="E2312" s="562">
        <v>5</v>
      </c>
      <c r="F2312" s="562" t="s">
        <v>184</v>
      </c>
      <c r="G2312" s="562" t="s">
        <v>191</v>
      </c>
      <c r="H2312" s="562" t="s">
        <v>191</v>
      </c>
    </row>
    <row r="2313" spans="1:8" x14ac:dyDescent="0.2">
      <c r="A2313" s="562" t="s">
        <v>266</v>
      </c>
      <c r="B2313" s="562" t="s">
        <v>1662</v>
      </c>
      <c r="C2313" s="562" t="s">
        <v>1467</v>
      </c>
      <c r="D2313" s="562">
        <v>1</v>
      </c>
      <c r="E2313" s="562">
        <v>5</v>
      </c>
      <c r="F2313" s="562" t="s">
        <v>184</v>
      </c>
      <c r="G2313" s="562" t="s">
        <v>191</v>
      </c>
      <c r="H2313" s="562" t="s">
        <v>191</v>
      </c>
    </row>
    <row r="2314" spans="1:8" x14ac:dyDescent="0.2">
      <c r="A2314" s="562" t="s">
        <v>266</v>
      </c>
      <c r="B2314" s="562" t="s">
        <v>1662</v>
      </c>
      <c r="C2314" s="562" t="s">
        <v>1071</v>
      </c>
      <c r="D2314" s="562">
        <v>1</v>
      </c>
      <c r="E2314" s="562">
        <v>4</v>
      </c>
      <c r="F2314" s="562" t="s">
        <v>184</v>
      </c>
      <c r="G2314" s="562" t="s">
        <v>191</v>
      </c>
      <c r="H2314" s="562" t="s">
        <v>191</v>
      </c>
    </row>
    <row r="2315" spans="1:8" x14ac:dyDescent="0.2">
      <c r="A2315" s="562" t="s">
        <v>298</v>
      </c>
      <c r="B2315" s="562"/>
      <c r="C2315" s="562" t="s">
        <v>1695</v>
      </c>
      <c r="D2315" s="562">
        <v>2</v>
      </c>
      <c r="E2315" s="562">
        <v>1</v>
      </c>
      <c r="F2315" s="562" t="s">
        <v>184</v>
      </c>
      <c r="G2315" s="562" t="s">
        <v>190</v>
      </c>
      <c r="H2315" s="562" t="s">
        <v>186</v>
      </c>
    </row>
    <row r="2316" spans="1:8" x14ac:dyDescent="0.2">
      <c r="A2316" s="562" t="s">
        <v>268</v>
      </c>
      <c r="B2316" s="562" t="s">
        <v>1696</v>
      </c>
      <c r="C2316" s="562" t="s">
        <v>1093</v>
      </c>
      <c r="D2316" s="562">
        <v>3</v>
      </c>
      <c r="E2316" s="562">
        <v>5</v>
      </c>
      <c r="F2316" s="562" t="s">
        <v>184</v>
      </c>
      <c r="G2316" s="562" t="s">
        <v>191</v>
      </c>
      <c r="H2316" s="562" t="s">
        <v>191</v>
      </c>
    </row>
    <row r="2317" spans="1:8" x14ac:dyDescent="0.2">
      <c r="A2317" s="562" t="s">
        <v>268</v>
      </c>
      <c r="B2317" s="562" t="s">
        <v>1696</v>
      </c>
      <c r="C2317" s="562" t="s">
        <v>542</v>
      </c>
      <c r="D2317" s="562">
        <v>1</v>
      </c>
      <c r="E2317" s="562">
        <v>5</v>
      </c>
      <c r="F2317" s="562" t="s">
        <v>184</v>
      </c>
      <c r="G2317" s="562" t="s">
        <v>191</v>
      </c>
      <c r="H2317" s="562" t="s">
        <v>191</v>
      </c>
    </row>
    <row r="2318" spans="1:8" x14ac:dyDescent="0.2">
      <c r="A2318" s="562" t="s">
        <v>268</v>
      </c>
      <c r="B2318" s="562" t="s">
        <v>1696</v>
      </c>
      <c r="C2318" s="562" t="s">
        <v>1697</v>
      </c>
      <c r="D2318" s="562">
        <v>2</v>
      </c>
      <c r="E2318" s="562">
        <v>5</v>
      </c>
      <c r="F2318" s="562" t="s">
        <v>184</v>
      </c>
      <c r="G2318" s="562" t="s">
        <v>191</v>
      </c>
      <c r="H2318" s="562" t="s">
        <v>191</v>
      </c>
    </row>
    <row r="2319" spans="1:8" x14ac:dyDescent="0.2">
      <c r="A2319" s="562" t="s">
        <v>268</v>
      </c>
      <c r="B2319" s="562" t="s">
        <v>1696</v>
      </c>
      <c r="C2319" s="562" t="s">
        <v>1698</v>
      </c>
      <c r="D2319" s="562">
        <v>2</v>
      </c>
      <c r="E2319" s="562">
        <v>5</v>
      </c>
      <c r="F2319" s="562" t="s">
        <v>184</v>
      </c>
      <c r="G2319" s="562" t="s">
        <v>191</v>
      </c>
      <c r="H2319" s="562" t="s">
        <v>191</v>
      </c>
    </row>
    <row r="2320" spans="1:8" x14ac:dyDescent="0.2">
      <c r="A2320" s="562" t="s">
        <v>268</v>
      </c>
      <c r="B2320" s="562" t="s">
        <v>1696</v>
      </c>
      <c r="C2320" s="562" t="s">
        <v>309</v>
      </c>
      <c r="D2320" s="562">
        <v>1</v>
      </c>
      <c r="E2320" s="562">
        <v>5</v>
      </c>
      <c r="F2320" s="562" t="s">
        <v>184</v>
      </c>
      <c r="G2320" s="562" t="s">
        <v>191</v>
      </c>
      <c r="H2320" s="562" t="s">
        <v>191</v>
      </c>
    </row>
    <row r="2321" spans="1:8" x14ac:dyDescent="0.2">
      <c r="A2321" s="562" t="s">
        <v>270</v>
      </c>
      <c r="B2321" s="562" t="s">
        <v>1699</v>
      </c>
      <c r="C2321" s="562" t="s">
        <v>1700</v>
      </c>
      <c r="D2321" s="562">
        <v>2</v>
      </c>
      <c r="E2321" s="562">
        <v>3</v>
      </c>
      <c r="F2321" s="562" t="s">
        <v>184</v>
      </c>
      <c r="G2321" s="562" t="s">
        <v>191</v>
      </c>
      <c r="H2321" s="562" t="s">
        <v>191</v>
      </c>
    </row>
    <row r="2322" spans="1:8" x14ac:dyDescent="0.2">
      <c r="A2322" s="562" t="s">
        <v>270</v>
      </c>
      <c r="B2322" s="562" t="s">
        <v>1699</v>
      </c>
      <c r="C2322" s="562" t="s">
        <v>1701</v>
      </c>
      <c r="D2322" s="562">
        <v>3</v>
      </c>
      <c r="E2322" s="562">
        <v>3</v>
      </c>
      <c r="F2322" s="562" t="s">
        <v>184</v>
      </c>
      <c r="G2322" s="562" t="s">
        <v>191</v>
      </c>
      <c r="H2322" s="562" t="s">
        <v>191</v>
      </c>
    </row>
    <row r="2323" spans="1:8" x14ac:dyDescent="0.2">
      <c r="A2323" s="562" t="s">
        <v>270</v>
      </c>
      <c r="B2323" s="562" t="s">
        <v>1699</v>
      </c>
      <c r="C2323" s="562" t="s">
        <v>1702</v>
      </c>
      <c r="D2323" s="562">
        <v>3</v>
      </c>
      <c r="E2323" s="562">
        <v>3</v>
      </c>
      <c r="F2323" s="562" t="s">
        <v>184</v>
      </c>
      <c r="G2323" s="562" t="s">
        <v>190</v>
      </c>
      <c r="H2323" s="562" t="s">
        <v>191</v>
      </c>
    </row>
    <row r="2324" spans="1:8" x14ac:dyDescent="0.2">
      <c r="A2324" s="562" t="s">
        <v>270</v>
      </c>
      <c r="B2324" s="562" t="s">
        <v>1699</v>
      </c>
      <c r="C2324" s="562" t="s">
        <v>891</v>
      </c>
      <c r="D2324" s="562">
        <v>2</v>
      </c>
      <c r="E2324" s="562">
        <v>3</v>
      </c>
      <c r="F2324" s="562" t="s">
        <v>184</v>
      </c>
      <c r="G2324" s="562" t="s">
        <v>191</v>
      </c>
      <c r="H2324" s="562" t="s">
        <v>191</v>
      </c>
    </row>
    <row r="2325" spans="1:8" x14ac:dyDescent="0.2">
      <c r="A2325" s="562" t="s">
        <v>270</v>
      </c>
      <c r="B2325" s="562" t="s">
        <v>1699</v>
      </c>
      <c r="C2325" s="562" t="s">
        <v>1703</v>
      </c>
      <c r="D2325" s="562">
        <v>3</v>
      </c>
      <c r="E2325" s="562">
        <v>3</v>
      </c>
      <c r="F2325" s="562" t="s">
        <v>184</v>
      </c>
      <c r="G2325" s="562" t="s">
        <v>190</v>
      </c>
      <c r="H2325" s="562" t="s">
        <v>191</v>
      </c>
    </row>
    <row r="2326" spans="1:8" x14ac:dyDescent="0.2">
      <c r="A2326" s="562" t="s">
        <v>270</v>
      </c>
      <c r="B2326" s="562" t="s">
        <v>1699</v>
      </c>
      <c r="C2326" s="562" t="s">
        <v>1704</v>
      </c>
      <c r="D2326" s="562">
        <v>3</v>
      </c>
      <c r="E2326" s="562">
        <v>3</v>
      </c>
      <c r="F2326" s="562" t="s">
        <v>184</v>
      </c>
      <c r="G2326" s="562" t="s">
        <v>190</v>
      </c>
      <c r="H2326" s="562" t="s">
        <v>191</v>
      </c>
    </row>
    <row r="2327" spans="1:8" x14ac:dyDescent="0.2">
      <c r="A2327" s="562" t="s">
        <v>270</v>
      </c>
      <c r="B2327" s="562" t="s">
        <v>1699</v>
      </c>
      <c r="C2327" s="562" t="s">
        <v>1475</v>
      </c>
      <c r="D2327" s="562">
        <v>3</v>
      </c>
      <c r="E2327" s="562">
        <v>3</v>
      </c>
      <c r="F2327" s="562" t="s">
        <v>184</v>
      </c>
      <c r="G2327" s="562" t="s">
        <v>190</v>
      </c>
      <c r="H2327" s="562" t="s">
        <v>191</v>
      </c>
    </row>
    <row r="2328" spans="1:8" x14ac:dyDescent="0.2">
      <c r="A2328" s="562" t="s">
        <v>270</v>
      </c>
      <c r="B2328" s="562" t="s">
        <v>1699</v>
      </c>
      <c r="C2328" s="562" t="s">
        <v>1705</v>
      </c>
      <c r="D2328" s="562">
        <v>3</v>
      </c>
      <c r="E2328" s="562">
        <v>3</v>
      </c>
      <c r="F2328" s="562" t="s">
        <v>184</v>
      </c>
      <c r="G2328" s="562" t="s">
        <v>190</v>
      </c>
      <c r="H2328" s="562" t="s">
        <v>191</v>
      </c>
    </row>
    <row r="2329" spans="1:8" x14ac:dyDescent="0.2">
      <c r="A2329" s="562" t="s">
        <v>270</v>
      </c>
      <c r="B2329" s="562" t="s">
        <v>1699</v>
      </c>
      <c r="C2329" s="562" t="s">
        <v>204</v>
      </c>
      <c r="D2329" s="562">
        <v>3</v>
      </c>
      <c r="E2329" s="562">
        <v>3</v>
      </c>
      <c r="F2329" s="562" t="s">
        <v>184</v>
      </c>
      <c r="G2329" s="562" t="s">
        <v>191</v>
      </c>
      <c r="H2329" s="562" t="s">
        <v>191</v>
      </c>
    </row>
    <row r="2330" spans="1:8" x14ac:dyDescent="0.2">
      <c r="A2330" s="562" t="s">
        <v>270</v>
      </c>
      <c r="B2330" s="562" t="s">
        <v>1699</v>
      </c>
      <c r="C2330" s="562" t="s">
        <v>1706</v>
      </c>
      <c r="D2330" s="562">
        <v>3</v>
      </c>
      <c r="E2330" s="562">
        <v>3</v>
      </c>
      <c r="F2330" s="562" t="s">
        <v>184</v>
      </c>
      <c r="G2330" s="562" t="s">
        <v>190</v>
      </c>
      <c r="H2330" s="562" t="s">
        <v>191</v>
      </c>
    </row>
    <row r="2331" spans="1:8" x14ac:dyDescent="0.2">
      <c r="A2331" s="562" t="s">
        <v>270</v>
      </c>
      <c r="B2331" s="562" t="s">
        <v>1699</v>
      </c>
      <c r="C2331" s="562" t="s">
        <v>208</v>
      </c>
      <c r="D2331" s="562">
        <v>2</v>
      </c>
      <c r="E2331" s="562">
        <v>3</v>
      </c>
      <c r="F2331" s="562" t="s">
        <v>184</v>
      </c>
      <c r="G2331" s="562" t="s">
        <v>191</v>
      </c>
      <c r="H2331" s="562" t="s">
        <v>191</v>
      </c>
    </row>
    <row r="2332" spans="1:8" x14ac:dyDescent="0.2">
      <c r="A2332" s="562" t="s">
        <v>270</v>
      </c>
      <c r="B2332" s="562" t="s">
        <v>1699</v>
      </c>
      <c r="C2332" s="562" t="s">
        <v>1671</v>
      </c>
      <c r="D2332" s="562">
        <v>3</v>
      </c>
      <c r="E2332" s="562">
        <v>3</v>
      </c>
      <c r="F2332" s="562" t="s">
        <v>184</v>
      </c>
      <c r="G2332" s="562" t="s">
        <v>191</v>
      </c>
      <c r="H2332" s="562" t="s">
        <v>191</v>
      </c>
    </row>
    <row r="2333" spans="1:8" x14ac:dyDescent="0.2">
      <c r="A2333" s="562" t="s">
        <v>270</v>
      </c>
      <c r="B2333" s="562" t="s">
        <v>1699</v>
      </c>
      <c r="C2333" s="562" t="s">
        <v>1707</v>
      </c>
      <c r="D2333" s="562">
        <v>3</v>
      </c>
      <c r="E2333" s="562">
        <v>3</v>
      </c>
      <c r="F2333" s="562" t="s">
        <v>184</v>
      </c>
      <c r="G2333" s="562" t="s">
        <v>191</v>
      </c>
      <c r="H2333" s="562" t="s">
        <v>191</v>
      </c>
    </row>
    <row r="2334" spans="1:8" x14ac:dyDescent="0.2">
      <c r="A2334" s="562" t="s">
        <v>270</v>
      </c>
      <c r="B2334" s="562" t="s">
        <v>1699</v>
      </c>
      <c r="C2334" s="562" t="s">
        <v>1708</v>
      </c>
      <c r="D2334" s="562">
        <v>3</v>
      </c>
      <c r="E2334" s="562">
        <v>3</v>
      </c>
      <c r="F2334" s="562" t="s">
        <v>184</v>
      </c>
      <c r="G2334" s="562" t="s">
        <v>191</v>
      </c>
      <c r="H2334" s="562" t="s">
        <v>191</v>
      </c>
    </row>
    <row r="2335" spans="1:8" x14ac:dyDescent="0.2">
      <c r="A2335" s="562" t="s">
        <v>270</v>
      </c>
      <c r="B2335" s="562" t="s">
        <v>1699</v>
      </c>
      <c r="C2335" s="562" t="s">
        <v>1709</v>
      </c>
      <c r="D2335" s="562">
        <v>3</v>
      </c>
      <c r="E2335" s="562">
        <v>3</v>
      </c>
      <c r="F2335" s="562" t="s">
        <v>184</v>
      </c>
      <c r="G2335" s="562" t="s">
        <v>190</v>
      </c>
      <c r="H2335" s="562" t="s">
        <v>191</v>
      </c>
    </row>
    <row r="2336" spans="1:8" x14ac:dyDescent="0.2">
      <c r="A2336" s="562" t="s">
        <v>270</v>
      </c>
      <c r="B2336" s="562" t="s">
        <v>1699</v>
      </c>
      <c r="C2336" s="562" t="s">
        <v>1710</v>
      </c>
      <c r="D2336" s="562">
        <v>3</v>
      </c>
      <c r="E2336" s="562">
        <v>3</v>
      </c>
      <c r="F2336" s="562" t="s">
        <v>184</v>
      </c>
      <c r="G2336" s="562" t="s">
        <v>191</v>
      </c>
      <c r="H2336" s="562" t="s">
        <v>191</v>
      </c>
    </row>
    <row r="2337" spans="1:8" x14ac:dyDescent="0.2">
      <c r="A2337" s="562" t="s">
        <v>270</v>
      </c>
      <c r="B2337" s="562" t="s">
        <v>1699</v>
      </c>
      <c r="C2337" s="562" t="s">
        <v>1711</v>
      </c>
      <c r="D2337" s="562">
        <v>3</v>
      </c>
      <c r="E2337" s="562">
        <v>3</v>
      </c>
      <c r="F2337" s="562" t="s">
        <v>184</v>
      </c>
      <c r="G2337" s="562" t="s">
        <v>191</v>
      </c>
      <c r="H2337" s="562" t="s">
        <v>191</v>
      </c>
    </row>
    <row r="2338" spans="1:8" x14ac:dyDescent="0.2">
      <c r="A2338" s="562" t="s">
        <v>270</v>
      </c>
      <c r="B2338" s="562" t="s">
        <v>1699</v>
      </c>
      <c r="C2338" s="562" t="s">
        <v>1081</v>
      </c>
      <c r="D2338" s="562">
        <v>3</v>
      </c>
      <c r="E2338" s="562">
        <v>3</v>
      </c>
      <c r="F2338" s="562" t="s">
        <v>184</v>
      </c>
      <c r="G2338" s="562" t="s">
        <v>190</v>
      </c>
      <c r="H2338" s="562" t="s">
        <v>191</v>
      </c>
    </row>
    <row r="2339" spans="1:8" x14ac:dyDescent="0.2">
      <c r="A2339" s="562" t="s">
        <v>270</v>
      </c>
      <c r="B2339" s="562" t="s">
        <v>1699</v>
      </c>
      <c r="C2339" s="562" t="s">
        <v>1712</v>
      </c>
      <c r="D2339" s="562">
        <v>3</v>
      </c>
      <c r="E2339" s="562">
        <v>3</v>
      </c>
      <c r="F2339" s="562" t="s">
        <v>184</v>
      </c>
      <c r="G2339" s="562" t="s">
        <v>191</v>
      </c>
      <c r="H2339" s="562" t="s">
        <v>191</v>
      </c>
    </row>
    <row r="2340" spans="1:8" x14ac:dyDescent="0.2">
      <c r="A2340" s="562" t="s">
        <v>270</v>
      </c>
      <c r="B2340" s="562" t="s">
        <v>1699</v>
      </c>
      <c r="C2340" s="562" t="s">
        <v>533</v>
      </c>
      <c r="D2340" s="562">
        <v>3</v>
      </c>
      <c r="E2340" s="562">
        <v>3</v>
      </c>
      <c r="F2340" s="562" t="s">
        <v>184</v>
      </c>
      <c r="G2340" s="562" t="s">
        <v>191</v>
      </c>
      <c r="H2340" s="562" t="s">
        <v>191</v>
      </c>
    </row>
    <row r="2341" spans="1:8" x14ac:dyDescent="0.2">
      <c r="A2341" s="562" t="s">
        <v>270</v>
      </c>
      <c r="B2341" s="562" t="s">
        <v>1699</v>
      </c>
      <c r="C2341" s="562" t="s">
        <v>1713</v>
      </c>
      <c r="D2341" s="562">
        <v>3</v>
      </c>
      <c r="E2341" s="562">
        <v>3</v>
      </c>
      <c r="F2341" s="562" t="s">
        <v>184</v>
      </c>
      <c r="G2341" s="562" t="s">
        <v>191</v>
      </c>
      <c r="H2341" s="562" t="s">
        <v>191</v>
      </c>
    </row>
    <row r="2342" spans="1:8" x14ac:dyDescent="0.2">
      <c r="A2342" s="562" t="s">
        <v>270</v>
      </c>
      <c r="B2342" s="562" t="s">
        <v>1699</v>
      </c>
      <c r="C2342" s="562" t="s">
        <v>1714</v>
      </c>
      <c r="D2342" s="562">
        <v>3</v>
      </c>
      <c r="E2342" s="562">
        <v>3</v>
      </c>
      <c r="F2342" s="562" t="s">
        <v>184</v>
      </c>
      <c r="G2342" s="562" t="s">
        <v>190</v>
      </c>
      <c r="H2342" s="562" t="s">
        <v>191</v>
      </c>
    </row>
    <row r="2343" spans="1:8" x14ac:dyDescent="0.2">
      <c r="A2343" s="562" t="s">
        <v>270</v>
      </c>
      <c r="B2343" s="562" t="s">
        <v>1699</v>
      </c>
      <c r="C2343" s="562" t="s">
        <v>1715</v>
      </c>
      <c r="D2343" s="562">
        <v>1</v>
      </c>
      <c r="E2343" s="562">
        <v>3</v>
      </c>
      <c r="F2343" s="562" t="s">
        <v>184</v>
      </c>
      <c r="G2343" s="562" t="s">
        <v>191</v>
      </c>
      <c r="H2343" s="562" t="s">
        <v>191</v>
      </c>
    </row>
    <row r="2344" spans="1:8" x14ac:dyDescent="0.2">
      <c r="A2344" s="562" t="s">
        <v>270</v>
      </c>
      <c r="B2344" s="562" t="s">
        <v>1699</v>
      </c>
      <c r="C2344" s="562" t="s">
        <v>911</v>
      </c>
      <c r="D2344" s="562">
        <v>3</v>
      </c>
      <c r="E2344" s="562">
        <v>3</v>
      </c>
      <c r="F2344" s="562" t="s">
        <v>184</v>
      </c>
      <c r="G2344" s="562" t="s">
        <v>191</v>
      </c>
      <c r="H2344" s="562" t="s">
        <v>191</v>
      </c>
    </row>
    <row r="2345" spans="1:8" x14ac:dyDescent="0.2">
      <c r="A2345" s="562" t="s">
        <v>270</v>
      </c>
      <c r="B2345" s="562" t="s">
        <v>1699</v>
      </c>
      <c r="C2345" s="562" t="s">
        <v>1716</v>
      </c>
      <c r="D2345" s="562">
        <v>3</v>
      </c>
      <c r="E2345" s="562">
        <v>3</v>
      </c>
      <c r="F2345" s="562" t="s">
        <v>184</v>
      </c>
      <c r="G2345" s="562" t="s">
        <v>190</v>
      </c>
      <c r="H2345" s="562" t="s">
        <v>191</v>
      </c>
    </row>
    <row r="2346" spans="1:8" x14ac:dyDescent="0.2">
      <c r="A2346" s="562" t="s">
        <v>270</v>
      </c>
      <c r="B2346" s="562" t="s">
        <v>1699</v>
      </c>
      <c r="C2346" s="562" t="s">
        <v>1717</v>
      </c>
      <c r="D2346" s="562">
        <v>3</v>
      </c>
      <c r="E2346" s="562">
        <v>3</v>
      </c>
      <c r="F2346" s="562" t="s">
        <v>184</v>
      </c>
      <c r="G2346" s="562" t="s">
        <v>190</v>
      </c>
      <c r="H2346" s="562" t="s">
        <v>191</v>
      </c>
    </row>
    <row r="2347" spans="1:8" x14ac:dyDescent="0.2">
      <c r="A2347" s="562" t="s">
        <v>270</v>
      </c>
      <c r="B2347" s="562" t="s">
        <v>1699</v>
      </c>
      <c r="C2347" s="562" t="s">
        <v>656</v>
      </c>
      <c r="D2347" s="562">
        <v>3</v>
      </c>
      <c r="E2347" s="562">
        <v>3</v>
      </c>
      <c r="F2347" s="562" t="s">
        <v>184</v>
      </c>
      <c r="G2347" s="562" t="s">
        <v>190</v>
      </c>
      <c r="H2347" s="562" t="s">
        <v>191</v>
      </c>
    </row>
    <row r="2348" spans="1:8" x14ac:dyDescent="0.2">
      <c r="A2348" s="562" t="s">
        <v>270</v>
      </c>
      <c r="B2348" s="562" t="s">
        <v>1699</v>
      </c>
      <c r="C2348" s="562" t="s">
        <v>1718</v>
      </c>
      <c r="D2348" s="562">
        <v>3</v>
      </c>
      <c r="E2348" s="562">
        <v>3</v>
      </c>
      <c r="F2348" s="562" t="s">
        <v>184</v>
      </c>
      <c r="G2348" s="562" t="s">
        <v>191</v>
      </c>
      <c r="H2348" s="562" t="s">
        <v>191</v>
      </c>
    </row>
    <row r="2349" spans="1:8" x14ac:dyDescent="0.2">
      <c r="A2349" s="562" t="s">
        <v>270</v>
      </c>
      <c r="B2349" s="562" t="s">
        <v>1699</v>
      </c>
      <c r="C2349" s="562" t="s">
        <v>1366</v>
      </c>
      <c r="D2349" s="562">
        <v>3</v>
      </c>
      <c r="E2349" s="562">
        <v>3</v>
      </c>
      <c r="F2349" s="562" t="s">
        <v>184</v>
      </c>
      <c r="G2349" s="562" t="s">
        <v>191</v>
      </c>
      <c r="H2349" s="562" t="s">
        <v>191</v>
      </c>
    </row>
    <row r="2350" spans="1:8" x14ac:dyDescent="0.2">
      <c r="A2350" s="562" t="s">
        <v>270</v>
      </c>
      <c r="B2350" s="562" t="s">
        <v>1699</v>
      </c>
      <c r="C2350" s="562" t="s">
        <v>661</v>
      </c>
      <c r="D2350" s="562">
        <v>2</v>
      </c>
      <c r="E2350" s="562">
        <v>3</v>
      </c>
      <c r="F2350" s="562" t="s">
        <v>184</v>
      </c>
      <c r="G2350" s="562" t="s">
        <v>191</v>
      </c>
      <c r="H2350" s="562" t="s">
        <v>191</v>
      </c>
    </row>
    <row r="2351" spans="1:8" x14ac:dyDescent="0.2">
      <c r="A2351" s="562" t="s">
        <v>270</v>
      </c>
      <c r="B2351" s="562" t="s">
        <v>1699</v>
      </c>
      <c r="C2351" s="562" t="s">
        <v>269</v>
      </c>
      <c r="D2351" s="562">
        <v>3</v>
      </c>
      <c r="E2351" s="562">
        <v>3</v>
      </c>
      <c r="F2351" s="562" t="s">
        <v>184</v>
      </c>
      <c r="G2351" s="562" t="s">
        <v>191</v>
      </c>
      <c r="H2351" s="562" t="s">
        <v>191</v>
      </c>
    </row>
    <row r="2352" spans="1:8" x14ac:dyDescent="0.2">
      <c r="A2352" s="562" t="s">
        <v>270</v>
      </c>
      <c r="B2352" s="562" t="s">
        <v>1699</v>
      </c>
      <c r="C2352" s="562" t="s">
        <v>1719</v>
      </c>
      <c r="D2352" s="562">
        <v>3</v>
      </c>
      <c r="E2352" s="562">
        <v>3</v>
      </c>
      <c r="F2352" s="562" t="s">
        <v>184</v>
      </c>
      <c r="G2352" s="562" t="s">
        <v>191</v>
      </c>
      <c r="H2352" s="562" t="s">
        <v>191</v>
      </c>
    </row>
    <row r="2353" spans="1:8" x14ac:dyDescent="0.2">
      <c r="A2353" s="562" t="s">
        <v>270</v>
      </c>
      <c r="B2353" s="562" t="s">
        <v>1699</v>
      </c>
      <c r="C2353" s="562" t="s">
        <v>281</v>
      </c>
      <c r="D2353" s="562">
        <v>3</v>
      </c>
      <c r="E2353" s="562">
        <v>3</v>
      </c>
      <c r="F2353" s="562" t="s">
        <v>184</v>
      </c>
      <c r="G2353" s="562" t="s">
        <v>191</v>
      </c>
      <c r="H2353" s="562" t="s">
        <v>191</v>
      </c>
    </row>
    <row r="2354" spans="1:8" x14ac:dyDescent="0.2">
      <c r="A2354" s="562" t="s">
        <v>270</v>
      </c>
      <c r="B2354" s="562" t="s">
        <v>1699</v>
      </c>
      <c r="C2354" s="562" t="s">
        <v>1720</v>
      </c>
      <c r="D2354" s="562">
        <v>3</v>
      </c>
      <c r="E2354" s="562">
        <v>3</v>
      </c>
      <c r="F2354" s="562" t="s">
        <v>184</v>
      </c>
      <c r="G2354" s="562" t="s">
        <v>191</v>
      </c>
      <c r="H2354" s="562" t="s">
        <v>191</v>
      </c>
    </row>
    <row r="2355" spans="1:8" x14ac:dyDescent="0.2">
      <c r="A2355" s="562" t="s">
        <v>270</v>
      </c>
      <c r="B2355" s="562" t="s">
        <v>1699</v>
      </c>
      <c r="C2355" s="562" t="s">
        <v>1721</v>
      </c>
      <c r="D2355" s="562">
        <v>3</v>
      </c>
      <c r="E2355" s="562">
        <v>3</v>
      </c>
      <c r="F2355" s="562" t="s">
        <v>184</v>
      </c>
      <c r="G2355" s="562" t="s">
        <v>191</v>
      </c>
      <c r="H2355" s="562" t="s">
        <v>191</v>
      </c>
    </row>
    <row r="2356" spans="1:8" x14ac:dyDescent="0.2">
      <c r="A2356" s="562" t="s">
        <v>270</v>
      </c>
      <c r="B2356" s="562" t="s">
        <v>1699</v>
      </c>
      <c r="C2356" s="562" t="s">
        <v>1722</v>
      </c>
      <c r="D2356" s="562">
        <v>3</v>
      </c>
      <c r="E2356" s="562">
        <v>3</v>
      </c>
      <c r="F2356" s="562" t="s">
        <v>184</v>
      </c>
      <c r="G2356" s="562" t="s">
        <v>191</v>
      </c>
      <c r="H2356" s="562" t="s">
        <v>191</v>
      </c>
    </row>
    <row r="2357" spans="1:8" x14ac:dyDescent="0.2">
      <c r="A2357" s="562" t="s">
        <v>270</v>
      </c>
      <c r="B2357" s="562" t="s">
        <v>1699</v>
      </c>
      <c r="C2357" s="562" t="s">
        <v>670</v>
      </c>
      <c r="D2357" s="562">
        <v>2</v>
      </c>
      <c r="E2357" s="562">
        <v>3</v>
      </c>
      <c r="F2357" s="562" t="s">
        <v>184</v>
      </c>
      <c r="G2357" s="562" t="s">
        <v>191</v>
      </c>
      <c r="H2357" s="562" t="s">
        <v>191</v>
      </c>
    </row>
    <row r="2358" spans="1:8" x14ac:dyDescent="0.2">
      <c r="A2358" s="562" t="s">
        <v>270</v>
      </c>
      <c r="B2358" s="562" t="s">
        <v>1699</v>
      </c>
      <c r="C2358" s="562" t="s">
        <v>1723</v>
      </c>
      <c r="D2358" s="562">
        <v>3</v>
      </c>
      <c r="E2358" s="562">
        <v>3</v>
      </c>
      <c r="F2358" s="562" t="s">
        <v>184</v>
      </c>
      <c r="G2358" s="562" t="s">
        <v>191</v>
      </c>
      <c r="H2358" s="562" t="s">
        <v>191</v>
      </c>
    </row>
    <row r="2359" spans="1:8" x14ac:dyDescent="0.2">
      <c r="A2359" s="562" t="s">
        <v>270</v>
      </c>
      <c r="B2359" s="562" t="s">
        <v>1699</v>
      </c>
      <c r="C2359" s="562" t="s">
        <v>295</v>
      </c>
      <c r="D2359" s="562">
        <v>2</v>
      </c>
      <c r="E2359" s="562">
        <v>3</v>
      </c>
      <c r="F2359" s="562" t="s">
        <v>184</v>
      </c>
      <c r="G2359" s="562" t="s">
        <v>191</v>
      </c>
      <c r="H2359" s="562" t="s">
        <v>191</v>
      </c>
    </row>
    <row r="2360" spans="1:8" x14ac:dyDescent="0.2">
      <c r="A2360" s="562" t="s">
        <v>270</v>
      </c>
      <c r="B2360" s="562" t="s">
        <v>1699</v>
      </c>
      <c r="C2360" s="562" t="s">
        <v>788</v>
      </c>
      <c r="D2360" s="562">
        <v>3</v>
      </c>
      <c r="E2360" s="562">
        <v>3</v>
      </c>
      <c r="F2360" s="562" t="s">
        <v>184</v>
      </c>
      <c r="G2360" s="562" t="s">
        <v>191</v>
      </c>
      <c r="H2360" s="562" t="s">
        <v>191</v>
      </c>
    </row>
    <row r="2361" spans="1:8" x14ac:dyDescent="0.2">
      <c r="A2361" s="562" t="s">
        <v>270</v>
      </c>
      <c r="B2361" s="562" t="s">
        <v>1699</v>
      </c>
      <c r="C2361" s="562" t="s">
        <v>1724</v>
      </c>
      <c r="D2361" s="562">
        <v>3</v>
      </c>
      <c r="E2361" s="562">
        <v>3</v>
      </c>
      <c r="F2361" s="562" t="s">
        <v>184</v>
      </c>
      <c r="G2361" s="562" t="s">
        <v>191</v>
      </c>
      <c r="H2361" s="562" t="s">
        <v>191</v>
      </c>
    </row>
    <row r="2362" spans="1:8" x14ac:dyDescent="0.2">
      <c r="A2362" s="562" t="s">
        <v>270</v>
      </c>
      <c r="B2362" s="562" t="s">
        <v>1699</v>
      </c>
      <c r="C2362" s="562" t="s">
        <v>1725</v>
      </c>
      <c r="D2362" s="562">
        <v>2</v>
      </c>
      <c r="E2362" s="562">
        <v>3</v>
      </c>
      <c r="F2362" s="562" t="s">
        <v>184</v>
      </c>
      <c r="G2362" s="562" t="s">
        <v>191</v>
      </c>
      <c r="H2362" s="562" t="s">
        <v>191</v>
      </c>
    </row>
    <row r="2363" spans="1:8" x14ac:dyDescent="0.2">
      <c r="A2363" s="562" t="s">
        <v>270</v>
      </c>
      <c r="B2363" s="562" t="s">
        <v>1699</v>
      </c>
      <c r="C2363" s="562" t="s">
        <v>304</v>
      </c>
      <c r="D2363" s="562">
        <v>3</v>
      </c>
      <c r="E2363" s="562">
        <v>3</v>
      </c>
      <c r="F2363" s="562" t="s">
        <v>184</v>
      </c>
      <c r="G2363" s="562" t="s">
        <v>191</v>
      </c>
      <c r="H2363" s="562" t="s">
        <v>191</v>
      </c>
    </row>
    <row r="2364" spans="1:8" x14ac:dyDescent="0.2">
      <c r="A2364" s="562" t="s">
        <v>270</v>
      </c>
      <c r="B2364" s="562" t="s">
        <v>1699</v>
      </c>
      <c r="C2364" s="562" t="s">
        <v>413</v>
      </c>
      <c r="D2364" s="562">
        <v>3</v>
      </c>
      <c r="E2364" s="562">
        <v>3</v>
      </c>
      <c r="F2364" s="562" t="s">
        <v>184</v>
      </c>
      <c r="G2364" s="562" t="s">
        <v>191</v>
      </c>
      <c r="H2364" s="562" t="s">
        <v>191</v>
      </c>
    </row>
    <row r="2365" spans="1:8" x14ac:dyDescent="0.2">
      <c r="A2365" s="562" t="s">
        <v>270</v>
      </c>
      <c r="B2365" s="562" t="s">
        <v>1699</v>
      </c>
      <c r="C2365" s="562" t="s">
        <v>1726</v>
      </c>
      <c r="D2365" s="562">
        <v>3</v>
      </c>
      <c r="E2365" s="562">
        <v>3</v>
      </c>
      <c r="F2365" s="562" t="s">
        <v>184</v>
      </c>
      <c r="G2365" s="562" t="s">
        <v>191</v>
      </c>
      <c r="H2365" s="562" t="s">
        <v>191</v>
      </c>
    </row>
    <row r="2366" spans="1:8" x14ac:dyDescent="0.2">
      <c r="A2366" s="562" t="s">
        <v>270</v>
      </c>
      <c r="B2366" s="562" t="s">
        <v>1699</v>
      </c>
      <c r="C2366" s="562" t="s">
        <v>1071</v>
      </c>
      <c r="D2366" s="562">
        <v>2</v>
      </c>
      <c r="E2366" s="562">
        <v>3</v>
      </c>
      <c r="F2366" s="562" t="s">
        <v>184</v>
      </c>
      <c r="G2366" s="562" t="s">
        <v>191</v>
      </c>
      <c r="H2366" s="562" t="s">
        <v>191</v>
      </c>
    </row>
    <row r="2367" spans="1:8" x14ac:dyDescent="0.2">
      <c r="A2367" s="562" t="s">
        <v>272</v>
      </c>
      <c r="B2367" s="562" t="s">
        <v>1727</v>
      </c>
      <c r="C2367" s="562" t="s">
        <v>1728</v>
      </c>
      <c r="D2367" s="562">
        <v>1</v>
      </c>
      <c r="E2367" s="562">
        <v>6</v>
      </c>
      <c r="F2367" s="562" t="s">
        <v>184</v>
      </c>
      <c r="G2367" s="562" t="s">
        <v>191</v>
      </c>
      <c r="H2367" s="562" t="s">
        <v>191</v>
      </c>
    </row>
    <row r="2368" spans="1:8" x14ac:dyDescent="0.2">
      <c r="A2368" s="562" t="s">
        <v>272</v>
      </c>
      <c r="B2368" s="562" t="s">
        <v>1727</v>
      </c>
      <c r="C2368" s="562" t="s">
        <v>1729</v>
      </c>
      <c r="D2368" s="562">
        <v>1</v>
      </c>
      <c r="E2368" s="562">
        <v>6</v>
      </c>
      <c r="F2368" s="562" t="s">
        <v>184</v>
      </c>
      <c r="G2368" s="562" t="s">
        <v>191</v>
      </c>
      <c r="H2368" s="562" t="s">
        <v>191</v>
      </c>
    </row>
    <row r="2369" spans="1:8" x14ac:dyDescent="0.2">
      <c r="A2369" s="562" t="s">
        <v>272</v>
      </c>
      <c r="B2369" s="562" t="s">
        <v>1727</v>
      </c>
      <c r="C2369" s="562" t="s">
        <v>1730</v>
      </c>
      <c r="D2369" s="562">
        <v>2</v>
      </c>
      <c r="E2369" s="562">
        <v>5</v>
      </c>
      <c r="F2369" s="562" t="s">
        <v>184</v>
      </c>
      <c r="G2369" s="562" t="s">
        <v>191</v>
      </c>
      <c r="H2369" s="562" t="s">
        <v>191</v>
      </c>
    </row>
    <row r="2370" spans="1:8" x14ac:dyDescent="0.2">
      <c r="A2370" s="562" t="s">
        <v>272</v>
      </c>
      <c r="B2370" s="562" t="s">
        <v>1727</v>
      </c>
      <c r="C2370" s="562" t="s">
        <v>1731</v>
      </c>
      <c r="D2370" s="562">
        <v>1</v>
      </c>
      <c r="E2370" s="562">
        <v>5</v>
      </c>
      <c r="F2370" s="562" t="s">
        <v>184</v>
      </c>
      <c r="G2370" s="562" t="s">
        <v>191</v>
      </c>
      <c r="H2370" s="562" t="s">
        <v>191</v>
      </c>
    </row>
    <row r="2371" spans="1:8" x14ac:dyDescent="0.2">
      <c r="A2371" s="562" t="s">
        <v>272</v>
      </c>
      <c r="B2371" s="562" t="s">
        <v>1727</v>
      </c>
      <c r="C2371" s="562" t="s">
        <v>1732</v>
      </c>
      <c r="D2371" s="562">
        <v>1</v>
      </c>
      <c r="E2371" s="562">
        <v>6</v>
      </c>
      <c r="F2371" s="562" t="s">
        <v>184</v>
      </c>
      <c r="G2371" s="562" t="s">
        <v>191</v>
      </c>
      <c r="H2371" s="562" t="s">
        <v>191</v>
      </c>
    </row>
    <row r="2372" spans="1:8" x14ac:dyDescent="0.2">
      <c r="A2372" s="562" t="s">
        <v>272</v>
      </c>
      <c r="B2372" s="562" t="s">
        <v>1727</v>
      </c>
      <c r="C2372" s="562" t="s">
        <v>750</v>
      </c>
      <c r="D2372" s="562">
        <v>1</v>
      </c>
      <c r="E2372" s="562">
        <v>6</v>
      </c>
      <c r="F2372" s="562" t="s">
        <v>184</v>
      </c>
      <c r="G2372" s="562" t="s">
        <v>191</v>
      </c>
      <c r="H2372" s="562" t="s">
        <v>191</v>
      </c>
    </row>
    <row r="2373" spans="1:8" x14ac:dyDescent="0.2">
      <c r="A2373" s="562" t="s">
        <v>272</v>
      </c>
      <c r="B2373" s="562" t="s">
        <v>1727</v>
      </c>
      <c r="C2373" s="562" t="s">
        <v>1733</v>
      </c>
      <c r="D2373" s="562">
        <v>1</v>
      </c>
      <c r="E2373" s="562">
        <v>6</v>
      </c>
      <c r="F2373" s="562" t="s">
        <v>184</v>
      </c>
      <c r="G2373" s="562" t="s">
        <v>191</v>
      </c>
      <c r="H2373" s="562" t="s">
        <v>191</v>
      </c>
    </row>
    <row r="2374" spans="1:8" x14ac:dyDescent="0.2">
      <c r="A2374" s="562" t="s">
        <v>272</v>
      </c>
      <c r="B2374" s="562" t="s">
        <v>1727</v>
      </c>
      <c r="C2374" s="562" t="s">
        <v>1345</v>
      </c>
      <c r="D2374" s="562">
        <v>1</v>
      </c>
      <c r="E2374" s="562">
        <v>6</v>
      </c>
      <c r="F2374" s="562" t="s">
        <v>184</v>
      </c>
      <c r="G2374" s="562" t="s">
        <v>191</v>
      </c>
      <c r="H2374" s="562" t="s">
        <v>191</v>
      </c>
    </row>
    <row r="2375" spans="1:8" x14ac:dyDescent="0.2">
      <c r="A2375" s="562" t="s">
        <v>272</v>
      </c>
      <c r="B2375" s="562" t="s">
        <v>1727</v>
      </c>
      <c r="C2375" s="562" t="s">
        <v>423</v>
      </c>
      <c r="D2375" s="562">
        <v>2</v>
      </c>
      <c r="E2375" s="562">
        <v>6</v>
      </c>
      <c r="F2375" s="562" t="s">
        <v>184</v>
      </c>
      <c r="G2375" s="562" t="s">
        <v>191</v>
      </c>
      <c r="H2375" s="562" t="s">
        <v>191</v>
      </c>
    </row>
    <row r="2376" spans="1:8" x14ac:dyDescent="0.2">
      <c r="A2376" s="562" t="s">
        <v>272</v>
      </c>
      <c r="B2376" s="562" t="s">
        <v>1727</v>
      </c>
      <c r="C2376" s="562" t="s">
        <v>971</v>
      </c>
      <c r="D2376" s="562">
        <v>1</v>
      </c>
      <c r="E2376" s="562">
        <v>6</v>
      </c>
      <c r="F2376" s="562" t="s">
        <v>184</v>
      </c>
      <c r="G2376" s="562" t="s">
        <v>191</v>
      </c>
      <c r="H2376" s="562" t="s">
        <v>191</v>
      </c>
    </row>
    <row r="2377" spans="1:8" x14ac:dyDescent="0.2">
      <c r="A2377" s="562" t="s">
        <v>272</v>
      </c>
      <c r="B2377" s="562" t="s">
        <v>1727</v>
      </c>
      <c r="C2377" s="562" t="s">
        <v>1734</v>
      </c>
      <c r="D2377" s="562">
        <v>1</v>
      </c>
      <c r="E2377" s="562">
        <v>5</v>
      </c>
      <c r="F2377" s="562" t="s">
        <v>184</v>
      </c>
      <c r="G2377" s="562" t="s">
        <v>191</v>
      </c>
      <c r="H2377" s="562" t="s">
        <v>191</v>
      </c>
    </row>
    <row r="2378" spans="1:8" x14ac:dyDescent="0.2">
      <c r="A2378" s="562" t="s">
        <v>272</v>
      </c>
      <c r="B2378" s="562" t="s">
        <v>1727</v>
      </c>
      <c r="C2378" s="562" t="s">
        <v>369</v>
      </c>
      <c r="D2378" s="562">
        <v>1</v>
      </c>
      <c r="E2378" s="562">
        <v>6</v>
      </c>
      <c r="F2378" s="562" t="s">
        <v>184</v>
      </c>
      <c r="G2378" s="562" t="s">
        <v>191</v>
      </c>
      <c r="H2378" s="562" t="s">
        <v>191</v>
      </c>
    </row>
    <row r="2379" spans="1:8" x14ac:dyDescent="0.2">
      <c r="A2379" s="562" t="s">
        <v>272</v>
      </c>
      <c r="B2379" s="562" t="s">
        <v>1727</v>
      </c>
      <c r="C2379" s="562" t="s">
        <v>216</v>
      </c>
      <c r="D2379" s="562">
        <v>1</v>
      </c>
      <c r="E2379" s="562">
        <v>5</v>
      </c>
      <c r="F2379" s="562" t="s">
        <v>184</v>
      </c>
      <c r="G2379" s="562" t="s">
        <v>191</v>
      </c>
      <c r="H2379" s="562" t="s">
        <v>191</v>
      </c>
    </row>
    <row r="2380" spans="1:8" x14ac:dyDescent="0.2">
      <c r="A2380" s="562" t="s">
        <v>272</v>
      </c>
      <c r="B2380" s="562" t="s">
        <v>1727</v>
      </c>
      <c r="C2380" s="562" t="s">
        <v>1735</v>
      </c>
      <c r="D2380" s="562">
        <v>1</v>
      </c>
      <c r="E2380" s="562">
        <v>6</v>
      </c>
      <c r="F2380" s="562" t="s">
        <v>184</v>
      </c>
      <c r="G2380" s="562" t="s">
        <v>191</v>
      </c>
      <c r="H2380" s="562" t="s">
        <v>191</v>
      </c>
    </row>
    <row r="2381" spans="1:8" x14ac:dyDescent="0.2">
      <c r="A2381" s="562" t="s">
        <v>272</v>
      </c>
      <c r="B2381" s="562" t="s">
        <v>1727</v>
      </c>
      <c r="C2381" s="562" t="s">
        <v>1736</v>
      </c>
      <c r="D2381" s="562">
        <v>1</v>
      </c>
      <c r="E2381" s="562">
        <v>6</v>
      </c>
      <c r="F2381" s="562" t="s">
        <v>184</v>
      </c>
      <c r="G2381" s="562" t="s">
        <v>191</v>
      </c>
      <c r="H2381" s="562" t="s">
        <v>191</v>
      </c>
    </row>
    <row r="2382" spans="1:8" x14ac:dyDescent="0.2">
      <c r="A2382" s="562" t="s">
        <v>272</v>
      </c>
      <c r="B2382" s="562" t="s">
        <v>1727</v>
      </c>
      <c r="C2382" s="562" t="s">
        <v>491</v>
      </c>
      <c r="D2382" s="562">
        <v>2</v>
      </c>
      <c r="E2382" s="562">
        <v>6</v>
      </c>
      <c r="F2382" s="562" t="s">
        <v>184</v>
      </c>
      <c r="G2382" s="562" t="s">
        <v>191</v>
      </c>
      <c r="H2382" s="562" t="s">
        <v>191</v>
      </c>
    </row>
    <row r="2383" spans="1:8" x14ac:dyDescent="0.2">
      <c r="A2383" s="562" t="s">
        <v>272</v>
      </c>
      <c r="B2383" s="562" t="s">
        <v>1727</v>
      </c>
      <c r="C2383" s="562" t="s">
        <v>1737</v>
      </c>
      <c r="D2383" s="562">
        <v>1</v>
      </c>
      <c r="E2383" s="562">
        <v>6</v>
      </c>
      <c r="F2383" s="562" t="s">
        <v>184</v>
      </c>
      <c r="G2383" s="562" t="s">
        <v>191</v>
      </c>
      <c r="H2383" s="562" t="s">
        <v>191</v>
      </c>
    </row>
    <row r="2384" spans="1:8" x14ac:dyDescent="0.2">
      <c r="A2384" s="562" t="s">
        <v>272</v>
      </c>
      <c r="B2384" s="562" t="s">
        <v>1727</v>
      </c>
      <c r="C2384" s="562" t="s">
        <v>1738</v>
      </c>
      <c r="D2384" s="562">
        <v>1</v>
      </c>
      <c r="E2384" s="562">
        <v>6</v>
      </c>
      <c r="F2384" s="562" t="s">
        <v>184</v>
      </c>
      <c r="G2384" s="562" t="s">
        <v>191</v>
      </c>
      <c r="H2384" s="562" t="s">
        <v>191</v>
      </c>
    </row>
    <row r="2385" spans="1:8" x14ac:dyDescent="0.2">
      <c r="A2385" s="562" t="s">
        <v>272</v>
      </c>
      <c r="B2385" s="562" t="s">
        <v>1727</v>
      </c>
      <c r="C2385" s="562" t="s">
        <v>1351</v>
      </c>
      <c r="D2385" s="562">
        <v>1</v>
      </c>
      <c r="E2385" s="562">
        <v>6</v>
      </c>
      <c r="F2385" s="562" t="s">
        <v>184</v>
      </c>
      <c r="G2385" s="562" t="s">
        <v>191</v>
      </c>
      <c r="H2385" s="562" t="s">
        <v>191</v>
      </c>
    </row>
    <row r="2386" spans="1:8" x14ac:dyDescent="0.2">
      <c r="A2386" s="562" t="s">
        <v>272</v>
      </c>
      <c r="B2386" s="562" t="s">
        <v>1727</v>
      </c>
      <c r="C2386" s="562" t="s">
        <v>1614</v>
      </c>
      <c r="D2386" s="562">
        <v>2</v>
      </c>
      <c r="E2386" s="562">
        <v>6</v>
      </c>
      <c r="F2386" s="562" t="s">
        <v>184</v>
      </c>
      <c r="G2386" s="562" t="s">
        <v>191</v>
      </c>
      <c r="H2386" s="562" t="s">
        <v>191</v>
      </c>
    </row>
    <row r="2387" spans="1:8" x14ac:dyDescent="0.2">
      <c r="A2387" s="562" t="s">
        <v>272</v>
      </c>
      <c r="B2387" s="562" t="s">
        <v>1727</v>
      </c>
      <c r="C2387" s="562" t="s">
        <v>495</v>
      </c>
      <c r="D2387" s="562">
        <v>1</v>
      </c>
      <c r="E2387" s="562">
        <v>5</v>
      </c>
      <c r="F2387" s="562" t="s">
        <v>184</v>
      </c>
      <c r="G2387" s="562" t="s">
        <v>191</v>
      </c>
      <c r="H2387" s="562" t="s">
        <v>191</v>
      </c>
    </row>
    <row r="2388" spans="1:8" x14ac:dyDescent="0.2">
      <c r="A2388" s="562" t="s">
        <v>272</v>
      </c>
      <c r="B2388" s="562" t="s">
        <v>1727</v>
      </c>
      <c r="C2388" s="562" t="s">
        <v>1739</v>
      </c>
      <c r="D2388" s="562">
        <v>1</v>
      </c>
      <c r="E2388" s="562">
        <v>6</v>
      </c>
      <c r="F2388" s="562" t="s">
        <v>184</v>
      </c>
      <c r="G2388" s="562" t="s">
        <v>191</v>
      </c>
      <c r="H2388" s="562" t="s">
        <v>191</v>
      </c>
    </row>
    <row r="2389" spans="1:8" x14ac:dyDescent="0.2">
      <c r="A2389" s="562" t="s">
        <v>272</v>
      </c>
      <c r="B2389" s="562" t="s">
        <v>1727</v>
      </c>
      <c r="C2389" s="562" t="s">
        <v>1740</v>
      </c>
      <c r="D2389" s="562">
        <v>2</v>
      </c>
      <c r="E2389" s="562">
        <v>6</v>
      </c>
      <c r="F2389" s="562" t="s">
        <v>184</v>
      </c>
      <c r="G2389" s="562" t="s">
        <v>191</v>
      </c>
      <c r="H2389" s="562" t="s">
        <v>191</v>
      </c>
    </row>
    <row r="2390" spans="1:8" x14ac:dyDescent="0.2">
      <c r="A2390" s="562" t="s">
        <v>272</v>
      </c>
      <c r="B2390" s="562" t="s">
        <v>1727</v>
      </c>
      <c r="C2390" s="562" t="s">
        <v>1741</v>
      </c>
      <c r="D2390" s="562">
        <v>1</v>
      </c>
      <c r="E2390" s="562">
        <v>6</v>
      </c>
      <c r="F2390" s="562" t="s">
        <v>184</v>
      </c>
      <c r="G2390" s="562" t="s">
        <v>191</v>
      </c>
      <c r="H2390" s="562" t="s">
        <v>191</v>
      </c>
    </row>
    <row r="2391" spans="1:8" x14ac:dyDescent="0.2">
      <c r="A2391" s="562" t="s">
        <v>272</v>
      </c>
      <c r="B2391" s="562" t="s">
        <v>1727</v>
      </c>
      <c r="C2391" s="562" t="s">
        <v>382</v>
      </c>
      <c r="D2391" s="562">
        <v>1</v>
      </c>
      <c r="E2391" s="562">
        <v>6</v>
      </c>
      <c r="F2391" s="562" t="s">
        <v>184</v>
      </c>
      <c r="G2391" s="562" t="s">
        <v>191</v>
      </c>
      <c r="H2391" s="562" t="s">
        <v>191</v>
      </c>
    </row>
    <row r="2392" spans="1:8" x14ac:dyDescent="0.2">
      <c r="A2392" s="562" t="s">
        <v>272</v>
      </c>
      <c r="B2392" s="562" t="s">
        <v>1727</v>
      </c>
      <c r="C2392" s="562" t="s">
        <v>1742</v>
      </c>
      <c r="D2392" s="562">
        <v>2</v>
      </c>
      <c r="E2392" s="562">
        <v>5</v>
      </c>
      <c r="F2392" s="562" t="s">
        <v>184</v>
      </c>
      <c r="G2392" s="562" t="s">
        <v>191</v>
      </c>
      <c r="H2392" s="562" t="s">
        <v>191</v>
      </c>
    </row>
    <row r="2393" spans="1:8" x14ac:dyDescent="0.2">
      <c r="A2393" s="562" t="s">
        <v>272</v>
      </c>
      <c r="B2393" s="562" t="s">
        <v>1727</v>
      </c>
      <c r="C2393" s="562" t="s">
        <v>1743</v>
      </c>
      <c r="D2393" s="562">
        <v>2</v>
      </c>
      <c r="E2393" s="562">
        <v>6</v>
      </c>
      <c r="F2393" s="562" t="s">
        <v>184</v>
      </c>
      <c r="G2393" s="562" t="s">
        <v>191</v>
      </c>
      <c r="H2393" s="562" t="s">
        <v>191</v>
      </c>
    </row>
    <row r="2394" spans="1:8" x14ac:dyDescent="0.2">
      <c r="A2394" s="562" t="s">
        <v>272</v>
      </c>
      <c r="B2394" s="562" t="s">
        <v>1727</v>
      </c>
      <c r="C2394" s="562" t="s">
        <v>1744</v>
      </c>
      <c r="D2394" s="562">
        <v>1</v>
      </c>
      <c r="E2394" s="562">
        <v>6</v>
      </c>
      <c r="F2394" s="562" t="s">
        <v>184</v>
      </c>
      <c r="G2394" s="562" t="s">
        <v>191</v>
      </c>
      <c r="H2394" s="562" t="s">
        <v>191</v>
      </c>
    </row>
    <row r="2395" spans="1:8" x14ac:dyDescent="0.2">
      <c r="A2395" s="562" t="s">
        <v>272</v>
      </c>
      <c r="B2395" s="562" t="s">
        <v>1727</v>
      </c>
      <c r="C2395" s="562" t="s">
        <v>1745</v>
      </c>
      <c r="D2395" s="562">
        <v>1</v>
      </c>
      <c r="E2395" s="562">
        <v>6</v>
      </c>
      <c r="F2395" s="562" t="s">
        <v>184</v>
      </c>
      <c r="G2395" s="562" t="s">
        <v>191</v>
      </c>
      <c r="H2395" s="562" t="s">
        <v>191</v>
      </c>
    </row>
    <row r="2396" spans="1:8" x14ac:dyDescent="0.2">
      <c r="A2396" s="562" t="s">
        <v>272</v>
      </c>
      <c r="B2396" s="562" t="s">
        <v>1727</v>
      </c>
      <c r="C2396" s="562" t="s">
        <v>1746</v>
      </c>
      <c r="D2396" s="562">
        <v>1</v>
      </c>
      <c r="E2396" s="562">
        <v>6</v>
      </c>
      <c r="F2396" s="562" t="s">
        <v>184</v>
      </c>
      <c r="G2396" s="562" t="s">
        <v>191</v>
      </c>
      <c r="H2396" s="562" t="s">
        <v>191</v>
      </c>
    </row>
    <row r="2397" spans="1:8" x14ac:dyDescent="0.2">
      <c r="A2397" s="562" t="s">
        <v>272</v>
      </c>
      <c r="B2397" s="562" t="s">
        <v>1727</v>
      </c>
      <c r="C2397" s="562" t="s">
        <v>1423</v>
      </c>
      <c r="D2397" s="562">
        <v>2</v>
      </c>
      <c r="E2397" s="562">
        <v>6</v>
      </c>
      <c r="F2397" s="562" t="s">
        <v>184</v>
      </c>
      <c r="G2397" s="562" t="s">
        <v>191</v>
      </c>
      <c r="H2397" s="562" t="s">
        <v>191</v>
      </c>
    </row>
    <row r="2398" spans="1:8" x14ac:dyDescent="0.2">
      <c r="A2398" s="562" t="s">
        <v>272</v>
      </c>
      <c r="B2398" s="562" t="s">
        <v>1727</v>
      </c>
      <c r="C2398" s="562" t="s">
        <v>1618</v>
      </c>
      <c r="D2398" s="562">
        <v>1</v>
      </c>
      <c r="E2398" s="562">
        <v>6</v>
      </c>
      <c r="F2398" s="562" t="s">
        <v>184</v>
      </c>
      <c r="G2398" s="562" t="s">
        <v>191</v>
      </c>
      <c r="H2398" s="562" t="s">
        <v>191</v>
      </c>
    </row>
    <row r="2399" spans="1:8" x14ac:dyDescent="0.2">
      <c r="A2399" s="562" t="s">
        <v>272</v>
      </c>
      <c r="B2399" s="562" t="s">
        <v>1727</v>
      </c>
      <c r="C2399" s="562" t="s">
        <v>1747</v>
      </c>
      <c r="D2399" s="562">
        <v>1</v>
      </c>
      <c r="E2399" s="562">
        <v>5</v>
      </c>
      <c r="F2399" s="562" t="s">
        <v>184</v>
      </c>
      <c r="G2399" s="562" t="s">
        <v>191</v>
      </c>
      <c r="H2399" s="562" t="s">
        <v>191</v>
      </c>
    </row>
    <row r="2400" spans="1:8" x14ac:dyDescent="0.2">
      <c r="A2400" s="562" t="s">
        <v>272</v>
      </c>
      <c r="B2400" s="562" t="s">
        <v>1727</v>
      </c>
      <c r="C2400" s="562" t="s">
        <v>1503</v>
      </c>
      <c r="D2400" s="562">
        <v>1</v>
      </c>
      <c r="E2400" s="562">
        <v>6</v>
      </c>
      <c r="F2400" s="562" t="s">
        <v>184</v>
      </c>
      <c r="G2400" s="562" t="s">
        <v>191</v>
      </c>
      <c r="H2400" s="562" t="s">
        <v>191</v>
      </c>
    </row>
    <row r="2401" spans="1:8" x14ac:dyDescent="0.2">
      <c r="A2401" s="562" t="s">
        <v>272</v>
      </c>
      <c r="B2401" s="562" t="s">
        <v>1727</v>
      </c>
      <c r="C2401" s="562" t="s">
        <v>259</v>
      </c>
      <c r="D2401" s="562">
        <v>2</v>
      </c>
      <c r="E2401" s="562">
        <v>5</v>
      </c>
      <c r="F2401" s="562" t="s">
        <v>184</v>
      </c>
      <c r="G2401" s="562" t="s">
        <v>191</v>
      </c>
      <c r="H2401" s="562" t="s">
        <v>191</v>
      </c>
    </row>
    <row r="2402" spans="1:8" x14ac:dyDescent="0.2">
      <c r="A2402" s="562" t="s">
        <v>272</v>
      </c>
      <c r="B2402" s="562" t="s">
        <v>1727</v>
      </c>
      <c r="C2402" s="562" t="s">
        <v>1748</v>
      </c>
      <c r="D2402" s="562">
        <v>1</v>
      </c>
      <c r="E2402" s="562">
        <v>6</v>
      </c>
      <c r="F2402" s="562" t="s">
        <v>184</v>
      </c>
      <c r="G2402" s="562" t="s">
        <v>191</v>
      </c>
      <c r="H2402" s="562" t="s">
        <v>191</v>
      </c>
    </row>
    <row r="2403" spans="1:8" x14ac:dyDescent="0.2">
      <c r="A2403" s="562" t="s">
        <v>272</v>
      </c>
      <c r="B2403" s="562" t="s">
        <v>1727</v>
      </c>
      <c r="C2403" s="562" t="s">
        <v>659</v>
      </c>
      <c r="D2403" s="562">
        <v>2</v>
      </c>
      <c r="E2403" s="562">
        <v>6</v>
      </c>
      <c r="F2403" s="562" t="s">
        <v>184</v>
      </c>
      <c r="G2403" s="562" t="s">
        <v>191</v>
      </c>
      <c r="H2403" s="562" t="s">
        <v>191</v>
      </c>
    </row>
    <row r="2404" spans="1:8" x14ac:dyDescent="0.2">
      <c r="A2404" s="562" t="s">
        <v>272</v>
      </c>
      <c r="B2404" s="562" t="s">
        <v>1727</v>
      </c>
      <c r="C2404" s="562" t="s">
        <v>1749</v>
      </c>
      <c r="D2404" s="562">
        <v>1</v>
      </c>
      <c r="E2404" s="562">
        <v>6</v>
      </c>
      <c r="F2404" s="562" t="s">
        <v>184</v>
      </c>
      <c r="G2404" s="562" t="s">
        <v>191</v>
      </c>
      <c r="H2404" s="562" t="s">
        <v>191</v>
      </c>
    </row>
    <row r="2405" spans="1:8" x14ac:dyDescent="0.2">
      <c r="A2405" s="562" t="s">
        <v>272</v>
      </c>
      <c r="B2405" s="562" t="s">
        <v>1727</v>
      </c>
      <c r="C2405" s="562" t="s">
        <v>436</v>
      </c>
      <c r="D2405" s="562">
        <v>1</v>
      </c>
      <c r="E2405" s="562">
        <v>6</v>
      </c>
      <c r="F2405" s="562" t="s">
        <v>184</v>
      </c>
      <c r="G2405" s="562" t="s">
        <v>191</v>
      </c>
      <c r="H2405" s="562" t="s">
        <v>191</v>
      </c>
    </row>
    <row r="2406" spans="1:8" x14ac:dyDescent="0.2">
      <c r="A2406" s="562" t="s">
        <v>272</v>
      </c>
      <c r="B2406" s="562" t="s">
        <v>1727</v>
      </c>
      <c r="C2406" s="562" t="s">
        <v>267</v>
      </c>
      <c r="D2406" s="562">
        <v>2</v>
      </c>
      <c r="E2406" s="562">
        <v>6</v>
      </c>
      <c r="F2406" s="562" t="s">
        <v>184</v>
      </c>
      <c r="G2406" s="562" t="s">
        <v>191</v>
      </c>
      <c r="H2406" s="562" t="s">
        <v>191</v>
      </c>
    </row>
    <row r="2407" spans="1:8" x14ac:dyDescent="0.2">
      <c r="A2407" s="562" t="s">
        <v>272</v>
      </c>
      <c r="B2407" s="562" t="s">
        <v>1727</v>
      </c>
      <c r="C2407" s="562" t="s">
        <v>390</v>
      </c>
      <c r="D2407" s="562">
        <v>1</v>
      </c>
      <c r="E2407" s="562">
        <v>6</v>
      </c>
      <c r="F2407" s="562" t="s">
        <v>184</v>
      </c>
      <c r="G2407" s="562" t="s">
        <v>191</v>
      </c>
      <c r="H2407" s="562" t="s">
        <v>191</v>
      </c>
    </row>
    <row r="2408" spans="1:8" x14ac:dyDescent="0.2">
      <c r="A2408" s="562" t="s">
        <v>272</v>
      </c>
      <c r="B2408" s="562" t="s">
        <v>1727</v>
      </c>
      <c r="C2408" s="562" t="s">
        <v>1750</v>
      </c>
      <c r="D2408" s="562">
        <v>1</v>
      </c>
      <c r="E2408" s="562">
        <v>6</v>
      </c>
      <c r="F2408" s="562" t="s">
        <v>184</v>
      </c>
      <c r="G2408" s="562" t="s">
        <v>191</v>
      </c>
      <c r="H2408" s="562" t="s">
        <v>191</v>
      </c>
    </row>
    <row r="2409" spans="1:8" x14ac:dyDescent="0.2">
      <c r="A2409" s="562" t="s">
        <v>272</v>
      </c>
      <c r="B2409" s="562" t="s">
        <v>1727</v>
      </c>
      <c r="C2409" s="562" t="s">
        <v>283</v>
      </c>
      <c r="D2409" s="562">
        <v>1</v>
      </c>
      <c r="E2409" s="562">
        <v>6</v>
      </c>
      <c r="F2409" s="562" t="s">
        <v>184</v>
      </c>
      <c r="G2409" s="562" t="s">
        <v>191</v>
      </c>
      <c r="H2409" s="562" t="s">
        <v>191</v>
      </c>
    </row>
    <row r="2410" spans="1:8" x14ac:dyDescent="0.2">
      <c r="A2410" s="562" t="s">
        <v>272</v>
      </c>
      <c r="B2410" s="562" t="s">
        <v>1727</v>
      </c>
      <c r="C2410" s="562" t="s">
        <v>1751</v>
      </c>
      <c r="D2410" s="562">
        <v>1</v>
      </c>
      <c r="E2410" s="562">
        <v>6</v>
      </c>
      <c r="F2410" s="562" t="s">
        <v>184</v>
      </c>
      <c r="G2410" s="562" t="s">
        <v>191</v>
      </c>
      <c r="H2410" s="562" t="s">
        <v>191</v>
      </c>
    </row>
    <row r="2411" spans="1:8" x14ac:dyDescent="0.2">
      <c r="A2411" s="562" t="s">
        <v>272</v>
      </c>
      <c r="B2411" s="562" t="s">
        <v>1727</v>
      </c>
      <c r="C2411" s="562" t="s">
        <v>922</v>
      </c>
      <c r="D2411" s="562">
        <v>1</v>
      </c>
      <c r="E2411" s="562">
        <v>6</v>
      </c>
      <c r="F2411" s="562" t="s">
        <v>184</v>
      </c>
      <c r="G2411" s="562" t="s">
        <v>191</v>
      </c>
      <c r="H2411" s="562" t="s">
        <v>191</v>
      </c>
    </row>
    <row r="2412" spans="1:8" x14ac:dyDescent="0.2">
      <c r="A2412" s="562" t="s">
        <v>272</v>
      </c>
      <c r="B2412" s="562" t="s">
        <v>1727</v>
      </c>
      <c r="C2412" s="562" t="s">
        <v>923</v>
      </c>
      <c r="D2412" s="562">
        <v>2</v>
      </c>
      <c r="E2412" s="562">
        <v>6</v>
      </c>
      <c r="F2412" s="562" t="s">
        <v>184</v>
      </c>
      <c r="G2412" s="562" t="s">
        <v>191</v>
      </c>
      <c r="H2412" s="562" t="s">
        <v>191</v>
      </c>
    </row>
    <row r="2413" spans="1:8" x14ac:dyDescent="0.2">
      <c r="A2413" s="562" t="s">
        <v>272</v>
      </c>
      <c r="B2413" s="562" t="s">
        <v>1727</v>
      </c>
      <c r="C2413" s="562" t="s">
        <v>1752</v>
      </c>
      <c r="D2413" s="562">
        <v>2</v>
      </c>
      <c r="E2413" s="562">
        <v>5</v>
      </c>
      <c r="F2413" s="562" t="s">
        <v>184</v>
      </c>
      <c r="G2413" s="562" t="s">
        <v>191</v>
      </c>
      <c r="H2413" s="562" t="s">
        <v>191</v>
      </c>
    </row>
    <row r="2414" spans="1:8" x14ac:dyDescent="0.2">
      <c r="A2414" s="562" t="s">
        <v>272</v>
      </c>
      <c r="B2414" s="562" t="s">
        <v>1727</v>
      </c>
      <c r="C2414" s="562" t="s">
        <v>1753</v>
      </c>
      <c r="D2414" s="562">
        <v>1</v>
      </c>
      <c r="E2414" s="562">
        <v>6</v>
      </c>
      <c r="F2414" s="562" t="s">
        <v>184</v>
      </c>
      <c r="G2414" s="562" t="s">
        <v>191</v>
      </c>
      <c r="H2414" s="562" t="s">
        <v>191</v>
      </c>
    </row>
    <row r="2415" spans="1:8" x14ac:dyDescent="0.2">
      <c r="A2415" s="562" t="s">
        <v>272</v>
      </c>
      <c r="B2415" s="562" t="s">
        <v>1727</v>
      </c>
      <c r="C2415" s="562" t="s">
        <v>1754</v>
      </c>
      <c r="D2415" s="562">
        <v>1</v>
      </c>
      <c r="E2415" s="562">
        <v>6</v>
      </c>
      <c r="F2415" s="562" t="s">
        <v>184</v>
      </c>
      <c r="G2415" s="562" t="s">
        <v>191</v>
      </c>
      <c r="H2415" s="562" t="s">
        <v>191</v>
      </c>
    </row>
    <row r="2416" spans="1:8" x14ac:dyDescent="0.2">
      <c r="A2416" s="562" t="s">
        <v>272</v>
      </c>
      <c r="B2416" s="562" t="s">
        <v>1727</v>
      </c>
      <c r="C2416" s="562" t="s">
        <v>1755</v>
      </c>
      <c r="D2416" s="562">
        <v>1</v>
      </c>
      <c r="E2416" s="562">
        <v>6</v>
      </c>
      <c r="F2416" s="562" t="s">
        <v>184</v>
      </c>
      <c r="G2416" s="562" t="s">
        <v>191</v>
      </c>
      <c r="H2416" s="562" t="s">
        <v>191</v>
      </c>
    </row>
    <row r="2417" spans="1:8" x14ac:dyDescent="0.2">
      <c r="A2417" s="562" t="s">
        <v>272</v>
      </c>
      <c r="B2417" s="562" t="s">
        <v>1727</v>
      </c>
      <c r="C2417" s="562" t="s">
        <v>1204</v>
      </c>
      <c r="D2417" s="562">
        <v>2</v>
      </c>
      <c r="E2417" s="562">
        <v>6</v>
      </c>
      <c r="F2417" s="562" t="s">
        <v>184</v>
      </c>
      <c r="G2417" s="562" t="s">
        <v>191</v>
      </c>
      <c r="H2417" s="562" t="s">
        <v>191</v>
      </c>
    </row>
    <row r="2418" spans="1:8" x14ac:dyDescent="0.2">
      <c r="A2418" s="562" t="s">
        <v>272</v>
      </c>
      <c r="B2418" s="562" t="s">
        <v>1727</v>
      </c>
      <c r="C2418" s="562" t="s">
        <v>1373</v>
      </c>
      <c r="D2418" s="562">
        <v>1</v>
      </c>
      <c r="E2418" s="562">
        <v>6</v>
      </c>
      <c r="F2418" s="562" t="s">
        <v>184</v>
      </c>
      <c r="G2418" s="562" t="s">
        <v>191</v>
      </c>
      <c r="H2418" s="562" t="s">
        <v>191</v>
      </c>
    </row>
    <row r="2419" spans="1:8" x14ac:dyDescent="0.2">
      <c r="A2419" s="562" t="s">
        <v>272</v>
      </c>
      <c r="B2419" s="562" t="s">
        <v>1727</v>
      </c>
      <c r="C2419" s="562" t="s">
        <v>1689</v>
      </c>
      <c r="D2419" s="562">
        <v>1</v>
      </c>
      <c r="E2419" s="562">
        <v>6</v>
      </c>
      <c r="F2419" s="562" t="s">
        <v>184</v>
      </c>
      <c r="G2419" s="562" t="s">
        <v>191</v>
      </c>
      <c r="H2419" s="562" t="s">
        <v>191</v>
      </c>
    </row>
    <row r="2420" spans="1:8" x14ac:dyDescent="0.2">
      <c r="A2420" s="562" t="s">
        <v>272</v>
      </c>
      <c r="B2420" s="562" t="s">
        <v>1727</v>
      </c>
      <c r="C2420" s="562" t="s">
        <v>1756</v>
      </c>
      <c r="D2420" s="562">
        <v>1</v>
      </c>
      <c r="E2420" s="562">
        <v>6</v>
      </c>
      <c r="F2420" s="562" t="s">
        <v>184</v>
      </c>
      <c r="G2420" s="562" t="s">
        <v>191</v>
      </c>
      <c r="H2420" s="562" t="s">
        <v>191</v>
      </c>
    </row>
    <row r="2421" spans="1:8" x14ac:dyDescent="0.2">
      <c r="A2421" s="562" t="s">
        <v>272</v>
      </c>
      <c r="B2421" s="562" t="s">
        <v>1727</v>
      </c>
      <c r="C2421" s="562" t="s">
        <v>1757</v>
      </c>
      <c r="D2421" s="562">
        <v>1</v>
      </c>
      <c r="E2421" s="562">
        <v>6</v>
      </c>
      <c r="F2421" s="562" t="s">
        <v>184</v>
      </c>
      <c r="G2421" s="562" t="s">
        <v>191</v>
      </c>
      <c r="H2421" s="562" t="s">
        <v>191</v>
      </c>
    </row>
    <row r="2422" spans="1:8" x14ac:dyDescent="0.2">
      <c r="A2422" s="562" t="s">
        <v>272</v>
      </c>
      <c r="B2422" s="562" t="s">
        <v>1727</v>
      </c>
      <c r="C2422" s="562" t="s">
        <v>1299</v>
      </c>
      <c r="D2422" s="562">
        <v>2</v>
      </c>
      <c r="E2422" s="562">
        <v>6</v>
      </c>
      <c r="F2422" s="562" t="s">
        <v>184</v>
      </c>
      <c r="G2422" s="562" t="s">
        <v>191</v>
      </c>
      <c r="H2422" s="562" t="s">
        <v>191</v>
      </c>
    </row>
    <row r="2423" spans="1:8" x14ac:dyDescent="0.2">
      <c r="A2423" s="562" t="s">
        <v>272</v>
      </c>
      <c r="B2423" s="562" t="s">
        <v>1727</v>
      </c>
      <c r="C2423" s="562" t="s">
        <v>1758</v>
      </c>
      <c r="D2423" s="562">
        <v>1</v>
      </c>
      <c r="E2423" s="562">
        <v>6</v>
      </c>
      <c r="F2423" s="562" t="s">
        <v>184</v>
      </c>
      <c r="G2423" s="562" t="s">
        <v>191</v>
      </c>
      <c r="H2423" s="562" t="s">
        <v>191</v>
      </c>
    </row>
    <row r="2424" spans="1:8" x14ac:dyDescent="0.2">
      <c r="A2424" s="562" t="s">
        <v>272</v>
      </c>
      <c r="B2424" s="562" t="s">
        <v>1727</v>
      </c>
      <c r="C2424" s="562" t="s">
        <v>1759</v>
      </c>
      <c r="D2424" s="562">
        <v>1</v>
      </c>
      <c r="E2424" s="562">
        <v>6</v>
      </c>
      <c r="F2424" s="562" t="s">
        <v>184</v>
      </c>
      <c r="G2424" s="562" t="s">
        <v>191</v>
      </c>
      <c r="H2424" s="562" t="s">
        <v>191</v>
      </c>
    </row>
    <row r="2425" spans="1:8" x14ac:dyDescent="0.2">
      <c r="A2425" s="562" t="s">
        <v>272</v>
      </c>
      <c r="B2425" s="562" t="s">
        <v>1727</v>
      </c>
      <c r="C2425" s="562" t="s">
        <v>1760</v>
      </c>
      <c r="D2425" s="562">
        <v>1</v>
      </c>
      <c r="E2425" s="562">
        <v>6</v>
      </c>
      <c r="F2425" s="562" t="s">
        <v>184</v>
      </c>
      <c r="G2425" s="562" t="s">
        <v>191</v>
      </c>
      <c r="H2425" s="562" t="s">
        <v>191</v>
      </c>
    </row>
    <row r="2426" spans="1:8" x14ac:dyDescent="0.2">
      <c r="A2426" s="562" t="s">
        <v>272</v>
      </c>
      <c r="B2426" s="562" t="s">
        <v>1727</v>
      </c>
      <c r="C2426" s="562" t="s">
        <v>1010</v>
      </c>
      <c r="D2426" s="562">
        <v>2</v>
      </c>
      <c r="E2426" s="562">
        <v>5</v>
      </c>
      <c r="F2426" s="562" t="s">
        <v>184</v>
      </c>
      <c r="G2426" s="562" t="s">
        <v>191</v>
      </c>
      <c r="H2426" s="562" t="s">
        <v>191</v>
      </c>
    </row>
    <row r="2427" spans="1:8" x14ac:dyDescent="0.2">
      <c r="A2427" s="562" t="s">
        <v>272</v>
      </c>
      <c r="B2427" s="562" t="s">
        <v>1727</v>
      </c>
      <c r="C2427" s="562" t="s">
        <v>1761</v>
      </c>
      <c r="D2427" s="562">
        <v>2</v>
      </c>
      <c r="E2427" s="562">
        <v>5</v>
      </c>
      <c r="F2427" s="562" t="s">
        <v>184</v>
      </c>
      <c r="G2427" s="562" t="s">
        <v>191</v>
      </c>
      <c r="H2427" s="562" t="s">
        <v>191</v>
      </c>
    </row>
    <row r="2428" spans="1:8" x14ac:dyDescent="0.2">
      <c r="A2428" s="562" t="s">
        <v>272</v>
      </c>
      <c r="B2428" s="562" t="s">
        <v>1727</v>
      </c>
      <c r="C2428" s="562" t="s">
        <v>695</v>
      </c>
      <c r="D2428" s="562">
        <v>1</v>
      </c>
      <c r="E2428" s="562">
        <v>6</v>
      </c>
      <c r="F2428" s="562" t="s">
        <v>184</v>
      </c>
      <c r="G2428" s="562" t="s">
        <v>191</v>
      </c>
      <c r="H2428" s="562" t="s">
        <v>191</v>
      </c>
    </row>
    <row r="2429" spans="1:8" x14ac:dyDescent="0.2">
      <c r="A2429" s="562" t="s">
        <v>272</v>
      </c>
      <c r="B2429" s="562" t="s">
        <v>1727</v>
      </c>
      <c r="C2429" s="562" t="s">
        <v>413</v>
      </c>
      <c r="D2429" s="562">
        <v>1</v>
      </c>
      <c r="E2429" s="562">
        <v>5</v>
      </c>
      <c r="F2429" s="562" t="s">
        <v>184</v>
      </c>
      <c r="G2429" s="562" t="s">
        <v>191</v>
      </c>
      <c r="H2429" s="562" t="s">
        <v>191</v>
      </c>
    </row>
    <row r="2430" spans="1:8" x14ac:dyDescent="0.2">
      <c r="A2430" s="562" t="s">
        <v>272</v>
      </c>
      <c r="B2430" s="562" t="s">
        <v>1727</v>
      </c>
      <c r="C2430" s="562" t="s">
        <v>1762</v>
      </c>
      <c r="D2430" s="562">
        <v>1</v>
      </c>
      <c r="E2430" s="562">
        <v>6</v>
      </c>
      <c r="F2430" s="562" t="s">
        <v>184</v>
      </c>
      <c r="G2430" s="562" t="s">
        <v>191</v>
      </c>
      <c r="H2430" s="562" t="s">
        <v>191</v>
      </c>
    </row>
    <row r="2431" spans="1:8" x14ac:dyDescent="0.2">
      <c r="A2431" s="562" t="s">
        <v>272</v>
      </c>
      <c r="B2431" s="562" t="s">
        <v>1727</v>
      </c>
      <c r="C2431" s="562" t="s">
        <v>1763</v>
      </c>
      <c r="D2431" s="562">
        <v>1</v>
      </c>
      <c r="E2431" s="562">
        <v>5</v>
      </c>
      <c r="F2431" s="562" t="s">
        <v>184</v>
      </c>
      <c r="G2431" s="562" t="s">
        <v>191</v>
      </c>
      <c r="H2431" s="562" t="s">
        <v>191</v>
      </c>
    </row>
    <row r="2432" spans="1:8" x14ac:dyDescent="0.2">
      <c r="A2432" s="562" t="s">
        <v>272</v>
      </c>
      <c r="B2432" s="562" t="s">
        <v>1727</v>
      </c>
      <c r="C2432" s="562" t="s">
        <v>1764</v>
      </c>
      <c r="D2432" s="562">
        <v>2</v>
      </c>
      <c r="E2432" s="562">
        <v>6</v>
      </c>
      <c r="F2432" s="562" t="s">
        <v>184</v>
      </c>
      <c r="G2432" s="562" t="s">
        <v>191</v>
      </c>
      <c r="H2432" s="562" t="s">
        <v>191</v>
      </c>
    </row>
    <row r="2433" spans="1:8" x14ac:dyDescent="0.2">
      <c r="A2433" s="562" t="s">
        <v>274</v>
      </c>
      <c r="B2433" s="562" t="s">
        <v>1765</v>
      </c>
      <c r="C2433" s="562" t="s">
        <v>891</v>
      </c>
      <c r="D2433" s="562">
        <v>1</v>
      </c>
      <c r="E2433" s="562">
        <v>4</v>
      </c>
      <c r="F2433" s="562" t="s">
        <v>184</v>
      </c>
      <c r="G2433" s="562" t="s">
        <v>191</v>
      </c>
      <c r="H2433" s="562" t="s">
        <v>191</v>
      </c>
    </row>
    <row r="2434" spans="1:8" x14ac:dyDescent="0.2">
      <c r="A2434" s="562" t="s">
        <v>274</v>
      </c>
      <c r="B2434" s="562" t="s">
        <v>1765</v>
      </c>
      <c r="C2434" s="562" t="s">
        <v>1665</v>
      </c>
      <c r="D2434" s="562">
        <v>1</v>
      </c>
      <c r="E2434" s="562">
        <v>4</v>
      </c>
      <c r="F2434" s="562" t="s">
        <v>184</v>
      </c>
      <c r="G2434" s="562" t="s">
        <v>191</v>
      </c>
      <c r="H2434" s="562" t="s">
        <v>191</v>
      </c>
    </row>
    <row r="2435" spans="1:8" x14ac:dyDescent="0.2">
      <c r="A2435" s="562" t="s">
        <v>274</v>
      </c>
      <c r="B2435" s="562" t="s">
        <v>1765</v>
      </c>
      <c r="C2435" s="562" t="s">
        <v>364</v>
      </c>
      <c r="D2435" s="562">
        <v>2</v>
      </c>
      <c r="E2435" s="562">
        <v>4</v>
      </c>
      <c r="F2435" s="562" t="s">
        <v>184</v>
      </c>
      <c r="G2435" s="562" t="s">
        <v>191</v>
      </c>
      <c r="H2435" s="562" t="s">
        <v>191</v>
      </c>
    </row>
    <row r="2436" spans="1:8" x14ac:dyDescent="0.2">
      <c r="A2436" s="562" t="s">
        <v>274</v>
      </c>
      <c r="B2436" s="562" t="s">
        <v>1765</v>
      </c>
      <c r="C2436" s="562" t="s">
        <v>1766</v>
      </c>
      <c r="D2436" s="562">
        <v>3</v>
      </c>
      <c r="E2436" s="562">
        <v>4</v>
      </c>
      <c r="F2436" s="562" t="s">
        <v>184</v>
      </c>
      <c r="G2436" s="562" t="s">
        <v>191</v>
      </c>
      <c r="H2436" s="562" t="s">
        <v>191</v>
      </c>
    </row>
    <row r="2437" spans="1:8" x14ac:dyDescent="0.2">
      <c r="A2437" s="562" t="s">
        <v>274</v>
      </c>
      <c r="B2437" s="562" t="s">
        <v>1765</v>
      </c>
      <c r="C2437" s="562" t="s">
        <v>198</v>
      </c>
      <c r="D2437" s="562">
        <v>1</v>
      </c>
      <c r="E2437" s="562">
        <v>4</v>
      </c>
      <c r="F2437" s="562" t="s">
        <v>184</v>
      </c>
      <c r="G2437" s="562" t="s">
        <v>191</v>
      </c>
      <c r="H2437" s="562" t="s">
        <v>191</v>
      </c>
    </row>
    <row r="2438" spans="1:8" x14ac:dyDescent="0.2">
      <c r="A2438" s="562" t="s">
        <v>274</v>
      </c>
      <c r="B2438" s="562" t="s">
        <v>1765</v>
      </c>
      <c r="C2438" s="562" t="s">
        <v>366</v>
      </c>
      <c r="D2438" s="562">
        <v>1</v>
      </c>
      <c r="E2438" s="562">
        <v>4</v>
      </c>
      <c r="F2438" s="562" t="s">
        <v>184</v>
      </c>
      <c r="G2438" s="562" t="s">
        <v>191</v>
      </c>
      <c r="H2438" s="562" t="s">
        <v>191</v>
      </c>
    </row>
    <row r="2439" spans="1:8" x14ac:dyDescent="0.2">
      <c r="A2439" s="562" t="s">
        <v>274</v>
      </c>
      <c r="B2439" s="562" t="s">
        <v>1765</v>
      </c>
      <c r="C2439" s="562" t="s">
        <v>971</v>
      </c>
      <c r="D2439" s="562">
        <v>3</v>
      </c>
      <c r="E2439" s="562">
        <v>4</v>
      </c>
      <c r="F2439" s="562" t="s">
        <v>184</v>
      </c>
      <c r="G2439" s="562" t="s">
        <v>191</v>
      </c>
      <c r="H2439" s="562" t="s">
        <v>191</v>
      </c>
    </row>
    <row r="2440" spans="1:8" x14ac:dyDescent="0.2">
      <c r="A2440" s="562" t="s">
        <v>274</v>
      </c>
      <c r="B2440" s="562" t="s">
        <v>1765</v>
      </c>
      <c r="C2440" s="562" t="s">
        <v>1767</v>
      </c>
      <c r="D2440" s="562">
        <v>2</v>
      </c>
      <c r="E2440" s="562">
        <v>4</v>
      </c>
      <c r="F2440" s="562" t="s">
        <v>184</v>
      </c>
      <c r="G2440" s="562" t="s">
        <v>191</v>
      </c>
      <c r="H2440" s="562" t="s">
        <v>191</v>
      </c>
    </row>
    <row r="2441" spans="1:8" x14ac:dyDescent="0.2">
      <c r="A2441" s="562" t="s">
        <v>274</v>
      </c>
      <c r="B2441" s="562" t="s">
        <v>1765</v>
      </c>
      <c r="C2441" s="562" t="s">
        <v>367</v>
      </c>
      <c r="D2441" s="562">
        <v>3</v>
      </c>
      <c r="E2441" s="562">
        <v>4</v>
      </c>
      <c r="F2441" s="562" t="s">
        <v>184</v>
      </c>
      <c r="G2441" s="562" t="s">
        <v>191</v>
      </c>
      <c r="H2441" s="562" t="s">
        <v>191</v>
      </c>
    </row>
    <row r="2442" spans="1:8" x14ac:dyDescent="0.2">
      <c r="A2442" s="562" t="s">
        <v>274</v>
      </c>
      <c r="B2442" s="562" t="s">
        <v>1765</v>
      </c>
      <c r="C2442" s="562" t="s">
        <v>973</v>
      </c>
      <c r="D2442" s="562">
        <v>2</v>
      </c>
      <c r="E2442" s="562">
        <v>4</v>
      </c>
      <c r="F2442" s="562" t="s">
        <v>184</v>
      </c>
      <c r="G2442" s="562" t="s">
        <v>191</v>
      </c>
      <c r="H2442" s="562" t="s">
        <v>191</v>
      </c>
    </row>
    <row r="2443" spans="1:8" x14ac:dyDescent="0.2">
      <c r="A2443" s="562" t="s">
        <v>274</v>
      </c>
      <c r="B2443" s="562" t="s">
        <v>1765</v>
      </c>
      <c r="C2443" s="562" t="s">
        <v>1768</v>
      </c>
      <c r="D2443" s="562">
        <v>2</v>
      </c>
      <c r="E2443" s="562">
        <v>4</v>
      </c>
      <c r="F2443" s="562" t="s">
        <v>184</v>
      </c>
      <c r="G2443" s="562" t="s">
        <v>191</v>
      </c>
      <c r="H2443" s="562" t="s">
        <v>191</v>
      </c>
    </row>
    <row r="2444" spans="1:8" x14ac:dyDescent="0.2">
      <c r="A2444" s="562" t="s">
        <v>274</v>
      </c>
      <c r="B2444" s="562" t="s">
        <v>1765</v>
      </c>
      <c r="C2444" s="562" t="s">
        <v>1671</v>
      </c>
      <c r="D2444" s="562">
        <v>2</v>
      </c>
      <c r="E2444" s="562">
        <v>3</v>
      </c>
      <c r="F2444" s="562" t="s">
        <v>184</v>
      </c>
      <c r="G2444" s="562" t="s">
        <v>191</v>
      </c>
      <c r="H2444" s="562" t="s">
        <v>191</v>
      </c>
    </row>
    <row r="2445" spans="1:8" x14ac:dyDescent="0.2">
      <c r="A2445" s="562" t="s">
        <v>274</v>
      </c>
      <c r="B2445" s="562" t="s">
        <v>1765</v>
      </c>
      <c r="C2445" s="562" t="s">
        <v>1026</v>
      </c>
      <c r="D2445" s="562">
        <v>1</v>
      </c>
      <c r="E2445" s="562">
        <v>4</v>
      </c>
      <c r="F2445" s="562" t="s">
        <v>184</v>
      </c>
      <c r="G2445" s="562" t="s">
        <v>191</v>
      </c>
      <c r="H2445" s="562" t="s">
        <v>191</v>
      </c>
    </row>
    <row r="2446" spans="1:8" x14ac:dyDescent="0.2">
      <c r="A2446" s="562" t="s">
        <v>274</v>
      </c>
      <c r="B2446" s="562" t="s">
        <v>1765</v>
      </c>
      <c r="C2446" s="562" t="s">
        <v>216</v>
      </c>
      <c r="D2446" s="562">
        <v>2</v>
      </c>
      <c r="E2446" s="562">
        <v>4</v>
      </c>
      <c r="F2446" s="562" t="s">
        <v>184</v>
      </c>
      <c r="G2446" s="562" t="s">
        <v>191</v>
      </c>
      <c r="H2446" s="562" t="s">
        <v>191</v>
      </c>
    </row>
    <row r="2447" spans="1:8" x14ac:dyDescent="0.2">
      <c r="A2447" s="562" t="s">
        <v>274</v>
      </c>
      <c r="B2447" s="562" t="s">
        <v>1765</v>
      </c>
      <c r="C2447" s="562" t="s">
        <v>1769</v>
      </c>
      <c r="D2447" s="562">
        <v>2</v>
      </c>
      <c r="E2447" s="562">
        <v>4</v>
      </c>
      <c r="F2447" s="562" t="s">
        <v>184</v>
      </c>
      <c r="G2447" s="562" t="s">
        <v>191</v>
      </c>
      <c r="H2447" s="562" t="s">
        <v>191</v>
      </c>
    </row>
    <row r="2448" spans="1:8" x14ac:dyDescent="0.2">
      <c r="A2448" s="562" t="s">
        <v>274</v>
      </c>
      <c r="B2448" s="562" t="s">
        <v>1765</v>
      </c>
      <c r="C2448" s="562" t="s">
        <v>220</v>
      </c>
      <c r="D2448" s="562">
        <v>2</v>
      </c>
      <c r="E2448" s="562">
        <v>4</v>
      </c>
      <c r="F2448" s="562" t="s">
        <v>184</v>
      </c>
      <c r="G2448" s="562" t="s">
        <v>191</v>
      </c>
      <c r="H2448" s="562" t="s">
        <v>191</v>
      </c>
    </row>
    <row r="2449" spans="1:8" x14ac:dyDescent="0.2">
      <c r="A2449" s="562" t="s">
        <v>274</v>
      </c>
      <c r="B2449" s="562" t="s">
        <v>1765</v>
      </c>
      <c r="C2449" s="562" t="s">
        <v>1770</v>
      </c>
      <c r="D2449" s="562">
        <v>3</v>
      </c>
      <c r="E2449" s="562">
        <v>3</v>
      </c>
      <c r="F2449" s="562" t="s">
        <v>184</v>
      </c>
      <c r="G2449" s="562" t="s">
        <v>191</v>
      </c>
      <c r="H2449" s="562" t="s">
        <v>191</v>
      </c>
    </row>
    <row r="2450" spans="1:8" x14ac:dyDescent="0.2">
      <c r="A2450" s="562" t="s">
        <v>274</v>
      </c>
      <c r="B2450" s="562" t="s">
        <v>1765</v>
      </c>
      <c r="C2450" s="562" t="s">
        <v>757</v>
      </c>
      <c r="D2450" s="562">
        <v>3</v>
      </c>
      <c r="E2450" s="562">
        <v>4</v>
      </c>
      <c r="F2450" s="562" t="s">
        <v>184</v>
      </c>
      <c r="G2450" s="562" t="s">
        <v>191</v>
      </c>
      <c r="H2450" s="562" t="s">
        <v>191</v>
      </c>
    </row>
    <row r="2451" spans="1:8" x14ac:dyDescent="0.2">
      <c r="A2451" s="562" t="s">
        <v>274</v>
      </c>
      <c r="B2451" s="562" t="s">
        <v>1765</v>
      </c>
      <c r="C2451" s="562" t="s">
        <v>1489</v>
      </c>
      <c r="D2451" s="562">
        <v>1</v>
      </c>
      <c r="E2451" s="562">
        <v>4</v>
      </c>
      <c r="F2451" s="562" t="s">
        <v>184</v>
      </c>
      <c r="G2451" s="562" t="s">
        <v>191</v>
      </c>
      <c r="H2451" s="562" t="s">
        <v>191</v>
      </c>
    </row>
    <row r="2452" spans="1:8" x14ac:dyDescent="0.2">
      <c r="A2452" s="562" t="s">
        <v>274</v>
      </c>
      <c r="B2452" s="562" t="s">
        <v>1765</v>
      </c>
      <c r="C2452" s="562" t="s">
        <v>629</v>
      </c>
      <c r="D2452" s="562">
        <v>2</v>
      </c>
      <c r="E2452" s="562">
        <v>4</v>
      </c>
      <c r="F2452" s="562" t="s">
        <v>184</v>
      </c>
      <c r="G2452" s="562" t="s">
        <v>191</v>
      </c>
      <c r="H2452" s="562" t="s">
        <v>191</v>
      </c>
    </row>
    <row r="2453" spans="1:8" x14ac:dyDescent="0.2">
      <c r="A2453" s="562" t="s">
        <v>274</v>
      </c>
      <c r="B2453" s="562" t="s">
        <v>1765</v>
      </c>
      <c r="C2453" s="562" t="s">
        <v>630</v>
      </c>
      <c r="D2453" s="562">
        <v>2</v>
      </c>
      <c r="E2453" s="562">
        <v>4</v>
      </c>
      <c r="F2453" s="562" t="s">
        <v>184</v>
      </c>
      <c r="G2453" s="562" t="s">
        <v>191</v>
      </c>
      <c r="H2453" s="562" t="s">
        <v>191</v>
      </c>
    </row>
    <row r="2454" spans="1:8" x14ac:dyDescent="0.2">
      <c r="A2454" s="562" t="s">
        <v>274</v>
      </c>
      <c r="B2454" s="562" t="s">
        <v>1765</v>
      </c>
      <c r="C2454" s="562" t="s">
        <v>1771</v>
      </c>
      <c r="D2454" s="562">
        <v>2</v>
      </c>
      <c r="E2454" s="562">
        <v>4</v>
      </c>
      <c r="F2454" s="562" t="s">
        <v>184</v>
      </c>
      <c r="G2454" s="562" t="s">
        <v>191</v>
      </c>
      <c r="H2454" s="562" t="s">
        <v>191</v>
      </c>
    </row>
    <row r="2455" spans="1:8" x14ac:dyDescent="0.2">
      <c r="A2455" s="562" t="s">
        <v>274</v>
      </c>
      <c r="B2455" s="562" t="s">
        <v>1765</v>
      </c>
      <c r="C2455" s="562" t="s">
        <v>1772</v>
      </c>
      <c r="D2455" s="562">
        <v>3</v>
      </c>
      <c r="E2455" s="562">
        <v>3</v>
      </c>
      <c r="F2455" s="562" t="s">
        <v>184</v>
      </c>
      <c r="G2455" s="562" t="s">
        <v>191</v>
      </c>
      <c r="H2455" s="562" t="s">
        <v>191</v>
      </c>
    </row>
    <row r="2456" spans="1:8" x14ac:dyDescent="0.2">
      <c r="A2456" s="562" t="s">
        <v>274</v>
      </c>
      <c r="B2456" s="562" t="s">
        <v>1765</v>
      </c>
      <c r="C2456" s="562" t="s">
        <v>246</v>
      </c>
      <c r="D2456" s="562">
        <v>3</v>
      </c>
      <c r="E2456" s="562">
        <v>3</v>
      </c>
      <c r="F2456" s="562" t="s">
        <v>184</v>
      </c>
      <c r="G2456" s="562" t="s">
        <v>191</v>
      </c>
      <c r="H2456" s="562" t="s">
        <v>191</v>
      </c>
    </row>
    <row r="2457" spans="1:8" x14ac:dyDescent="0.2">
      <c r="A2457" s="562" t="s">
        <v>274</v>
      </c>
      <c r="B2457" s="562" t="s">
        <v>1765</v>
      </c>
      <c r="C2457" s="562" t="s">
        <v>1773</v>
      </c>
      <c r="D2457" s="562">
        <v>2</v>
      </c>
      <c r="E2457" s="562">
        <v>4</v>
      </c>
      <c r="F2457" s="562" t="s">
        <v>184</v>
      </c>
      <c r="G2457" s="562" t="s">
        <v>191</v>
      </c>
      <c r="H2457" s="562" t="s">
        <v>191</v>
      </c>
    </row>
    <row r="2458" spans="1:8" x14ac:dyDescent="0.2">
      <c r="A2458" s="562" t="s">
        <v>274</v>
      </c>
      <c r="B2458" s="562" t="s">
        <v>1765</v>
      </c>
      <c r="C2458" s="562" t="s">
        <v>248</v>
      </c>
      <c r="D2458" s="562">
        <v>3</v>
      </c>
      <c r="E2458" s="562">
        <v>4</v>
      </c>
      <c r="F2458" s="562" t="s">
        <v>184</v>
      </c>
      <c r="G2458" s="562" t="s">
        <v>191</v>
      </c>
      <c r="H2458" s="562" t="s">
        <v>191</v>
      </c>
    </row>
    <row r="2459" spans="1:8" x14ac:dyDescent="0.2">
      <c r="A2459" s="562" t="s">
        <v>274</v>
      </c>
      <c r="B2459" s="562" t="s">
        <v>1765</v>
      </c>
      <c r="C2459" s="562" t="s">
        <v>812</v>
      </c>
      <c r="D2459" s="562">
        <v>3</v>
      </c>
      <c r="E2459" s="562">
        <v>4</v>
      </c>
      <c r="F2459" s="562" t="s">
        <v>184</v>
      </c>
      <c r="G2459" s="562" t="s">
        <v>191</v>
      </c>
      <c r="H2459" s="562" t="s">
        <v>191</v>
      </c>
    </row>
    <row r="2460" spans="1:8" x14ac:dyDescent="0.2">
      <c r="A2460" s="562" t="s">
        <v>274</v>
      </c>
      <c r="B2460" s="562" t="s">
        <v>1765</v>
      </c>
      <c r="C2460" s="562" t="s">
        <v>1774</v>
      </c>
      <c r="D2460" s="562">
        <v>1</v>
      </c>
      <c r="E2460" s="562">
        <v>4</v>
      </c>
      <c r="F2460" s="562" t="s">
        <v>184</v>
      </c>
      <c r="G2460" s="562" t="s">
        <v>191</v>
      </c>
      <c r="H2460" s="562" t="s">
        <v>191</v>
      </c>
    </row>
    <row r="2461" spans="1:8" x14ac:dyDescent="0.2">
      <c r="A2461" s="562" t="s">
        <v>274</v>
      </c>
      <c r="B2461" s="562" t="s">
        <v>1765</v>
      </c>
      <c r="C2461" s="562" t="s">
        <v>1775</v>
      </c>
      <c r="D2461" s="562">
        <v>1</v>
      </c>
      <c r="E2461" s="562">
        <v>4</v>
      </c>
      <c r="F2461" s="562" t="s">
        <v>184</v>
      </c>
      <c r="G2461" s="562" t="s">
        <v>191</v>
      </c>
      <c r="H2461" s="562" t="s">
        <v>191</v>
      </c>
    </row>
    <row r="2462" spans="1:8" x14ac:dyDescent="0.2">
      <c r="A2462" s="562" t="s">
        <v>274</v>
      </c>
      <c r="B2462" s="562" t="s">
        <v>1765</v>
      </c>
      <c r="C2462" s="562" t="s">
        <v>252</v>
      </c>
      <c r="D2462" s="562">
        <v>1</v>
      </c>
      <c r="E2462" s="562">
        <v>4</v>
      </c>
      <c r="F2462" s="562" t="s">
        <v>184</v>
      </c>
      <c r="G2462" s="562" t="s">
        <v>191</v>
      </c>
      <c r="H2462" s="562" t="s">
        <v>191</v>
      </c>
    </row>
    <row r="2463" spans="1:8" x14ac:dyDescent="0.2">
      <c r="A2463" s="562" t="s">
        <v>274</v>
      </c>
      <c r="B2463" s="562" t="s">
        <v>1765</v>
      </c>
      <c r="C2463" s="562" t="s">
        <v>764</v>
      </c>
      <c r="D2463" s="562">
        <v>3</v>
      </c>
      <c r="E2463" s="562">
        <v>4</v>
      </c>
      <c r="F2463" s="562" t="s">
        <v>184</v>
      </c>
      <c r="G2463" s="562" t="s">
        <v>191</v>
      </c>
      <c r="H2463" s="562" t="s">
        <v>191</v>
      </c>
    </row>
    <row r="2464" spans="1:8" x14ac:dyDescent="0.2">
      <c r="A2464" s="562" t="s">
        <v>274</v>
      </c>
      <c r="B2464" s="562" t="s">
        <v>1765</v>
      </c>
      <c r="C2464" s="562" t="s">
        <v>1776</v>
      </c>
      <c r="D2464" s="562">
        <v>1</v>
      </c>
      <c r="E2464" s="562">
        <v>4</v>
      </c>
      <c r="F2464" s="562" t="s">
        <v>184</v>
      </c>
      <c r="G2464" s="562" t="s">
        <v>191</v>
      </c>
      <c r="H2464" s="562" t="s">
        <v>191</v>
      </c>
    </row>
    <row r="2465" spans="1:8" x14ac:dyDescent="0.2">
      <c r="A2465" s="562" t="s">
        <v>274</v>
      </c>
      <c r="B2465" s="562" t="s">
        <v>1765</v>
      </c>
      <c r="C2465" s="562" t="s">
        <v>565</v>
      </c>
      <c r="D2465" s="562">
        <v>2</v>
      </c>
      <c r="E2465" s="562">
        <v>4</v>
      </c>
      <c r="F2465" s="562" t="s">
        <v>184</v>
      </c>
      <c r="G2465" s="562" t="s">
        <v>191</v>
      </c>
      <c r="H2465" s="562" t="s">
        <v>191</v>
      </c>
    </row>
    <row r="2466" spans="1:8" x14ac:dyDescent="0.2">
      <c r="A2466" s="562" t="s">
        <v>274</v>
      </c>
      <c r="B2466" s="562" t="s">
        <v>1765</v>
      </c>
      <c r="C2466" s="562" t="s">
        <v>650</v>
      </c>
      <c r="D2466" s="562">
        <v>1</v>
      </c>
      <c r="E2466" s="562">
        <v>4</v>
      </c>
      <c r="F2466" s="562" t="s">
        <v>184</v>
      </c>
      <c r="G2466" s="562" t="s">
        <v>191</v>
      </c>
      <c r="H2466" s="562" t="s">
        <v>191</v>
      </c>
    </row>
    <row r="2467" spans="1:8" x14ac:dyDescent="0.2">
      <c r="A2467" s="562" t="s">
        <v>274</v>
      </c>
      <c r="B2467" s="562" t="s">
        <v>1765</v>
      </c>
      <c r="C2467" s="562" t="s">
        <v>1777</v>
      </c>
      <c r="D2467" s="562">
        <v>3</v>
      </c>
      <c r="E2467" s="562">
        <v>3</v>
      </c>
      <c r="F2467" s="562" t="s">
        <v>184</v>
      </c>
      <c r="G2467" s="562" t="s">
        <v>191</v>
      </c>
      <c r="H2467" s="562" t="s">
        <v>191</v>
      </c>
    </row>
    <row r="2468" spans="1:8" x14ac:dyDescent="0.2">
      <c r="A2468" s="562" t="s">
        <v>274</v>
      </c>
      <c r="B2468" s="562" t="s">
        <v>1765</v>
      </c>
      <c r="C2468" s="562" t="s">
        <v>765</v>
      </c>
      <c r="D2468" s="562">
        <v>2</v>
      </c>
      <c r="E2468" s="562">
        <v>3</v>
      </c>
      <c r="F2468" s="562" t="s">
        <v>184</v>
      </c>
      <c r="G2468" s="562" t="s">
        <v>191</v>
      </c>
      <c r="H2468" s="562" t="s">
        <v>191</v>
      </c>
    </row>
    <row r="2469" spans="1:8" x14ac:dyDescent="0.2">
      <c r="A2469" s="562" t="s">
        <v>274</v>
      </c>
      <c r="B2469" s="562" t="s">
        <v>1765</v>
      </c>
      <c r="C2469" s="562" t="s">
        <v>1778</v>
      </c>
      <c r="D2469" s="562">
        <v>1</v>
      </c>
      <c r="E2469" s="562">
        <v>4</v>
      </c>
      <c r="F2469" s="562" t="s">
        <v>184</v>
      </c>
      <c r="G2469" s="562" t="s">
        <v>191</v>
      </c>
      <c r="H2469" s="562" t="s">
        <v>191</v>
      </c>
    </row>
    <row r="2470" spans="1:8" x14ac:dyDescent="0.2">
      <c r="A2470" s="562" t="s">
        <v>274</v>
      </c>
      <c r="B2470" s="562" t="s">
        <v>1765</v>
      </c>
      <c r="C2470" s="562" t="s">
        <v>1500</v>
      </c>
      <c r="D2470" s="562">
        <v>3</v>
      </c>
      <c r="E2470" s="562">
        <v>3</v>
      </c>
      <c r="F2470" s="562" t="s">
        <v>184</v>
      </c>
      <c r="G2470" s="562" t="s">
        <v>191</v>
      </c>
      <c r="H2470" s="562" t="s">
        <v>191</v>
      </c>
    </row>
    <row r="2471" spans="1:8" x14ac:dyDescent="0.2">
      <c r="A2471" s="562" t="s">
        <v>274</v>
      </c>
      <c r="B2471" s="562" t="s">
        <v>1765</v>
      </c>
      <c r="C2471" s="562" t="s">
        <v>766</v>
      </c>
      <c r="D2471" s="562">
        <v>2</v>
      </c>
      <c r="E2471" s="562">
        <v>3</v>
      </c>
      <c r="F2471" s="562" t="s">
        <v>184</v>
      </c>
      <c r="G2471" s="562" t="s">
        <v>191</v>
      </c>
      <c r="H2471" s="562" t="s">
        <v>191</v>
      </c>
    </row>
    <row r="2472" spans="1:8" x14ac:dyDescent="0.2">
      <c r="A2472" s="562" t="s">
        <v>274</v>
      </c>
      <c r="B2472" s="562" t="s">
        <v>1765</v>
      </c>
      <c r="C2472" s="562" t="s">
        <v>256</v>
      </c>
      <c r="D2472" s="562">
        <v>3</v>
      </c>
      <c r="E2472" s="562">
        <v>4</v>
      </c>
      <c r="F2472" s="562" t="s">
        <v>184</v>
      </c>
      <c r="G2472" s="562" t="s">
        <v>191</v>
      </c>
      <c r="H2472" s="562" t="s">
        <v>191</v>
      </c>
    </row>
    <row r="2473" spans="1:8" x14ac:dyDescent="0.2">
      <c r="A2473" s="562" t="s">
        <v>274</v>
      </c>
      <c r="B2473" s="562" t="s">
        <v>1765</v>
      </c>
      <c r="C2473" s="562" t="s">
        <v>985</v>
      </c>
      <c r="D2473" s="562">
        <v>1</v>
      </c>
      <c r="E2473" s="562">
        <v>4</v>
      </c>
      <c r="F2473" s="562" t="s">
        <v>184</v>
      </c>
      <c r="G2473" s="562" t="s">
        <v>191</v>
      </c>
      <c r="H2473" s="562" t="s">
        <v>191</v>
      </c>
    </row>
    <row r="2474" spans="1:8" x14ac:dyDescent="0.2">
      <c r="A2474" s="562" t="s">
        <v>274</v>
      </c>
      <c r="B2474" s="562" t="s">
        <v>1765</v>
      </c>
      <c r="C2474" s="562" t="s">
        <v>257</v>
      </c>
      <c r="D2474" s="562">
        <v>2</v>
      </c>
      <c r="E2474" s="562">
        <v>4</v>
      </c>
      <c r="F2474" s="562" t="s">
        <v>184</v>
      </c>
      <c r="G2474" s="562" t="s">
        <v>191</v>
      </c>
      <c r="H2474" s="562" t="s">
        <v>191</v>
      </c>
    </row>
    <row r="2475" spans="1:8" x14ac:dyDescent="0.2">
      <c r="A2475" s="562" t="s">
        <v>274</v>
      </c>
      <c r="B2475" s="562" t="s">
        <v>1765</v>
      </c>
      <c r="C2475" s="562" t="s">
        <v>1239</v>
      </c>
      <c r="D2475" s="562">
        <v>1</v>
      </c>
      <c r="E2475" s="562">
        <v>4</v>
      </c>
      <c r="F2475" s="562" t="s">
        <v>184</v>
      </c>
      <c r="G2475" s="562" t="s">
        <v>191</v>
      </c>
      <c r="H2475" s="562" t="s">
        <v>191</v>
      </c>
    </row>
    <row r="2476" spans="1:8" x14ac:dyDescent="0.2">
      <c r="A2476" s="562" t="s">
        <v>274</v>
      </c>
      <c r="B2476" s="562" t="s">
        <v>1765</v>
      </c>
      <c r="C2476" s="562" t="s">
        <v>259</v>
      </c>
      <c r="D2476" s="562">
        <v>1</v>
      </c>
      <c r="E2476" s="562">
        <v>4</v>
      </c>
      <c r="F2476" s="562" t="s">
        <v>184</v>
      </c>
      <c r="G2476" s="562" t="s">
        <v>191</v>
      </c>
      <c r="H2476" s="562" t="s">
        <v>191</v>
      </c>
    </row>
    <row r="2477" spans="1:8" x14ac:dyDescent="0.2">
      <c r="A2477" s="562" t="s">
        <v>274</v>
      </c>
      <c r="B2477" s="562" t="s">
        <v>1765</v>
      </c>
      <c r="C2477" s="562" t="s">
        <v>261</v>
      </c>
      <c r="D2477" s="562">
        <v>1</v>
      </c>
      <c r="E2477" s="562">
        <v>4</v>
      </c>
      <c r="F2477" s="562" t="s">
        <v>184</v>
      </c>
      <c r="G2477" s="562" t="s">
        <v>191</v>
      </c>
      <c r="H2477" s="562" t="s">
        <v>191</v>
      </c>
    </row>
    <row r="2478" spans="1:8" x14ac:dyDescent="0.2">
      <c r="A2478" s="562" t="s">
        <v>274</v>
      </c>
      <c r="B2478" s="562" t="s">
        <v>1765</v>
      </c>
      <c r="C2478" s="562" t="s">
        <v>388</v>
      </c>
      <c r="D2478" s="562">
        <v>2</v>
      </c>
      <c r="E2478" s="562">
        <v>4</v>
      </c>
      <c r="F2478" s="562" t="s">
        <v>184</v>
      </c>
      <c r="G2478" s="562" t="s">
        <v>191</v>
      </c>
      <c r="H2478" s="562" t="s">
        <v>191</v>
      </c>
    </row>
    <row r="2479" spans="1:8" x14ac:dyDescent="0.2">
      <c r="A2479" s="562" t="s">
        <v>274</v>
      </c>
      <c r="B2479" s="562" t="s">
        <v>1765</v>
      </c>
      <c r="C2479" s="562" t="s">
        <v>773</v>
      </c>
      <c r="D2479" s="562">
        <v>1</v>
      </c>
      <c r="E2479" s="562">
        <v>4</v>
      </c>
      <c r="F2479" s="562" t="s">
        <v>184</v>
      </c>
      <c r="G2479" s="562" t="s">
        <v>191</v>
      </c>
      <c r="H2479" s="562" t="s">
        <v>191</v>
      </c>
    </row>
    <row r="2480" spans="1:8" x14ac:dyDescent="0.2">
      <c r="A2480" s="562" t="s">
        <v>274</v>
      </c>
      <c r="B2480" s="562" t="s">
        <v>1765</v>
      </c>
      <c r="C2480" s="562" t="s">
        <v>436</v>
      </c>
      <c r="D2480" s="562">
        <v>3</v>
      </c>
      <c r="E2480" s="562">
        <v>3</v>
      </c>
      <c r="F2480" s="562" t="s">
        <v>184</v>
      </c>
      <c r="G2480" s="562" t="s">
        <v>191</v>
      </c>
      <c r="H2480" s="562" t="s">
        <v>191</v>
      </c>
    </row>
    <row r="2481" spans="1:8" x14ac:dyDescent="0.2">
      <c r="A2481" s="562" t="s">
        <v>274</v>
      </c>
      <c r="B2481" s="562" t="s">
        <v>1765</v>
      </c>
      <c r="C2481" s="562" t="s">
        <v>265</v>
      </c>
      <c r="D2481" s="562">
        <v>3</v>
      </c>
      <c r="E2481" s="562">
        <v>3</v>
      </c>
      <c r="F2481" s="562" t="s">
        <v>184</v>
      </c>
      <c r="G2481" s="562" t="s">
        <v>191</v>
      </c>
      <c r="H2481" s="562" t="s">
        <v>191</v>
      </c>
    </row>
    <row r="2482" spans="1:8" x14ac:dyDescent="0.2">
      <c r="A2482" s="562" t="s">
        <v>274</v>
      </c>
      <c r="B2482" s="562" t="s">
        <v>1765</v>
      </c>
      <c r="C2482" s="562" t="s">
        <v>267</v>
      </c>
      <c r="D2482" s="562">
        <v>1</v>
      </c>
      <c r="E2482" s="562">
        <v>4</v>
      </c>
      <c r="F2482" s="562" t="s">
        <v>184</v>
      </c>
      <c r="G2482" s="562" t="s">
        <v>191</v>
      </c>
      <c r="H2482" s="562" t="s">
        <v>191</v>
      </c>
    </row>
    <row r="2483" spans="1:8" x14ac:dyDescent="0.2">
      <c r="A2483" s="562" t="s">
        <v>274</v>
      </c>
      <c r="B2483" s="562" t="s">
        <v>1765</v>
      </c>
      <c r="C2483" s="562" t="s">
        <v>736</v>
      </c>
      <c r="D2483" s="562">
        <v>1</v>
      </c>
      <c r="E2483" s="562">
        <v>4</v>
      </c>
      <c r="F2483" s="562" t="s">
        <v>184</v>
      </c>
      <c r="G2483" s="562" t="s">
        <v>191</v>
      </c>
      <c r="H2483" s="562" t="s">
        <v>191</v>
      </c>
    </row>
    <row r="2484" spans="1:8" x14ac:dyDescent="0.2">
      <c r="A2484" s="562" t="s">
        <v>274</v>
      </c>
      <c r="B2484" s="562" t="s">
        <v>1765</v>
      </c>
      <c r="C2484" s="562" t="s">
        <v>390</v>
      </c>
      <c r="D2484" s="562">
        <v>1</v>
      </c>
      <c r="E2484" s="562">
        <v>4</v>
      </c>
      <c r="F2484" s="562" t="s">
        <v>184</v>
      </c>
      <c r="G2484" s="562" t="s">
        <v>191</v>
      </c>
      <c r="H2484" s="562" t="s">
        <v>191</v>
      </c>
    </row>
    <row r="2485" spans="1:8" x14ac:dyDescent="0.2">
      <c r="A2485" s="562" t="s">
        <v>274</v>
      </c>
      <c r="B2485" s="562" t="s">
        <v>1765</v>
      </c>
      <c r="C2485" s="562" t="s">
        <v>1779</v>
      </c>
      <c r="D2485" s="562">
        <v>1</v>
      </c>
      <c r="E2485" s="562">
        <v>4</v>
      </c>
      <c r="F2485" s="562" t="s">
        <v>184</v>
      </c>
      <c r="G2485" s="562" t="s">
        <v>191</v>
      </c>
      <c r="H2485" s="562" t="s">
        <v>191</v>
      </c>
    </row>
    <row r="2486" spans="1:8" x14ac:dyDescent="0.2">
      <c r="A2486" s="562" t="s">
        <v>274</v>
      </c>
      <c r="B2486" s="562" t="s">
        <v>1765</v>
      </c>
      <c r="C2486" s="562" t="s">
        <v>275</v>
      </c>
      <c r="D2486" s="562">
        <v>2</v>
      </c>
      <c r="E2486" s="562">
        <v>4</v>
      </c>
      <c r="F2486" s="562" t="s">
        <v>184</v>
      </c>
      <c r="G2486" s="562" t="s">
        <v>191</v>
      </c>
      <c r="H2486" s="562" t="s">
        <v>191</v>
      </c>
    </row>
    <row r="2487" spans="1:8" x14ac:dyDescent="0.2">
      <c r="A2487" s="562" t="s">
        <v>274</v>
      </c>
      <c r="B2487" s="562" t="s">
        <v>1765</v>
      </c>
      <c r="C2487" s="562" t="s">
        <v>277</v>
      </c>
      <c r="D2487" s="562">
        <v>3</v>
      </c>
      <c r="E2487" s="562">
        <v>3</v>
      </c>
      <c r="F2487" s="562" t="s">
        <v>184</v>
      </c>
      <c r="G2487" s="562" t="s">
        <v>191</v>
      </c>
      <c r="H2487" s="562" t="s">
        <v>191</v>
      </c>
    </row>
    <row r="2488" spans="1:8" x14ac:dyDescent="0.2">
      <c r="A2488" s="562" t="s">
        <v>274</v>
      </c>
      <c r="B2488" s="562" t="s">
        <v>1765</v>
      </c>
      <c r="C2488" s="562" t="s">
        <v>281</v>
      </c>
      <c r="D2488" s="562">
        <v>3</v>
      </c>
      <c r="E2488" s="562">
        <v>4</v>
      </c>
      <c r="F2488" s="562" t="s">
        <v>184</v>
      </c>
      <c r="G2488" s="562" t="s">
        <v>191</v>
      </c>
      <c r="H2488" s="562" t="s">
        <v>191</v>
      </c>
    </row>
    <row r="2489" spans="1:8" x14ac:dyDescent="0.2">
      <c r="A2489" s="562" t="s">
        <v>274</v>
      </c>
      <c r="B2489" s="562" t="s">
        <v>1765</v>
      </c>
      <c r="C2489" s="562" t="s">
        <v>283</v>
      </c>
      <c r="D2489" s="562">
        <v>1</v>
      </c>
      <c r="E2489" s="562">
        <v>4</v>
      </c>
      <c r="F2489" s="562" t="s">
        <v>184</v>
      </c>
      <c r="G2489" s="562" t="s">
        <v>191</v>
      </c>
      <c r="H2489" s="562" t="s">
        <v>191</v>
      </c>
    </row>
    <row r="2490" spans="1:8" x14ac:dyDescent="0.2">
      <c r="A2490" s="562" t="s">
        <v>274</v>
      </c>
      <c r="B2490" s="562" t="s">
        <v>1765</v>
      </c>
      <c r="C2490" s="562" t="s">
        <v>1780</v>
      </c>
      <c r="D2490" s="562">
        <v>1</v>
      </c>
      <c r="E2490" s="562">
        <v>4</v>
      </c>
      <c r="F2490" s="562" t="s">
        <v>184</v>
      </c>
      <c r="G2490" s="562" t="s">
        <v>191</v>
      </c>
      <c r="H2490" s="562" t="s">
        <v>191</v>
      </c>
    </row>
    <row r="2491" spans="1:8" x14ac:dyDescent="0.2">
      <c r="A2491" s="562" t="s">
        <v>274</v>
      </c>
      <c r="B2491" s="562" t="s">
        <v>1765</v>
      </c>
      <c r="C2491" s="562" t="s">
        <v>1781</v>
      </c>
      <c r="D2491" s="562">
        <v>1</v>
      </c>
      <c r="E2491" s="562">
        <v>4</v>
      </c>
      <c r="F2491" s="562" t="s">
        <v>184</v>
      </c>
      <c r="G2491" s="562" t="s">
        <v>191</v>
      </c>
      <c r="H2491" s="562" t="s">
        <v>191</v>
      </c>
    </row>
    <row r="2492" spans="1:8" x14ac:dyDescent="0.2">
      <c r="A2492" s="562" t="s">
        <v>274</v>
      </c>
      <c r="B2492" s="562" t="s">
        <v>1765</v>
      </c>
      <c r="C2492" s="562" t="s">
        <v>1782</v>
      </c>
      <c r="D2492" s="562">
        <v>2</v>
      </c>
      <c r="E2492" s="562">
        <v>3</v>
      </c>
      <c r="F2492" s="562" t="s">
        <v>184</v>
      </c>
      <c r="G2492" s="562" t="s">
        <v>191</v>
      </c>
      <c r="H2492" s="562" t="s">
        <v>191</v>
      </c>
    </row>
    <row r="2493" spans="1:8" x14ac:dyDescent="0.2">
      <c r="A2493" s="562" t="s">
        <v>274</v>
      </c>
      <c r="B2493" s="562" t="s">
        <v>1765</v>
      </c>
      <c r="C2493" s="562" t="s">
        <v>1588</v>
      </c>
      <c r="D2493" s="562">
        <v>1</v>
      </c>
      <c r="E2493" s="562">
        <v>4</v>
      </c>
      <c r="F2493" s="562" t="s">
        <v>184</v>
      </c>
      <c r="G2493" s="562" t="s">
        <v>191</v>
      </c>
      <c r="H2493" s="562" t="s">
        <v>191</v>
      </c>
    </row>
    <row r="2494" spans="1:8" x14ac:dyDescent="0.2">
      <c r="A2494" s="562" t="s">
        <v>274</v>
      </c>
      <c r="B2494" s="562" t="s">
        <v>1765</v>
      </c>
      <c r="C2494" s="562" t="s">
        <v>287</v>
      </c>
      <c r="D2494" s="562">
        <v>1</v>
      </c>
      <c r="E2494" s="562">
        <v>4</v>
      </c>
      <c r="F2494" s="562" t="s">
        <v>184</v>
      </c>
      <c r="G2494" s="562" t="s">
        <v>191</v>
      </c>
      <c r="H2494" s="562" t="s">
        <v>191</v>
      </c>
    </row>
    <row r="2495" spans="1:8" x14ac:dyDescent="0.2">
      <c r="A2495" s="562" t="s">
        <v>274</v>
      </c>
      <c r="B2495" s="562" t="s">
        <v>1765</v>
      </c>
      <c r="C2495" s="562" t="s">
        <v>289</v>
      </c>
      <c r="D2495" s="562">
        <v>2</v>
      </c>
      <c r="E2495" s="562">
        <v>4</v>
      </c>
      <c r="F2495" s="562" t="s">
        <v>184</v>
      </c>
      <c r="G2495" s="562" t="s">
        <v>191</v>
      </c>
      <c r="H2495" s="562" t="s">
        <v>191</v>
      </c>
    </row>
    <row r="2496" spans="1:8" x14ac:dyDescent="0.2">
      <c r="A2496" s="562" t="s">
        <v>274</v>
      </c>
      <c r="B2496" s="562" t="s">
        <v>1765</v>
      </c>
      <c r="C2496" s="562" t="s">
        <v>1509</v>
      </c>
      <c r="D2496" s="562">
        <v>1</v>
      </c>
      <c r="E2496" s="562">
        <v>4</v>
      </c>
      <c r="F2496" s="562" t="s">
        <v>184</v>
      </c>
      <c r="G2496" s="562" t="s">
        <v>191</v>
      </c>
      <c r="H2496" s="562" t="s">
        <v>191</v>
      </c>
    </row>
    <row r="2497" spans="1:8" x14ac:dyDescent="0.2">
      <c r="A2497" s="562" t="s">
        <v>274</v>
      </c>
      <c r="B2497" s="562" t="s">
        <v>1765</v>
      </c>
      <c r="C2497" s="562" t="s">
        <v>291</v>
      </c>
      <c r="D2497" s="562">
        <v>3</v>
      </c>
      <c r="E2497" s="562">
        <v>4</v>
      </c>
      <c r="F2497" s="562" t="s">
        <v>184</v>
      </c>
      <c r="G2497" s="562" t="s">
        <v>191</v>
      </c>
      <c r="H2497" s="562" t="s">
        <v>191</v>
      </c>
    </row>
    <row r="2498" spans="1:8" x14ac:dyDescent="0.2">
      <c r="A2498" s="562" t="s">
        <v>274</v>
      </c>
      <c r="B2498" s="562" t="s">
        <v>1765</v>
      </c>
      <c r="C2498" s="562" t="s">
        <v>1783</v>
      </c>
      <c r="D2498" s="562">
        <v>3</v>
      </c>
      <c r="E2498" s="562">
        <v>4</v>
      </c>
      <c r="F2498" s="562" t="s">
        <v>184</v>
      </c>
      <c r="G2498" s="562" t="s">
        <v>191</v>
      </c>
      <c r="H2498" s="562" t="s">
        <v>191</v>
      </c>
    </row>
    <row r="2499" spans="1:8" x14ac:dyDescent="0.2">
      <c r="A2499" s="562" t="s">
        <v>274</v>
      </c>
      <c r="B2499" s="562" t="s">
        <v>1765</v>
      </c>
      <c r="C2499" s="562" t="s">
        <v>1784</v>
      </c>
      <c r="D2499" s="562">
        <v>2</v>
      </c>
      <c r="E2499" s="562">
        <v>4</v>
      </c>
      <c r="F2499" s="562" t="s">
        <v>184</v>
      </c>
      <c r="G2499" s="562" t="s">
        <v>191</v>
      </c>
      <c r="H2499" s="562" t="s">
        <v>191</v>
      </c>
    </row>
    <row r="2500" spans="1:8" x14ac:dyDescent="0.2">
      <c r="A2500" s="562" t="s">
        <v>274</v>
      </c>
      <c r="B2500" s="562" t="s">
        <v>1765</v>
      </c>
      <c r="C2500" s="562" t="s">
        <v>293</v>
      </c>
      <c r="D2500" s="562">
        <v>1</v>
      </c>
      <c r="E2500" s="562">
        <v>4</v>
      </c>
      <c r="F2500" s="562" t="s">
        <v>184</v>
      </c>
      <c r="G2500" s="562" t="s">
        <v>191</v>
      </c>
      <c r="H2500" s="562" t="s">
        <v>191</v>
      </c>
    </row>
    <row r="2501" spans="1:8" x14ac:dyDescent="0.2">
      <c r="A2501" s="562" t="s">
        <v>274</v>
      </c>
      <c r="B2501" s="562" t="s">
        <v>1765</v>
      </c>
      <c r="C2501" s="562" t="s">
        <v>1785</v>
      </c>
      <c r="D2501" s="562">
        <v>2</v>
      </c>
      <c r="E2501" s="562">
        <v>4</v>
      </c>
      <c r="F2501" s="562" t="s">
        <v>184</v>
      </c>
      <c r="G2501" s="562" t="s">
        <v>191</v>
      </c>
      <c r="H2501" s="562" t="s">
        <v>191</v>
      </c>
    </row>
    <row r="2502" spans="1:8" x14ac:dyDescent="0.2">
      <c r="A2502" s="562" t="s">
        <v>274</v>
      </c>
      <c r="B2502" s="562" t="s">
        <v>1765</v>
      </c>
      <c r="C2502" s="562" t="s">
        <v>401</v>
      </c>
      <c r="D2502" s="562">
        <v>2</v>
      </c>
      <c r="E2502" s="562">
        <v>4</v>
      </c>
      <c r="F2502" s="562" t="s">
        <v>184</v>
      </c>
      <c r="G2502" s="562" t="s">
        <v>191</v>
      </c>
      <c r="H2502" s="562" t="s">
        <v>191</v>
      </c>
    </row>
    <row r="2503" spans="1:8" x14ac:dyDescent="0.2">
      <c r="A2503" s="562" t="s">
        <v>274</v>
      </c>
      <c r="B2503" s="562" t="s">
        <v>1765</v>
      </c>
      <c r="C2503" s="562" t="s">
        <v>586</v>
      </c>
      <c r="D2503" s="562">
        <v>2</v>
      </c>
      <c r="E2503" s="562">
        <v>4</v>
      </c>
      <c r="F2503" s="562" t="s">
        <v>184</v>
      </c>
      <c r="G2503" s="562" t="s">
        <v>191</v>
      </c>
      <c r="H2503" s="562" t="s">
        <v>191</v>
      </c>
    </row>
    <row r="2504" spans="1:8" x14ac:dyDescent="0.2">
      <c r="A2504" s="562" t="s">
        <v>274</v>
      </c>
      <c r="B2504" s="562" t="s">
        <v>1765</v>
      </c>
      <c r="C2504" s="562" t="s">
        <v>1786</v>
      </c>
      <c r="D2504" s="562">
        <v>3</v>
      </c>
      <c r="E2504" s="562">
        <v>4</v>
      </c>
      <c r="F2504" s="562" t="s">
        <v>184</v>
      </c>
      <c r="G2504" s="562" t="s">
        <v>191</v>
      </c>
      <c r="H2504" s="562" t="s">
        <v>191</v>
      </c>
    </row>
    <row r="2505" spans="1:8" x14ac:dyDescent="0.2">
      <c r="A2505" s="562" t="s">
        <v>274</v>
      </c>
      <c r="B2505" s="562" t="s">
        <v>1765</v>
      </c>
      <c r="C2505" s="562" t="s">
        <v>1787</v>
      </c>
      <c r="D2505" s="562">
        <v>1</v>
      </c>
      <c r="E2505" s="562">
        <v>4</v>
      </c>
      <c r="F2505" s="562" t="s">
        <v>184</v>
      </c>
      <c r="G2505" s="562" t="s">
        <v>191</v>
      </c>
      <c r="H2505" s="562" t="s">
        <v>191</v>
      </c>
    </row>
    <row r="2506" spans="1:8" x14ac:dyDescent="0.2">
      <c r="A2506" s="562" t="s">
        <v>274</v>
      </c>
      <c r="B2506" s="562" t="s">
        <v>1765</v>
      </c>
      <c r="C2506" s="562" t="s">
        <v>1006</v>
      </c>
      <c r="D2506" s="562">
        <v>2</v>
      </c>
      <c r="E2506" s="562">
        <v>4</v>
      </c>
      <c r="F2506" s="562" t="s">
        <v>184</v>
      </c>
      <c r="G2506" s="562" t="s">
        <v>191</v>
      </c>
      <c r="H2506" s="562" t="s">
        <v>191</v>
      </c>
    </row>
    <row r="2507" spans="1:8" x14ac:dyDescent="0.2">
      <c r="A2507" s="562" t="s">
        <v>274</v>
      </c>
      <c r="B2507" s="562" t="s">
        <v>1765</v>
      </c>
      <c r="C2507" s="562" t="s">
        <v>1521</v>
      </c>
      <c r="D2507" s="562">
        <v>1</v>
      </c>
      <c r="E2507" s="562">
        <v>4</v>
      </c>
      <c r="F2507" s="562" t="s">
        <v>184</v>
      </c>
      <c r="G2507" s="562" t="s">
        <v>191</v>
      </c>
      <c r="H2507" s="562" t="s">
        <v>191</v>
      </c>
    </row>
    <row r="2508" spans="1:8" x14ac:dyDescent="0.2">
      <c r="A2508" s="562" t="s">
        <v>274</v>
      </c>
      <c r="B2508" s="562" t="s">
        <v>1765</v>
      </c>
      <c r="C2508" s="562" t="s">
        <v>407</v>
      </c>
      <c r="D2508" s="562">
        <v>3</v>
      </c>
      <c r="E2508" s="562">
        <v>4</v>
      </c>
      <c r="F2508" s="562" t="s">
        <v>184</v>
      </c>
      <c r="G2508" s="562" t="s">
        <v>191</v>
      </c>
      <c r="H2508" s="562" t="s">
        <v>191</v>
      </c>
    </row>
    <row r="2509" spans="1:8" x14ac:dyDescent="0.2">
      <c r="A2509" s="562" t="s">
        <v>274</v>
      </c>
      <c r="B2509" s="562" t="s">
        <v>1765</v>
      </c>
      <c r="C2509" s="562" t="s">
        <v>1788</v>
      </c>
      <c r="D2509" s="562">
        <v>3</v>
      </c>
      <c r="E2509" s="562">
        <v>4</v>
      </c>
      <c r="F2509" s="562" t="s">
        <v>184</v>
      </c>
      <c r="G2509" s="562" t="s">
        <v>191</v>
      </c>
      <c r="H2509" s="562" t="s">
        <v>191</v>
      </c>
    </row>
    <row r="2510" spans="1:8" x14ac:dyDescent="0.2">
      <c r="A2510" s="562" t="s">
        <v>274</v>
      </c>
      <c r="B2510" s="562" t="s">
        <v>1765</v>
      </c>
      <c r="C2510" s="562" t="s">
        <v>410</v>
      </c>
      <c r="D2510" s="562">
        <v>2</v>
      </c>
      <c r="E2510" s="562">
        <v>4</v>
      </c>
      <c r="F2510" s="562" t="s">
        <v>184</v>
      </c>
      <c r="G2510" s="562" t="s">
        <v>191</v>
      </c>
      <c r="H2510" s="562" t="s">
        <v>191</v>
      </c>
    </row>
    <row r="2511" spans="1:8" x14ac:dyDescent="0.2">
      <c r="A2511" s="562" t="s">
        <v>274</v>
      </c>
      <c r="B2511" s="562" t="s">
        <v>1765</v>
      </c>
      <c r="C2511" s="562" t="s">
        <v>303</v>
      </c>
      <c r="D2511" s="562">
        <v>3</v>
      </c>
      <c r="E2511" s="562">
        <v>3</v>
      </c>
      <c r="F2511" s="562" t="s">
        <v>184</v>
      </c>
      <c r="G2511" s="562" t="s">
        <v>191</v>
      </c>
      <c r="H2511" s="562" t="s">
        <v>191</v>
      </c>
    </row>
    <row r="2512" spans="1:8" x14ac:dyDescent="0.2">
      <c r="A2512" s="562" t="s">
        <v>274</v>
      </c>
      <c r="B2512" s="562" t="s">
        <v>1765</v>
      </c>
      <c r="C2512" s="562" t="s">
        <v>946</v>
      </c>
      <c r="D2512" s="562">
        <v>1</v>
      </c>
      <c r="E2512" s="562">
        <v>4</v>
      </c>
      <c r="F2512" s="562" t="s">
        <v>184</v>
      </c>
      <c r="G2512" s="562" t="s">
        <v>191</v>
      </c>
      <c r="H2512" s="562" t="s">
        <v>191</v>
      </c>
    </row>
    <row r="2513" spans="1:8" x14ac:dyDescent="0.2">
      <c r="A2513" s="562" t="s">
        <v>274</v>
      </c>
      <c r="B2513" s="562" t="s">
        <v>1765</v>
      </c>
      <c r="C2513" s="562" t="s">
        <v>683</v>
      </c>
      <c r="D2513" s="562">
        <v>2</v>
      </c>
      <c r="E2513" s="562">
        <v>4</v>
      </c>
      <c r="F2513" s="562" t="s">
        <v>184</v>
      </c>
      <c r="G2513" s="562" t="s">
        <v>191</v>
      </c>
      <c r="H2513" s="562" t="s">
        <v>191</v>
      </c>
    </row>
    <row r="2514" spans="1:8" x14ac:dyDescent="0.2">
      <c r="A2514" s="562" t="s">
        <v>274</v>
      </c>
      <c r="B2514" s="562" t="s">
        <v>1765</v>
      </c>
      <c r="C2514" s="562" t="s">
        <v>834</v>
      </c>
      <c r="D2514" s="562">
        <v>1</v>
      </c>
      <c r="E2514" s="562">
        <v>4</v>
      </c>
      <c r="F2514" s="562" t="s">
        <v>184</v>
      </c>
      <c r="G2514" s="562" t="s">
        <v>191</v>
      </c>
      <c r="H2514" s="562" t="s">
        <v>191</v>
      </c>
    </row>
    <row r="2515" spans="1:8" x14ac:dyDescent="0.2">
      <c r="A2515" s="562" t="s">
        <v>274</v>
      </c>
      <c r="B2515" s="562" t="s">
        <v>1765</v>
      </c>
      <c r="C2515" s="562" t="s">
        <v>950</v>
      </c>
      <c r="D2515" s="562">
        <v>2</v>
      </c>
      <c r="E2515" s="562">
        <v>4</v>
      </c>
      <c r="F2515" s="562" t="s">
        <v>184</v>
      </c>
      <c r="G2515" s="562" t="s">
        <v>191</v>
      </c>
      <c r="H2515" s="562" t="s">
        <v>191</v>
      </c>
    </row>
    <row r="2516" spans="1:8" x14ac:dyDescent="0.2">
      <c r="A2516" s="562" t="s">
        <v>274</v>
      </c>
      <c r="B2516" s="562" t="s">
        <v>1765</v>
      </c>
      <c r="C2516" s="562" t="s">
        <v>837</v>
      </c>
      <c r="D2516" s="562">
        <v>3</v>
      </c>
      <c r="E2516" s="562">
        <v>3</v>
      </c>
      <c r="F2516" s="562" t="s">
        <v>184</v>
      </c>
      <c r="G2516" s="562" t="s">
        <v>191</v>
      </c>
      <c r="H2516" s="562" t="s">
        <v>191</v>
      </c>
    </row>
    <row r="2517" spans="1:8" x14ac:dyDescent="0.2">
      <c r="A2517" s="562" t="s">
        <v>274</v>
      </c>
      <c r="B2517" s="562" t="s">
        <v>1765</v>
      </c>
      <c r="C2517" s="562" t="s">
        <v>1789</v>
      </c>
      <c r="D2517" s="562">
        <v>1</v>
      </c>
      <c r="E2517" s="562">
        <v>4</v>
      </c>
      <c r="F2517" s="562" t="s">
        <v>184</v>
      </c>
      <c r="G2517" s="562" t="s">
        <v>191</v>
      </c>
      <c r="H2517" s="562" t="s">
        <v>191</v>
      </c>
    </row>
    <row r="2518" spans="1:8" x14ac:dyDescent="0.2">
      <c r="A2518" s="562" t="s">
        <v>274</v>
      </c>
      <c r="B2518" s="562" t="s">
        <v>1765</v>
      </c>
      <c r="C2518" s="562" t="s">
        <v>1790</v>
      </c>
      <c r="D2518" s="562">
        <v>2</v>
      </c>
      <c r="E2518" s="562">
        <v>4</v>
      </c>
      <c r="F2518" s="562" t="s">
        <v>184</v>
      </c>
      <c r="G2518" s="562" t="s">
        <v>191</v>
      </c>
      <c r="H2518" s="562" t="s">
        <v>191</v>
      </c>
    </row>
    <row r="2519" spans="1:8" x14ac:dyDescent="0.2">
      <c r="A2519" s="562" t="s">
        <v>274</v>
      </c>
      <c r="B2519" s="562" t="s">
        <v>1765</v>
      </c>
      <c r="C2519" s="562" t="s">
        <v>413</v>
      </c>
      <c r="D2519" s="562">
        <v>1</v>
      </c>
      <c r="E2519" s="562">
        <v>4</v>
      </c>
      <c r="F2519" s="562" t="s">
        <v>184</v>
      </c>
      <c r="G2519" s="562" t="s">
        <v>191</v>
      </c>
      <c r="H2519" s="562" t="s">
        <v>191</v>
      </c>
    </row>
    <row r="2520" spans="1:8" x14ac:dyDescent="0.2">
      <c r="A2520" s="562" t="s">
        <v>274</v>
      </c>
      <c r="B2520" s="562" t="s">
        <v>1765</v>
      </c>
      <c r="C2520" s="562" t="s">
        <v>414</v>
      </c>
      <c r="D2520" s="562">
        <v>2</v>
      </c>
      <c r="E2520" s="562">
        <v>4</v>
      </c>
      <c r="F2520" s="562" t="s">
        <v>184</v>
      </c>
      <c r="G2520" s="562" t="s">
        <v>191</v>
      </c>
      <c r="H2520" s="562" t="s">
        <v>191</v>
      </c>
    </row>
    <row r="2521" spans="1:8" x14ac:dyDescent="0.2">
      <c r="A2521" s="562" t="s">
        <v>274</v>
      </c>
      <c r="B2521" s="562" t="s">
        <v>1765</v>
      </c>
      <c r="C2521" s="562" t="s">
        <v>699</v>
      </c>
      <c r="D2521" s="562">
        <v>2</v>
      </c>
      <c r="E2521" s="562">
        <v>4</v>
      </c>
      <c r="F2521" s="562" t="s">
        <v>184</v>
      </c>
      <c r="G2521" s="562" t="s">
        <v>191</v>
      </c>
      <c r="H2521" s="562" t="s">
        <v>191</v>
      </c>
    </row>
    <row r="2522" spans="1:8" x14ac:dyDescent="0.2">
      <c r="A2522" s="562" t="s">
        <v>274</v>
      </c>
      <c r="B2522" s="562" t="s">
        <v>1765</v>
      </c>
      <c r="C2522" s="562" t="s">
        <v>309</v>
      </c>
      <c r="D2522" s="562">
        <v>1</v>
      </c>
      <c r="E2522" s="562">
        <v>4</v>
      </c>
      <c r="F2522" s="562" t="s">
        <v>184</v>
      </c>
      <c r="G2522" s="562" t="s">
        <v>191</v>
      </c>
      <c r="H2522" s="562" t="s">
        <v>191</v>
      </c>
    </row>
    <row r="2523" spans="1:8" x14ac:dyDescent="0.2">
      <c r="A2523" s="562" t="s">
        <v>274</v>
      </c>
      <c r="B2523" s="562" t="s">
        <v>1765</v>
      </c>
      <c r="C2523" s="562" t="s">
        <v>700</v>
      </c>
      <c r="D2523" s="562">
        <v>1</v>
      </c>
      <c r="E2523" s="562">
        <v>4</v>
      </c>
      <c r="F2523" s="562" t="s">
        <v>184</v>
      </c>
      <c r="G2523" s="562" t="s">
        <v>191</v>
      </c>
      <c r="H2523" s="562" t="s">
        <v>191</v>
      </c>
    </row>
    <row r="2524" spans="1:8" x14ac:dyDescent="0.2">
      <c r="A2524" s="562" t="s">
        <v>274</v>
      </c>
      <c r="B2524" s="562" t="s">
        <v>1765</v>
      </c>
      <c r="C2524" s="562" t="s">
        <v>1791</v>
      </c>
      <c r="D2524" s="562">
        <v>3</v>
      </c>
      <c r="E2524" s="562">
        <v>4</v>
      </c>
      <c r="F2524" s="562" t="s">
        <v>184</v>
      </c>
      <c r="G2524" s="562" t="s">
        <v>191</v>
      </c>
      <c r="H2524" s="562" t="s">
        <v>191</v>
      </c>
    </row>
    <row r="2525" spans="1:8" x14ac:dyDescent="0.2">
      <c r="A2525" s="562" t="s">
        <v>274</v>
      </c>
      <c r="B2525" s="562" t="s">
        <v>1765</v>
      </c>
      <c r="C2525" s="562" t="s">
        <v>415</v>
      </c>
      <c r="D2525" s="562">
        <v>2</v>
      </c>
      <c r="E2525" s="562">
        <v>4</v>
      </c>
      <c r="F2525" s="562" t="s">
        <v>184</v>
      </c>
      <c r="G2525" s="562" t="s">
        <v>191</v>
      </c>
      <c r="H2525" s="562" t="s">
        <v>191</v>
      </c>
    </row>
    <row r="2526" spans="1:8" x14ac:dyDescent="0.2">
      <c r="A2526" s="562" t="s">
        <v>274</v>
      </c>
      <c r="B2526" s="562" t="s">
        <v>1765</v>
      </c>
      <c r="C2526" s="562" t="s">
        <v>799</v>
      </c>
      <c r="D2526" s="562">
        <v>1</v>
      </c>
      <c r="E2526" s="562">
        <v>4</v>
      </c>
      <c r="F2526" s="562" t="s">
        <v>184</v>
      </c>
      <c r="G2526" s="562" t="s">
        <v>191</v>
      </c>
      <c r="H2526" s="562" t="s">
        <v>191</v>
      </c>
    </row>
    <row r="2527" spans="1:8" x14ac:dyDescent="0.2">
      <c r="A2527" s="562" t="s">
        <v>274</v>
      </c>
      <c r="B2527" s="562" t="s">
        <v>1765</v>
      </c>
      <c r="C2527" s="562" t="s">
        <v>955</v>
      </c>
      <c r="D2527" s="562">
        <v>1</v>
      </c>
      <c r="E2527" s="562">
        <v>4</v>
      </c>
      <c r="F2527" s="562" t="s">
        <v>184</v>
      </c>
      <c r="G2527" s="562" t="s">
        <v>191</v>
      </c>
      <c r="H2527" s="562" t="s">
        <v>191</v>
      </c>
    </row>
    <row r="2528" spans="1:8" x14ac:dyDescent="0.2">
      <c r="A2528" s="562" t="s">
        <v>276</v>
      </c>
      <c r="B2528" s="562" t="s">
        <v>1792</v>
      </c>
      <c r="C2528" s="562" t="s">
        <v>891</v>
      </c>
      <c r="D2528" s="562">
        <v>3</v>
      </c>
      <c r="E2528" s="562">
        <v>2</v>
      </c>
      <c r="F2528" s="562" t="s">
        <v>184</v>
      </c>
      <c r="G2528" s="562" t="s">
        <v>190</v>
      </c>
      <c r="H2528" s="562" t="s">
        <v>191</v>
      </c>
    </row>
    <row r="2529" spans="1:8" x14ac:dyDescent="0.2">
      <c r="A2529" s="562" t="s">
        <v>276</v>
      </c>
      <c r="B2529" s="562" t="s">
        <v>1792</v>
      </c>
      <c r="C2529" s="562" t="s">
        <v>1793</v>
      </c>
      <c r="D2529" s="562">
        <v>3</v>
      </c>
      <c r="E2529" s="562">
        <v>3</v>
      </c>
      <c r="F2529" s="562" t="s">
        <v>345</v>
      </c>
      <c r="G2529" s="562" t="s">
        <v>191</v>
      </c>
      <c r="H2529" s="562" t="s">
        <v>191</v>
      </c>
    </row>
    <row r="2530" spans="1:8" x14ac:dyDescent="0.2">
      <c r="A2530" s="562" t="s">
        <v>276</v>
      </c>
      <c r="B2530" s="562" t="s">
        <v>1792</v>
      </c>
      <c r="C2530" s="562" t="s">
        <v>1794</v>
      </c>
      <c r="D2530" s="562">
        <v>3</v>
      </c>
      <c r="E2530" s="562">
        <v>2</v>
      </c>
      <c r="F2530" s="562" t="s">
        <v>184</v>
      </c>
      <c r="G2530" s="562" t="s">
        <v>190</v>
      </c>
      <c r="H2530" s="562" t="s">
        <v>191</v>
      </c>
    </row>
    <row r="2531" spans="1:8" x14ac:dyDescent="0.2">
      <c r="A2531" s="562" t="s">
        <v>276</v>
      </c>
      <c r="B2531" s="562" t="s">
        <v>1792</v>
      </c>
      <c r="C2531" s="562" t="s">
        <v>1795</v>
      </c>
      <c r="D2531" s="562">
        <v>3</v>
      </c>
      <c r="E2531" s="562">
        <v>2</v>
      </c>
      <c r="F2531" s="562" t="s">
        <v>184</v>
      </c>
      <c r="G2531" s="562" t="s">
        <v>190</v>
      </c>
      <c r="H2531" s="562" t="s">
        <v>191</v>
      </c>
    </row>
    <row r="2532" spans="1:8" x14ac:dyDescent="0.2">
      <c r="A2532" s="562" t="s">
        <v>276</v>
      </c>
      <c r="B2532" s="562" t="s">
        <v>1792</v>
      </c>
      <c r="C2532" s="562" t="s">
        <v>1796</v>
      </c>
      <c r="D2532" s="562">
        <v>3</v>
      </c>
      <c r="E2532" s="562">
        <v>3</v>
      </c>
      <c r="F2532" s="562" t="s">
        <v>184</v>
      </c>
      <c r="G2532" s="562" t="s">
        <v>191</v>
      </c>
      <c r="H2532" s="562" t="s">
        <v>191</v>
      </c>
    </row>
    <row r="2533" spans="1:8" x14ac:dyDescent="0.2">
      <c r="A2533" s="562" t="s">
        <v>276</v>
      </c>
      <c r="B2533" s="562" t="s">
        <v>1792</v>
      </c>
      <c r="C2533" s="562" t="s">
        <v>1664</v>
      </c>
      <c r="D2533" s="562">
        <v>2</v>
      </c>
      <c r="E2533" s="562">
        <v>4</v>
      </c>
      <c r="F2533" s="562" t="s">
        <v>345</v>
      </c>
      <c r="G2533" s="562" t="s">
        <v>191</v>
      </c>
      <c r="H2533" s="562" t="s">
        <v>191</v>
      </c>
    </row>
    <row r="2534" spans="1:8" x14ac:dyDescent="0.2">
      <c r="A2534" s="562" t="s">
        <v>276</v>
      </c>
      <c r="B2534" s="562" t="s">
        <v>1792</v>
      </c>
      <c r="C2534" s="562" t="s">
        <v>1797</v>
      </c>
      <c r="D2534" s="562">
        <v>3</v>
      </c>
      <c r="E2534" s="562">
        <v>2</v>
      </c>
      <c r="F2534" s="562" t="s">
        <v>184</v>
      </c>
      <c r="G2534" s="562" t="s">
        <v>190</v>
      </c>
      <c r="H2534" s="562" t="s">
        <v>191</v>
      </c>
    </row>
    <row r="2535" spans="1:8" x14ac:dyDescent="0.2">
      <c r="A2535" s="562" t="s">
        <v>276</v>
      </c>
      <c r="B2535" s="562" t="s">
        <v>1792</v>
      </c>
      <c r="C2535" s="562" t="s">
        <v>1798</v>
      </c>
      <c r="D2535" s="562">
        <v>3</v>
      </c>
      <c r="E2535" s="562">
        <v>2</v>
      </c>
      <c r="F2535" s="562" t="s">
        <v>184</v>
      </c>
      <c r="G2535" s="562" t="s">
        <v>190</v>
      </c>
      <c r="H2535" s="562" t="s">
        <v>191</v>
      </c>
    </row>
    <row r="2536" spans="1:8" x14ac:dyDescent="0.2">
      <c r="A2536" s="562" t="s">
        <v>276</v>
      </c>
      <c r="B2536" s="562" t="s">
        <v>1792</v>
      </c>
      <c r="C2536" s="562" t="s">
        <v>1799</v>
      </c>
      <c r="D2536" s="562">
        <v>2</v>
      </c>
      <c r="E2536" s="562">
        <v>4</v>
      </c>
      <c r="F2536" s="562" t="s">
        <v>345</v>
      </c>
      <c r="G2536" s="562" t="s">
        <v>191</v>
      </c>
      <c r="H2536" s="562" t="s">
        <v>191</v>
      </c>
    </row>
    <row r="2537" spans="1:8" x14ac:dyDescent="0.2">
      <c r="A2537" s="562" t="s">
        <v>276</v>
      </c>
      <c r="B2537" s="562" t="s">
        <v>1792</v>
      </c>
      <c r="C2537" s="562" t="s">
        <v>1800</v>
      </c>
      <c r="D2537" s="562">
        <v>3</v>
      </c>
      <c r="E2537" s="562">
        <v>2</v>
      </c>
      <c r="F2537" s="562" t="s">
        <v>345</v>
      </c>
      <c r="G2537" s="562" t="s">
        <v>191</v>
      </c>
      <c r="H2537" s="562" t="s">
        <v>191</v>
      </c>
    </row>
    <row r="2538" spans="1:8" x14ac:dyDescent="0.2">
      <c r="A2538" s="562" t="s">
        <v>276</v>
      </c>
      <c r="B2538" s="562" t="s">
        <v>1792</v>
      </c>
      <c r="C2538" s="562" t="s">
        <v>1801</v>
      </c>
      <c r="D2538" s="562">
        <v>3</v>
      </c>
      <c r="E2538" s="562">
        <v>2</v>
      </c>
      <c r="F2538" s="562" t="s">
        <v>184</v>
      </c>
      <c r="G2538" s="562" t="s">
        <v>190</v>
      </c>
      <c r="H2538" s="562" t="s">
        <v>191</v>
      </c>
    </row>
    <row r="2539" spans="1:8" x14ac:dyDescent="0.2">
      <c r="A2539" s="562" t="s">
        <v>276</v>
      </c>
      <c r="B2539" s="562" t="s">
        <v>1792</v>
      </c>
      <c r="C2539" s="562" t="s">
        <v>1802</v>
      </c>
      <c r="D2539" s="562">
        <v>3</v>
      </c>
      <c r="E2539" s="562">
        <v>3</v>
      </c>
      <c r="F2539" s="562" t="s">
        <v>345</v>
      </c>
      <c r="G2539" s="562" t="s">
        <v>191</v>
      </c>
      <c r="H2539" s="562" t="s">
        <v>191</v>
      </c>
    </row>
    <row r="2540" spans="1:8" x14ac:dyDescent="0.2">
      <c r="A2540" s="562" t="s">
        <v>276</v>
      </c>
      <c r="B2540" s="562" t="s">
        <v>1792</v>
      </c>
      <c r="C2540" s="562" t="s">
        <v>1803</v>
      </c>
      <c r="D2540" s="562">
        <v>3</v>
      </c>
      <c r="E2540" s="562">
        <v>2</v>
      </c>
      <c r="F2540" s="562" t="s">
        <v>184</v>
      </c>
      <c r="G2540" s="562" t="s">
        <v>190</v>
      </c>
      <c r="H2540" s="562" t="s">
        <v>191</v>
      </c>
    </row>
    <row r="2541" spans="1:8" x14ac:dyDescent="0.2">
      <c r="A2541" s="562" t="s">
        <v>276</v>
      </c>
      <c r="B2541" s="562" t="s">
        <v>1792</v>
      </c>
      <c r="C2541" s="562" t="s">
        <v>962</v>
      </c>
      <c r="D2541" s="562">
        <v>3</v>
      </c>
      <c r="E2541" s="562">
        <v>2</v>
      </c>
      <c r="F2541" s="562" t="s">
        <v>184</v>
      </c>
      <c r="G2541" s="562" t="s">
        <v>190</v>
      </c>
      <c r="H2541" s="562" t="s">
        <v>191</v>
      </c>
    </row>
    <row r="2542" spans="1:8" x14ac:dyDescent="0.2">
      <c r="A2542" s="562" t="s">
        <v>276</v>
      </c>
      <c r="B2542" s="562" t="s">
        <v>1792</v>
      </c>
      <c r="C2542" s="562" t="s">
        <v>1804</v>
      </c>
      <c r="D2542" s="562">
        <v>3</v>
      </c>
      <c r="E2542" s="562">
        <v>2</v>
      </c>
      <c r="F2542" s="562" t="s">
        <v>184</v>
      </c>
      <c r="G2542" s="562" t="s">
        <v>190</v>
      </c>
      <c r="H2542" s="562" t="s">
        <v>191</v>
      </c>
    </row>
    <row r="2543" spans="1:8" x14ac:dyDescent="0.2">
      <c r="A2543" s="562" t="s">
        <v>276</v>
      </c>
      <c r="B2543" s="562" t="s">
        <v>1792</v>
      </c>
      <c r="C2543" s="562" t="s">
        <v>1805</v>
      </c>
      <c r="D2543" s="562">
        <v>3</v>
      </c>
      <c r="E2543" s="562">
        <v>3</v>
      </c>
      <c r="F2543" s="562" t="s">
        <v>184</v>
      </c>
      <c r="G2543" s="562" t="s">
        <v>190</v>
      </c>
      <c r="H2543" s="562" t="s">
        <v>191</v>
      </c>
    </row>
    <row r="2544" spans="1:8" x14ac:dyDescent="0.2">
      <c r="A2544" s="562" t="s">
        <v>276</v>
      </c>
      <c r="B2544" s="562" t="s">
        <v>1792</v>
      </c>
      <c r="C2544" s="562" t="s">
        <v>1806</v>
      </c>
      <c r="D2544" s="562">
        <v>3</v>
      </c>
      <c r="E2544" s="562">
        <v>3</v>
      </c>
      <c r="F2544" s="562" t="s">
        <v>345</v>
      </c>
      <c r="G2544" s="562" t="s">
        <v>191</v>
      </c>
      <c r="H2544" s="562" t="s">
        <v>191</v>
      </c>
    </row>
    <row r="2545" spans="1:8" x14ac:dyDescent="0.2">
      <c r="A2545" s="562" t="s">
        <v>276</v>
      </c>
      <c r="B2545" s="562" t="s">
        <v>1792</v>
      </c>
      <c r="C2545" s="562" t="s">
        <v>1807</v>
      </c>
      <c r="D2545" s="562">
        <v>3</v>
      </c>
      <c r="E2545" s="562">
        <v>2</v>
      </c>
      <c r="F2545" s="562" t="s">
        <v>184</v>
      </c>
      <c r="G2545" s="562" t="s">
        <v>190</v>
      </c>
      <c r="H2545" s="562" t="s">
        <v>191</v>
      </c>
    </row>
    <row r="2546" spans="1:8" x14ac:dyDescent="0.2">
      <c r="A2546" s="562" t="s">
        <v>276</v>
      </c>
      <c r="B2546" s="562" t="s">
        <v>1792</v>
      </c>
      <c r="C2546" s="562" t="s">
        <v>1808</v>
      </c>
      <c r="D2546" s="562">
        <v>3</v>
      </c>
      <c r="E2546" s="562">
        <v>3</v>
      </c>
      <c r="F2546" s="562" t="s">
        <v>184</v>
      </c>
      <c r="G2546" s="562" t="s">
        <v>190</v>
      </c>
      <c r="H2546" s="562" t="s">
        <v>191</v>
      </c>
    </row>
    <row r="2547" spans="1:8" x14ac:dyDescent="0.2">
      <c r="A2547" s="562" t="s">
        <v>276</v>
      </c>
      <c r="B2547" s="562" t="s">
        <v>1792</v>
      </c>
      <c r="C2547" s="562" t="s">
        <v>1809</v>
      </c>
      <c r="D2547" s="562">
        <v>3</v>
      </c>
      <c r="E2547" s="562">
        <v>2</v>
      </c>
      <c r="F2547" s="562" t="s">
        <v>184</v>
      </c>
      <c r="G2547" s="562" t="s">
        <v>190</v>
      </c>
      <c r="H2547" s="562" t="s">
        <v>191</v>
      </c>
    </row>
    <row r="2548" spans="1:8" x14ac:dyDescent="0.2">
      <c r="A2548" s="562" t="s">
        <v>276</v>
      </c>
      <c r="B2548" s="562" t="s">
        <v>1792</v>
      </c>
      <c r="C2548" s="562" t="s">
        <v>1810</v>
      </c>
      <c r="D2548" s="562">
        <v>3</v>
      </c>
      <c r="E2548" s="562">
        <v>2</v>
      </c>
      <c r="F2548" s="562" t="s">
        <v>184</v>
      </c>
      <c r="G2548" s="562" t="s">
        <v>190</v>
      </c>
      <c r="H2548" s="562" t="s">
        <v>191</v>
      </c>
    </row>
    <row r="2549" spans="1:8" x14ac:dyDescent="0.2">
      <c r="A2549" s="562" t="s">
        <v>276</v>
      </c>
      <c r="B2549" s="562" t="s">
        <v>1792</v>
      </c>
      <c r="C2549" s="562" t="s">
        <v>1811</v>
      </c>
      <c r="D2549" s="562">
        <v>2</v>
      </c>
      <c r="E2549" s="562">
        <v>3</v>
      </c>
      <c r="F2549" s="562" t="s">
        <v>345</v>
      </c>
      <c r="G2549" s="562" t="s">
        <v>191</v>
      </c>
      <c r="H2549" s="562" t="s">
        <v>191</v>
      </c>
    </row>
    <row r="2550" spans="1:8" x14ac:dyDescent="0.2">
      <c r="A2550" s="562" t="s">
        <v>276</v>
      </c>
      <c r="B2550" s="562" t="s">
        <v>1792</v>
      </c>
      <c r="C2550" s="562" t="s">
        <v>1812</v>
      </c>
      <c r="D2550" s="562">
        <v>3</v>
      </c>
      <c r="E2550" s="562">
        <v>4</v>
      </c>
      <c r="F2550" s="562" t="s">
        <v>345</v>
      </c>
      <c r="G2550" s="562" t="s">
        <v>191</v>
      </c>
      <c r="H2550" s="562" t="s">
        <v>191</v>
      </c>
    </row>
    <row r="2551" spans="1:8" x14ac:dyDescent="0.2">
      <c r="A2551" s="562" t="s">
        <v>276</v>
      </c>
      <c r="B2551" s="562" t="s">
        <v>1792</v>
      </c>
      <c r="C2551" s="562" t="s">
        <v>608</v>
      </c>
      <c r="D2551" s="562">
        <v>3</v>
      </c>
      <c r="E2551" s="562">
        <v>2</v>
      </c>
      <c r="F2551" s="562" t="s">
        <v>184</v>
      </c>
      <c r="G2551" s="562" t="s">
        <v>190</v>
      </c>
      <c r="H2551" s="562" t="s">
        <v>191</v>
      </c>
    </row>
    <row r="2552" spans="1:8" x14ac:dyDescent="0.2">
      <c r="A2552" s="562" t="s">
        <v>276</v>
      </c>
      <c r="B2552" s="562" t="s">
        <v>1792</v>
      </c>
      <c r="C2552" s="562" t="s">
        <v>750</v>
      </c>
      <c r="D2552" s="562">
        <v>3</v>
      </c>
      <c r="E2552" s="562">
        <v>3</v>
      </c>
      <c r="F2552" s="562" t="s">
        <v>184</v>
      </c>
      <c r="G2552" s="562" t="s">
        <v>190</v>
      </c>
      <c r="H2552" s="562" t="s">
        <v>191</v>
      </c>
    </row>
    <row r="2553" spans="1:8" x14ac:dyDescent="0.2">
      <c r="A2553" s="562" t="s">
        <v>276</v>
      </c>
      <c r="B2553" s="562" t="s">
        <v>1792</v>
      </c>
      <c r="C2553" s="562" t="s">
        <v>1813</v>
      </c>
      <c r="D2553" s="562">
        <v>3</v>
      </c>
      <c r="E2553" s="562">
        <v>2</v>
      </c>
      <c r="F2553" s="562" t="s">
        <v>184</v>
      </c>
      <c r="G2553" s="562" t="s">
        <v>190</v>
      </c>
      <c r="H2553" s="562" t="s">
        <v>191</v>
      </c>
    </row>
    <row r="2554" spans="1:8" x14ac:dyDescent="0.2">
      <c r="A2554" s="562" t="s">
        <v>276</v>
      </c>
      <c r="B2554" s="562" t="s">
        <v>1792</v>
      </c>
      <c r="C2554" s="562" t="s">
        <v>1814</v>
      </c>
      <c r="D2554" s="562">
        <v>3</v>
      </c>
      <c r="E2554" s="562">
        <v>3</v>
      </c>
      <c r="F2554" s="562" t="s">
        <v>184</v>
      </c>
      <c r="G2554" s="562" t="s">
        <v>190</v>
      </c>
      <c r="H2554" s="562" t="s">
        <v>191</v>
      </c>
    </row>
    <row r="2555" spans="1:8" x14ac:dyDescent="0.2">
      <c r="A2555" s="562" t="s">
        <v>276</v>
      </c>
      <c r="B2555" s="562" t="s">
        <v>1792</v>
      </c>
      <c r="C2555" s="562" t="s">
        <v>969</v>
      </c>
      <c r="D2555" s="562">
        <v>3</v>
      </c>
      <c r="E2555" s="562">
        <v>2</v>
      </c>
      <c r="F2555" s="562" t="s">
        <v>184</v>
      </c>
      <c r="G2555" s="562" t="s">
        <v>190</v>
      </c>
      <c r="H2555" s="562" t="s">
        <v>191</v>
      </c>
    </row>
    <row r="2556" spans="1:8" x14ac:dyDescent="0.2">
      <c r="A2556" s="562" t="s">
        <v>276</v>
      </c>
      <c r="B2556" s="562" t="s">
        <v>1792</v>
      </c>
      <c r="C2556" s="562" t="s">
        <v>204</v>
      </c>
      <c r="D2556" s="562">
        <v>3</v>
      </c>
      <c r="E2556" s="562">
        <v>2</v>
      </c>
      <c r="F2556" s="562" t="s">
        <v>184</v>
      </c>
      <c r="G2556" s="562" t="s">
        <v>190</v>
      </c>
      <c r="H2556" s="562" t="s">
        <v>191</v>
      </c>
    </row>
    <row r="2557" spans="1:8" x14ac:dyDescent="0.2">
      <c r="A2557" s="562" t="s">
        <v>276</v>
      </c>
      <c r="B2557" s="562" t="s">
        <v>1792</v>
      </c>
      <c r="C2557" s="562" t="s">
        <v>1815</v>
      </c>
      <c r="D2557" s="562">
        <v>3</v>
      </c>
      <c r="E2557" s="562">
        <v>3</v>
      </c>
      <c r="F2557" s="562" t="s">
        <v>345</v>
      </c>
      <c r="G2557" s="562" t="s">
        <v>191</v>
      </c>
      <c r="H2557" s="562" t="s">
        <v>191</v>
      </c>
    </row>
    <row r="2558" spans="1:8" x14ac:dyDescent="0.2">
      <c r="A2558" s="562" t="s">
        <v>276</v>
      </c>
      <c r="B2558" s="562" t="s">
        <v>1792</v>
      </c>
      <c r="C2558" s="562" t="s">
        <v>1024</v>
      </c>
      <c r="D2558" s="562">
        <v>3</v>
      </c>
      <c r="E2558" s="562">
        <v>2</v>
      </c>
      <c r="F2558" s="562" t="s">
        <v>184</v>
      </c>
      <c r="G2558" s="562" t="s">
        <v>190</v>
      </c>
      <c r="H2558" s="562" t="s">
        <v>191</v>
      </c>
    </row>
    <row r="2559" spans="1:8" x14ac:dyDescent="0.2">
      <c r="A2559" s="562" t="s">
        <v>276</v>
      </c>
      <c r="B2559" s="562" t="s">
        <v>1792</v>
      </c>
      <c r="C2559" s="562" t="s">
        <v>1816</v>
      </c>
      <c r="D2559" s="562">
        <v>3</v>
      </c>
      <c r="E2559" s="562">
        <v>3</v>
      </c>
      <c r="F2559" s="562" t="s">
        <v>184</v>
      </c>
      <c r="G2559" s="562" t="s">
        <v>190</v>
      </c>
      <c r="H2559" s="562" t="s">
        <v>191</v>
      </c>
    </row>
    <row r="2560" spans="1:8" x14ac:dyDescent="0.2">
      <c r="A2560" s="562" t="s">
        <v>276</v>
      </c>
      <c r="B2560" s="562" t="s">
        <v>1792</v>
      </c>
      <c r="C2560" s="562" t="s">
        <v>1817</v>
      </c>
      <c r="D2560" s="562">
        <v>2</v>
      </c>
      <c r="E2560" s="562">
        <v>4</v>
      </c>
      <c r="F2560" s="562" t="s">
        <v>345</v>
      </c>
      <c r="G2560" s="562" t="s">
        <v>191</v>
      </c>
      <c r="H2560" s="562" t="s">
        <v>191</v>
      </c>
    </row>
    <row r="2561" spans="1:8" x14ac:dyDescent="0.2">
      <c r="A2561" s="562" t="s">
        <v>276</v>
      </c>
      <c r="B2561" s="562" t="s">
        <v>1792</v>
      </c>
      <c r="C2561" s="562" t="s">
        <v>752</v>
      </c>
      <c r="D2561" s="562">
        <v>3</v>
      </c>
      <c r="E2561" s="562">
        <v>3</v>
      </c>
      <c r="F2561" s="562" t="s">
        <v>184</v>
      </c>
      <c r="G2561" s="562" t="s">
        <v>190</v>
      </c>
      <c r="H2561" s="562" t="s">
        <v>191</v>
      </c>
    </row>
    <row r="2562" spans="1:8" x14ac:dyDescent="0.2">
      <c r="A2562" s="562" t="s">
        <v>276</v>
      </c>
      <c r="B2562" s="562" t="s">
        <v>1792</v>
      </c>
      <c r="C2562" s="562" t="s">
        <v>1818</v>
      </c>
      <c r="D2562" s="562">
        <v>2</v>
      </c>
      <c r="E2562" s="562">
        <v>4</v>
      </c>
      <c r="F2562" s="562" t="s">
        <v>345</v>
      </c>
      <c r="G2562" s="562" t="s">
        <v>191</v>
      </c>
      <c r="H2562" s="562" t="s">
        <v>191</v>
      </c>
    </row>
    <row r="2563" spans="1:8" x14ac:dyDescent="0.2">
      <c r="A2563" s="562" t="s">
        <v>276</v>
      </c>
      <c r="B2563" s="562" t="s">
        <v>1792</v>
      </c>
      <c r="C2563" s="562" t="s">
        <v>206</v>
      </c>
      <c r="D2563" s="562">
        <v>3</v>
      </c>
      <c r="E2563" s="562">
        <v>2</v>
      </c>
      <c r="F2563" s="562" t="s">
        <v>184</v>
      </c>
      <c r="G2563" s="562" t="s">
        <v>190</v>
      </c>
      <c r="H2563" s="562" t="s">
        <v>191</v>
      </c>
    </row>
    <row r="2564" spans="1:8" x14ac:dyDescent="0.2">
      <c r="A2564" s="562" t="s">
        <v>276</v>
      </c>
      <c r="B2564" s="562" t="s">
        <v>1792</v>
      </c>
      <c r="C2564" s="562" t="s">
        <v>208</v>
      </c>
      <c r="D2564" s="562">
        <v>3</v>
      </c>
      <c r="E2564" s="562">
        <v>2</v>
      </c>
      <c r="F2564" s="562" t="s">
        <v>184</v>
      </c>
      <c r="G2564" s="562" t="s">
        <v>190</v>
      </c>
      <c r="H2564" s="562" t="s">
        <v>191</v>
      </c>
    </row>
    <row r="2565" spans="1:8" x14ac:dyDescent="0.2">
      <c r="A2565" s="562" t="s">
        <v>276</v>
      </c>
      <c r="B2565" s="562" t="s">
        <v>1792</v>
      </c>
      <c r="C2565" s="562" t="s">
        <v>1819</v>
      </c>
      <c r="D2565" s="562">
        <v>3</v>
      </c>
      <c r="E2565" s="562">
        <v>3</v>
      </c>
      <c r="F2565" s="562" t="s">
        <v>345</v>
      </c>
      <c r="G2565" s="562" t="s">
        <v>191</v>
      </c>
      <c r="H2565" s="562" t="s">
        <v>191</v>
      </c>
    </row>
    <row r="2566" spans="1:8" x14ac:dyDescent="0.2">
      <c r="A2566" s="562" t="s">
        <v>276</v>
      </c>
      <c r="B2566" s="562" t="s">
        <v>1792</v>
      </c>
      <c r="C2566" s="562" t="s">
        <v>216</v>
      </c>
      <c r="D2566" s="562">
        <v>3</v>
      </c>
      <c r="E2566" s="562">
        <v>3</v>
      </c>
      <c r="F2566" s="562" t="s">
        <v>184</v>
      </c>
      <c r="G2566" s="562" t="s">
        <v>191</v>
      </c>
      <c r="H2566" s="562" t="s">
        <v>191</v>
      </c>
    </row>
    <row r="2567" spans="1:8" x14ac:dyDescent="0.2">
      <c r="A2567" s="562" t="s">
        <v>276</v>
      </c>
      <c r="B2567" s="562" t="s">
        <v>1792</v>
      </c>
      <c r="C2567" s="562" t="s">
        <v>1820</v>
      </c>
      <c r="D2567" s="562">
        <v>3</v>
      </c>
      <c r="E2567" s="562">
        <v>4</v>
      </c>
      <c r="F2567" s="562" t="s">
        <v>345</v>
      </c>
      <c r="G2567" s="562" t="s">
        <v>191</v>
      </c>
      <c r="H2567" s="562" t="s">
        <v>191</v>
      </c>
    </row>
    <row r="2568" spans="1:8" x14ac:dyDescent="0.2">
      <c r="A2568" s="562" t="s">
        <v>276</v>
      </c>
      <c r="B2568" s="562" t="s">
        <v>1792</v>
      </c>
      <c r="C2568" s="562" t="s">
        <v>1821</v>
      </c>
      <c r="D2568" s="562">
        <v>3</v>
      </c>
      <c r="E2568" s="562">
        <v>3</v>
      </c>
      <c r="F2568" s="562" t="s">
        <v>345</v>
      </c>
      <c r="G2568" s="562" t="s">
        <v>191</v>
      </c>
      <c r="H2568" s="562" t="s">
        <v>191</v>
      </c>
    </row>
    <row r="2569" spans="1:8" x14ac:dyDescent="0.2">
      <c r="A2569" s="562" t="s">
        <v>276</v>
      </c>
      <c r="B2569" s="562" t="s">
        <v>1792</v>
      </c>
      <c r="C2569" s="562" t="s">
        <v>1822</v>
      </c>
      <c r="D2569" s="562">
        <v>3</v>
      </c>
      <c r="E2569" s="562">
        <v>3</v>
      </c>
      <c r="F2569" s="562" t="s">
        <v>345</v>
      </c>
      <c r="G2569" s="562" t="s">
        <v>191</v>
      </c>
      <c r="H2569" s="562" t="s">
        <v>191</v>
      </c>
    </row>
    <row r="2570" spans="1:8" x14ac:dyDescent="0.2">
      <c r="A2570" s="562" t="s">
        <v>276</v>
      </c>
      <c r="B2570" s="562" t="s">
        <v>1792</v>
      </c>
      <c r="C2570" s="562" t="s">
        <v>1823</v>
      </c>
      <c r="D2570" s="562">
        <v>3</v>
      </c>
      <c r="E2570" s="562">
        <v>3</v>
      </c>
      <c r="F2570" s="562" t="s">
        <v>184</v>
      </c>
      <c r="G2570" s="562" t="s">
        <v>190</v>
      </c>
      <c r="H2570" s="562" t="s">
        <v>191</v>
      </c>
    </row>
    <row r="2571" spans="1:8" x14ac:dyDescent="0.2">
      <c r="A2571" s="562" t="s">
        <v>276</v>
      </c>
      <c r="B2571" s="562" t="s">
        <v>1792</v>
      </c>
      <c r="C2571" s="562" t="s">
        <v>1824</v>
      </c>
      <c r="D2571" s="562">
        <v>3</v>
      </c>
      <c r="E2571" s="562">
        <v>3</v>
      </c>
      <c r="F2571" s="562" t="s">
        <v>345</v>
      </c>
      <c r="G2571" s="562" t="s">
        <v>191</v>
      </c>
      <c r="H2571" s="562" t="s">
        <v>191</v>
      </c>
    </row>
    <row r="2572" spans="1:8" x14ac:dyDescent="0.2">
      <c r="A2572" s="562" t="s">
        <v>276</v>
      </c>
      <c r="B2572" s="562" t="s">
        <v>1792</v>
      </c>
      <c r="C2572" s="562" t="s">
        <v>1825</v>
      </c>
      <c r="D2572" s="562">
        <v>3</v>
      </c>
      <c r="E2572" s="562">
        <v>2</v>
      </c>
      <c r="F2572" s="562" t="s">
        <v>184</v>
      </c>
      <c r="G2572" s="562" t="s">
        <v>190</v>
      </c>
      <c r="H2572" s="562" t="s">
        <v>191</v>
      </c>
    </row>
    <row r="2573" spans="1:8" x14ac:dyDescent="0.2">
      <c r="A2573" s="562" t="s">
        <v>276</v>
      </c>
      <c r="B2573" s="562" t="s">
        <v>1792</v>
      </c>
      <c r="C2573" s="562" t="s">
        <v>1826</v>
      </c>
      <c r="D2573" s="562">
        <v>3</v>
      </c>
      <c r="E2573" s="562">
        <v>2</v>
      </c>
      <c r="F2573" s="562" t="s">
        <v>184</v>
      </c>
      <c r="G2573" s="562" t="s">
        <v>190</v>
      </c>
      <c r="H2573" s="562" t="s">
        <v>191</v>
      </c>
    </row>
    <row r="2574" spans="1:8" x14ac:dyDescent="0.2">
      <c r="A2574" s="562" t="s">
        <v>276</v>
      </c>
      <c r="B2574" s="562" t="s">
        <v>1792</v>
      </c>
      <c r="C2574" s="562" t="s">
        <v>900</v>
      </c>
      <c r="D2574" s="562">
        <v>3</v>
      </c>
      <c r="E2574" s="562">
        <v>3</v>
      </c>
      <c r="F2574" s="562" t="s">
        <v>184</v>
      </c>
      <c r="G2574" s="562" t="s">
        <v>190</v>
      </c>
      <c r="H2574" s="562" t="s">
        <v>191</v>
      </c>
    </row>
    <row r="2575" spans="1:8" x14ac:dyDescent="0.2">
      <c r="A2575" s="562" t="s">
        <v>276</v>
      </c>
      <c r="B2575" s="562" t="s">
        <v>1792</v>
      </c>
      <c r="C2575" s="562" t="s">
        <v>1827</v>
      </c>
      <c r="D2575" s="562">
        <v>3</v>
      </c>
      <c r="E2575" s="562">
        <v>3</v>
      </c>
      <c r="F2575" s="562" t="s">
        <v>345</v>
      </c>
      <c r="G2575" s="562" t="s">
        <v>191</v>
      </c>
      <c r="H2575" s="562" t="s">
        <v>191</v>
      </c>
    </row>
    <row r="2576" spans="1:8" x14ac:dyDescent="0.2">
      <c r="A2576" s="562" t="s">
        <v>276</v>
      </c>
      <c r="B2576" s="562" t="s">
        <v>1792</v>
      </c>
      <c r="C2576" s="562" t="s">
        <v>1828</v>
      </c>
      <c r="D2576" s="562">
        <v>3</v>
      </c>
      <c r="E2576" s="562">
        <v>3</v>
      </c>
      <c r="F2576" s="562" t="s">
        <v>184</v>
      </c>
      <c r="G2576" s="562" t="s">
        <v>191</v>
      </c>
      <c r="H2576" s="562" t="s">
        <v>191</v>
      </c>
    </row>
    <row r="2577" spans="1:8" x14ac:dyDescent="0.2">
      <c r="A2577" s="562" t="s">
        <v>276</v>
      </c>
      <c r="B2577" s="562" t="s">
        <v>1792</v>
      </c>
      <c r="C2577" s="562" t="s">
        <v>1829</v>
      </c>
      <c r="D2577" s="562">
        <v>3</v>
      </c>
      <c r="E2577" s="562">
        <v>2</v>
      </c>
      <c r="F2577" s="562" t="s">
        <v>184</v>
      </c>
      <c r="G2577" s="562" t="s">
        <v>190</v>
      </c>
      <c r="H2577" s="562" t="s">
        <v>191</v>
      </c>
    </row>
    <row r="2578" spans="1:8" x14ac:dyDescent="0.2">
      <c r="A2578" s="562" t="s">
        <v>276</v>
      </c>
      <c r="B2578" s="562" t="s">
        <v>1792</v>
      </c>
      <c r="C2578" s="562" t="s">
        <v>1830</v>
      </c>
      <c r="D2578" s="562">
        <v>3</v>
      </c>
      <c r="E2578" s="562">
        <v>3</v>
      </c>
      <c r="F2578" s="562" t="s">
        <v>345</v>
      </c>
      <c r="G2578" s="562" t="s">
        <v>191</v>
      </c>
      <c r="H2578" s="562" t="s">
        <v>191</v>
      </c>
    </row>
    <row r="2579" spans="1:8" x14ac:dyDescent="0.2">
      <c r="A2579" s="562" t="s">
        <v>276</v>
      </c>
      <c r="B2579" s="562" t="s">
        <v>1792</v>
      </c>
      <c r="C2579" s="562" t="s">
        <v>1831</v>
      </c>
      <c r="D2579" s="562">
        <v>3</v>
      </c>
      <c r="E2579" s="562">
        <v>3</v>
      </c>
      <c r="F2579" s="562" t="s">
        <v>345</v>
      </c>
      <c r="G2579" s="562" t="s">
        <v>191</v>
      </c>
      <c r="H2579" s="562" t="s">
        <v>191</v>
      </c>
    </row>
    <row r="2580" spans="1:8" x14ac:dyDescent="0.2">
      <c r="A2580" s="562" t="s">
        <v>276</v>
      </c>
      <c r="B2580" s="562" t="s">
        <v>1792</v>
      </c>
      <c r="C2580" s="562" t="s">
        <v>1770</v>
      </c>
      <c r="D2580" s="562">
        <v>3</v>
      </c>
      <c r="E2580" s="562">
        <v>3</v>
      </c>
      <c r="F2580" s="562" t="s">
        <v>345</v>
      </c>
      <c r="G2580" s="562" t="s">
        <v>191</v>
      </c>
      <c r="H2580" s="562" t="s">
        <v>191</v>
      </c>
    </row>
    <row r="2581" spans="1:8" x14ac:dyDescent="0.2">
      <c r="A2581" s="562" t="s">
        <v>276</v>
      </c>
      <c r="B2581" s="562" t="s">
        <v>1792</v>
      </c>
      <c r="C2581" s="562" t="s">
        <v>1832</v>
      </c>
      <c r="D2581" s="562">
        <v>2</v>
      </c>
      <c r="E2581" s="562">
        <v>3</v>
      </c>
      <c r="F2581" s="562" t="s">
        <v>345</v>
      </c>
      <c r="G2581" s="562" t="s">
        <v>191</v>
      </c>
      <c r="H2581" s="562" t="s">
        <v>191</v>
      </c>
    </row>
    <row r="2582" spans="1:8" x14ac:dyDescent="0.2">
      <c r="A2582" s="562" t="s">
        <v>276</v>
      </c>
      <c r="B2582" s="562" t="s">
        <v>1792</v>
      </c>
      <c r="C2582" s="562" t="s">
        <v>1833</v>
      </c>
      <c r="D2582" s="562">
        <v>2</v>
      </c>
      <c r="E2582" s="562">
        <v>3</v>
      </c>
      <c r="F2582" s="562" t="s">
        <v>345</v>
      </c>
      <c r="G2582" s="562" t="s">
        <v>191</v>
      </c>
      <c r="H2582" s="562" t="s">
        <v>191</v>
      </c>
    </row>
    <row r="2583" spans="1:8" x14ac:dyDescent="0.2">
      <c r="A2583" s="562" t="s">
        <v>276</v>
      </c>
      <c r="B2583" s="562" t="s">
        <v>1792</v>
      </c>
      <c r="C2583" s="562" t="s">
        <v>1834</v>
      </c>
      <c r="D2583" s="562">
        <v>2</v>
      </c>
      <c r="E2583" s="562">
        <v>4</v>
      </c>
      <c r="F2583" s="562" t="s">
        <v>345</v>
      </c>
      <c r="G2583" s="562" t="s">
        <v>191</v>
      </c>
      <c r="H2583" s="562" t="s">
        <v>191</v>
      </c>
    </row>
    <row r="2584" spans="1:8" x14ac:dyDescent="0.2">
      <c r="A2584" s="562" t="s">
        <v>276</v>
      </c>
      <c r="B2584" s="562" t="s">
        <v>1792</v>
      </c>
      <c r="C2584" s="562" t="s">
        <v>236</v>
      </c>
      <c r="D2584" s="562">
        <v>3</v>
      </c>
      <c r="E2584" s="562">
        <v>3</v>
      </c>
      <c r="F2584" s="562" t="s">
        <v>184</v>
      </c>
      <c r="G2584" s="562" t="s">
        <v>190</v>
      </c>
      <c r="H2584" s="562" t="s">
        <v>191</v>
      </c>
    </row>
    <row r="2585" spans="1:8" x14ac:dyDescent="0.2">
      <c r="A2585" s="562" t="s">
        <v>276</v>
      </c>
      <c r="B2585" s="562" t="s">
        <v>1792</v>
      </c>
      <c r="C2585" s="562" t="s">
        <v>628</v>
      </c>
      <c r="D2585" s="562">
        <v>3</v>
      </c>
      <c r="E2585" s="562">
        <v>3</v>
      </c>
      <c r="F2585" s="562" t="s">
        <v>345</v>
      </c>
      <c r="G2585" s="562" t="s">
        <v>191</v>
      </c>
      <c r="H2585" s="562" t="s">
        <v>191</v>
      </c>
    </row>
    <row r="2586" spans="1:8" x14ac:dyDescent="0.2">
      <c r="A2586" s="562" t="s">
        <v>276</v>
      </c>
      <c r="B2586" s="562" t="s">
        <v>1792</v>
      </c>
      <c r="C2586" s="562" t="s">
        <v>1835</v>
      </c>
      <c r="D2586" s="562">
        <v>3</v>
      </c>
      <c r="E2586" s="562">
        <v>2</v>
      </c>
      <c r="F2586" s="562" t="s">
        <v>184</v>
      </c>
      <c r="G2586" s="562" t="s">
        <v>190</v>
      </c>
      <c r="H2586" s="562" t="s">
        <v>191</v>
      </c>
    </row>
    <row r="2587" spans="1:8" x14ac:dyDescent="0.2">
      <c r="A2587" s="562" t="s">
        <v>276</v>
      </c>
      <c r="B2587" s="562" t="s">
        <v>1792</v>
      </c>
      <c r="C2587" s="562" t="s">
        <v>1836</v>
      </c>
      <c r="D2587" s="562">
        <v>2</v>
      </c>
      <c r="E2587" s="562">
        <v>4</v>
      </c>
      <c r="F2587" s="562" t="s">
        <v>345</v>
      </c>
      <c r="G2587" s="562" t="s">
        <v>191</v>
      </c>
      <c r="H2587" s="562" t="s">
        <v>191</v>
      </c>
    </row>
    <row r="2588" spans="1:8" x14ac:dyDescent="0.2">
      <c r="A2588" s="562" t="s">
        <v>276</v>
      </c>
      <c r="B2588" s="562" t="s">
        <v>1792</v>
      </c>
      <c r="C2588" s="562" t="s">
        <v>492</v>
      </c>
      <c r="D2588" s="562">
        <v>3</v>
      </c>
      <c r="E2588" s="562">
        <v>3</v>
      </c>
      <c r="F2588" s="562" t="s">
        <v>184</v>
      </c>
      <c r="G2588" s="562" t="s">
        <v>191</v>
      </c>
      <c r="H2588" s="562" t="s">
        <v>191</v>
      </c>
    </row>
    <row r="2589" spans="1:8" x14ac:dyDescent="0.2">
      <c r="A2589" s="562" t="s">
        <v>276</v>
      </c>
      <c r="B2589" s="562" t="s">
        <v>1792</v>
      </c>
      <c r="C2589" s="562" t="s">
        <v>1837</v>
      </c>
      <c r="D2589" s="562">
        <v>3</v>
      </c>
      <c r="E2589" s="562">
        <v>3</v>
      </c>
      <c r="F2589" s="562" t="s">
        <v>184</v>
      </c>
      <c r="G2589" s="562" t="s">
        <v>190</v>
      </c>
      <c r="H2589" s="562" t="s">
        <v>191</v>
      </c>
    </row>
    <row r="2590" spans="1:8" x14ac:dyDescent="0.2">
      <c r="A2590" s="562" t="s">
        <v>276</v>
      </c>
      <c r="B2590" s="562" t="s">
        <v>1792</v>
      </c>
      <c r="C2590" s="562" t="s">
        <v>1838</v>
      </c>
      <c r="D2590" s="562">
        <v>3</v>
      </c>
      <c r="E2590" s="562">
        <v>3</v>
      </c>
      <c r="F2590" s="562" t="s">
        <v>345</v>
      </c>
      <c r="G2590" s="562" t="s">
        <v>191</v>
      </c>
      <c r="H2590" s="562" t="s">
        <v>191</v>
      </c>
    </row>
    <row r="2591" spans="1:8" x14ac:dyDescent="0.2">
      <c r="A2591" s="562" t="s">
        <v>276</v>
      </c>
      <c r="B2591" s="562" t="s">
        <v>1792</v>
      </c>
      <c r="C2591" s="562" t="s">
        <v>1839</v>
      </c>
      <c r="D2591" s="562">
        <v>3</v>
      </c>
      <c r="E2591" s="562">
        <v>2</v>
      </c>
      <c r="F2591" s="562" t="s">
        <v>345</v>
      </c>
      <c r="G2591" s="562" t="s">
        <v>191</v>
      </c>
      <c r="H2591" s="562" t="s">
        <v>191</v>
      </c>
    </row>
    <row r="2592" spans="1:8" x14ac:dyDescent="0.2">
      <c r="A2592" s="562" t="s">
        <v>276</v>
      </c>
      <c r="B2592" s="562" t="s">
        <v>1792</v>
      </c>
      <c r="C2592" s="562" t="s">
        <v>1840</v>
      </c>
      <c r="D2592" s="562">
        <v>2</v>
      </c>
      <c r="E2592" s="562">
        <v>4</v>
      </c>
      <c r="F2592" s="562" t="s">
        <v>345</v>
      </c>
      <c r="G2592" s="562" t="s">
        <v>191</v>
      </c>
      <c r="H2592" s="562" t="s">
        <v>191</v>
      </c>
    </row>
    <row r="2593" spans="1:8" x14ac:dyDescent="0.2">
      <c r="A2593" s="562" t="s">
        <v>276</v>
      </c>
      <c r="B2593" s="562" t="s">
        <v>1792</v>
      </c>
      <c r="C2593" s="562" t="s">
        <v>559</v>
      </c>
      <c r="D2593" s="562">
        <v>3</v>
      </c>
      <c r="E2593" s="562">
        <v>2</v>
      </c>
      <c r="F2593" s="562" t="s">
        <v>184</v>
      </c>
      <c r="G2593" s="562" t="s">
        <v>190</v>
      </c>
      <c r="H2593" s="562" t="s">
        <v>191</v>
      </c>
    </row>
    <row r="2594" spans="1:8" x14ac:dyDescent="0.2">
      <c r="A2594" s="562" t="s">
        <v>276</v>
      </c>
      <c r="B2594" s="562" t="s">
        <v>1792</v>
      </c>
      <c r="C2594" s="562" t="s">
        <v>1841</v>
      </c>
      <c r="D2594" s="562">
        <v>3</v>
      </c>
      <c r="E2594" s="562">
        <v>3</v>
      </c>
      <c r="F2594" s="562" t="s">
        <v>184</v>
      </c>
      <c r="G2594" s="562" t="s">
        <v>191</v>
      </c>
      <c r="H2594" s="562" t="s">
        <v>191</v>
      </c>
    </row>
    <row r="2595" spans="1:8" x14ac:dyDescent="0.2">
      <c r="A2595" s="562" t="s">
        <v>276</v>
      </c>
      <c r="B2595" s="562" t="s">
        <v>1792</v>
      </c>
      <c r="C2595" s="562" t="s">
        <v>1842</v>
      </c>
      <c r="D2595" s="562">
        <v>3</v>
      </c>
      <c r="E2595" s="562">
        <v>3</v>
      </c>
      <c r="F2595" s="562" t="s">
        <v>345</v>
      </c>
      <c r="G2595" s="562" t="s">
        <v>191</v>
      </c>
      <c r="H2595" s="562" t="s">
        <v>191</v>
      </c>
    </row>
    <row r="2596" spans="1:8" x14ac:dyDescent="0.2">
      <c r="A2596" s="562" t="s">
        <v>276</v>
      </c>
      <c r="B2596" s="562" t="s">
        <v>1792</v>
      </c>
      <c r="C2596" s="562" t="s">
        <v>761</v>
      </c>
      <c r="D2596" s="562">
        <v>3</v>
      </c>
      <c r="E2596" s="562">
        <v>2</v>
      </c>
      <c r="F2596" s="562" t="s">
        <v>345</v>
      </c>
      <c r="G2596" s="562" t="s">
        <v>191</v>
      </c>
      <c r="H2596" s="562" t="s">
        <v>191</v>
      </c>
    </row>
    <row r="2597" spans="1:8" x14ac:dyDescent="0.2">
      <c r="A2597" s="562" t="s">
        <v>276</v>
      </c>
      <c r="B2597" s="562" t="s">
        <v>1792</v>
      </c>
      <c r="C2597" s="562" t="s">
        <v>497</v>
      </c>
      <c r="D2597" s="562">
        <v>3</v>
      </c>
      <c r="E2597" s="562">
        <v>3</v>
      </c>
      <c r="F2597" s="562" t="s">
        <v>345</v>
      </c>
      <c r="G2597" s="562" t="s">
        <v>191</v>
      </c>
      <c r="H2597" s="562" t="s">
        <v>191</v>
      </c>
    </row>
    <row r="2598" spans="1:8" x14ac:dyDescent="0.2">
      <c r="A2598" s="562" t="s">
        <v>276</v>
      </c>
      <c r="B2598" s="562" t="s">
        <v>1792</v>
      </c>
      <c r="C2598" s="562" t="s">
        <v>904</v>
      </c>
      <c r="D2598" s="562">
        <v>3</v>
      </c>
      <c r="E2598" s="562">
        <v>3</v>
      </c>
      <c r="F2598" s="562" t="s">
        <v>184</v>
      </c>
      <c r="G2598" s="562" t="s">
        <v>190</v>
      </c>
      <c r="H2598" s="562" t="s">
        <v>191</v>
      </c>
    </row>
    <row r="2599" spans="1:8" x14ac:dyDescent="0.2">
      <c r="A2599" s="562" t="s">
        <v>276</v>
      </c>
      <c r="B2599" s="562" t="s">
        <v>1792</v>
      </c>
      <c r="C2599" s="562" t="s">
        <v>1843</v>
      </c>
      <c r="D2599" s="562">
        <v>3</v>
      </c>
      <c r="E2599" s="562">
        <v>3</v>
      </c>
      <c r="F2599" s="562" t="s">
        <v>184</v>
      </c>
      <c r="G2599" s="562" t="s">
        <v>190</v>
      </c>
      <c r="H2599" s="562" t="s">
        <v>191</v>
      </c>
    </row>
    <row r="2600" spans="1:8" x14ac:dyDescent="0.2">
      <c r="A2600" s="562" t="s">
        <v>276</v>
      </c>
      <c r="B2600" s="562" t="s">
        <v>1792</v>
      </c>
      <c r="C2600" s="562" t="s">
        <v>1844</v>
      </c>
      <c r="D2600" s="562">
        <v>3</v>
      </c>
      <c r="E2600" s="562">
        <v>2</v>
      </c>
      <c r="F2600" s="562" t="s">
        <v>184</v>
      </c>
      <c r="G2600" s="562" t="s">
        <v>190</v>
      </c>
      <c r="H2600" s="562" t="s">
        <v>191</v>
      </c>
    </row>
    <row r="2601" spans="1:8" x14ac:dyDescent="0.2">
      <c r="A2601" s="562" t="s">
        <v>276</v>
      </c>
      <c r="B2601" s="562" t="s">
        <v>1792</v>
      </c>
      <c r="C2601" s="562" t="s">
        <v>639</v>
      </c>
      <c r="D2601" s="562">
        <v>3</v>
      </c>
      <c r="E2601" s="562">
        <v>3</v>
      </c>
      <c r="F2601" s="562" t="s">
        <v>184</v>
      </c>
      <c r="G2601" s="562" t="s">
        <v>191</v>
      </c>
      <c r="H2601" s="562" t="s">
        <v>191</v>
      </c>
    </row>
    <row r="2602" spans="1:8" x14ac:dyDescent="0.2">
      <c r="A2602" s="562" t="s">
        <v>276</v>
      </c>
      <c r="B2602" s="562" t="s">
        <v>1792</v>
      </c>
      <c r="C2602" s="562" t="s">
        <v>246</v>
      </c>
      <c r="D2602" s="562">
        <v>3</v>
      </c>
      <c r="E2602" s="562">
        <v>2</v>
      </c>
      <c r="F2602" s="562" t="s">
        <v>184</v>
      </c>
      <c r="G2602" s="562" t="s">
        <v>190</v>
      </c>
      <c r="H2602" s="562" t="s">
        <v>191</v>
      </c>
    </row>
    <row r="2603" spans="1:8" x14ac:dyDescent="0.2">
      <c r="A2603" s="562" t="s">
        <v>276</v>
      </c>
      <c r="B2603" s="562" t="s">
        <v>1792</v>
      </c>
      <c r="C2603" s="562" t="s">
        <v>1845</v>
      </c>
      <c r="D2603" s="562">
        <v>3</v>
      </c>
      <c r="E2603" s="562">
        <v>3</v>
      </c>
      <c r="F2603" s="562" t="s">
        <v>345</v>
      </c>
      <c r="G2603" s="562" t="s">
        <v>191</v>
      </c>
      <c r="H2603" s="562" t="s">
        <v>191</v>
      </c>
    </row>
    <row r="2604" spans="1:8" x14ac:dyDescent="0.2">
      <c r="A2604" s="562" t="s">
        <v>276</v>
      </c>
      <c r="B2604" s="562" t="s">
        <v>1792</v>
      </c>
      <c r="C2604" s="562" t="s">
        <v>640</v>
      </c>
      <c r="D2604" s="562">
        <v>2</v>
      </c>
      <c r="E2604" s="562">
        <v>4</v>
      </c>
      <c r="F2604" s="562" t="s">
        <v>345</v>
      </c>
      <c r="G2604" s="562" t="s">
        <v>191</v>
      </c>
      <c r="H2604" s="562" t="s">
        <v>191</v>
      </c>
    </row>
    <row r="2605" spans="1:8" x14ac:dyDescent="0.2">
      <c r="A2605" s="562" t="s">
        <v>276</v>
      </c>
      <c r="B2605" s="562" t="s">
        <v>1792</v>
      </c>
      <c r="C2605" s="562" t="s">
        <v>1846</v>
      </c>
      <c r="D2605" s="562">
        <v>3</v>
      </c>
      <c r="E2605" s="562">
        <v>3</v>
      </c>
      <c r="F2605" s="562" t="s">
        <v>345</v>
      </c>
      <c r="G2605" s="562" t="s">
        <v>191</v>
      </c>
      <c r="H2605" s="562" t="s">
        <v>191</v>
      </c>
    </row>
    <row r="2606" spans="1:8" x14ac:dyDescent="0.2">
      <c r="A2606" s="562" t="s">
        <v>276</v>
      </c>
      <c r="B2606" s="562" t="s">
        <v>1792</v>
      </c>
      <c r="C2606" s="562" t="s">
        <v>1847</v>
      </c>
      <c r="D2606" s="562">
        <v>3</v>
      </c>
      <c r="E2606" s="562">
        <v>2</v>
      </c>
      <c r="F2606" s="562" t="s">
        <v>184</v>
      </c>
      <c r="G2606" s="562" t="s">
        <v>190</v>
      </c>
      <c r="H2606" s="562" t="s">
        <v>191</v>
      </c>
    </row>
    <row r="2607" spans="1:8" x14ac:dyDescent="0.2">
      <c r="A2607" s="562" t="s">
        <v>276</v>
      </c>
      <c r="B2607" s="562" t="s">
        <v>1792</v>
      </c>
      <c r="C2607" s="562" t="s">
        <v>248</v>
      </c>
      <c r="D2607" s="562">
        <v>3</v>
      </c>
      <c r="E2607" s="562">
        <v>3</v>
      </c>
      <c r="F2607" s="562" t="s">
        <v>184</v>
      </c>
      <c r="G2607" s="562" t="s">
        <v>190</v>
      </c>
      <c r="H2607" s="562" t="s">
        <v>191</v>
      </c>
    </row>
    <row r="2608" spans="1:8" x14ac:dyDescent="0.2">
      <c r="A2608" s="562" t="s">
        <v>276</v>
      </c>
      <c r="B2608" s="562" t="s">
        <v>1792</v>
      </c>
      <c r="C2608" s="562" t="s">
        <v>1848</v>
      </c>
      <c r="D2608" s="562">
        <v>3</v>
      </c>
      <c r="E2608" s="562">
        <v>2</v>
      </c>
      <c r="F2608" s="562" t="s">
        <v>184</v>
      </c>
      <c r="G2608" s="562" t="s">
        <v>190</v>
      </c>
      <c r="H2608" s="562" t="s">
        <v>191</v>
      </c>
    </row>
    <row r="2609" spans="1:8" x14ac:dyDescent="0.2">
      <c r="A2609" s="562" t="s">
        <v>276</v>
      </c>
      <c r="B2609" s="562" t="s">
        <v>1792</v>
      </c>
      <c r="C2609" s="562" t="s">
        <v>1849</v>
      </c>
      <c r="D2609" s="562">
        <v>3</v>
      </c>
      <c r="E2609" s="562">
        <v>2</v>
      </c>
      <c r="F2609" s="562" t="s">
        <v>345</v>
      </c>
      <c r="G2609" s="562" t="s">
        <v>191</v>
      </c>
      <c r="H2609" s="562" t="s">
        <v>191</v>
      </c>
    </row>
    <row r="2610" spans="1:8" x14ac:dyDescent="0.2">
      <c r="A2610" s="562" t="s">
        <v>276</v>
      </c>
      <c r="B2610" s="562" t="s">
        <v>1792</v>
      </c>
      <c r="C2610" s="562" t="s">
        <v>1850</v>
      </c>
      <c r="D2610" s="562">
        <v>3</v>
      </c>
      <c r="E2610" s="562">
        <v>3</v>
      </c>
      <c r="F2610" s="562" t="s">
        <v>345</v>
      </c>
      <c r="G2610" s="562" t="s">
        <v>191</v>
      </c>
      <c r="H2610" s="562" t="s">
        <v>191</v>
      </c>
    </row>
    <row r="2611" spans="1:8" x14ac:dyDescent="0.2">
      <c r="A2611" s="562" t="s">
        <v>276</v>
      </c>
      <c r="B2611" s="562" t="s">
        <v>1792</v>
      </c>
      <c r="C2611" s="562" t="s">
        <v>1851</v>
      </c>
      <c r="D2611" s="562">
        <v>3</v>
      </c>
      <c r="E2611" s="562">
        <v>2</v>
      </c>
      <c r="F2611" s="562" t="s">
        <v>184</v>
      </c>
      <c r="G2611" s="562" t="s">
        <v>190</v>
      </c>
      <c r="H2611" s="562" t="s">
        <v>191</v>
      </c>
    </row>
    <row r="2612" spans="1:8" x14ac:dyDescent="0.2">
      <c r="A2612" s="562" t="s">
        <v>276</v>
      </c>
      <c r="B2612" s="562" t="s">
        <v>1792</v>
      </c>
      <c r="C2612" s="562" t="s">
        <v>1852</v>
      </c>
      <c r="D2612" s="562">
        <v>2</v>
      </c>
      <c r="E2612" s="562">
        <v>3</v>
      </c>
      <c r="F2612" s="562" t="s">
        <v>345</v>
      </c>
      <c r="G2612" s="562" t="s">
        <v>191</v>
      </c>
      <c r="H2612" s="562" t="s">
        <v>191</v>
      </c>
    </row>
    <row r="2613" spans="1:8" x14ac:dyDescent="0.2">
      <c r="A2613" s="562" t="s">
        <v>276</v>
      </c>
      <c r="B2613" s="562" t="s">
        <v>1792</v>
      </c>
      <c r="C2613" s="562" t="s">
        <v>1853</v>
      </c>
      <c r="D2613" s="562">
        <v>3</v>
      </c>
      <c r="E2613" s="562">
        <v>3</v>
      </c>
      <c r="F2613" s="562" t="s">
        <v>184</v>
      </c>
      <c r="G2613" s="562" t="s">
        <v>190</v>
      </c>
      <c r="H2613" s="562" t="s">
        <v>191</v>
      </c>
    </row>
    <row r="2614" spans="1:8" x14ac:dyDescent="0.2">
      <c r="A2614" s="562" t="s">
        <v>276</v>
      </c>
      <c r="B2614" s="562" t="s">
        <v>1792</v>
      </c>
      <c r="C2614" s="562" t="s">
        <v>1854</v>
      </c>
      <c r="D2614" s="562">
        <v>3</v>
      </c>
      <c r="E2614" s="562">
        <v>3</v>
      </c>
      <c r="F2614" s="562" t="s">
        <v>345</v>
      </c>
      <c r="G2614" s="562" t="s">
        <v>191</v>
      </c>
      <c r="H2614" s="562" t="s">
        <v>191</v>
      </c>
    </row>
    <row r="2615" spans="1:8" x14ac:dyDescent="0.2">
      <c r="A2615" s="562" t="s">
        <v>276</v>
      </c>
      <c r="B2615" s="562" t="s">
        <v>1792</v>
      </c>
      <c r="C2615" s="562" t="s">
        <v>1855</v>
      </c>
      <c r="D2615" s="562">
        <v>3</v>
      </c>
      <c r="E2615" s="562">
        <v>2</v>
      </c>
      <c r="F2615" s="562" t="s">
        <v>184</v>
      </c>
      <c r="G2615" s="562" t="s">
        <v>190</v>
      </c>
      <c r="H2615" s="562" t="s">
        <v>191</v>
      </c>
    </row>
    <row r="2616" spans="1:8" x14ac:dyDescent="0.2">
      <c r="A2616" s="562" t="s">
        <v>276</v>
      </c>
      <c r="B2616" s="562" t="s">
        <v>1792</v>
      </c>
      <c r="C2616" s="562" t="s">
        <v>1856</v>
      </c>
      <c r="D2616" s="562">
        <v>3</v>
      </c>
      <c r="E2616" s="562">
        <v>2</v>
      </c>
      <c r="F2616" s="562" t="s">
        <v>184</v>
      </c>
      <c r="G2616" s="562" t="s">
        <v>190</v>
      </c>
      <c r="H2616" s="562" t="s">
        <v>191</v>
      </c>
    </row>
    <row r="2617" spans="1:8" x14ac:dyDescent="0.2">
      <c r="A2617" s="562" t="s">
        <v>276</v>
      </c>
      <c r="B2617" s="562" t="s">
        <v>1792</v>
      </c>
      <c r="C2617" s="562" t="s">
        <v>909</v>
      </c>
      <c r="D2617" s="562">
        <v>2</v>
      </c>
      <c r="E2617" s="562">
        <v>4</v>
      </c>
      <c r="F2617" s="562" t="s">
        <v>345</v>
      </c>
      <c r="G2617" s="562" t="s">
        <v>191</v>
      </c>
      <c r="H2617" s="562" t="s">
        <v>191</v>
      </c>
    </row>
    <row r="2618" spans="1:8" x14ac:dyDescent="0.2">
      <c r="A2618" s="562" t="s">
        <v>276</v>
      </c>
      <c r="B2618" s="562" t="s">
        <v>1792</v>
      </c>
      <c r="C2618" s="562" t="s">
        <v>981</v>
      </c>
      <c r="D2618" s="562">
        <v>3</v>
      </c>
      <c r="E2618" s="562">
        <v>3</v>
      </c>
      <c r="F2618" s="562" t="s">
        <v>184</v>
      </c>
      <c r="G2618" s="562" t="s">
        <v>191</v>
      </c>
      <c r="H2618" s="562" t="s">
        <v>191</v>
      </c>
    </row>
    <row r="2619" spans="1:8" x14ac:dyDescent="0.2">
      <c r="A2619" s="562" t="s">
        <v>276</v>
      </c>
      <c r="B2619" s="562" t="s">
        <v>1792</v>
      </c>
      <c r="C2619" s="562" t="s">
        <v>1857</v>
      </c>
      <c r="D2619" s="562">
        <v>3</v>
      </c>
      <c r="E2619" s="562">
        <v>3</v>
      </c>
      <c r="F2619" s="562" t="s">
        <v>184</v>
      </c>
      <c r="G2619" s="562" t="s">
        <v>190</v>
      </c>
      <c r="H2619" s="562" t="s">
        <v>191</v>
      </c>
    </row>
    <row r="2620" spans="1:8" x14ac:dyDescent="0.2">
      <c r="A2620" s="562" t="s">
        <v>276</v>
      </c>
      <c r="B2620" s="562" t="s">
        <v>1792</v>
      </c>
      <c r="C2620" s="562" t="s">
        <v>1858</v>
      </c>
      <c r="D2620" s="562">
        <v>3</v>
      </c>
      <c r="E2620" s="562">
        <v>2</v>
      </c>
      <c r="F2620" s="562" t="s">
        <v>184</v>
      </c>
      <c r="G2620" s="562" t="s">
        <v>190</v>
      </c>
      <c r="H2620" s="562" t="s">
        <v>191</v>
      </c>
    </row>
    <row r="2621" spans="1:8" x14ac:dyDescent="0.2">
      <c r="A2621" s="562" t="s">
        <v>276</v>
      </c>
      <c r="B2621" s="562" t="s">
        <v>1792</v>
      </c>
      <c r="C2621" s="562" t="s">
        <v>1422</v>
      </c>
      <c r="D2621" s="562">
        <v>3</v>
      </c>
      <c r="E2621" s="562">
        <v>2</v>
      </c>
      <c r="F2621" s="562" t="s">
        <v>184</v>
      </c>
      <c r="G2621" s="562" t="s">
        <v>190</v>
      </c>
      <c r="H2621" s="562" t="s">
        <v>191</v>
      </c>
    </row>
    <row r="2622" spans="1:8" x14ac:dyDescent="0.2">
      <c r="A2622" s="562" t="s">
        <v>276</v>
      </c>
      <c r="B2622" s="562" t="s">
        <v>1792</v>
      </c>
      <c r="C2622" s="562" t="s">
        <v>254</v>
      </c>
      <c r="D2622" s="562">
        <v>2</v>
      </c>
      <c r="E2622" s="562">
        <v>4</v>
      </c>
      <c r="F2622" s="562" t="s">
        <v>345</v>
      </c>
      <c r="G2622" s="562" t="s">
        <v>191</v>
      </c>
      <c r="H2622" s="562" t="s">
        <v>191</v>
      </c>
    </row>
    <row r="2623" spans="1:8" x14ac:dyDescent="0.2">
      <c r="A2623" s="562" t="s">
        <v>276</v>
      </c>
      <c r="B2623" s="562" t="s">
        <v>1792</v>
      </c>
      <c r="C2623" s="562" t="s">
        <v>649</v>
      </c>
      <c r="D2623" s="562">
        <v>3</v>
      </c>
      <c r="E2623" s="562">
        <v>3</v>
      </c>
      <c r="F2623" s="562" t="s">
        <v>345</v>
      </c>
      <c r="G2623" s="562" t="s">
        <v>191</v>
      </c>
      <c r="H2623" s="562" t="s">
        <v>191</v>
      </c>
    </row>
    <row r="2624" spans="1:8" x14ac:dyDescent="0.2">
      <c r="A2624" s="562" t="s">
        <v>276</v>
      </c>
      <c r="B2624" s="562" t="s">
        <v>1792</v>
      </c>
      <c r="C2624" s="562" t="s">
        <v>565</v>
      </c>
      <c r="D2624" s="562">
        <v>3</v>
      </c>
      <c r="E2624" s="562">
        <v>3</v>
      </c>
      <c r="F2624" s="562" t="s">
        <v>184</v>
      </c>
      <c r="G2624" s="562" t="s">
        <v>190</v>
      </c>
      <c r="H2624" s="562" t="s">
        <v>191</v>
      </c>
    </row>
    <row r="2625" spans="1:8" x14ac:dyDescent="0.2">
      <c r="A2625" s="562" t="s">
        <v>276</v>
      </c>
      <c r="B2625" s="562" t="s">
        <v>1792</v>
      </c>
      <c r="C2625" s="562" t="s">
        <v>1859</v>
      </c>
      <c r="D2625" s="562">
        <v>2</v>
      </c>
      <c r="E2625" s="562">
        <v>4</v>
      </c>
      <c r="F2625" s="562" t="s">
        <v>345</v>
      </c>
      <c r="G2625" s="562" t="s">
        <v>191</v>
      </c>
      <c r="H2625" s="562" t="s">
        <v>191</v>
      </c>
    </row>
    <row r="2626" spans="1:8" x14ac:dyDescent="0.2">
      <c r="A2626" s="562" t="s">
        <v>276</v>
      </c>
      <c r="B2626" s="562" t="s">
        <v>1792</v>
      </c>
      <c r="C2626" s="562" t="s">
        <v>1777</v>
      </c>
      <c r="D2626" s="562">
        <v>3</v>
      </c>
      <c r="E2626" s="562">
        <v>3</v>
      </c>
      <c r="F2626" s="562" t="s">
        <v>345</v>
      </c>
      <c r="G2626" s="562" t="s">
        <v>191</v>
      </c>
      <c r="H2626" s="562" t="s">
        <v>191</v>
      </c>
    </row>
    <row r="2627" spans="1:8" x14ac:dyDescent="0.2">
      <c r="A2627" s="562" t="s">
        <v>276</v>
      </c>
      <c r="B2627" s="562" t="s">
        <v>1792</v>
      </c>
      <c r="C2627" s="562" t="s">
        <v>765</v>
      </c>
      <c r="D2627" s="562">
        <v>3</v>
      </c>
      <c r="E2627" s="562">
        <v>2</v>
      </c>
      <c r="F2627" s="562" t="s">
        <v>184</v>
      </c>
      <c r="G2627" s="562" t="s">
        <v>190</v>
      </c>
      <c r="H2627" s="562" t="s">
        <v>191</v>
      </c>
    </row>
    <row r="2628" spans="1:8" x14ac:dyDescent="0.2">
      <c r="A2628" s="562" t="s">
        <v>276</v>
      </c>
      <c r="B2628" s="562" t="s">
        <v>1792</v>
      </c>
      <c r="C2628" s="562" t="s">
        <v>652</v>
      </c>
      <c r="D2628" s="562">
        <v>3</v>
      </c>
      <c r="E2628" s="562">
        <v>2</v>
      </c>
      <c r="F2628" s="562" t="s">
        <v>184</v>
      </c>
      <c r="G2628" s="562" t="s">
        <v>190</v>
      </c>
      <c r="H2628" s="562" t="s">
        <v>191</v>
      </c>
    </row>
    <row r="2629" spans="1:8" x14ac:dyDescent="0.2">
      <c r="A2629" s="562" t="s">
        <v>276</v>
      </c>
      <c r="B2629" s="562" t="s">
        <v>1792</v>
      </c>
      <c r="C2629" s="562" t="s">
        <v>813</v>
      </c>
      <c r="D2629" s="562">
        <v>3</v>
      </c>
      <c r="E2629" s="562">
        <v>3</v>
      </c>
      <c r="F2629" s="562" t="s">
        <v>184</v>
      </c>
      <c r="G2629" s="562" t="s">
        <v>190</v>
      </c>
      <c r="H2629" s="562" t="s">
        <v>191</v>
      </c>
    </row>
    <row r="2630" spans="1:8" x14ac:dyDescent="0.2">
      <c r="A2630" s="562" t="s">
        <v>276</v>
      </c>
      <c r="B2630" s="562" t="s">
        <v>1792</v>
      </c>
      <c r="C2630" s="562" t="s">
        <v>1860</v>
      </c>
      <c r="D2630" s="562">
        <v>2</v>
      </c>
      <c r="E2630" s="562">
        <v>4</v>
      </c>
      <c r="F2630" s="562" t="s">
        <v>345</v>
      </c>
      <c r="G2630" s="562" t="s">
        <v>191</v>
      </c>
      <c r="H2630" s="562" t="s">
        <v>191</v>
      </c>
    </row>
    <row r="2631" spans="1:8" x14ac:dyDescent="0.2">
      <c r="A2631" s="562" t="s">
        <v>276</v>
      </c>
      <c r="B2631" s="562" t="s">
        <v>1792</v>
      </c>
      <c r="C2631" s="562" t="s">
        <v>914</v>
      </c>
      <c r="D2631" s="562">
        <v>3</v>
      </c>
      <c r="E2631" s="562">
        <v>3</v>
      </c>
      <c r="F2631" s="562" t="s">
        <v>345</v>
      </c>
      <c r="G2631" s="562" t="s">
        <v>191</v>
      </c>
      <c r="H2631" s="562" t="s">
        <v>191</v>
      </c>
    </row>
    <row r="2632" spans="1:8" x14ac:dyDescent="0.2">
      <c r="A2632" s="562" t="s">
        <v>276</v>
      </c>
      <c r="B2632" s="562" t="s">
        <v>1792</v>
      </c>
      <c r="C2632" s="562" t="s">
        <v>1861</v>
      </c>
      <c r="D2632" s="562">
        <v>3</v>
      </c>
      <c r="E2632" s="562">
        <v>2</v>
      </c>
      <c r="F2632" s="562" t="s">
        <v>184</v>
      </c>
      <c r="G2632" s="562" t="s">
        <v>190</v>
      </c>
      <c r="H2632" s="562" t="s">
        <v>191</v>
      </c>
    </row>
    <row r="2633" spans="1:8" x14ac:dyDescent="0.2">
      <c r="A2633" s="562" t="s">
        <v>276</v>
      </c>
      <c r="B2633" s="562" t="s">
        <v>1792</v>
      </c>
      <c r="C2633" s="562" t="s">
        <v>1862</v>
      </c>
      <c r="D2633" s="562">
        <v>2</v>
      </c>
      <c r="E2633" s="562">
        <v>3</v>
      </c>
      <c r="F2633" s="562" t="s">
        <v>345</v>
      </c>
      <c r="G2633" s="562" t="s">
        <v>191</v>
      </c>
      <c r="H2633" s="562" t="s">
        <v>191</v>
      </c>
    </row>
    <row r="2634" spans="1:8" x14ac:dyDescent="0.2">
      <c r="A2634" s="562" t="s">
        <v>276</v>
      </c>
      <c r="B2634" s="562" t="s">
        <v>1792</v>
      </c>
      <c r="C2634" s="562" t="s">
        <v>766</v>
      </c>
      <c r="D2634" s="562">
        <v>3</v>
      </c>
      <c r="E2634" s="562">
        <v>3</v>
      </c>
      <c r="F2634" s="562" t="s">
        <v>184</v>
      </c>
      <c r="G2634" s="562" t="s">
        <v>190</v>
      </c>
      <c r="H2634" s="562" t="s">
        <v>191</v>
      </c>
    </row>
    <row r="2635" spans="1:8" x14ac:dyDescent="0.2">
      <c r="A2635" s="562" t="s">
        <v>276</v>
      </c>
      <c r="B2635" s="562" t="s">
        <v>1792</v>
      </c>
      <c r="C2635" s="562" t="s">
        <v>1424</v>
      </c>
      <c r="D2635" s="562">
        <v>3</v>
      </c>
      <c r="E2635" s="562">
        <v>2</v>
      </c>
      <c r="F2635" s="562" t="s">
        <v>184</v>
      </c>
      <c r="G2635" s="562" t="s">
        <v>190</v>
      </c>
      <c r="H2635" s="562" t="s">
        <v>191</v>
      </c>
    </row>
    <row r="2636" spans="1:8" x14ac:dyDescent="0.2">
      <c r="A2636" s="562" t="s">
        <v>276</v>
      </c>
      <c r="B2636" s="562" t="s">
        <v>1792</v>
      </c>
      <c r="C2636" s="562" t="s">
        <v>1318</v>
      </c>
      <c r="D2636" s="562">
        <v>3</v>
      </c>
      <c r="E2636" s="562">
        <v>2</v>
      </c>
      <c r="F2636" s="562" t="s">
        <v>184</v>
      </c>
      <c r="G2636" s="562" t="s">
        <v>190</v>
      </c>
      <c r="H2636" s="562" t="s">
        <v>191</v>
      </c>
    </row>
    <row r="2637" spans="1:8" x14ac:dyDescent="0.2">
      <c r="A2637" s="562" t="s">
        <v>276</v>
      </c>
      <c r="B2637" s="562" t="s">
        <v>1792</v>
      </c>
      <c r="C2637" s="562" t="s">
        <v>1863</v>
      </c>
      <c r="D2637" s="562">
        <v>2</v>
      </c>
      <c r="E2637" s="562">
        <v>4</v>
      </c>
      <c r="F2637" s="562" t="s">
        <v>345</v>
      </c>
      <c r="G2637" s="562" t="s">
        <v>191</v>
      </c>
      <c r="H2637" s="562" t="s">
        <v>191</v>
      </c>
    </row>
    <row r="2638" spans="1:8" x14ac:dyDescent="0.2">
      <c r="A2638" s="562" t="s">
        <v>276</v>
      </c>
      <c r="B2638" s="562" t="s">
        <v>1792</v>
      </c>
      <c r="C2638" s="562" t="s">
        <v>1864</v>
      </c>
      <c r="D2638" s="562">
        <v>3</v>
      </c>
      <c r="E2638" s="562">
        <v>3</v>
      </c>
      <c r="F2638" s="562" t="s">
        <v>184</v>
      </c>
      <c r="G2638" s="562" t="s">
        <v>190</v>
      </c>
      <c r="H2638" s="562" t="s">
        <v>191</v>
      </c>
    </row>
    <row r="2639" spans="1:8" x14ac:dyDescent="0.2">
      <c r="A2639" s="562" t="s">
        <v>276</v>
      </c>
      <c r="B2639" s="562" t="s">
        <v>1792</v>
      </c>
      <c r="C2639" s="562" t="s">
        <v>986</v>
      </c>
      <c r="D2639" s="562">
        <v>3</v>
      </c>
      <c r="E2639" s="562">
        <v>3</v>
      </c>
      <c r="F2639" s="562" t="s">
        <v>184</v>
      </c>
      <c r="G2639" s="562" t="s">
        <v>190</v>
      </c>
      <c r="H2639" s="562" t="s">
        <v>191</v>
      </c>
    </row>
    <row r="2640" spans="1:8" x14ac:dyDescent="0.2">
      <c r="A2640" s="562" t="s">
        <v>276</v>
      </c>
      <c r="B2640" s="562" t="s">
        <v>1792</v>
      </c>
      <c r="C2640" s="562" t="s">
        <v>257</v>
      </c>
      <c r="D2640" s="562">
        <v>3</v>
      </c>
      <c r="E2640" s="562">
        <v>2</v>
      </c>
      <c r="F2640" s="562" t="s">
        <v>184</v>
      </c>
      <c r="G2640" s="562" t="s">
        <v>190</v>
      </c>
      <c r="H2640" s="562" t="s">
        <v>191</v>
      </c>
    </row>
    <row r="2641" spans="1:8" x14ac:dyDescent="0.2">
      <c r="A2641" s="562" t="s">
        <v>276</v>
      </c>
      <c r="B2641" s="562" t="s">
        <v>1792</v>
      </c>
      <c r="C2641" s="562" t="s">
        <v>385</v>
      </c>
      <c r="D2641" s="562">
        <v>3</v>
      </c>
      <c r="E2641" s="562">
        <v>3</v>
      </c>
      <c r="F2641" s="562" t="s">
        <v>345</v>
      </c>
      <c r="G2641" s="562" t="s">
        <v>191</v>
      </c>
      <c r="H2641" s="562" t="s">
        <v>191</v>
      </c>
    </row>
    <row r="2642" spans="1:8" x14ac:dyDescent="0.2">
      <c r="A2642" s="562" t="s">
        <v>276</v>
      </c>
      <c r="B2642" s="562" t="s">
        <v>1792</v>
      </c>
      <c r="C2642" s="562" t="s">
        <v>1865</v>
      </c>
      <c r="D2642" s="562">
        <v>2</v>
      </c>
      <c r="E2642" s="562">
        <v>3</v>
      </c>
      <c r="F2642" s="562" t="s">
        <v>345</v>
      </c>
      <c r="G2642" s="562" t="s">
        <v>191</v>
      </c>
      <c r="H2642" s="562" t="s">
        <v>191</v>
      </c>
    </row>
    <row r="2643" spans="1:8" x14ac:dyDescent="0.2">
      <c r="A2643" s="562" t="s">
        <v>276</v>
      </c>
      <c r="B2643" s="562" t="s">
        <v>1792</v>
      </c>
      <c r="C2643" s="562" t="s">
        <v>1866</v>
      </c>
      <c r="D2643" s="562">
        <v>3</v>
      </c>
      <c r="E2643" s="562">
        <v>3</v>
      </c>
      <c r="F2643" s="562" t="s">
        <v>184</v>
      </c>
      <c r="G2643" s="562" t="s">
        <v>190</v>
      </c>
      <c r="H2643" s="562" t="s">
        <v>191</v>
      </c>
    </row>
    <row r="2644" spans="1:8" x14ac:dyDescent="0.2">
      <c r="A2644" s="562" t="s">
        <v>276</v>
      </c>
      <c r="B2644" s="562" t="s">
        <v>1792</v>
      </c>
      <c r="C2644" s="562" t="s">
        <v>1747</v>
      </c>
      <c r="D2644" s="562">
        <v>2</v>
      </c>
      <c r="E2644" s="562">
        <v>4</v>
      </c>
      <c r="F2644" s="562" t="s">
        <v>345</v>
      </c>
      <c r="G2644" s="562" t="s">
        <v>191</v>
      </c>
      <c r="H2644" s="562" t="s">
        <v>191</v>
      </c>
    </row>
    <row r="2645" spans="1:8" x14ac:dyDescent="0.2">
      <c r="A2645" s="562" t="s">
        <v>276</v>
      </c>
      <c r="B2645" s="562" t="s">
        <v>1792</v>
      </c>
      <c r="C2645" s="562" t="s">
        <v>1867</v>
      </c>
      <c r="D2645" s="562">
        <v>3</v>
      </c>
      <c r="E2645" s="562">
        <v>3</v>
      </c>
      <c r="F2645" s="562" t="s">
        <v>345</v>
      </c>
      <c r="G2645" s="562" t="s">
        <v>191</v>
      </c>
      <c r="H2645" s="562" t="s">
        <v>191</v>
      </c>
    </row>
    <row r="2646" spans="1:8" x14ac:dyDescent="0.2">
      <c r="A2646" s="562" t="s">
        <v>276</v>
      </c>
      <c r="B2646" s="562" t="s">
        <v>1792</v>
      </c>
      <c r="C2646" s="562" t="s">
        <v>1868</v>
      </c>
      <c r="D2646" s="562">
        <v>3</v>
      </c>
      <c r="E2646" s="562">
        <v>3</v>
      </c>
      <c r="F2646" s="562" t="s">
        <v>184</v>
      </c>
      <c r="G2646" s="562" t="s">
        <v>191</v>
      </c>
      <c r="H2646" s="562" t="s">
        <v>191</v>
      </c>
    </row>
    <row r="2647" spans="1:8" x14ac:dyDescent="0.2">
      <c r="A2647" s="562" t="s">
        <v>276</v>
      </c>
      <c r="B2647" s="562" t="s">
        <v>1792</v>
      </c>
      <c r="C2647" s="562" t="s">
        <v>259</v>
      </c>
      <c r="D2647" s="562">
        <v>3</v>
      </c>
      <c r="E2647" s="562">
        <v>2</v>
      </c>
      <c r="F2647" s="562" t="s">
        <v>184</v>
      </c>
      <c r="G2647" s="562" t="s">
        <v>190</v>
      </c>
      <c r="H2647" s="562" t="s">
        <v>191</v>
      </c>
    </row>
    <row r="2648" spans="1:8" x14ac:dyDescent="0.2">
      <c r="A2648" s="562" t="s">
        <v>276</v>
      </c>
      <c r="B2648" s="562" t="s">
        <v>1792</v>
      </c>
      <c r="C2648" s="562" t="s">
        <v>656</v>
      </c>
      <c r="D2648" s="562">
        <v>3</v>
      </c>
      <c r="E2648" s="562">
        <v>2</v>
      </c>
      <c r="F2648" s="562" t="s">
        <v>184</v>
      </c>
      <c r="G2648" s="562" t="s">
        <v>190</v>
      </c>
      <c r="H2648" s="562" t="s">
        <v>191</v>
      </c>
    </row>
    <row r="2649" spans="1:8" x14ac:dyDescent="0.2">
      <c r="A2649" s="562" t="s">
        <v>276</v>
      </c>
      <c r="B2649" s="562" t="s">
        <v>1792</v>
      </c>
      <c r="C2649" s="562" t="s">
        <v>657</v>
      </c>
      <c r="D2649" s="562">
        <v>2</v>
      </c>
      <c r="E2649" s="562">
        <v>3</v>
      </c>
      <c r="F2649" s="562" t="s">
        <v>345</v>
      </c>
      <c r="G2649" s="562" t="s">
        <v>191</v>
      </c>
      <c r="H2649" s="562" t="s">
        <v>191</v>
      </c>
    </row>
    <row r="2650" spans="1:8" x14ac:dyDescent="0.2">
      <c r="A2650" s="562" t="s">
        <v>276</v>
      </c>
      <c r="B2650" s="562" t="s">
        <v>1792</v>
      </c>
      <c r="C2650" s="562" t="s">
        <v>261</v>
      </c>
      <c r="D2650" s="562">
        <v>3</v>
      </c>
      <c r="E2650" s="562">
        <v>2</v>
      </c>
      <c r="F2650" s="562" t="s">
        <v>184</v>
      </c>
      <c r="G2650" s="562" t="s">
        <v>190</v>
      </c>
      <c r="H2650" s="562" t="s">
        <v>191</v>
      </c>
    </row>
    <row r="2651" spans="1:8" x14ac:dyDescent="0.2">
      <c r="A2651" s="562" t="s">
        <v>276</v>
      </c>
      <c r="B2651" s="562" t="s">
        <v>1792</v>
      </c>
      <c r="C2651" s="562" t="s">
        <v>1869</v>
      </c>
      <c r="D2651" s="562">
        <v>3</v>
      </c>
      <c r="E2651" s="562">
        <v>2</v>
      </c>
      <c r="F2651" s="562" t="s">
        <v>184</v>
      </c>
      <c r="G2651" s="562" t="s">
        <v>190</v>
      </c>
      <c r="H2651" s="562" t="s">
        <v>191</v>
      </c>
    </row>
    <row r="2652" spans="1:8" x14ac:dyDescent="0.2">
      <c r="A2652" s="562" t="s">
        <v>276</v>
      </c>
      <c r="B2652" s="562" t="s">
        <v>1792</v>
      </c>
      <c r="C2652" s="562" t="s">
        <v>1870</v>
      </c>
      <c r="D2652" s="562">
        <v>3</v>
      </c>
      <c r="E2652" s="562">
        <v>2</v>
      </c>
      <c r="F2652" s="562" t="s">
        <v>184</v>
      </c>
      <c r="G2652" s="562" t="s">
        <v>190</v>
      </c>
      <c r="H2652" s="562" t="s">
        <v>191</v>
      </c>
    </row>
    <row r="2653" spans="1:8" x14ac:dyDescent="0.2">
      <c r="A2653" s="562" t="s">
        <v>276</v>
      </c>
      <c r="B2653" s="562" t="s">
        <v>1792</v>
      </c>
      <c r="C2653" s="562" t="s">
        <v>388</v>
      </c>
      <c r="D2653" s="562">
        <v>3</v>
      </c>
      <c r="E2653" s="562">
        <v>3</v>
      </c>
      <c r="F2653" s="562" t="s">
        <v>184</v>
      </c>
      <c r="G2653" s="562" t="s">
        <v>190</v>
      </c>
      <c r="H2653" s="562" t="s">
        <v>191</v>
      </c>
    </row>
    <row r="2654" spans="1:8" x14ac:dyDescent="0.2">
      <c r="A2654" s="562" t="s">
        <v>276</v>
      </c>
      <c r="B2654" s="562" t="s">
        <v>1792</v>
      </c>
      <c r="C2654" s="562" t="s">
        <v>659</v>
      </c>
      <c r="D2654" s="562">
        <v>3</v>
      </c>
      <c r="E2654" s="562">
        <v>3</v>
      </c>
      <c r="F2654" s="562" t="s">
        <v>345</v>
      </c>
      <c r="G2654" s="562" t="s">
        <v>191</v>
      </c>
      <c r="H2654" s="562" t="s">
        <v>191</v>
      </c>
    </row>
    <row r="2655" spans="1:8" x14ac:dyDescent="0.2">
      <c r="A2655" s="562" t="s">
        <v>276</v>
      </c>
      <c r="B2655" s="562" t="s">
        <v>1792</v>
      </c>
      <c r="C2655" s="562" t="s">
        <v>1871</v>
      </c>
      <c r="D2655" s="562">
        <v>3</v>
      </c>
      <c r="E2655" s="562">
        <v>2</v>
      </c>
      <c r="F2655" s="562" t="s">
        <v>184</v>
      </c>
      <c r="G2655" s="562" t="s">
        <v>190</v>
      </c>
      <c r="H2655" s="562" t="s">
        <v>191</v>
      </c>
    </row>
    <row r="2656" spans="1:8" x14ac:dyDescent="0.2">
      <c r="A2656" s="562" t="s">
        <v>276</v>
      </c>
      <c r="B2656" s="562" t="s">
        <v>1792</v>
      </c>
      <c r="C2656" s="562" t="s">
        <v>1872</v>
      </c>
      <c r="D2656" s="562">
        <v>3</v>
      </c>
      <c r="E2656" s="562">
        <v>3</v>
      </c>
      <c r="F2656" s="562" t="s">
        <v>184</v>
      </c>
      <c r="G2656" s="562" t="s">
        <v>190</v>
      </c>
      <c r="H2656" s="562" t="s">
        <v>191</v>
      </c>
    </row>
    <row r="2657" spans="1:8" x14ac:dyDescent="0.2">
      <c r="A2657" s="562" t="s">
        <v>276</v>
      </c>
      <c r="B2657" s="562" t="s">
        <v>1792</v>
      </c>
      <c r="C2657" s="562" t="s">
        <v>772</v>
      </c>
      <c r="D2657" s="562">
        <v>3</v>
      </c>
      <c r="E2657" s="562">
        <v>3</v>
      </c>
      <c r="F2657" s="562" t="s">
        <v>184</v>
      </c>
      <c r="G2657" s="562" t="s">
        <v>190</v>
      </c>
      <c r="H2657" s="562" t="s">
        <v>191</v>
      </c>
    </row>
    <row r="2658" spans="1:8" x14ac:dyDescent="0.2">
      <c r="A2658" s="562" t="s">
        <v>276</v>
      </c>
      <c r="B2658" s="562" t="s">
        <v>1792</v>
      </c>
      <c r="C2658" s="562" t="s">
        <v>1873</v>
      </c>
      <c r="D2658" s="562">
        <v>3</v>
      </c>
      <c r="E2658" s="562">
        <v>2</v>
      </c>
      <c r="F2658" s="562" t="s">
        <v>184</v>
      </c>
      <c r="G2658" s="562" t="s">
        <v>190</v>
      </c>
      <c r="H2658" s="562" t="s">
        <v>191</v>
      </c>
    </row>
    <row r="2659" spans="1:8" x14ac:dyDescent="0.2">
      <c r="A2659" s="562" t="s">
        <v>276</v>
      </c>
      <c r="B2659" s="562" t="s">
        <v>1792</v>
      </c>
      <c r="C2659" s="562" t="s">
        <v>542</v>
      </c>
      <c r="D2659" s="562">
        <v>3</v>
      </c>
      <c r="E2659" s="562">
        <v>3</v>
      </c>
      <c r="F2659" s="562" t="s">
        <v>345</v>
      </c>
      <c r="G2659" s="562" t="s">
        <v>191</v>
      </c>
      <c r="H2659" s="562" t="s">
        <v>191</v>
      </c>
    </row>
    <row r="2660" spans="1:8" x14ac:dyDescent="0.2">
      <c r="A2660" s="562" t="s">
        <v>276</v>
      </c>
      <c r="B2660" s="562" t="s">
        <v>1792</v>
      </c>
      <c r="C2660" s="562" t="s">
        <v>1874</v>
      </c>
      <c r="D2660" s="562">
        <v>3</v>
      </c>
      <c r="E2660" s="562">
        <v>3</v>
      </c>
      <c r="F2660" s="562" t="s">
        <v>345</v>
      </c>
      <c r="G2660" s="562" t="s">
        <v>191</v>
      </c>
      <c r="H2660" s="562" t="s">
        <v>191</v>
      </c>
    </row>
    <row r="2661" spans="1:8" x14ac:dyDescent="0.2">
      <c r="A2661" s="562" t="s">
        <v>276</v>
      </c>
      <c r="B2661" s="562" t="s">
        <v>1792</v>
      </c>
      <c r="C2661" s="562" t="s">
        <v>1875</v>
      </c>
      <c r="D2661" s="562">
        <v>3</v>
      </c>
      <c r="E2661" s="562">
        <v>3</v>
      </c>
      <c r="F2661" s="562" t="s">
        <v>345</v>
      </c>
      <c r="G2661" s="562" t="s">
        <v>191</v>
      </c>
      <c r="H2661" s="562" t="s">
        <v>191</v>
      </c>
    </row>
    <row r="2662" spans="1:8" x14ac:dyDescent="0.2">
      <c r="A2662" s="562" t="s">
        <v>276</v>
      </c>
      <c r="B2662" s="562" t="s">
        <v>1792</v>
      </c>
      <c r="C2662" s="562" t="s">
        <v>1876</v>
      </c>
      <c r="D2662" s="562">
        <v>3</v>
      </c>
      <c r="E2662" s="562">
        <v>3</v>
      </c>
      <c r="F2662" s="562" t="s">
        <v>345</v>
      </c>
      <c r="G2662" s="562" t="s">
        <v>191</v>
      </c>
      <c r="H2662" s="562" t="s">
        <v>191</v>
      </c>
    </row>
    <row r="2663" spans="1:8" x14ac:dyDescent="0.2">
      <c r="A2663" s="562" t="s">
        <v>276</v>
      </c>
      <c r="B2663" s="562" t="s">
        <v>1792</v>
      </c>
      <c r="C2663" s="562" t="s">
        <v>1877</v>
      </c>
      <c r="D2663" s="562">
        <v>3</v>
      </c>
      <c r="E2663" s="562">
        <v>2</v>
      </c>
      <c r="F2663" s="562" t="s">
        <v>345</v>
      </c>
      <c r="G2663" s="562" t="s">
        <v>191</v>
      </c>
      <c r="H2663" s="562" t="s">
        <v>191</v>
      </c>
    </row>
    <row r="2664" spans="1:8" x14ac:dyDescent="0.2">
      <c r="A2664" s="562" t="s">
        <v>276</v>
      </c>
      <c r="B2664" s="562" t="s">
        <v>1792</v>
      </c>
      <c r="C2664" s="562" t="s">
        <v>1878</v>
      </c>
      <c r="D2664" s="562">
        <v>3</v>
      </c>
      <c r="E2664" s="562">
        <v>2</v>
      </c>
      <c r="F2664" s="562" t="s">
        <v>184</v>
      </c>
      <c r="G2664" s="562" t="s">
        <v>190</v>
      </c>
      <c r="H2664" s="562" t="s">
        <v>191</v>
      </c>
    </row>
    <row r="2665" spans="1:8" x14ac:dyDescent="0.2">
      <c r="A2665" s="562" t="s">
        <v>276</v>
      </c>
      <c r="B2665" s="562" t="s">
        <v>1792</v>
      </c>
      <c r="C2665" s="562" t="s">
        <v>773</v>
      </c>
      <c r="D2665" s="562">
        <v>3</v>
      </c>
      <c r="E2665" s="562">
        <v>3</v>
      </c>
      <c r="F2665" s="562" t="s">
        <v>345</v>
      </c>
      <c r="G2665" s="562" t="s">
        <v>191</v>
      </c>
      <c r="H2665" s="562" t="s">
        <v>191</v>
      </c>
    </row>
    <row r="2666" spans="1:8" x14ac:dyDescent="0.2">
      <c r="A2666" s="562" t="s">
        <v>276</v>
      </c>
      <c r="B2666" s="562" t="s">
        <v>1792</v>
      </c>
      <c r="C2666" s="562" t="s">
        <v>774</v>
      </c>
      <c r="D2666" s="562">
        <v>3</v>
      </c>
      <c r="E2666" s="562">
        <v>2</v>
      </c>
      <c r="F2666" s="562" t="s">
        <v>345</v>
      </c>
      <c r="G2666" s="562" t="s">
        <v>191</v>
      </c>
      <c r="H2666" s="562" t="s">
        <v>191</v>
      </c>
    </row>
    <row r="2667" spans="1:8" x14ac:dyDescent="0.2">
      <c r="A2667" s="562" t="s">
        <v>276</v>
      </c>
      <c r="B2667" s="562" t="s">
        <v>1792</v>
      </c>
      <c r="C2667" s="562" t="s">
        <v>263</v>
      </c>
      <c r="D2667" s="562">
        <v>3</v>
      </c>
      <c r="E2667" s="562">
        <v>3</v>
      </c>
      <c r="F2667" s="562" t="s">
        <v>184</v>
      </c>
      <c r="G2667" s="562" t="s">
        <v>190</v>
      </c>
      <c r="H2667" s="562" t="s">
        <v>191</v>
      </c>
    </row>
    <row r="2668" spans="1:8" x14ac:dyDescent="0.2">
      <c r="A2668" s="562" t="s">
        <v>276</v>
      </c>
      <c r="B2668" s="562" t="s">
        <v>1792</v>
      </c>
      <c r="C2668" s="562" t="s">
        <v>1879</v>
      </c>
      <c r="D2668" s="562">
        <v>2</v>
      </c>
      <c r="E2668" s="562">
        <v>4</v>
      </c>
      <c r="F2668" s="562" t="s">
        <v>345</v>
      </c>
      <c r="G2668" s="562" t="s">
        <v>191</v>
      </c>
      <c r="H2668" s="562" t="s">
        <v>191</v>
      </c>
    </row>
    <row r="2669" spans="1:8" x14ac:dyDescent="0.2">
      <c r="A2669" s="562" t="s">
        <v>276</v>
      </c>
      <c r="B2669" s="562" t="s">
        <v>1792</v>
      </c>
      <c r="C2669" s="562" t="s">
        <v>1880</v>
      </c>
      <c r="D2669" s="562">
        <v>3</v>
      </c>
      <c r="E2669" s="562">
        <v>3</v>
      </c>
      <c r="F2669" s="562" t="s">
        <v>184</v>
      </c>
      <c r="G2669" s="562" t="s">
        <v>190</v>
      </c>
      <c r="H2669" s="562" t="s">
        <v>191</v>
      </c>
    </row>
    <row r="2670" spans="1:8" x14ac:dyDescent="0.2">
      <c r="A2670" s="562" t="s">
        <v>276</v>
      </c>
      <c r="B2670" s="562" t="s">
        <v>1792</v>
      </c>
      <c r="C2670" s="562" t="s">
        <v>1881</v>
      </c>
      <c r="D2670" s="562">
        <v>3</v>
      </c>
      <c r="E2670" s="562">
        <v>2</v>
      </c>
      <c r="F2670" s="562" t="s">
        <v>184</v>
      </c>
      <c r="G2670" s="562" t="s">
        <v>190</v>
      </c>
      <c r="H2670" s="562" t="s">
        <v>191</v>
      </c>
    </row>
    <row r="2671" spans="1:8" x14ac:dyDescent="0.2">
      <c r="A2671" s="562" t="s">
        <v>276</v>
      </c>
      <c r="B2671" s="562" t="s">
        <v>1792</v>
      </c>
      <c r="C2671" s="562" t="s">
        <v>269</v>
      </c>
      <c r="D2671" s="562">
        <v>3</v>
      </c>
      <c r="E2671" s="562">
        <v>2</v>
      </c>
      <c r="F2671" s="562" t="s">
        <v>184</v>
      </c>
      <c r="G2671" s="562" t="s">
        <v>190</v>
      </c>
      <c r="H2671" s="562" t="s">
        <v>191</v>
      </c>
    </row>
    <row r="2672" spans="1:8" x14ac:dyDescent="0.2">
      <c r="A2672" s="562" t="s">
        <v>276</v>
      </c>
      <c r="B2672" s="562" t="s">
        <v>1792</v>
      </c>
      <c r="C2672" s="562" t="s">
        <v>573</v>
      </c>
      <c r="D2672" s="562">
        <v>3</v>
      </c>
      <c r="E2672" s="562">
        <v>2</v>
      </c>
      <c r="F2672" s="562" t="s">
        <v>184</v>
      </c>
      <c r="G2672" s="562" t="s">
        <v>190</v>
      </c>
      <c r="H2672" s="562" t="s">
        <v>191</v>
      </c>
    </row>
    <row r="2673" spans="1:8" x14ac:dyDescent="0.2">
      <c r="A2673" s="562" t="s">
        <v>276</v>
      </c>
      <c r="B2673" s="562" t="s">
        <v>1792</v>
      </c>
      <c r="C2673" s="562" t="s">
        <v>575</v>
      </c>
      <c r="D2673" s="562">
        <v>3</v>
      </c>
      <c r="E2673" s="562">
        <v>2</v>
      </c>
      <c r="F2673" s="562" t="s">
        <v>184</v>
      </c>
      <c r="G2673" s="562" t="s">
        <v>190</v>
      </c>
      <c r="H2673" s="562" t="s">
        <v>191</v>
      </c>
    </row>
    <row r="2674" spans="1:8" x14ac:dyDescent="0.2">
      <c r="A2674" s="562" t="s">
        <v>276</v>
      </c>
      <c r="B2674" s="562" t="s">
        <v>1792</v>
      </c>
      <c r="C2674" s="562" t="s">
        <v>271</v>
      </c>
      <c r="D2674" s="562">
        <v>3</v>
      </c>
      <c r="E2674" s="562">
        <v>2</v>
      </c>
      <c r="F2674" s="562" t="s">
        <v>184</v>
      </c>
      <c r="G2674" s="562" t="s">
        <v>190</v>
      </c>
      <c r="H2674" s="562" t="s">
        <v>191</v>
      </c>
    </row>
    <row r="2675" spans="1:8" x14ac:dyDescent="0.2">
      <c r="A2675" s="562" t="s">
        <v>276</v>
      </c>
      <c r="B2675" s="562" t="s">
        <v>1792</v>
      </c>
      <c r="C2675" s="562" t="s">
        <v>1882</v>
      </c>
      <c r="D2675" s="562">
        <v>2</v>
      </c>
      <c r="E2675" s="562">
        <v>4</v>
      </c>
      <c r="F2675" s="562" t="s">
        <v>345</v>
      </c>
      <c r="G2675" s="562" t="s">
        <v>191</v>
      </c>
      <c r="H2675" s="562" t="s">
        <v>191</v>
      </c>
    </row>
    <row r="2676" spans="1:8" x14ac:dyDescent="0.2">
      <c r="A2676" s="562" t="s">
        <v>276</v>
      </c>
      <c r="B2676" s="562" t="s">
        <v>1792</v>
      </c>
      <c r="C2676" s="562" t="s">
        <v>1883</v>
      </c>
      <c r="D2676" s="562">
        <v>3</v>
      </c>
      <c r="E2676" s="562">
        <v>2</v>
      </c>
      <c r="F2676" s="562" t="s">
        <v>184</v>
      </c>
      <c r="G2676" s="562" t="s">
        <v>190</v>
      </c>
      <c r="H2676" s="562" t="s">
        <v>191</v>
      </c>
    </row>
    <row r="2677" spans="1:8" x14ac:dyDescent="0.2">
      <c r="A2677" s="562" t="s">
        <v>276</v>
      </c>
      <c r="B2677" s="562" t="s">
        <v>1792</v>
      </c>
      <c r="C2677" s="562" t="s">
        <v>1884</v>
      </c>
      <c r="D2677" s="562">
        <v>2</v>
      </c>
      <c r="E2677" s="562">
        <v>3</v>
      </c>
      <c r="F2677" s="562" t="s">
        <v>184</v>
      </c>
      <c r="G2677" s="562" t="s">
        <v>190</v>
      </c>
      <c r="H2677" s="562" t="s">
        <v>191</v>
      </c>
    </row>
    <row r="2678" spans="1:8" x14ac:dyDescent="0.2">
      <c r="A2678" s="562" t="s">
        <v>276</v>
      </c>
      <c r="B2678" s="562" t="s">
        <v>1792</v>
      </c>
      <c r="C2678" s="562" t="s">
        <v>1885</v>
      </c>
      <c r="D2678" s="562">
        <v>3</v>
      </c>
      <c r="E2678" s="562">
        <v>3</v>
      </c>
      <c r="F2678" s="562" t="s">
        <v>345</v>
      </c>
      <c r="G2678" s="562" t="s">
        <v>191</v>
      </c>
      <c r="H2678" s="562" t="s">
        <v>191</v>
      </c>
    </row>
    <row r="2679" spans="1:8" x14ac:dyDescent="0.2">
      <c r="A2679" s="562" t="s">
        <v>276</v>
      </c>
      <c r="B2679" s="562" t="s">
        <v>1792</v>
      </c>
      <c r="C2679" s="562" t="s">
        <v>1886</v>
      </c>
      <c r="D2679" s="562">
        <v>2</v>
      </c>
      <c r="E2679" s="562">
        <v>3</v>
      </c>
      <c r="F2679" s="562" t="s">
        <v>345</v>
      </c>
      <c r="G2679" s="562" t="s">
        <v>191</v>
      </c>
      <c r="H2679" s="562" t="s">
        <v>191</v>
      </c>
    </row>
    <row r="2680" spans="1:8" x14ac:dyDescent="0.2">
      <c r="A2680" s="562" t="s">
        <v>276</v>
      </c>
      <c r="B2680" s="562" t="s">
        <v>1792</v>
      </c>
      <c r="C2680" s="562" t="s">
        <v>1887</v>
      </c>
      <c r="D2680" s="562">
        <v>2</v>
      </c>
      <c r="E2680" s="562">
        <v>3</v>
      </c>
      <c r="F2680" s="562" t="s">
        <v>345</v>
      </c>
      <c r="G2680" s="562" t="s">
        <v>191</v>
      </c>
      <c r="H2680" s="562" t="s">
        <v>191</v>
      </c>
    </row>
    <row r="2681" spans="1:8" x14ac:dyDescent="0.2">
      <c r="A2681" s="562" t="s">
        <v>276</v>
      </c>
      <c r="B2681" s="562" t="s">
        <v>1792</v>
      </c>
      <c r="C2681" s="562" t="s">
        <v>277</v>
      </c>
      <c r="D2681" s="562">
        <v>3</v>
      </c>
      <c r="E2681" s="562">
        <v>2</v>
      </c>
      <c r="F2681" s="562" t="s">
        <v>184</v>
      </c>
      <c r="G2681" s="562" t="s">
        <v>190</v>
      </c>
      <c r="H2681" s="562" t="s">
        <v>191</v>
      </c>
    </row>
    <row r="2682" spans="1:8" x14ac:dyDescent="0.2">
      <c r="A2682" s="562" t="s">
        <v>276</v>
      </c>
      <c r="B2682" s="562" t="s">
        <v>1792</v>
      </c>
      <c r="C2682" s="562" t="s">
        <v>281</v>
      </c>
      <c r="D2682" s="562">
        <v>3</v>
      </c>
      <c r="E2682" s="562">
        <v>3</v>
      </c>
      <c r="F2682" s="562" t="s">
        <v>184</v>
      </c>
      <c r="G2682" s="562" t="s">
        <v>190</v>
      </c>
      <c r="H2682" s="562" t="s">
        <v>191</v>
      </c>
    </row>
    <row r="2683" spans="1:8" x14ac:dyDescent="0.2">
      <c r="A2683" s="562" t="s">
        <v>276</v>
      </c>
      <c r="B2683" s="562" t="s">
        <v>1792</v>
      </c>
      <c r="C2683" s="562" t="s">
        <v>577</v>
      </c>
      <c r="D2683" s="562">
        <v>3</v>
      </c>
      <c r="E2683" s="562">
        <v>3</v>
      </c>
      <c r="F2683" s="562" t="s">
        <v>345</v>
      </c>
      <c r="G2683" s="562" t="s">
        <v>191</v>
      </c>
      <c r="H2683" s="562" t="s">
        <v>191</v>
      </c>
    </row>
    <row r="2684" spans="1:8" x14ac:dyDescent="0.2">
      <c r="A2684" s="562" t="s">
        <v>276</v>
      </c>
      <c r="B2684" s="562" t="s">
        <v>1792</v>
      </c>
      <c r="C2684" s="562" t="s">
        <v>777</v>
      </c>
      <c r="D2684" s="562">
        <v>2</v>
      </c>
      <c r="E2684" s="562">
        <v>3</v>
      </c>
      <c r="F2684" s="562" t="s">
        <v>345</v>
      </c>
      <c r="G2684" s="562" t="s">
        <v>191</v>
      </c>
      <c r="H2684" s="562" t="s">
        <v>191</v>
      </c>
    </row>
    <row r="2685" spans="1:8" x14ac:dyDescent="0.2">
      <c r="A2685" s="562" t="s">
        <v>276</v>
      </c>
      <c r="B2685" s="562" t="s">
        <v>1792</v>
      </c>
      <c r="C2685" s="562" t="s">
        <v>1888</v>
      </c>
      <c r="D2685" s="562">
        <v>3</v>
      </c>
      <c r="E2685" s="562">
        <v>2</v>
      </c>
      <c r="F2685" s="562" t="s">
        <v>184</v>
      </c>
      <c r="G2685" s="562" t="s">
        <v>190</v>
      </c>
      <c r="H2685" s="562" t="s">
        <v>191</v>
      </c>
    </row>
    <row r="2686" spans="1:8" x14ac:dyDescent="0.2">
      <c r="A2686" s="562" t="s">
        <v>276</v>
      </c>
      <c r="B2686" s="562" t="s">
        <v>1792</v>
      </c>
      <c r="C2686" s="562" t="s">
        <v>1889</v>
      </c>
      <c r="D2686" s="562">
        <v>3</v>
      </c>
      <c r="E2686" s="562">
        <v>2</v>
      </c>
      <c r="F2686" s="562" t="s">
        <v>345</v>
      </c>
      <c r="G2686" s="562" t="s">
        <v>191</v>
      </c>
      <c r="H2686" s="562" t="s">
        <v>191</v>
      </c>
    </row>
    <row r="2687" spans="1:8" x14ac:dyDescent="0.2">
      <c r="A2687" s="562" t="s">
        <v>276</v>
      </c>
      <c r="B2687" s="562" t="s">
        <v>1792</v>
      </c>
      <c r="C2687" s="562" t="s">
        <v>1890</v>
      </c>
      <c r="D2687" s="562">
        <v>3</v>
      </c>
      <c r="E2687" s="562">
        <v>3</v>
      </c>
      <c r="F2687" s="562" t="s">
        <v>345</v>
      </c>
      <c r="G2687" s="562" t="s">
        <v>191</v>
      </c>
      <c r="H2687" s="562" t="s">
        <v>191</v>
      </c>
    </row>
    <row r="2688" spans="1:8" x14ac:dyDescent="0.2">
      <c r="A2688" s="562" t="s">
        <v>276</v>
      </c>
      <c r="B2688" s="562" t="s">
        <v>1792</v>
      </c>
      <c r="C2688" s="562" t="s">
        <v>1891</v>
      </c>
      <c r="D2688" s="562">
        <v>3</v>
      </c>
      <c r="E2688" s="562">
        <v>2</v>
      </c>
      <c r="F2688" s="562" t="s">
        <v>184</v>
      </c>
      <c r="G2688" s="562" t="s">
        <v>190</v>
      </c>
      <c r="H2688" s="562" t="s">
        <v>191</v>
      </c>
    </row>
    <row r="2689" spans="1:8" x14ac:dyDescent="0.2">
      <c r="A2689" s="562" t="s">
        <v>276</v>
      </c>
      <c r="B2689" s="562" t="s">
        <v>1792</v>
      </c>
      <c r="C2689" s="562" t="s">
        <v>1892</v>
      </c>
      <c r="D2689" s="562">
        <v>3</v>
      </c>
      <c r="E2689" s="562">
        <v>2</v>
      </c>
      <c r="F2689" s="562" t="s">
        <v>184</v>
      </c>
      <c r="G2689" s="562" t="s">
        <v>190</v>
      </c>
      <c r="H2689" s="562" t="s">
        <v>191</v>
      </c>
    </row>
    <row r="2690" spans="1:8" x14ac:dyDescent="0.2">
      <c r="A2690" s="562" t="s">
        <v>276</v>
      </c>
      <c r="B2690" s="562" t="s">
        <v>1792</v>
      </c>
      <c r="C2690" s="562" t="s">
        <v>1587</v>
      </c>
      <c r="D2690" s="562">
        <v>3</v>
      </c>
      <c r="E2690" s="562">
        <v>2</v>
      </c>
      <c r="F2690" s="562" t="s">
        <v>345</v>
      </c>
      <c r="G2690" s="562" t="s">
        <v>191</v>
      </c>
      <c r="H2690" s="562" t="s">
        <v>191</v>
      </c>
    </row>
    <row r="2691" spans="1:8" x14ac:dyDescent="0.2">
      <c r="A2691" s="562" t="s">
        <v>276</v>
      </c>
      <c r="B2691" s="562" t="s">
        <v>1792</v>
      </c>
      <c r="C2691" s="562" t="s">
        <v>782</v>
      </c>
      <c r="D2691" s="562">
        <v>3</v>
      </c>
      <c r="E2691" s="562">
        <v>3</v>
      </c>
      <c r="F2691" s="562" t="s">
        <v>345</v>
      </c>
      <c r="G2691" s="562" t="s">
        <v>191</v>
      </c>
      <c r="H2691" s="562" t="s">
        <v>191</v>
      </c>
    </row>
    <row r="2692" spans="1:8" x14ac:dyDescent="0.2">
      <c r="A2692" s="562" t="s">
        <v>276</v>
      </c>
      <c r="B2692" s="562" t="s">
        <v>1792</v>
      </c>
      <c r="C2692" s="562" t="s">
        <v>1143</v>
      </c>
      <c r="D2692" s="562">
        <v>3</v>
      </c>
      <c r="E2692" s="562">
        <v>3</v>
      </c>
      <c r="F2692" s="562" t="s">
        <v>345</v>
      </c>
      <c r="G2692" s="562" t="s">
        <v>191</v>
      </c>
      <c r="H2692" s="562" t="s">
        <v>191</v>
      </c>
    </row>
    <row r="2693" spans="1:8" x14ac:dyDescent="0.2">
      <c r="A2693" s="562" t="s">
        <v>276</v>
      </c>
      <c r="B2693" s="562" t="s">
        <v>1792</v>
      </c>
      <c r="C2693" s="562" t="s">
        <v>1893</v>
      </c>
      <c r="D2693" s="562">
        <v>3</v>
      </c>
      <c r="E2693" s="562">
        <v>2</v>
      </c>
      <c r="F2693" s="562" t="s">
        <v>184</v>
      </c>
      <c r="G2693" s="562" t="s">
        <v>190</v>
      </c>
      <c r="H2693" s="562" t="s">
        <v>191</v>
      </c>
    </row>
    <row r="2694" spans="1:8" x14ac:dyDescent="0.2">
      <c r="A2694" s="562" t="s">
        <v>276</v>
      </c>
      <c r="B2694" s="562" t="s">
        <v>1792</v>
      </c>
      <c r="C2694" s="562" t="s">
        <v>871</v>
      </c>
      <c r="D2694" s="562">
        <v>3</v>
      </c>
      <c r="E2694" s="562">
        <v>3</v>
      </c>
      <c r="F2694" s="562" t="s">
        <v>184</v>
      </c>
      <c r="G2694" s="562" t="s">
        <v>190</v>
      </c>
      <c r="H2694" s="562" t="s">
        <v>191</v>
      </c>
    </row>
    <row r="2695" spans="1:8" x14ac:dyDescent="0.2">
      <c r="A2695" s="562" t="s">
        <v>276</v>
      </c>
      <c r="B2695" s="562" t="s">
        <v>1792</v>
      </c>
      <c r="C2695" s="562" t="s">
        <v>667</v>
      </c>
      <c r="D2695" s="562">
        <v>3</v>
      </c>
      <c r="E2695" s="562">
        <v>3</v>
      </c>
      <c r="F2695" s="562" t="s">
        <v>345</v>
      </c>
      <c r="G2695" s="562" t="s">
        <v>191</v>
      </c>
      <c r="H2695" s="562" t="s">
        <v>191</v>
      </c>
    </row>
    <row r="2696" spans="1:8" x14ac:dyDescent="0.2">
      <c r="A2696" s="562" t="s">
        <v>276</v>
      </c>
      <c r="B2696" s="562" t="s">
        <v>1792</v>
      </c>
      <c r="C2696" s="562" t="s">
        <v>1894</v>
      </c>
      <c r="D2696" s="562">
        <v>3</v>
      </c>
      <c r="E2696" s="562">
        <v>3</v>
      </c>
      <c r="F2696" s="562" t="s">
        <v>184</v>
      </c>
      <c r="G2696" s="562" t="s">
        <v>191</v>
      </c>
      <c r="H2696" s="562" t="s">
        <v>191</v>
      </c>
    </row>
    <row r="2697" spans="1:8" x14ac:dyDescent="0.2">
      <c r="A2697" s="562" t="s">
        <v>276</v>
      </c>
      <c r="B2697" s="562" t="s">
        <v>1792</v>
      </c>
      <c r="C2697" s="562" t="s">
        <v>289</v>
      </c>
      <c r="D2697" s="562">
        <v>3</v>
      </c>
      <c r="E2697" s="562">
        <v>2</v>
      </c>
      <c r="F2697" s="562" t="s">
        <v>184</v>
      </c>
      <c r="G2697" s="562" t="s">
        <v>190</v>
      </c>
      <c r="H2697" s="562" t="s">
        <v>191</v>
      </c>
    </row>
    <row r="2698" spans="1:8" x14ac:dyDescent="0.2">
      <c r="A2698" s="562" t="s">
        <v>276</v>
      </c>
      <c r="B2698" s="562" t="s">
        <v>1792</v>
      </c>
      <c r="C2698" s="562" t="s">
        <v>1509</v>
      </c>
      <c r="D2698" s="562">
        <v>2</v>
      </c>
      <c r="E2698" s="562">
        <v>4</v>
      </c>
      <c r="F2698" s="562" t="s">
        <v>345</v>
      </c>
      <c r="G2698" s="562" t="s">
        <v>191</v>
      </c>
      <c r="H2698" s="562" t="s">
        <v>191</v>
      </c>
    </row>
    <row r="2699" spans="1:8" x14ac:dyDescent="0.2">
      <c r="A2699" s="562" t="s">
        <v>276</v>
      </c>
      <c r="B2699" s="562" t="s">
        <v>1792</v>
      </c>
      <c r="C2699" s="562" t="s">
        <v>924</v>
      </c>
      <c r="D2699" s="562">
        <v>3</v>
      </c>
      <c r="E2699" s="562">
        <v>3</v>
      </c>
      <c r="F2699" s="562" t="s">
        <v>184</v>
      </c>
      <c r="G2699" s="562" t="s">
        <v>190</v>
      </c>
      <c r="H2699" s="562" t="s">
        <v>191</v>
      </c>
    </row>
    <row r="2700" spans="1:8" x14ac:dyDescent="0.2">
      <c r="A2700" s="562" t="s">
        <v>276</v>
      </c>
      <c r="B2700" s="562" t="s">
        <v>1792</v>
      </c>
      <c r="C2700" s="562" t="s">
        <v>1895</v>
      </c>
      <c r="D2700" s="562">
        <v>3</v>
      </c>
      <c r="E2700" s="562">
        <v>3</v>
      </c>
      <c r="F2700" s="562" t="s">
        <v>345</v>
      </c>
      <c r="G2700" s="562" t="s">
        <v>191</v>
      </c>
      <c r="H2700" s="562" t="s">
        <v>191</v>
      </c>
    </row>
    <row r="2701" spans="1:8" x14ac:dyDescent="0.2">
      <c r="A2701" s="562" t="s">
        <v>276</v>
      </c>
      <c r="B2701" s="562" t="s">
        <v>1792</v>
      </c>
      <c r="C2701" s="562" t="s">
        <v>1896</v>
      </c>
      <c r="D2701" s="562">
        <v>3</v>
      </c>
      <c r="E2701" s="562">
        <v>3</v>
      </c>
      <c r="F2701" s="562" t="s">
        <v>184</v>
      </c>
      <c r="G2701" s="562" t="s">
        <v>190</v>
      </c>
      <c r="H2701" s="562" t="s">
        <v>191</v>
      </c>
    </row>
    <row r="2702" spans="1:8" x14ac:dyDescent="0.2">
      <c r="A2702" s="562" t="s">
        <v>276</v>
      </c>
      <c r="B2702" s="562" t="s">
        <v>1792</v>
      </c>
      <c r="C2702" s="562" t="s">
        <v>1897</v>
      </c>
      <c r="D2702" s="562">
        <v>3</v>
      </c>
      <c r="E2702" s="562">
        <v>3</v>
      </c>
      <c r="F2702" s="562" t="s">
        <v>184</v>
      </c>
      <c r="G2702" s="562" t="s">
        <v>190</v>
      </c>
      <c r="H2702" s="562" t="s">
        <v>191</v>
      </c>
    </row>
    <row r="2703" spans="1:8" x14ac:dyDescent="0.2">
      <c r="A2703" s="562" t="s">
        <v>276</v>
      </c>
      <c r="B2703" s="562" t="s">
        <v>1792</v>
      </c>
      <c r="C2703" s="562" t="s">
        <v>397</v>
      </c>
      <c r="D2703" s="562">
        <v>3</v>
      </c>
      <c r="E2703" s="562">
        <v>2</v>
      </c>
      <c r="F2703" s="562" t="s">
        <v>184</v>
      </c>
      <c r="G2703" s="562" t="s">
        <v>190</v>
      </c>
      <c r="H2703" s="562" t="s">
        <v>191</v>
      </c>
    </row>
    <row r="2704" spans="1:8" x14ac:dyDescent="0.2">
      <c r="A2704" s="562" t="s">
        <v>276</v>
      </c>
      <c r="B2704" s="562" t="s">
        <v>1792</v>
      </c>
      <c r="C2704" s="562" t="s">
        <v>1898</v>
      </c>
      <c r="D2704" s="562">
        <v>3</v>
      </c>
      <c r="E2704" s="562">
        <v>3</v>
      </c>
      <c r="F2704" s="562" t="s">
        <v>345</v>
      </c>
      <c r="G2704" s="562" t="s">
        <v>191</v>
      </c>
      <c r="H2704" s="562" t="s">
        <v>191</v>
      </c>
    </row>
    <row r="2705" spans="1:8" x14ac:dyDescent="0.2">
      <c r="A2705" s="562" t="s">
        <v>276</v>
      </c>
      <c r="B2705" s="562" t="s">
        <v>1792</v>
      </c>
      <c r="C2705" s="562" t="s">
        <v>1899</v>
      </c>
      <c r="D2705" s="562">
        <v>3</v>
      </c>
      <c r="E2705" s="562">
        <v>2</v>
      </c>
      <c r="F2705" s="562" t="s">
        <v>184</v>
      </c>
      <c r="G2705" s="562" t="s">
        <v>190</v>
      </c>
      <c r="H2705" s="562" t="s">
        <v>191</v>
      </c>
    </row>
    <row r="2706" spans="1:8" x14ac:dyDescent="0.2">
      <c r="A2706" s="562" t="s">
        <v>276</v>
      </c>
      <c r="B2706" s="562" t="s">
        <v>1792</v>
      </c>
      <c r="C2706" s="562" t="s">
        <v>1900</v>
      </c>
      <c r="D2706" s="562">
        <v>2</v>
      </c>
      <c r="E2706" s="562">
        <v>4</v>
      </c>
      <c r="F2706" s="562" t="s">
        <v>345</v>
      </c>
      <c r="G2706" s="562" t="s">
        <v>191</v>
      </c>
      <c r="H2706" s="562" t="s">
        <v>191</v>
      </c>
    </row>
    <row r="2707" spans="1:8" x14ac:dyDescent="0.2">
      <c r="A2707" s="562" t="s">
        <v>276</v>
      </c>
      <c r="B2707" s="562" t="s">
        <v>1792</v>
      </c>
      <c r="C2707" s="562" t="s">
        <v>1002</v>
      </c>
      <c r="D2707" s="562">
        <v>2</v>
      </c>
      <c r="E2707" s="562">
        <v>4</v>
      </c>
      <c r="F2707" s="562" t="s">
        <v>345</v>
      </c>
      <c r="G2707" s="562" t="s">
        <v>191</v>
      </c>
      <c r="H2707" s="562" t="s">
        <v>191</v>
      </c>
    </row>
    <row r="2708" spans="1:8" x14ac:dyDescent="0.2">
      <c r="A2708" s="562" t="s">
        <v>276</v>
      </c>
      <c r="B2708" s="562" t="s">
        <v>1792</v>
      </c>
      <c r="C2708" s="562" t="s">
        <v>448</v>
      </c>
      <c r="D2708" s="562">
        <v>3</v>
      </c>
      <c r="E2708" s="562">
        <v>2</v>
      </c>
      <c r="F2708" s="562" t="s">
        <v>184</v>
      </c>
      <c r="G2708" s="562" t="s">
        <v>190</v>
      </c>
      <c r="H2708" s="562" t="s">
        <v>191</v>
      </c>
    </row>
    <row r="2709" spans="1:8" x14ac:dyDescent="0.2">
      <c r="A2709" s="562" t="s">
        <v>276</v>
      </c>
      <c r="B2709" s="562" t="s">
        <v>1792</v>
      </c>
      <c r="C2709" s="562" t="s">
        <v>1901</v>
      </c>
      <c r="D2709" s="562">
        <v>3</v>
      </c>
      <c r="E2709" s="562">
        <v>3</v>
      </c>
      <c r="F2709" s="562" t="s">
        <v>184</v>
      </c>
      <c r="G2709" s="562" t="s">
        <v>190</v>
      </c>
      <c r="H2709" s="562" t="s">
        <v>191</v>
      </c>
    </row>
    <row r="2710" spans="1:8" x14ac:dyDescent="0.2">
      <c r="A2710" s="562" t="s">
        <v>276</v>
      </c>
      <c r="B2710" s="562" t="s">
        <v>1792</v>
      </c>
      <c r="C2710" s="562" t="s">
        <v>1248</v>
      </c>
      <c r="D2710" s="562">
        <v>3</v>
      </c>
      <c r="E2710" s="562">
        <v>3</v>
      </c>
      <c r="F2710" s="562" t="s">
        <v>184</v>
      </c>
      <c r="G2710" s="562" t="s">
        <v>190</v>
      </c>
      <c r="H2710" s="562" t="s">
        <v>191</v>
      </c>
    </row>
    <row r="2711" spans="1:8" x14ac:dyDescent="0.2">
      <c r="A2711" s="562" t="s">
        <v>276</v>
      </c>
      <c r="B2711" s="562" t="s">
        <v>1792</v>
      </c>
      <c r="C2711" s="562" t="s">
        <v>1902</v>
      </c>
      <c r="D2711" s="562">
        <v>3</v>
      </c>
      <c r="E2711" s="562">
        <v>3</v>
      </c>
      <c r="F2711" s="562" t="s">
        <v>184</v>
      </c>
      <c r="G2711" s="562" t="s">
        <v>190</v>
      </c>
      <c r="H2711" s="562" t="s">
        <v>191</v>
      </c>
    </row>
    <row r="2712" spans="1:8" x14ac:dyDescent="0.2">
      <c r="A2712" s="562" t="s">
        <v>276</v>
      </c>
      <c r="B2712" s="562" t="s">
        <v>1792</v>
      </c>
      <c r="C2712" s="562" t="s">
        <v>1903</v>
      </c>
      <c r="D2712" s="562">
        <v>2</v>
      </c>
      <c r="E2712" s="562">
        <v>4</v>
      </c>
      <c r="F2712" s="562" t="s">
        <v>345</v>
      </c>
      <c r="G2712" s="562" t="s">
        <v>191</v>
      </c>
      <c r="H2712" s="562" t="s">
        <v>191</v>
      </c>
    </row>
    <row r="2713" spans="1:8" x14ac:dyDescent="0.2">
      <c r="A2713" s="562" t="s">
        <v>276</v>
      </c>
      <c r="B2713" s="562" t="s">
        <v>1792</v>
      </c>
      <c r="C2713" s="562" t="s">
        <v>1904</v>
      </c>
      <c r="D2713" s="562">
        <v>3</v>
      </c>
      <c r="E2713" s="562">
        <v>3</v>
      </c>
      <c r="F2713" s="562" t="s">
        <v>345</v>
      </c>
      <c r="G2713" s="562" t="s">
        <v>191</v>
      </c>
      <c r="H2713" s="562" t="s">
        <v>191</v>
      </c>
    </row>
    <row r="2714" spans="1:8" x14ac:dyDescent="0.2">
      <c r="A2714" s="562" t="s">
        <v>276</v>
      </c>
      <c r="B2714" s="562" t="s">
        <v>1792</v>
      </c>
      <c r="C2714" s="562" t="s">
        <v>401</v>
      </c>
      <c r="D2714" s="562">
        <v>3</v>
      </c>
      <c r="E2714" s="562">
        <v>2</v>
      </c>
      <c r="F2714" s="562" t="s">
        <v>184</v>
      </c>
      <c r="G2714" s="562" t="s">
        <v>190</v>
      </c>
      <c r="H2714" s="562" t="s">
        <v>191</v>
      </c>
    </row>
    <row r="2715" spans="1:8" x14ac:dyDescent="0.2">
      <c r="A2715" s="562" t="s">
        <v>276</v>
      </c>
      <c r="B2715" s="562" t="s">
        <v>1792</v>
      </c>
      <c r="C2715" s="562" t="s">
        <v>1689</v>
      </c>
      <c r="D2715" s="562">
        <v>2</v>
      </c>
      <c r="E2715" s="562">
        <v>4</v>
      </c>
      <c r="F2715" s="562" t="s">
        <v>345</v>
      </c>
      <c r="G2715" s="562" t="s">
        <v>191</v>
      </c>
      <c r="H2715" s="562" t="s">
        <v>191</v>
      </c>
    </row>
    <row r="2716" spans="1:8" x14ac:dyDescent="0.2">
      <c r="A2716" s="562" t="s">
        <v>276</v>
      </c>
      <c r="B2716" s="562" t="s">
        <v>1792</v>
      </c>
      <c r="C2716" s="562" t="s">
        <v>1905</v>
      </c>
      <c r="D2716" s="562">
        <v>2</v>
      </c>
      <c r="E2716" s="562">
        <v>3</v>
      </c>
      <c r="F2716" s="562" t="s">
        <v>345</v>
      </c>
      <c r="G2716" s="562" t="s">
        <v>191</v>
      </c>
      <c r="H2716" s="562" t="s">
        <v>191</v>
      </c>
    </row>
    <row r="2717" spans="1:8" x14ac:dyDescent="0.2">
      <c r="A2717" s="562" t="s">
        <v>276</v>
      </c>
      <c r="B2717" s="562" t="s">
        <v>1792</v>
      </c>
      <c r="C2717" s="562" t="s">
        <v>1906</v>
      </c>
      <c r="D2717" s="562">
        <v>3</v>
      </c>
      <c r="E2717" s="562">
        <v>3</v>
      </c>
      <c r="F2717" s="562" t="s">
        <v>184</v>
      </c>
      <c r="G2717" s="562" t="s">
        <v>190</v>
      </c>
      <c r="H2717" s="562" t="s">
        <v>191</v>
      </c>
    </row>
    <row r="2718" spans="1:8" x14ac:dyDescent="0.2">
      <c r="A2718" s="562" t="s">
        <v>276</v>
      </c>
      <c r="B2718" s="562" t="s">
        <v>1792</v>
      </c>
      <c r="C2718" s="562" t="s">
        <v>1907</v>
      </c>
      <c r="D2718" s="562">
        <v>2</v>
      </c>
      <c r="E2718" s="562">
        <v>4</v>
      </c>
      <c r="F2718" s="562" t="s">
        <v>345</v>
      </c>
      <c r="G2718" s="562" t="s">
        <v>191</v>
      </c>
      <c r="H2718" s="562" t="s">
        <v>191</v>
      </c>
    </row>
    <row r="2719" spans="1:8" x14ac:dyDescent="0.2">
      <c r="A2719" s="562" t="s">
        <v>276</v>
      </c>
      <c r="B2719" s="562" t="s">
        <v>1792</v>
      </c>
      <c r="C2719" s="562" t="s">
        <v>1908</v>
      </c>
      <c r="D2719" s="562">
        <v>3</v>
      </c>
      <c r="E2719" s="562">
        <v>3</v>
      </c>
      <c r="F2719" s="562" t="s">
        <v>345</v>
      </c>
      <c r="G2719" s="562" t="s">
        <v>191</v>
      </c>
      <c r="H2719" s="562" t="s">
        <v>191</v>
      </c>
    </row>
    <row r="2720" spans="1:8" x14ac:dyDescent="0.2">
      <c r="A2720" s="562" t="s">
        <v>276</v>
      </c>
      <c r="B2720" s="562" t="s">
        <v>1792</v>
      </c>
      <c r="C2720" s="562" t="s">
        <v>1909</v>
      </c>
      <c r="D2720" s="562">
        <v>3</v>
      </c>
      <c r="E2720" s="562">
        <v>2</v>
      </c>
      <c r="F2720" s="562" t="s">
        <v>345</v>
      </c>
      <c r="G2720" s="562" t="s">
        <v>191</v>
      </c>
      <c r="H2720" s="562" t="s">
        <v>191</v>
      </c>
    </row>
    <row r="2721" spans="1:8" x14ac:dyDescent="0.2">
      <c r="A2721" s="562" t="s">
        <v>276</v>
      </c>
      <c r="B2721" s="562" t="s">
        <v>1792</v>
      </c>
      <c r="C2721" s="562" t="s">
        <v>1042</v>
      </c>
      <c r="D2721" s="562">
        <v>3</v>
      </c>
      <c r="E2721" s="562">
        <v>3</v>
      </c>
      <c r="F2721" s="562" t="s">
        <v>184</v>
      </c>
      <c r="G2721" s="562" t="s">
        <v>190</v>
      </c>
      <c r="H2721" s="562" t="s">
        <v>191</v>
      </c>
    </row>
    <row r="2722" spans="1:8" x14ac:dyDescent="0.2">
      <c r="A2722" s="562" t="s">
        <v>276</v>
      </c>
      <c r="B2722" s="562" t="s">
        <v>1792</v>
      </c>
      <c r="C2722" s="562" t="s">
        <v>1910</v>
      </c>
      <c r="D2722" s="562">
        <v>2</v>
      </c>
      <c r="E2722" s="562">
        <v>3</v>
      </c>
      <c r="F2722" s="562" t="s">
        <v>345</v>
      </c>
      <c r="G2722" s="562" t="s">
        <v>191</v>
      </c>
      <c r="H2722" s="562" t="s">
        <v>191</v>
      </c>
    </row>
    <row r="2723" spans="1:8" x14ac:dyDescent="0.2">
      <c r="A2723" s="562" t="s">
        <v>276</v>
      </c>
      <c r="B2723" s="562" t="s">
        <v>1792</v>
      </c>
      <c r="C2723" s="562" t="s">
        <v>1911</v>
      </c>
      <c r="D2723" s="562">
        <v>3</v>
      </c>
      <c r="E2723" s="562">
        <v>2</v>
      </c>
      <c r="F2723" s="562" t="s">
        <v>184</v>
      </c>
      <c r="G2723" s="562" t="s">
        <v>190</v>
      </c>
      <c r="H2723" s="562" t="s">
        <v>191</v>
      </c>
    </row>
    <row r="2724" spans="1:8" x14ac:dyDescent="0.2">
      <c r="A2724" s="562" t="s">
        <v>276</v>
      </c>
      <c r="B2724" s="562" t="s">
        <v>1792</v>
      </c>
      <c r="C2724" s="562" t="s">
        <v>1756</v>
      </c>
      <c r="D2724" s="562">
        <v>2</v>
      </c>
      <c r="E2724" s="562">
        <v>4</v>
      </c>
      <c r="F2724" s="562" t="s">
        <v>345</v>
      </c>
      <c r="G2724" s="562" t="s">
        <v>191</v>
      </c>
      <c r="H2724" s="562" t="s">
        <v>191</v>
      </c>
    </row>
    <row r="2725" spans="1:8" x14ac:dyDescent="0.2">
      <c r="A2725" s="562" t="s">
        <v>276</v>
      </c>
      <c r="B2725" s="562" t="s">
        <v>1792</v>
      </c>
      <c r="C2725" s="562" t="s">
        <v>1006</v>
      </c>
      <c r="D2725" s="562">
        <v>3</v>
      </c>
      <c r="E2725" s="562">
        <v>2</v>
      </c>
      <c r="F2725" s="562" t="s">
        <v>184</v>
      </c>
      <c r="G2725" s="562" t="s">
        <v>190</v>
      </c>
      <c r="H2725" s="562" t="s">
        <v>191</v>
      </c>
    </row>
    <row r="2726" spans="1:8" x14ac:dyDescent="0.2">
      <c r="A2726" s="562" t="s">
        <v>276</v>
      </c>
      <c r="B2726" s="562" t="s">
        <v>1792</v>
      </c>
      <c r="C2726" s="562" t="s">
        <v>1912</v>
      </c>
      <c r="D2726" s="562">
        <v>3</v>
      </c>
      <c r="E2726" s="562">
        <v>3</v>
      </c>
      <c r="F2726" s="562" t="s">
        <v>184</v>
      </c>
      <c r="G2726" s="562" t="s">
        <v>190</v>
      </c>
      <c r="H2726" s="562" t="s">
        <v>191</v>
      </c>
    </row>
    <row r="2727" spans="1:8" x14ac:dyDescent="0.2">
      <c r="A2727" s="562" t="s">
        <v>276</v>
      </c>
      <c r="B2727" s="562" t="s">
        <v>1792</v>
      </c>
      <c r="C2727" s="562" t="s">
        <v>1913</v>
      </c>
      <c r="D2727" s="562">
        <v>3</v>
      </c>
      <c r="E2727" s="562">
        <v>3</v>
      </c>
      <c r="F2727" s="562" t="s">
        <v>345</v>
      </c>
      <c r="G2727" s="562" t="s">
        <v>191</v>
      </c>
      <c r="H2727" s="562" t="s">
        <v>191</v>
      </c>
    </row>
    <row r="2728" spans="1:8" x14ac:dyDescent="0.2">
      <c r="A2728" s="562" t="s">
        <v>276</v>
      </c>
      <c r="B2728" s="562" t="s">
        <v>1792</v>
      </c>
      <c r="C2728" s="562" t="s">
        <v>1914</v>
      </c>
      <c r="D2728" s="562">
        <v>3</v>
      </c>
      <c r="E2728" s="562">
        <v>3</v>
      </c>
      <c r="F2728" s="562" t="s">
        <v>184</v>
      </c>
      <c r="G2728" s="562" t="s">
        <v>190</v>
      </c>
      <c r="H2728" s="562" t="s">
        <v>191</v>
      </c>
    </row>
    <row r="2729" spans="1:8" x14ac:dyDescent="0.2">
      <c r="A2729" s="562" t="s">
        <v>276</v>
      </c>
      <c r="B2729" s="562" t="s">
        <v>1792</v>
      </c>
      <c r="C2729" s="562" t="s">
        <v>1043</v>
      </c>
      <c r="D2729" s="562">
        <v>3</v>
      </c>
      <c r="E2729" s="562">
        <v>3</v>
      </c>
      <c r="F2729" s="562" t="s">
        <v>184</v>
      </c>
      <c r="G2729" s="562" t="s">
        <v>190</v>
      </c>
      <c r="H2729" s="562" t="s">
        <v>191</v>
      </c>
    </row>
    <row r="2730" spans="1:8" x14ac:dyDescent="0.2">
      <c r="A2730" s="562" t="s">
        <v>276</v>
      </c>
      <c r="B2730" s="562" t="s">
        <v>1792</v>
      </c>
      <c r="C2730" s="562" t="s">
        <v>1915</v>
      </c>
      <c r="D2730" s="562">
        <v>3</v>
      </c>
      <c r="E2730" s="562">
        <v>3</v>
      </c>
      <c r="F2730" s="562" t="s">
        <v>184</v>
      </c>
      <c r="G2730" s="562" t="s">
        <v>190</v>
      </c>
      <c r="H2730" s="562" t="s">
        <v>191</v>
      </c>
    </row>
    <row r="2731" spans="1:8" x14ac:dyDescent="0.2">
      <c r="A2731" s="562" t="s">
        <v>276</v>
      </c>
      <c r="B2731" s="562" t="s">
        <v>1792</v>
      </c>
      <c r="C2731" s="562" t="s">
        <v>1916</v>
      </c>
      <c r="D2731" s="562">
        <v>3</v>
      </c>
      <c r="E2731" s="562">
        <v>2</v>
      </c>
      <c r="F2731" s="562" t="s">
        <v>184</v>
      </c>
      <c r="G2731" s="562" t="s">
        <v>190</v>
      </c>
      <c r="H2731" s="562" t="s">
        <v>191</v>
      </c>
    </row>
    <row r="2732" spans="1:8" x14ac:dyDescent="0.2">
      <c r="A2732" s="562" t="s">
        <v>276</v>
      </c>
      <c r="B2732" s="562" t="s">
        <v>1792</v>
      </c>
      <c r="C2732" s="562" t="s">
        <v>1917</v>
      </c>
      <c r="D2732" s="562">
        <v>3</v>
      </c>
      <c r="E2732" s="562">
        <v>2</v>
      </c>
      <c r="F2732" s="562" t="s">
        <v>184</v>
      </c>
      <c r="G2732" s="562" t="s">
        <v>190</v>
      </c>
      <c r="H2732" s="562" t="s">
        <v>191</v>
      </c>
    </row>
    <row r="2733" spans="1:8" x14ac:dyDescent="0.2">
      <c r="A2733" s="562" t="s">
        <v>276</v>
      </c>
      <c r="B2733" s="562" t="s">
        <v>1792</v>
      </c>
      <c r="C2733" s="562" t="s">
        <v>1918</v>
      </c>
      <c r="D2733" s="562">
        <v>3</v>
      </c>
      <c r="E2733" s="562">
        <v>3</v>
      </c>
      <c r="F2733" s="562" t="s">
        <v>184</v>
      </c>
      <c r="G2733" s="562" t="s">
        <v>190</v>
      </c>
      <c r="H2733" s="562" t="s">
        <v>191</v>
      </c>
    </row>
    <row r="2734" spans="1:8" x14ac:dyDescent="0.2">
      <c r="A2734" s="562" t="s">
        <v>276</v>
      </c>
      <c r="B2734" s="562" t="s">
        <v>1792</v>
      </c>
      <c r="C2734" s="562" t="s">
        <v>1919</v>
      </c>
      <c r="D2734" s="562">
        <v>3</v>
      </c>
      <c r="E2734" s="562">
        <v>3</v>
      </c>
      <c r="F2734" s="562" t="s">
        <v>345</v>
      </c>
      <c r="G2734" s="562" t="s">
        <v>191</v>
      </c>
      <c r="H2734" s="562" t="s">
        <v>191</v>
      </c>
    </row>
    <row r="2735" spans="1:8" x14ac:dyDescent="0.2">
      <c r="A2735" s="562" t="s">
        <v>276</v>
      </c>
      <c r="B2735" s="562" t="s">
        <v>1792</v>
      </c>
      <c r="C2735" s="562" t="s">
        <v>1920</v>
      </c>
      <c r="D2735" s="562">
        <v>3</v>
      </c>
      <c r="E2735" s="562">
        <v>3</v>
      </c>
      <c r="F2735" s="562" t="s">
        <v>345</v>
      </c>
      <c r="G2735" s="562" t="s">
        <v>191</v>
      </c>
      <c r="H2735" s="562" t="s">
        <v>191</v>
      </c>
    </row>
    <row r="2736" spans="1:8" x14ac:dyDescent="0.2">
      <c r="A2736" s="562" t="s">
        <v>276</v>
      </c>
      <c r="B2736" s="562" t="s">
        <v>1792</v>
      </c>
      <c r="C2736" s="562" t="s">
        <v>1921</v>
      </c>
      <c r="D2736" s="562">
        <v>3</v>
      </c>
      <c r="E2736" s="562">
        <v>3</v>
      </c>
      <c r="F2736" s="562" t="s">
        <v>345</v>
      </c>
      <c r="G2736" s="562" t="s">
        <v>191</v>
      </c>
      <c r="H2736" s="562" t="s">
        <v>191</v>
      </c>
    </row>
    <row r="2737" spans="1:8" x14ac:dyDescent="0.2">
      <c r="A2737" s="562" t="s">
        <v>276</v>
      </c>
      <c r="B2737" s="562" t="s">
        <v>1792</v>
      </c>
      <c r="C2737" s="562" t="s">
        <v>303</v>
      </c>
      <c r="D2737" s="562">
        <v>3</v>
      </c>
      <c r="E2737" s="562">
        <v>3</v>
      </c>
      <c r="F2737" s="562" t="s">
        <v>184</v>
      </c>
      <c r="G2737" s="562" t="s">
        <v>190</v>
      </c>
      <c r="H2737" s="562" t="s">
        <v>191</v>
      </c>
    </row>
    <row r="2738" spans="1:8" x14ac:dyDescent="0.2">
      <c r="A2738" s="562" t="s">
        <v>276</v>
      </c>
      <c r="B2738" s="562" t="s">
        <v>1792</v>
      </c>
      <c r="C2738" s="562" t="s">
        <v>945</v>
      </c>
      <c r="D2738" s="562">
        <v>2</v>
      </c>
      <c r="E2738" s="562">
        <v>4</v>
      </c>
      <c r="F2738" s="562" t="s">
        <v>345</v>
      </c>
      <c r="G2738" s="562" t="s">
        <v>191</v>
      </c>
      <c r="H2738" s="562" t="s">
        <v>191</v>
      </c>
    </row>
    <row r="2739" spans="1:8" x14ac:dyDescent="0.2">
      <c r="A2739" s="562" t="s">
        <v>276</v>
      </c>
      <c r="B2739" s="562" t="s">
        <v>1792</v>
      </c>
      <c r="C2739" s="562" t="s">
        <v>946</v>
      </c>
      <c r="D2739" s="562">
        <v>3</v>
      </c>
      <c r="E2739" s="562">
        <v>3</v>
      </c>
      <c r="F2739" s="562" t="s">
        <v>184</v>
      </c>
      <c r="G2739" s="562" t="s">
        <v>190</v>
      </c>
      <c r="H2739" s="562" t="s">
        <v>191</v>
      </c>
    </row>
    <row r="2740" spans="1:8" x14ac:dyDescent="0.2">
      <c r="A2740" s="562" t="s">
        <v>276</v>
      </c>
      <c r="B2740" s="562" t="s">
        <v>1792</v>
      </c>
      <c r="C2740" s="562" t="s">
        <v>1922</v>
      </c>
      <c r="D2740" s="562">
        <v>3</v>
      </c>
      <c r="E2740" s="562">
        <v>3</v>
      </c>
      <c r="F2740" s="562" t="s">
        <v>184</v>
      </c>
      <c r="G2740" s="562" t="s">
        <v>190</v>
      </c>
      <c r="H2740" s="562" t="s">
        <v>191</v>
      </c>
    </row>
    <row r="2741" spans="1:8" x14ac:dyDescent="0.2">
      <c r="A2741" s="562" t="s">
        <v>276</v>
      </c>
      <c r="B2741" s="562" t="s">
        <v>1792</v>
      </c>
      <c r="C2741" s="562" t="s">
        <v>1923</v>
      </c>
      <c r="D2741" s="562">
        <v>3</v>
      </c>
      <c r="E2741" s="562">
        <v>2</v>
      </c>
      <c r="F2741" s="562" t="s">
        <v>184</v>
      </c>
      <c r="G2741" s="562" t="s">
        <v>190</v>
      </c>
      <c r="H2741" s="562" t="s">
        <v>191</v>
      </c>
    </row>
    <row r="2742" spans="1:8" x14ac:dyDescent="0.2">
      <c r="A2742" s="562" t="s">
        <v>276</v>
      </c>
      <c r="B2742" s="562" t="s">
        <v>1792</v>
      </c>
      <c r="C2742" s="562" t="s">
        <v>682</v>
      </c>
      <c r="D2742" s="562">
        <v>3</v>
      </c>
      <c r="E2742" s="562">
        <v>3</v>
      </c>
      <c r="F2742" s="562" t="s">
        <v>184</v>
      </c>
      <c r="G2742" s="562" t="s">
        <v>191</v>
      </c>
      <c r="H2742" s="562" t="s">
        <v>191</v>
      </c>
    </row>
    <row r="2743" spans="1:8" x14ac:dyDescent="0.2">
      <c r="A2743" s="562" t="s">
        <v>276</v>
      </c>
      <c r="B2743" s="562" t="s">
        <v>1792</v>
      </c>
      <c r="C2743" s="562" t="s">
        <v>1924</v>
      </c>
      <c r="D2743" s="562">
        <v>3</v>
      </c>
      <c r="E2743" s="562">
        <v>3</v>
      </c>
      <c r="F2743" s="562" t="s">
        <v>345</v>
      </c>
      <c r="G2743" s="562" t="s">
        <v>191</v>
      </c>
      <c r="H2743" s="562" t="s">
        <v>191</v>
      </c>
    </row>
    <row r="2744" spans="1:8" x14ac:dyDescent="0.2">
      <c r="A2744" s="562" t="s">
        <v>276</v>
      </c>
      <c r="B2744" s="562" t="s">
        <v>1792</v>
      </c>
      <c r="C2744" s="562" t="s">
        <v>1925</v>
      </c>
      <c r="D2744" s="562">
        <v>3</v>
      </c>
      <c r="E2744" s="562">
        <v>3</v>
      </c>
      <c r="F2744" s="562" t="s">
        <v>345</v>
      </c>
      <c r="G2744" s="562" t="s">
        <v>191</v>
      </c>
      <c r="H2744" s="562" t="s">
        <v>191</v>
      </c>
    </row>
    <row r="2745" spans="1:8" x14ac:dyDescent="0.2">
      <c r="A2745" s="562" t="s">
        <v>276</v>
      </c>
      <c r="B2745" s="562" t="s">
        <v>1792</v>
      </c>
      <c r="C2745" s="562" t="s">
        <v>1926</v>
      </c>
      <c r="D2745" s="562">
        <v>3</v>
      </c>
      <c r="E2745" s="562">
        <v>3</v>
      </c>
      <c r="F2745" s="562" t="s">
        <v>345</v>
      </c>
      <c r="G2745" s="562" t="s">
        <v>191</v>
      </c>
      <c r="H2745" s="562" t="s">
        <v>191</v>
      </c>
    </row>
    <row r="2746" spans="1:8" x14ac:dyDescent="0.2">
      <c r="A2746" s="562" t="s">
        <v>276</v>
      </c>
      <c r="B2746" s="562" t="s">
        <v>1792</v>
      </c>
      <c r="C2746" s="562" t="s">
        <v>1927</v>
      </c>
      <c r="D2746" s="562">
        <v>2</v>
      </c>
      <c r="E2746" s="562">
        <v>4</v>
      </c>
      <c r="F2746" s="562" t="s">
        <v>345</v>
      </c>
      <c r="G2746" s="562" t="s">
        <v>191</v>
      </c>
      <c r="H2746" s="562" t="s">
        <v>191</v>
      </c>
    </row>
    <row r="2747" spans="1:8" x14ac:dyDescent="0.2">
      <c r="A2747" s="562" t="s">
        <v>276</v>
      </c>
      <c r="B2747" s="562" t="s">
        <v>1792</v>
      </c>
      <c r="C2747" s="562" t="s">
        <v>1928</v>
      </c>
      <c r="D2747" s="562">
        <v>3</v>
      </c>
      <c r="E2747" s="562">
        <v>3</v>
      </c>
      <c r="F2747" s="562" t="s">
        <v>184</v>
      </c>
      <c r="G2747" s="562" t="s">
        <v>190</v>
      </c>
      <c r="H2747" s="562" t="s">
        <v>191</v>
      </c>
    </row>
    <row r="2748" spans="1:8" x14ac:dyDescent="0.2">
      <c r="A2748" s="562" t="s">
        <v>276</v>
      </c>
      <c r="B2748" s="562" t="s">
        <v>1792</v>
      </c>
      <c r="C2748" s="562" t="s">
        <v>593</v>
      </c>
      <c r="D2748" s="562">
        <v>3</v>
      </c>
      <c r="E2748" s="562">
        <v>3</v>
      </c>
      <c r="F2748" s="562" t="s">
        <v>345</v>
      </c>
      <c r="G2748" s="562" t="s">
        <v>191</v>
      </c>
      <c r="H2748" s="562" t="s">
        <v>191</v>
      </c>
    </row>
    <row r="2749" spans="1:8" x14ac:dyDescent="0.2">
      <c r="A2749" s="562" t="s">
        <v>276</v>
      </c>
      <c r="B2749" s="562" t="s">
        <v>1792</v>
      </c>
      <c r="C2749" s="562" t="s">
        <v>688</v>
      </c>
      <c r="D2749" s="562">
        <v>2</v>
      </c>
      <c r="E2749" s="562">
        <v>3</v>
      </c>
      <c r="F2749" s="562" t="s">
        <v>345</v>
      </c>
      <c r="G2749" s="562" t="s">
        <v>191</v>
      </c>
      <c r="H2749" s="562" t="s">
        <v>191</v>
      </c>
    </row>
    <row r="2750" spans="1:8" x14ac:dyDescent="0.2">
      <c r="A2750" s="562" t="s">
        <v>276</v>
      </c>
      <c r="B2750" s="562" t="s">
        <v>1792</v>
      </c>
      <c r="C2750" s="562" t="s">
        <v>1929</v>
      </c>
      <c r="D2750" s="562">
        <v>3</v>
      </c>
      <c r="E2750" s="562">
        <v>3</v>
      </c>
      <c r="F2750" s="562" t="s">
        <v>345</v>
      </c>
      <c r="G2750" s="562" t="s">
        <v>191</v>
      </c>
      <c r="H2750" s="562" t="s">
        <v>191</v>
      </c>
    </row>
    <row r="2751" spans="1:8" x14ac:dyDescent="0.2">
      <c r="A2751" s="562" t="s">
        <v>276</v>
      </c>
      <c r="B2751" s="562" t="s">
        <v>1792</v>
      </c>
      <c r="C2751" s="562" t="s">
        <v>1930</v>
      </c>
      <c r="D2751" s="562">
        <v>3</v>
      </c>
      <c r="E2751" s="562">
        <v>3</v>
      </c>
      <c r="F2751" s="562" t="s">
        <v>345</v>
      </c>
      <c r="G2751" s="562" t="s">
        <v>191</v>
      </c>
      <c r="H2751" s="562" t="s">
        <v>191</v>
      </c>
    </row>
    <row r="2752" spans="1:8" x14ac:dyDescent="0.2">
      <c r="A2752" s="562" t="s">
        <v>276</v>
      </c>
      <c r="B2752" s="562" t="s">
        <v>1792</v>
      </c>
      <c r="C2752" s="562" t="s">
        <v>1931</v>
      </c>
      <c r="D2752" s="562">
        <v>3</v>
      </c>
      <c r="E2752" s="562">
        <v>3</v>
      </c>
      <c r="F2752" s="562" t="s">
        <v>184</v>
      </c>
      <c r="G2752" s="562" t="s">
        <v>190</v>
      </c>
      <c r="H2752" s="562" t="s">
        <v>191</v>
      </c>
    </row>
    <row r="2753" spans="1:8" x14ac:dyDescent="0.2">
      <c r="A2753" s="562" t="s">
        <v>276</v>
      </c>
      <c r="B2753" s="562" t="s">
        <v>1792</v>
      </c>
      <c r="C2753" s="562" t="s">
        <v>1932</v>
      </c>
      <c r="D2753" s="562">
        <v>3</v>
      </c>
      <c r="E2753" s="562">
        <v>3</v>
      </c>
      <c r="F2753" s="562" t="s">
        <v>345</v>
      </c>
      <c r="G2753" s="562" t="s">
        <v>191</v>
      </c>
      <c r="H2753" s="562" t="s">
        <v>191</v>
      </c>
    </row>
    <row r="2754" spans="1:8" x14ac:dyDescent="0.2">
      <c r="A2754" s="562" t="s">
        <v>276</v>
      </c>
      <c r="B2754" s="562" t="s">
        <v>1792</v>
      </c>
      <c r="C2754" s="562" t="s">
        <v>1933</v>
      </c>
      <c r="D2754" s="562">
        <v>3</v>
      </c>
      <c r="E2754" s="562">
        <v>2</v>
      </c>
      <c r="F2754" s="562" t="s">
        <v>184</v>
      </c>
      <c r="G2754" s="562" t="s">
        <v>190</v>
      </c>
      <c r="H2754" s="562" t="s">
        <v>191</v>
      </c>
    </row>
    <row r="2755" spans="1:8" x14ac:dyDescent="0.2">
      <c r="A2755" s="562" t="s">
        <v>276</v>
      </c>
      <c r="B2755" s="562" t="s">
        <v>1792</v>
      </c>
      <c r="C2755" s="562" t="s">
        <v>470</v>
      </c>
      <c r="D2755" s="562">
        <v>3</v>
      </c>
      <c r="E2755" s="562">
        <v>2</v>
      </c>
      <c r="F2755" s="562" t="s">
        <v>184</v>
      </c>
      <c r="G2755" s="562" t="s">
        <v>190</v>
      </c>
      <c r="H2755" s="562" t="s">
        <v>191</v>
      </c>
    </row>
    <row r="2756" spans="1:8" x14ac:dyDescent="0.2">
      <c r="A2756" s="562" t="s">
        <v>276</v>
      </c>
      <c r="B2756" s="562" t="s">
        <v>1792</v>
      </c>
      <c r="C2756" s="562" t="s">
        <v>1934</v>
      </c>
      <c r="D2756" s="562">
        <v>3</v>
      </c>
      <c r="E2756" s="562">
        <v>2</v>
      </c>
      <c r="F2756" s="562" t="s">
        <v>184</v>
      </c>
      <c r="G2756" s="562" t="s">
        <v>190</v>
      </c>
      <c r="H2756" s="562" t="s">
        <v>191</v>
      </c>
    </row>
    <row r="2757" spans="1:8" x14ac:dyDescent="0.2">
      <c r="A2757" s="562" t="s">
        <v>276</v>
      </c>
      <c r="B2757" s="562" t="s">
        <v>1792</v>
      </c>
      <c r="C2757" s="562" t="s">
        <v>1935</v>
      </c>
      <c r="D2757" s="562">
        <v>3</v>
      </c>
      <c r="E2757" s="562">
        <v>3</v>
      </c>
      <c r="F2757" s="562" t="s">
        <v>184</v>
      </c>
      <c r="G2757" s="562" t="s">
        <v>190</v>
      </c>
      <c r="H2757" s="562" t="s">
        <v>191</v>
      </c>
    </row>
    <row r="2758" spans="1:8" x14ac:dyDescent="0.2">
      <c r="A2758" s="562" t="s">
        <v>276</v>
      </c>
      <c r="B2758" s="562" t="s">
        <v>1792</v>
      </c>
      <c r="C2758" s="562" t="s">
        <v>1936</v>
      </c>
      <c r="D2758" s="562">
        <v>3</v>
      </c>
      <c r="E2758" s="562">
        <v>3</v>
      </c>
      <c r="F2758" s="562" t="s">
        <v>345</v>
      </c>
      <c r="G2758" s="562" t="s">
        <v>191</v>
      </c>
      <c r="H2758" s="562" t="s">
        <v>191</v>
      </c>
    </row>
    <row r="2759" spans="1:8" x14ac:dyDescent="0.2">
      <c r="A2759" s="562" t="s">
        <v>276</v>
      </c>
      <c r="B2759" s="562" t="s">
        <v>1792</v>
      </c>
      <c r="C2759" s="562" t="s">
        <v>1937</v>
      </c>
      <c r="D2759" s="562">
        <v>3</v>
      </c>
      <c r="E2759" s="562">
        <v>2</v>
      </c>
      <c r="F2759" s="562" t="s">
        <v>345</v>
      </c>
      <c r="G2759" s="562" t="s">
        <v>191</v>
      </c>
      <c r="H2759" s="562" t="s">
        <v>191</v>
      </c>
    </row>
    <row r="2760" spans="1:8" x14ac:dyDescent="0.2">
      <c r="A2760" s="562" t="s">
        <v>276</v>
      </c>
      <c r="B2760" s="562" t="s">
        <v>1792</v>
      </c>
      <c r="C2760" s="562" t="s">
        <v>1938</v>
      </c>
      <c r="D2760" s="562">
        <v>3</v>
      </c>
      <c r="E2760" s="562">
        <v>2</v>
      </c>
      <c r="F2760" s="562" t="s">
        <v>345</v>
      </c>
      <c r="G2760" s="562" t="s">
        <v>191</v>
      </c>
      <c r="H2760" s="562" t="s">
        <v>191</v>
      </c>
    </row>
    <row r="2761" spans="1:8" x14ac:dyDescent="0.2">
      <c r="A2761" s="562" t="s">
        <v>276</v>
      </c>
      <c r="B2761" s="562" t="s">
        <v>1792</v>
      </c>
      <c r="C2761" s="562" t="s">
        <v>1939</v>
      </c>
      <c r="D2761" s="562">
        <v>3</v>
      </c>
      <c r="E2761" s="562">
        <v>3</v>
      </c>
      <c r="F2761" s="562" t="s">
        <v>184</v>
      </c>
      <c r="G2761" s="562" t="s">
        <v>190</v>
      </c>
      <c r="H2761" s="562" t="s">
        <v>191</v>
      </c>
    </row>
    <row r="2762" spans="1:8" x14ac:dyDescent="0.2">
      <c r="A2762" s="562" t="s">
        <v>276</v>
      </c>
      <c r="B2762" s="562" t="s">
        <v>1792</v>
      </c>
      <c r="C2762" s="562" t="s">
        <v>1940</v>
      </c>
      <c r="D2762" s="562">
        <v>3</v>
      </c>
      <c r="E2762" s="562">
        <v>2</v>
      </c>
      <c r="F2762" s="562" t="s">
        <v>184</v>
      </c>
      <c r="G2762" s="562" t="s">
        <v>190</v>
      </c>
      <c r="H2762" s="562" t="s">
        <v>191</v>
      </c>
    </row>
    <row r="2763" spans="1:8" x14ac:dyDescent="0.2">
      <c r="A2763" s="562" t="s">
        <v>276</v>
      </c>
      <c r="B2763" s="562" t="s">
        <v>1792</v>
      </c>
      <c r="C2763" s="562" t="s">
        <v>308</v>
      </c>
      <c r="D2763" s="562">
        <v>3</v>
      </c>
      <c r="E2763" s="562">
        <v>2</v>
      </c>
      <c r="F2763" s="562" t="s">
        <v>184</v>
      </c>
      <c r="G2763" s="562" t="s">
        <v>190</v>
      </c>
      <c r="H2763" s="562" t="s">
        <v>191</v>
      </c>
    </row>
    <row r="2764" spans="1:8" x14ac:dyDescent="0.2">
      <c r="A2764" s="562" t="s">
        <v>276</v>
      </c>
      <c r="B2764" s="562" t="s">
        <v>1792</v>
      </c>
      <c r="C2764" s="562" t="s">
        <v>1941</v>
      </c>
      <c r="D2764" s="562">
        <v>3</v>
      </c>
      <c r="E2764" s="562">
        <v>2</v>
      </c>
      <c r="F2764" s="562" t="s">
        <v>184</v>
      </c>
      <c r="G2764" s="562" t="s">
        <v>190</v>
      </c>
      <c r="H2764" s="562" t="s">
        <v>191</v>
      </c>
    </row>
    <row r="2765" spans="1:8" x14ac:dyDescent="0.2">
      <c r="A2765" s="562" t="s">
        <v>276</v>
      </c>
      <c r="B2765" s="562" t="s">
        <v>1792</v>
      </c>
      <c r="C2765" s="562" t="s">
        <v>1564</v>
      </c>
      <c r="D2765" s="562">
        <v>3</v>
      </c>
      <c r="E2765" s="562">
        <v>3</v>
      </c>
      <c r="F2765" s="562" t="s">
        <v>345</v>
      </c>
      <c r="G2765" s="562" t="s">
        <v>191</v>
      </c>
      <c r="H2765" s="562" t="s">
        <v>191</v>
      </c>
    </row>
    <row r="2766" spans="1:8" x14ac:dyDescent="0.2">
      <c r="A2766" s="562" t="s">
        <v>276</v>
      </c>
      <c r="B2766" s="562" t="s">
        <v>1792</v>
      </c>
      <c r="C2766" s="562" t="s">
        <v>309</v>
      </c>
      <c r="D2766" s="562">
        <v>3</v>
      </c>
      <c r="E2766" s="562">
        <v>2</v>
      </c>
      <c r="F2766" s="562" t="s">
        <v>184</v>
      </c>
      <c r="G2766" s="562" t="s">
        <v>190</v>
      </c>
      <c r="H2766" s="562" t="s">
        <v>191</v>
      </c>
    </row>
    <row r="2767" spans="1:8" x14ac:dyDescent="0.2">
      <c r="A2767" s="562" t="s">
        <v>276</v>
      </c>
      <c r="B2767" s="562" t="s">
        <v>1792</v>
      </c>
      <c r="C2767" s="562" t="s">
        <v>1942</v>
      </c>
      <c r="D2767" s="562">
        <v>3</v>
      </c>
      <c r="E2767" s="562">
        <v>2</v>
      </c>
      <c r="F2767" s="562" t="s">
        <v>345</v>
      </c>
      <c r="G2767" s="562" t="s">
        <v>191</v>
      </c>
      <c r="H2767" s="562" t="s">
        <v>191</v>
      </c>
    </row>
    <row r="2768" spans="1:8" x14ac:dyDescent="0.2">
      <c r="A2768" s="562" t="s">
        <v>276</v>
      </c>
      <c r="B2768" s="562" t="s">
        <v>1792</v>
      </c>
      <c r="C2768" s="562" t="s">
        <v>1943</v>
      </c>
      <c r="D2768" s="562">
        <v>3</v>
      </c>
      <c r="E2768" s="562">
        <v>2</v>
      </c>
      <c r="F2768" s="562" t="s">
        <v>184</v>
      </c>
      <c r="G2768" s="562" t="s">
        <v>190</v>
      </c>
      <c r="H2768" s="562" t="s">
        <v>191</v>
      </c>
    </row>
    <row r="2769" spans="1:8" x14ac:dyDescent="0.2">
      <c r="A2769" s="562" t="s">
        <v>276</v>
      </c>
      <c r="B2769" s="562" t="s">
        <v>1792</v>
      </c>
      <c r="C2769" s="562" t="s">
        <v>702</v>
      </c>
      <c r="D2769" s="562">
        <v>3</v>
      </c>
      <c r="E2769" s="562">
        <v>3</v>
      </c>
      <c r="F2769" s="562" t="s">
        <v>345</v>
      </c>
      <c r="G2769" s="562" t="s">
        <v>191</v>
      </c>
      <c r="H2769" s="562" t="s">
        <v>191</v>
      </c>
    </row>
    <row r="2770" spans="1:8" x14ac:dyDescent="0.2">
      <c r="A2770" s="562" t="s">
        <v>276</v>
      </c>
      <c r="B2770" s="562" t="s">
        <v>1792</v>
      </c>
      <c r="C2770" s="562" t="s">
        <v>954</v>
      </c>
      <c r="D2770" s="562">
        <v>3</v>
      </c>
      <c r="E2770" s="562">
        <v>3</v>
      </c>
      <c r="F2770" s="562" t="s">
        <v>184</v>
      </c>
      <c r="G2770" s="562" t="s">
        <v>191</v>
      </c>
      <c r="H2770" s="562" t="s">
        <v>191</v>
      </c>
    </row>
    <row r="2771" spans="1:8" x14ac:dyDescent="0.2">
      <c r="A2771" s="562" t="s">
        <v>276</v>
      </c>
      <c r="B2771" s="562" t="s">
        <v>1792</v>
      </c>
      <c r="C2771" s="562" t="s">
        <v>1944</v>
      </c>
      <c r="D2771" s="562">
        <v>3</v>
      </c>
      <c r="E2771" s="562">
        <v>3</v>
      </c>
      <c r="F2771" s="562" t="s">
        <v>345</v>
      </c>
      <c r="G2771" s="562" t="s">
        <v>191</v>
      </c>
      <c r="H2771" s="562" t="s">
        <v>191</v>
      </c>
    </row>
    <row r="2772" spans="1:8" x14ac:dyDescent="0.2">
      <c r="A2772" s="562" t="s">
        <v>276</v>
      </c>
      <c r="B2772" s="562" t="s">
        <v>1792</v>
      </c>
      <c r="C2772" s="562" t="s">
        <v>1945</v>
      </c>
      <c r="D2772" s="562">
        <v>3</v>
      </c>
      <c r="E2772" s="562">
        <v>2</v>
      </c>
      <c r="F2772" s="562" t="s">
        <v>184</v>
      </c>
      <c r="G2772" s="562" t="s">
        <v>190</v>
      </c>
      <c r="H2772" s="562" t="s">
        <v>191</v>
      </c>
    </row>
    <row r="2773" spans="1:8" x14ac:dyDescent="0.2">
      <c r="A2773" s="562" t="s">
        <v>276</v>
      </c>
      <c r="B2773" s="562" t="s">
        <v>1792</v>
      </c>
      <c r="C2773" s="562" t="s">
        <v>799</v>
      </c>
      <c r="D2773" s="562">
        <v>3</v>
      </c>
      <c r="E2773" s="562">
        <v>2</v>
      </c>
      <c r="F2773" s="562" t="s">
        <v>184</v>
      </c>
      <c r="G2773" s="562" t="s">
        <v>190</v>
      </c>
      <c r="H2773" s="562" t="s">
        <v>191</v>
      </c>
    </row>
    <row r="2774" spans="1:8" x14ac:dyDescent="0.2">
      <c r="A2774" s="562" t="s">
        <v>276</v>
      </c>
      <c r="B2774" s="562" t="s">
        <v>1792</v>
      </c>
      <c r="C2774" s="562" t="s">
        <v>955</v>
      </c>
      <c r="D2774" s="562">
        <v>3</v>
      </c>
      <c r="E2774" s="562">
        <v>2</v>
      </c>
      <c r="F2774" s="562" t="s">
        <v>184</v>
      </c>
      <c r="G2774" s="562" t="s">
        <v>190</v>
      </c>
      <c r="H2774" s="562" t="s">
        <v>191</v>
      </c>
    </row>
    <row r="2775" spans="1:8" x14ac:dyDescent="0.2">
      <c r="A2775" s="562" t="s">
        <v>276</v>
      </c>
      <c r="B2775" s="562" t="s">
        <v>1792</v>
      </c>
      <c r="C2775" s="562" t="s">
        <v>1946</v>
      </c>
      <c r="D2775" s="562">
        <v>3</v>
      </c>
      <c r="E2775" s="562">
        <v>3</v>
      </c>
      <c r="F2775" s="562" t="s">
        <v>345</v>
      </c>
      <c r="G2775" s="562" t="s">
        <v>191</v>
      </c>
      <c r="H2775" s="562" t="s">
        <v>191</v>
      </c>
    </row>
    <row r="2776" spans="1:8" x14ac:dyDescent="0.2">
      <c r="A2776" s="562" t="s">
        <v>276</v>
      </c>
      <c r="B2776" s="562" t="s">
        <v>1792</v>
      </c>
      <c r="C2776" s="562" t="s">
        <v>1947</v>
      </c>
      <c r="D2776" s="562">
        <v>3</v>
      </c>
      <c r="E2776" s="562">
        <v>3</v>
      </c>
      <c r="F2776" s="562" t="s">
        <v>184</v>
      </c>
      <c r="G2776" s="562" t="s">
        <v>191</v>
      </c>
      <c r="H2776" s="562" t="s">
        <v>191</v>
      </c>
    </row>
    <row r="2777" spans="1:8" x14ac:dyDescent="0.2">
      <c r="A2777" s="562" t="s">
        <v>276</v>
      </c>
      <c r="B2777" s="562" t="s">
        <v>1792</v>
      </c>
      <c r="C2777" s="562" t="s">
        <v>1601</v>
      </c>
      <c r="D2777" s="562">
        <v>3</v>
      </c>
      <c r="E2777" s="562">
        <v>3</v>
      </c>
      <c r="F2777" s="562" t="s">
        <v>184</v>
      </c>
      <c r="G2777" s="562" t="s">
        <v>190</v>
      </c>
      <c r="H2777" s="562" t="s">
        <v>191</v>
      </c>
    </row>
    <row r="2778" spans="1:8" x14ac:dyDescent="0.2">
      <c r="A2778" s="562" t="s">
        <v>276</v>
      </c>
      <c r="B2778" s="562" t="s">
        <v>1792</v>
      </c>
      <c r="C2778" s="562" t="s">
        <v>1948</v>
      </c>
      <c r="D2778" s="562">
        <v>3</v>
      </c>
      <c r="E2778" s="562">
        <v>4</v>
      </c>
      <c r="F2778" s="562" t="s">
        <v>345</v>
      </c>
      <c r="G2778" s="562" t="s">
        <v>191</v>
      </c>
      <c r="H2778" s="562" t="s">
        <v>191</v>
      </c>
    </row>
    <row r="2779" spans="1:8" x14ac:dyDescent="0.2">
      <c r="A2779" s="562" t="s">
        <v>276</v>
      </c>
      <c r="B2779" s="562" t="s">
        <v>1792</v>
      </c>
      <c r="C2779" s="562" t="s">
        <v>1949</v>
      </c>
      <c r="D2779" s="562">
        <v>3</v>
      </c>
      <c r="E2779" s="562">
        <v>3</v>
      </c>
      <c r="F2779" s="562" t="s">
        <v>184</v>
      </c>
      <c r="G2779" s="562" t="s">
        <v>191</v>
      </c>
      <c r="H2779" s="562" t="s">
        <v>191</v>
      </c>
    </row>
    <row r="2780" spans="1:8" x14ac:dyDescent="0.2">
      <c r="A2780" s="562" t="s">
        <v>276</v>
      </c>
      <c r="B2780" s="562" t="s">
        <v>1792</v>
      </c>
      <c r="C2780" s="562" t="s">
        <v>1950</v>
      </c>
      <c r="D2780" s="562">
        <v>3</v>
      </c>
      <c r="E2780" s="562">
        <v>2</v>
      </c>
      <c r="F2780" s="562" t="s">
        <v>345</v>
      </c>
      <c r="G2780" s="562" t="s">
        <v>191</v>
      </c>
      <c r="H2780" s="562" t="s">
        <v>191</v>
      </c>
    </row>
    <row r="2781" spans="1:8" x14ac:dyDescent="0.2">
      <c r="A2781" s="562" t="s">
        <v>276</v>
      </c>
      <c r="B2781" s="562" t="s">
        <v>1792</v>
      </c>
      <c r="C2781" s="562" t="s">
        <v>1951</v>
      </c>
      <c r="D2781" s="562">
        <v>3</v>
      </c>
      <c r="E2781" s="562">
        <v>2</v>
      </c>
      <c r="F2781" s="562" t="s">
        <v>345</v>
      </c>
      <c r="G2781" s="562" t="s">
        <v>191</v>
      </c>
      <c r="H2781" s="562" t="s">
        <v>191</v>
      </c>
    </row>
    <row r="2782" spans="1:8" x14ac:dyDescent="0.2">
      <c r="A2782" s="562" t="s">
        <v>278</v>
      </c>
      <c r="B2782" s="562" t="s">
        <v>1952</v>
      </c>
      <c r="C2782" s="562" t="s">
        <v>1606</v>
      </c>
      <c r="D2782" s="562">
        <v>2</v>
      </c>
      <c r="E2782" s="562">
        <v>5</v>
      </c>
      <c r="F2782" s="562" t="s">
        <v>345</v>
      </c>
      <c r="G2782" s="562" t="s">
        <v>191</v>
      </c>
      <c r="H2782" s="562" t="s">
        <v>191</v>
      </c>
    </row>
    <row r="2783" spans="1:8" x14ac:dyDescent="0.2">
      <c r="A2783" s="562" t="s">
        <v>278</v>
      </c>
      <c r="B2783" s="562" t="s">
        <v>1952</v>
      </c>
      <c r="C2783" s="562" t="s">
        <v>1953</v>
      </c>
      <c r="D2783" s="562">
        <v>2</v>
      </c>
      <c r="E2783" s="562">
        <v>6</v>
      </c>
      <c r="F2783" s="562" t="s">
        <v>345</v>
      </c>
      <c r="G2783" s="562" t="s">
        <v>191</v>
      </c>
      <c r="H2783" s="562" t="s">
        <v>191</v>
      </c>
    </row>
    <row r="2784" spans="1:8" x14ac:dyDescent="0.2">
      <c r="A2784" s="562" t="s">
        <v>278</v>
      </c>
      <c r="B2784" s="562" t="s">
        <v>1952</v>
      </c>
      <c r="C2784" s="562" t="s">
        <v>1954</v>
      </c>
      <c r="D2784" s="562">
        <v>2</v>
      </c>
      <c r="E2784" s="562">
        <v>6</v>
      </c>
      <c r="F2784" s="562" t="s">
        <v>345</v>
      </c>
      <c r="G2784" s="562" t="s">
        <v>191</v>
      </c>
      <c r="H2784" s="562" t="s">
        <v>191</v>
      </c>
    </row>
    <row r="2785" spans="1:8" x14ac:dyDescent="0.2">
      <c r="A2785" s="562" t="s">
        <v>278</v>
      </c>
      <c r="B2785" s="562" t="s">
        <v>1952</v>
      </c>
      <c r="C2785" s="562" t="s">
        <v>1307</v>
      </c>
      <c r="D2785" s="562">
        <v>1</v>
      </c>
      <c r="E2785" s="562">
        <v>6</v>
      </c>
      <c r="F2785" s="562" t="s">
        <v>345</v>
      </c>
      <c r="G2785" s="562" t="s">
        <v>191</v>
      </c>
      <c r="H2785" s="562" t="s">
        <v>191</v>
      </c>
    </row>
    <row r="2786" spans="1:8" x14ac:dyDescent="0.2">
      <c r="A2786" s="562" t="s">
        <v>278</v>
      </c>
      <c r="B2786" s="562" t="s">
        <v>1952</v>
      </c>
      <c r="C2786" s="562" t="s">
        <v>1955</v>
      </c>
      <c r="D2786" s="562">
        <v>2</v>
      </c>
      <c r="E2786" s="562">
        <v>6</v>
      </c>
      <c r="F2786" s="562" t="s">
        <v>345</v>
      </c>
      <c r="G2786" s="562" t="s">
        <v>191</v>
      </c>
      <c r="H2786" s="562" t="s">
        <v>191</v>
      </c>
    </row>
    <row r="2787" spans="1:8" x14ac:dyDescent="0.2">
      <c r="A2787" s="562" t="s">
        <v>278</v>
      </c>
      <c r="B2787" s="562" t="s">
        <v>1952</v>
      </c>
      <c r="C2787" s="562" t="s">
        <v>856</v>
      </c>
      <c r="D2787" s="562">
        <v>2</v>
      </c>
      <c r="E2787" s="562">
        <v>5</v>
      </c>
      <c r="F2787" s="562" t="s">
        <v>345</v>
      </c>
      <c r="G2787" s="562" t="s">
        <v>191</v>
      </c>
      <c r="H2787" s="562" t="s">
        <v>191</v>
      </c>
    </row>
    <row r="2788" spans="1:8" x14ac:dyDescent="0.2">
      <c r="A2788" s="562" t="s">
        <v>278</v>
      </c>
      <c r="B2788" s="562" t="s">
        <v>1952</v>
      </c>
      <c r="C2788" s="562" t="s">
        <v>1956</v>
      </c>
      <c r="D2788" s="562">
        <v>1</v>
      </c>
      <c r="E2788" s="562">
        <v>6</v>
      </c>
      <c r="F2788" s="562" t="s">
        <v>345</v>
      </c>
      <c r="G2788" s="562" t="s">
        <v>191</v>
      </c>
      <c r="H2788" s="562" t="s">
        <v>191</v>
      </c>
    </row>
    <row r="2789" spans="1:8" x14ac:dyDescent="0.2">
      <c r="A2789" s="562" t="s">
        <v>278</v>
      </c>
      <c r="B2789" s="562" t="s">
        <v>1952</v>
      </c>
      <c r="C2789" s="562" t="s">
        <v>1957</v>
      </c>
      <c r="D2789" s="562">
        <v>2</v>
      </c>
      <c r="E2789" s="562">
        <v>5</v>
      </c>
      <c r="F2789" s="562" t="s">
        <v>345</v>
      </c>
      <c r="G2789" s="562" t="s">
        <v>191</v>
      </c>
      <c r="H2789" s="562" t="s">
        <v>191</v>
      </c>
    </row>
    <row r="2790" spans="1:8" x14ac:dyDescent="0.2">
      <c r="A2790" s="562" t="s">
        <v>278</v>
      </c>
      <c r="B2790" s="562" t="s">
        <v>1952</v>
      </c>
      <c r="C2790" s="562" t="s">
        <v>500</v>
      </c>
      <c r="D2790" s="562">
        <v>2</v>
      </c>
      <c r="E2790" s="562">
        <v>5</v>
      </c>
      <c r="F2790" s="562" t="s">
        <v>345</v>
      </c>
      <c r="G2790" s="562" t="s">
        <v>191</v>
      </c>
      <c r="H2790" s="562" t="s">
        <v>191</v>
      </c>
    </row>
    <row r="2791" spans="1:8" x14ac:dyDescent="0.2">
      <c r="A2791" s="562" t="s">
        <v>278</v>
      </c>
      <c r="B2791" s="562" t="s">
        <v>1952</v>
      </c>
      <c r="C2791" s="562" t="s">
        <v>502</v>
      </c>
      <c r="D2791" s="562">
        <v>1</v>
      </c>
      <c r="E2791" s="562">
        <v>5</v>
      </c>
      <c r="F2791" s="562" t="s">
        <v>345</v>
      </c>
      <c r="G2791" s="562" t="s">
        <v>191</v>
      </c>
      <c r="H2791" s="562" t="s">
        <v>191</v>
      </c>
    </row>
    <row r="2792" spans="1:8" x14ac:dyDescent="0.2">
      <c r="A2792" s="562" t="s">
        <v>278</v>
      </c>
      <c r="B2792" s="562" t="s">
        <v>1952</v>
      </c>
      <c r="C2792" s="562" t="s">
        <v>1128</v>
      </c>
      <c r="D2792" s="562">
        <v>2</v>
      </c>
      <c r="E2792" s="562">
        <v>5</v>
      </c>
      <c r="F2792" s="562" t="s">
        <v>345</v>
      </c>
      <c r="G2792" s="562" t="s">
        <v>191</v>
      </c>
      <c r="H2792" s="562" t="s">
        <v>191</v>
      </c>
    </row>
    <row r="2793" spans="1:8" x14ac:dyDescent="0.2">
      <c r="A2793" s="562" t="s">
        <v>278</v>
      </c>
      <c r="B2793" s="562" t="s">
        <v>1952</v>
      </c>
      <c r="C2793" s="562" t="s">
        <v>1958</v>
      </c>
      <c r="D2793" s="562">
        <v>2</v>
      </c>
      <c r="E2793" s="562">
        <v>5</v>
      </c>
      <c r="F2793" s="562" t="s">
        <v>345</v>
      </c>
      <c r="G2793" s="562" t="s">
        <v>191</v>
      </c>
      <c r="H2793" s="562" t="s">
        <v>191</v>
      </c>
    </row>
    <row r="2794" spans="1:8" x14ac:dyDescent="0.2">
      <c r="A2794" s="562" t="s">
        <v>278</v>
      </c>
      <c r="B2794" s="562" t="s">
        <v>1952</v>
      </c>
      <c r="C2794" s="562" t="s">
        <v>770</v>
      </c>
      <c r="D2794" s="562">
        <v>2</v>
      </c>
      <c r="E2794" s="562">
        <v>5</v>
      </c>
      <c r="F2794" s="562" t="s">
        <v>345</v>
      </c>
      <c r="G2794" s="562" t="s">
        <v>191</v>
      </c>
      <c r="H2794" s="562" t="s">
        <v>191</v>
      </c>
    </row>
    <row r="2795" spans="1:8" x14ac:dyDescent="0.2">
      <c r="A2795" s="562" t="s">
        <v>278</v>
      </c>
      <c r="B2795" s="562" t="s">
        <v>1952</v>
      </c>
      <c r="C2795" s="562" t="s">
        <v>1959</v>
      </c>
      <c r="D2795" s="562">
        <v>2</v>
      </c>
      <c r="E2795" s="562">
        <v>5</v>
      </c>
      <c r="F2795" s="562" t="s">
        <v>345</v>
      </c>
      <c r="G2795" s="562" t="s">
        <v>191</v>
      </c>
      <c r="H2795" s="562" t="s">
        <v>191</v>
      </c>
    </row>
    <row r="2796" spans="1:8" x14ac:dyDescent="0.2">
      <c r="A2796" s="562" t="s">
        <v>278</v>
      </c>
      <c r="B2796" s="562" t="s">
        <v>1952</v>
      </c>
      <c r="C2796" s="562" t="s">
        <v>291</v>
      </c>
      <c r="D2796" s="562">
        <v>2</v>
      </c>
      <c r="E2796" s="562">
        <v>6</v>
      </c>
      <c r="F2796" s="562" t="s">
        <v>345</v>
      </c>
      <c r="G2796" s="562" t="s">
        <v>191</v>
      </c>
      <c r="H2796" s="562" t="s">
        <v>191</v>
      </c>
    </row>
    <row r="2797" spans="1:8" x14ac:dyDescent="0.2">
      <c r="A2797" s="562" t="s">
        <v>278</v>
      </c>
      <c r="B2797" s="562" t="s">
        <v>1952</v>
      </c>
      <c r="C2797" s="562" t="s">
        <v>1960</v>
      </c>
      <c r="D2797" s="562">
        <v>1</v>
      </c>
      <c r="E2797" s="562">
        <v>5</v>
      </c>
      <c r="F2797" s="562" t="s">
        <v>345</v>
      </c>
      <c r="G2797" s="562" t="s">
        <v>191</v>
      </c>
      <c r="H2797" s="562" t="s">
        <v>191</v>
      </c>
    </row>
    <row r="2798" spans="1:8" x14ac:dyDescent="0.2">
      <c r="A2798" s="562" t="s">
        <v>278</v>
      </c>
      <c r="B2798" s="562" t="s">
        <v>1952</v>
      </c>
      <c r="C2798" s="562" t="s">
        <v>1961</v>
      </c>
      <c r="D2798" s="562">
        <v>2</v>
      </c>
      <c r="E2798" s="562">
        <v>6</v>
      </c>
      <c r="F2798" s="562" t="s">
        <v>345</v>
      </c>
      <c r="G2798" s="562" t="s">
        <v>191</v>
      </c>
      <c r="H2798" s="562" t="s">
        <v>191</v>
      </c>
    </row>
    <row r="2799" spans="1:8" x14ac:dyDescent="0.2">
      <c r="A2799" s="562" t="s">
        <v>278</v>
      </c>
      <c r="B2799" s="562" t="s">
        <v>1952</v>
      </c>
      <c r="C2799" s="562" t="s">
        <v>1962</v>
      </c>
      <c r="D2799" s="562">
        <v>2</v>
      </c>
      <c r="E2799" s="562">
        <v>5</v>
      </c>
      <c r="F2799" s="562" t="s">
        <v>345</v>
      </c>
      <c r="G2799" s="562" t="s">
        <v>191</v>
      </c>
      <c r="H2799" s="562" t="s">
        <v>191</v>
      </c>
    </row>
    <row r="2800" spans="1:8" x14ac:dyDescent="0.2">
      <c r="A2800" s="562" t="s">
        <v>278</v>
      </c>
      <c r="B2800" s="562" t="s">
        <v>1952</v>
      </c>
      <c r="C2800" s="562" t="s">
        <v>526</v>
      </c>
      <c r="D2800" s="562">
        <v>2</v>
      </c>
      <c r="E2800" s="562">
        <v>5</v>
      </c>
      <c r="F2800" s="562" t="s">
        <v>345</v>
      </c>
      <c r="G2800" s="562" t="s">
        <v>191</v>
      </c>
      <c r="H2800" s="562" t="s">
        <v>191</v>
      </c>
    </row>
    <row r="2801" spans="1:8" x14ac:dyDescent="0.2">
      <c r="A2801" s="562" t="s">
        <v>278</v>
      </c>
      <c r="B2801" s="562" t="s">
        <v>1952</v>
      </c>
      <c r="C2801" s="562" t="s">
        <v>1963</v>
      </c>
      <c r="D2801" s="562">
        <v>1</v>
      </c>
      <c r="E2801" s="562">
        <v>5</v>
      </c>
      <c r="F2801" s="562" t="s">
        <v>345</v>
      </c>
      <c r="G2801" s="562" t="s">
        <v>191</v>
      </c>
      <c r="H2801" s="562" t="s">
        <v>191</v>
      </c>
    </row>
    <row r="2802" spans="1:8" x14ac:dyDescent="0.2">
      <c r="A2802" s="562" t="s">
        <v>278</v>
      </c>
      <c r="B2802" s="562" t="s">
        <v>1952</v>
      </c>
      <c r="C2802" s="562" t="s">
        <v>410</v>
      </c>
      <c r="D2802" s="562">
        <v>1</v>
      </c>
      <c r="E2802" s="562">
        <v>5</v>
      </c>
      <c r="F2802" s="562" t="s">
        <v>345</v>
      </c>
      <c r="G2802" s="562" t="s">
        <v>191</v>
      </c>
      <c r="H2802" s="562" t="s">
        <v>191</v>
      </c>
    </row>
    <row r="2803" spans="1:8" x14ac:dyDescent="0.2">
      <c r="A2803" s="562" t="s">
        <v>278</v>
      </c>
      <c r="B2803" s="562" t="s">
        <v>1952</v>
      </c>
      <c r="C2803" s="562" t="s">
        <v>529</v>
      </c>
      <c r="D2803" s="562">
        <v>2</v>
      </c>
      <c r="E2803" s="562">
        <v>6</v>
      </c>
      <c r="F2803" s="562" t="s">
        <v>345</v>
      </c>
      <c r="G2803" s="562" t="s">
        <v>191</v>
      </c>
      <c r="H2803" s="562" t="s">
        <v>191</v>
      </c>
    </row>
    <row r="2804" spans="1:8" x14ac:dyDescent="0.2">
      <c r="A2804" s="562" t="s">
        <v>278</v>
      </c>
      <c r="B2804" s="562" t="s">
        <v>1952</v>
      </c>
      <c r="C2804" s="562" t="s">
        <v>1964</v>
      </c>
      <c r="D2804" s="562">
        <v>2</v>
      </c>
      <c r="E2804" s="562">
        <v>5</v>
      </c>
      <c r="F2804" s="562" t="s">
        <v>345</v>
      </c>
      <c r="G2804" s="562" t="s">
        <v>191</v>
      </c>
      <c r="H2804" s="562" t="s">
        <v>191</v>
      </c>
    </row>
    <row r="2805" spans="1:8" x14ac:dyDescent="0.2">
      <c r="A2805" s="562" t="s">
        <v>278</v>
      </c>
      <c r="B2805" s="562" t="s">
        <v>1952</v>
      </c>
      <c r="C2805" s="562" t="s">
        <v>1965</v>
      </c>
      <c r="D2805" s="562">
        <v>1</v>
      </c>
      <c r="E2805" s="562">
        <v>6</v>
      </c>
      <c r="F2805" s="562" t="s">
        <v>345</v>
      </c>
      <c r="G2805" s="562" t="s">
        <v>191</v>
      </c>
      <c r="H2805" s="562" t="s">
        <v>191</v>
      </c>
    </row>
    <row r="2806" spans="1:8" x14ac:dyDescent="0.2">
      <c r="A2806" s="562" t="s">
        <v>278</v>
      </c>
      <c r="B2806" s="562" t="s">
        <v>1952</v>
      </c>
      <c r="C2806" s="562" t="s">
        <v>1966</v>
      </c>
      <c r="D2806" s="562">
        <v>2</v>
      </c>
      <c r="E2806" s="562">
        <v>5</v>
      </c>
      <c r="F2806" s="562" t="s">
        <v>345</v>
      </c>
      <c r="G2806" s="562" t="s">
        <v>191</v>
      </c>
      <c r="H2806" s="562" t="s">
        <v>191</v>
      </c>
    </row>
    <row r="2807" spans="1:8" x14ac:dyDescent="0.2">
      <c r="A2807" s="562" t="s">
        <v>278</v>
      </c>
      <c r="B2807" s="562" t="s">
        <v>1952</v>
      </c>
      <c r="C2807" s="562" t="s">
        <v>1967</v>
      </c>
      <c r="D2807" s="562">
        <v>2</v>
      </c>
      <c r="E2807" s="562">
        <v>6</v>
      </c>
      <c r="F2807" s="562" t="s">
        <v>345</v>
      </c>
      <c r="G2807" s="562" t="s">
        <v>191</v>
      </c>
      <c r="H2807" s="562" t="s">
        <v>191</v>
      </c>
    </row>
    <row r="2808" spans="1:8" x14ac:dyDescent="0.2">
      <c r="A2808" s="562" t="s">
        <v>278</v>
      </c>
      <c r="B2808" s="562" t="s">
        <v>1952</v>
      </c>
      <c r="C2808" s="562" t="s">
        <v>309</v>
      </c>
      <c r="D2808" s="562">
        <v>2</v>
      </c>
      <c r="E2808" s="562">
        <v>3</v>
      </c>
      <c r="F2808" s="562" t="s">
        <v>345</v>
      </c>
      <c r="G2808" s="562" t="s">
        <v>191</v>
      </c>
      <c r="H2808" s="562" t="s">
        <v>191</v>
      </c>
    </row>
    <row r="2809" spans="1:8" x14ac:dyDescent="0.2">
      <c r="A2809" s="562" t="s">
        <v>278</v>
      </c>
      <c r="B2809" s="562" t="s">
        <v>1952</v>
      </c>
      <c r="C2809" s="562" t="s">
        <v>700</v>
      </c>
      <c r="D2809" s="562">
        <v>2</v>
      </c>
      <c r="E2809" s="562">
        <v>5</v>
      </c>
      <c r="F2809" s="562" t="s">
        <v>345</v>
      </c>
      <c r="G2809" s="562" t="s">
        <v>191</v>
      </c>
      <c r="H2809" s="562" t="s">
        <v>191</v>
      </c>
    </row>
    <row r="2810" spans="1:8" x14ac:dyDescent="0.2">
      <c r="A2810" s="562" t="s">
        <v>278</v>
      </c>
      <c r="B2810" s="562" t="s">
        <v>1952</v>
      </c>
      <c r="C2810" s="562" t="s">
        <v>1968</v>
      </c>
      <c r="D2810" s="562">
        <v>2</v>
      </c>
      <c r="E2810" s="562">
        <v>5</v>
      </c>
      <c r="F2810" s="562" t="s">
        <v>345</v>
      </c>
      <c r="G2810" s="562" t="s">
        <v>191</v>
      </c>
      <c r="H2810" s="562" t="s">
        <v>191</v>
      </c>
    </row>
    <row r="2811" spans="1:8" x14ac:dyDescent="0.2">
      <c r="A2811" s="562" t="s">
        <v>280</v>
      </c>
      <c r="B2811" s="562" t="s">
        <v>1969</v>
      </c>
      <c r="C2811" s="562" t="s">
        <v>1970</v>
      </c>
      <c r="D2811" s="562">
        <v>2</v>
      </c>
      <c r="E2811" s="562">
        <v>6</v>
      </c>
      <c r="F2811" s="562" t="s">
        <v>184</v>
      </c>
      <c r="G2811" s="562" t="s">
        <v>191</v>
      </c>
      <c r="H2811" s="562" t="s">
        <v>191</v>
      </c>
    </row>
    <row r="2812" spans="1:8" x14ac:dyDescent="0.2">
      <c r="A2812" s="562" t="s">
        <v>280</v>
      </c>
      <c r="B2812" s="562" t="s">
        <v>1969</v>
      </c>
      <c r="C2812" s="562" t="s">
        <v>1971</v>
      </c>
      <c r="D2812" s="562">
        <v>2</v>
      </c>
      <c r="E2812" s="562">
        <v>6</v>
      </c>
      <c r="F2812" s="562" t="s">
        <v>184</v>
      </c>
      <c r="G2812" s="562" t="s">
        <v>191</v>
      </c>
      <c r="H2812" s="562" t="s">
        <v>191</v>
      </c>
    </row>
    <row r="2813" spans="1:8" x14ac:dyDescent="0.2">
      <c r="A2813" s="562" t="s">
        <v>280</v>
      </c>
      <c r="B2813" s="562" t="s">
        <v>1969</v>
      </c>
      <c r="C2813" s="562" t="s">
        <v>1972</v>
      </c>
      <c r="D2813" s="562">
        <v>2</v>
      </c>
      <c r="E2813" s="562">
        <v>6</v>
      </c>
      <c r="F2813" s="562" t="s">
        <v>184</v>
      </c>
      <c r="G2813" s="562" t="s">
        <v>191</v>
      </c>
      <c r="H2813" s="562" t="s">
        <v>191</v>
      </c>
    </row>
    <row r="2814" spans="1:8" x14ac:dyDescent="0.2">
      <c r="A2814" s="562" t="s">
        <v>280</v>
      </c>
      <c r="B2814" s="562" t="s">
        <v>1969</v>
      </c>
      <c r="C2814" s="562" t="s">
        <v>1973</v>
      </c>
      <c r="D2814" s="562">
        <v>3</v>
      </c>
      <c r="E2814" s="562">
        <v>6</v>
      </c>
      <c r="F2814" s="562" t="s">
        <v>184</v>
      </c>
      <c r="G2814" s="562" t="s">
        <v>191</v>
      </c>
      <c r="H2814" s="562" t="s">
        <v>191</v>
      </c>
    </row>
    <row r="2815" spans="1:8" x14ac:dyDescent="0.2">
      <c r="A2815" s="562" t="s">
        <v>280</v>
      </c>
      <c r="B2815" s="562" t="s">
        <v>1969</v>
      </c>
      <c r="C2815" s="562" t="s">
        <v>1095</v>
      </c>
      <c r="D2815" s="562">
        <v>2</v>
      </c>
      <c r="E2815" s="562">
        <v>6</v>
      </c>
      <c r="F2815" s="562" t="s">
        <v>184</v>
      </c>
      <c r="G2815" s="562" t="s">
        <v>191</v>
      </c>
      <c r="H2815" s="562" t="s">
        <v>191</v>
      </c>
    </row>
    <row r="2816" spans="1:8" x14ac:dyDescent="0.2">
      <c r="A2816" s="562" t="s">
        <v>280</v>
      </c>
      <c r="B2816" s="562" t="s">
        <v>1969</v>
      </c>
      <c r="C2816" s="562" t="s">
        <v>248</v>
      </c>
      <c r="D2816" s="562">
        <v>2</v>
      </c>
      <c r="E2816" s="562">
        <v>6</v>
      </c>
      <c r="F2816" s="562" t="s">
        <v>184</v>
      </c>
      <c r="G2816" s="562" t="s">
        <v>191</v>
      </c>
      <c r="H2816" s="562" t="s">
        <v>191</v>
      </c>
    </row>
    <row r="2817" spans="1:8" x14ac:dyDescent="0.2">
      <c r="A2817" s="562" t="s">
        <v>280</v>
      </c>
      <c r="B2817" s="562" t="s">
        <v>1969</v>
      </c>
      <c r="C2817" s="562" t="s">
        <v>1974</v>
      </c>
      <c r="D2817" s="562">
        <v>3</v>
      </c>
      <c r="E2817" s="562">
        <v>6</v>
      </c>
      <c r="F2817" s="562" t="s">
        <v>184</v>
      </c>
      <c r="G2817" s="562" t="s">
        <v>191</v>
      </c>
      <c r="H2817" s="562" t="s">
        <v>191</v>
      </c>
    </row>
    <row r="2818" spans="1:8" x14ac:dyDescent="0.2">
      <c r="A2818" s="562" t="s">
        <v>280</v>
      </c>
      <c r="B2818" s="562" t="s">
        <v>1969</v>
      </c>
      <c r="C2818" s="562" t="s">
        <v>1975</v>
      </c>
      <c r="D2818" s="562">
        <v>2</v>
      </c>
      <c r="E2818" s="562">
        <v>6</v>
      </c>
      <c r="F2818" s="562" t="s">
        <v>184</v>
      </c>
      <c r="G2818" s="562" t="s">
        <v>191</v>
      </c>
      <c r="H2818" s="562" t="s">
        <v>191</v>
      </c>
    </row>
    <row r="2819" spans="1:8" x14ac:dyDescent="0.2">
      <c r="A2819" s="562" t="s">
        <v>280</v>
      </c>
      <c r="B2819" s="562" t="s">
        <v>1969</v>
      </c>
      <c r="C2819" s="562" t="s">
        <v>448</v>
      </c>
      <c r="D2819" s="562">
        <v>2</v>
      </c>
      <c r="E2819" s="562">
        <v>6</v>
      </c>
      <c r="F2819" s="562" t="s">
        <v>184</v>
      </c>
      <c r="G2819" s="562" t="s">
        <v>191</v>
      </c>
      <c r="H2819" s="562" t="s">
        <v>191</v>
      </c>
    </row>
    <row r="2820" spans="1:8" x14ac:dyDescent="0.2">
      <c r="A2820" s="562" t="s">
        <v>280</v>
      </c>
      <c r="B2820" s="562" t="s">
        <v>1969</v>
      </c>
      <c r="C2820" s="562" t="s">
        <v>1038</v>
      </c>
      <c r="D2820" s="562">
        <v>2</v>
      </c>
      <c r="E2820" s="562">
        <v>6</v>
      </c>
      <c r="F2820" s="562" t="s">
        <v>184</v>
      </c>
      <c r="G2820" s="562" t="s">
        <v>191</v>
      </c>
      <c r="H2820" s="562" t="s">
        <v>191</v>
      </c>
    </row>
    <row r="2821" spans="1:8" x14ac:dyDescent="0.2">
      <c r="A2821" s="562" t="s">
        <v>280</v>
      </c>
      <c r="B2821" s="562" t="s">
        <v>1969</v>
      </c>
      <c r="C2821" s="562" t="s">
        <v>1976</v>
      </c>
      <c r="D2821" s="562">
        <v>2</v>
      </c>
      <c r="E2821" s="562">
        <v>6</v>
      </c>
      <c r="F2821" s="562" t="s">
        <v>184</v>
      </c>
      <c r="G2821" s="562" t="s">
        <v>191</v>
      </c>
      <c r="H2821" s="562" t="s">
        <v>191</v>
      </c>
    </row>
    <row r="2822" spans="1:8" x14ac:dyDescent="0.2">
      <c r="A2822" s="562" t="s">
        <v>280</v>
      </c>
      <c r="B2822" s="562" t="s">
        <v>1969</v>
      </c>
      <c r="C2822" s="562" t="s">
        <v>309</v>
      </c>
      <c r="D2822" s="562">
        <v>2</v>
      </c>
      <c r="E2822" s="562">
        <v>6</v>
      </c>
      <c r="F2822" s="562" t="s">
        <v>184</v>
      </c>
      <c r="G2822" s="562" t="s">
        <v>191</v>
      </c>
      <c r="H2822" s="562" t="s">
        <v>191</v>
      </c>
    </row>
    <row r="2823" spans="1:8" x14ac:dyDescent="0.2">
      <c r="A2823" s="562" t="s">
        <v>280</v>
      </c>
      <c r="B2823" s="562" t="s">
        <v>1969</v>
      </c>
      <c r="C2823" s="562" t="s">
        <v>540</v>
      </c>
      <c r="D2823" s="562">
        <v>2</v>
      </c>
      <c r="E2823" s="562">
        <v>6</v>
      </c>
      <c r="F2823" s="562" t="s">
        <v>184</v>
      </c>
      <c r="G2823" s="562" t="s">
        <v>191</v>
      </c>
      <c r="H2823" s="562" t="s">
        <v>191</v>
      </c>
    </row>
    <row r="2824" spans="1:8" x14ac:dyDescent="0.2">
      <c r="A2824" s="562" t="s">
        <v>280</v>
      </c>
      <c r="B2824" s="562" t="s">
        <v>1969</v>
      </c>
      <c r="C2824" s="562" t="s">
        <v>1977</v>
      </c>
      <c r="D2824" s="562">
        <v>2</v>
      </c>
      <c r="E2824" s="562">
        <v>6</v>
      </c>
      <c r="F2824" s="562" t="s">
        <v>184</v>
      </c>
      <c r="G2824" s="562" t="s">
        <v>191</v>
      </c>
      <c r="H2824" s="562" t="s">
        <v>191</v>
      </c>
    </row>
    <row r="2825" spans="1:8" x14ac:dyDescent="0.2">
      <c r="A2825" s="562" t="s">
        <v>300</v>
      </c>
      <c r="B2825" s="562"/>
      <c r="C2825" s="562" t="s">
        <v>1978</v>
      </c>
      <c r="D2825" s="562" t="s">
        <v>191</v>
      </c>
      <c r="E2825" s="562">
        <v>1</v>
      </c>
      <c r="F2825" s="562" t="s">
        <v>184</v>
      </c>
      <c r="G2825" s="562" t="s">
        <v>190</v>
      </c>
      <c r="H2825" s="562" t="s">
        <v>186</v>
      </c>
    </row>
    <row r="2826" spans="1:8" x14ac:dyDescent="0.2">
      <c r="A2826" s="562" t="s">
        <v>282</v>
      </c>
      <c r="B2826" s="562" t="s">
        <v>1979</v>
      </c>
      <c r="C2826" s="562" t="s">
        <v>1980</v>
      </c>
      <c r="D2826" s="562">
        <v>3</v>
      </c>
      <c r="E2826" s="562">
        <v>4</v>
      </c>
      <c r="F2826" s="562" t="s">
        <v>184</v>
      </c>
      <c r="G2826" s="562" t="s">
        <v>191</v>
      </c>
      <c r="H2826" s="562" t="s">
        <v>191</v>
      </c>
    </row>
    <row r="2827" spans="1:8" x14ac:dyDescent="0.2">
      <c r="A2827" s="562" t="s">
        <v>282</v>
      </c>
      <c r="B2827" s="562" t="s">
        <v>1979</v>
      </c>
      <c r="C2827" s="562" t="s">
        <v>1981</v>
      </c>
      <c r="D2827" s="562">
        <v>2</v>
      </c>
      <c r="E2827" s="562">
        <v>4</v>
      </c>
      <c r="F2827" s="562" t="s">
        <v>184</v>
      </c>
      <c r="G2827" s="562" t="s">
        <v>191</v>
      </c>
      <c r="H2827" s="562" t="s">
        <v>191</v>
      </c>
    </row>
    <row r="2828" spans="1:8" x14ac:dyDescent="0.2">
      <c r="A2828" s="562" t="s">
        <v>282</v>
      </c>
      <c r="B2828" s="562" t="s">
        <v>1979</v>
      </c>
      <c r="C2828" s="562" t="s">
        <v>1982</v>
      </c>
      <c r="D2828" s="562">
        <v>3</v>
      </c>
      <c r="E2828" s="562">
        <v>4</v>
      </c>
      <c r="F2828" s="562" t="s">
        <v>184</v>
      </c>
      <c r="G2828" s="562" t="s">
        <v>191</v>
      </c>
      <c r="H2828" s="562" t="s">
        <v>191</v>
      </c>
    </row>
    <row r="2829" spans="1:8" x14ac:dyDescent="0.2">
      <c r="A2829" s="562" t="s">
        <v>282</v>
      </c>
      <c r="B2829" s="562" t="s">
        <v>1979</v>
      </c>
      <c r="C2829" s="562" t="s">
        <v>1471</v>
      </c>
      <c r="D2829" s="562">
        <v>1</v>
      </c>
      <c r="E2829" s="562">
        <v>4</v>
      </c>
      <c r="F2829" s="562" t="s">
        <v>184</v>
      </c>
      <c r="G2829" s="562" t="s">
        <v>191</v>
      </c>
      <c r="H2829" s="562" t="s">
        <v>191</v>
      </c>
    </row>
    <row r="2830" spans="1:8" x14ac:dyDescent="0.2">
      <c r="A2830" s="562" t="s">
        <v>282</v>
      </c>
      <c r="B2830" s="562" t="s">
        <v>1979</v>
      </c>
      <c r="C2830" s="562" t="s">
        <v>1983</v>
      </c>
      <c r="D2830" s="562">
        <v>1</v>
      </c>
      <c r="E2830" s="562">
        <v>4</v>
      </c>
      <c r="F2830" s="562" t="s">
        <v>184</v>
      </c>
      <c r="G2830" s="562" t="s">
        <v>191</v>
      </c>
      <c r="H2830" s="562" t="s">
        <v>191</v>
      </c>
    </row>
    <row r="2831" spans="1:8" x14ac:dyDescent="0.2">
      <c r="A2831" s="562" t="s">
        <v>282</v>
      </c>
      <c r="B2831" s="562" t="s">
        <v>1979</v>
      </c>
      <c r="C2831" s="562" t="s">
        <v>1984</v>
      </c>
      <c r="D2831" s="562">
        <v>2</v>
      </c>
      <c r="E2831" s="562">
        <v>4</v>
      </c>
      <c r="F2831" s="562" t="s">
        <v>184</v>
      </c>
      <c r="G2831" s="562" t="s">
        <v>191</v>
      </c>
      <c r="H2831" s="562" t="s">
        <v>191</v>
      </c>
    </row>
    <row r="2832" spans="1:8" x14ac:dyDescent="0.2">
      <c r="A2832" s="562" t="s">
        <v>282</v>
      </c>
      <c r="B2832" s="562" t="s">
        <v>1979</v>
      </c>
      <c r="C2832" s="562" t="s">
        <v>1985</v>
      </c>
      <c r="D2832" s="562">
        <v>1</v>
      </c>
      <c r="E2832" s="562">
        <v>4</v>
      </c>
      <c r="F2832" s="562" t="s">
        <v>184</v>
      </c>
      <c r="G2832" s="562" t="s">
        <v>191</v>
      </c>
      <c r="H2832" s="562" t="s">
        <v>191</v>
      </c>
    </row>
    <row r="2833" spans="1:8" x14ac:dyDescent="0.2">
      <c r="A2833" s="562" t="s">
        <v>282</v>
      </c>
      <c r="B2833" s="562" t="s">
        <v>1979</v>
      </c>
      <c r="C2833" s="562" t="s">
        <v>1986</v>
      </c>
      <c r="D2833" s="562">
        <v>2</v>
      </c>
      <c r="E2833" s="562">
        <v>4</v>
      </c>
      <c r="F2833" s="562" t="s">
        <v>184</v>
      </c>
      <c r="G2833" s="562" t="s">
        <v>191</v>
      </c>
      <c r="H2833" s="562" t="s">
        <v>191</v>
      </c>
    </row>
    <row r="2834" spans="1:8" x14ac:dyDescent="0.2">
      <c r="A2834" s="562" t="s">
        <v>282</v>
      </c>
      <c r="B2834" s="562" t="s">
        <v>1979</v>
      </c>
      <c r="C2834" s="562" t="s">
        <v>1987</v>
      </c>
      <c r="D2834" s="562">
        <v>1</v>
      </c>
      <c r="E2834" s="562">
        <v>4</v>
      </c>
      <c r="F2834" s="562" t="s">
        <v>184</v>
      </c>
      <c r="G2834" s="562" t="s">
        <v>191</v>
      </c>
      <c r="H2834" s="562" t="s">
        <v>191</v>
      </c>
    </row>
    <row r="2835" spans="1:8" x14ac:dyDescent="0.2">
      <c r="A2835" s="562" t="s">
        <v>282</v>
      </c>
      <c r="B2835" s="562" t="s">
        <v>1979</v>
      </c>
      <c r="C2835" s="562" t="s">
        <v>961</v>
      </c>
      <c r="D2835" s="562">
        <v>1</v>
      </c>
      <c r="E2835" s="562">
        <v>4</v>
      </c>
      <c r="F2835" s="562" t="s">
        <v>184</v>
      </c>
      <c r="G2835" s="562" t="s">
        <v>191</v>
      </c>
      <c r="H2835" s="562" t="s">
        <v>191</v>
      </c>
    </row>
    <row r="2836" spans="1:8" x14ac:dyDescent="0.2">
      <c r="A2836" s="562" t="s">
        <v>282</v>
      </c>
      <c r="B2836" s="562" t="s">
        <v>1979</v>
      </c>
      <c r="C2836" s="562" t="s">
        <v>1665</v>
      </c>
      <c r="D2836" s="562">
        <v>2</v>
      </c>
      <c r="E2836" s="562">
        <v>4</v>
      </c>
      <c r="F2836" s="562" t="s">
        <v>184</v>
      </c>
      <c r="G2836" s="562" t="s">
        <v>191</v>
      </c>
      <c r="H2836" s="562" t="s">
        <v>191</v>
      </c>
    </row>
    <row r="2837" spans="1:8" x14ac:dyDescent="0.2">
      <c r="A2837" s="562" t="s">
        <v>282</v>
      </c>
      <c r="B2837" s="562" t="s">
        <v>1979</v>
      </c>
      <c r="C2837" s="562" t="s">
        <v>1988</v>
      </c>
      <c r="D2837" s="562">
        <v>1</v>
      </c>
      <c r="E2837" s="562">
        <v>4</v>
      </c>
      <c r="F2837" s="562" t="s">
        <v>184</v>
      </c>
      <c r="G2837" s="562" t="s">
        <v>191</v>
      </c>
      <c r="H2837" s="562" t="s">
        <v>191</v>
      </c>
    </row>
    <row r="2838" spans="1:8" x14ac:dyDescent="0.2">
      <c r="A2838" s="562" t="s">
        <v>282</v>
      </c>
      <c r="B2838" s="562" t="s">
        <v>1979</v>
      </c>
      <c r="C2838" s="562" t="s">
        <v>1989</v>
      </c>
      <c r="D2838" s="562">
        <v>1</v>
      </c>
      <c r="E2838" s="562">
        <v>4</v>
      </c>
      <c r="F2838" s="562" t="s">
        <v>184</v>
      </c>
      <c r="G2838" s="562" t="s">
        <v>191</v>
      </c>
      <c r="H2838" s="562" t="s">
        <v>191</v>
      </c>
    </row>
    <row r="2839" spans="1:8" x14ac:dyDescent="0.2">
      <c r="A2839" s="562" t="s">
        <v>282</v>
      </c>
      <c r="B2839" s="562" t="s">
        <v>1979</v>
      </c>
      <c r="C2839" s="562" t="s">
        <v>1990</v>
      </c>
      <c r="D2839" s="562">
        <v>1</v>
      </c>
      <c r="E2839" s="562">
        <v>4</v>
      </c>
      <c r="F2839" s="562" t="s">
        <v>184</v>
      </c>
      <c r="G2839" s="562" t="s">
        <v>191</v>
      </c>
      <c r="H2839" s="562" t="s">
        <v>191</v>
      </c>
    </row>
    <row r="2840" spans="1:8" x14ac:dyDescent="0.2">
      <c r="A2840" s="562" t="s">
        <v>282</v>
      </c>
      <c r="B2840" s="562" t="s">
        <v>1979</v>
      </c>
      <c r="C2840" s="562" t="s">
        <v>1478</v>
      </c>
      <c r="D2840" s="562">
        <v>1</v>
      </c>
      <c r="E2840" s="562">
        <v>4</v>
      </c>
      <c r="F2840" s="562" t="s">
        <v>184</v>
      </c>
      <c r="G2840" s="562" t="s">
        <v>191</v>
      </c>
      <c r="H2840" s="562" t="s">
        <v>191</v>
      </c>
    </row>
    <row r="2841" spans="1:8" x14ac:dyDescent="0.2">
      <c r="A2841" s="562" t="s">
        <v>282</v>
      </c>
      <c r="B2841" s="562" t="s">
        <v>1979</v>
      </c>
      <c r="C2841" s="562" t="s">
        <v>851</v>
      </c>
      <c r="D2841" s="562">
        <v>2</v>
      </c>
      <c r="E2841" s="562">
        <v>4</v>
      </c>
      <c r="F2841" s="562" t="s">
        <v>184</v>
      </c>
      <c r="G2841" s="562" t="s">
        <v>191</v>
      </c>
      <c r="H2841" s="562" t="s">
        <v>191</v>
      </c>
    </row>
    <row r="2842" spans="1:8" x14ac:dyDescent="0.2">
      <c r="A2842" s="562" t="s">
        <v>282</v>
      </c>
      <c r="B2842" s="562" t="s">
        <v>1979</v>
      </c>
      <c r="C2842" s="562" t="s">
        <v>1991</v>
      </c>
      <c r="D2842" s="562">
        <v>1</v>
      </c>
      <c r="E2842" s="562">
        <v>4</v>
      </c>
      <c r="F2842" s="562" t="s">
        <v>184</v>
      </c>
      <c r="G2842" s="562" t="s">
        <v>191</v>
      </c>
      <c r="H2842" s="562" t="s">
        <v>191</v>
      </c>
    </row>
    <row r="2843" spans="1:8" x14ac:dyDescent="0.2">
      <c r="A2843" s="562" t="s">
        <v>282</v>
      </c>
      <c r="B2843" s="562" t="s">
        <v>1979</v>
      </c>
      <c r="C2843" s="562" t="s">
        <v>1992</v>
      </c>
      <c r="D2843" s="562">
        <v>1</v>
      </c>
      <c r="E2843" s="562">
        <v>4</v>
      </c>
      <c r="F2843" s="562" t="s">
        <v>184</v>
      </c>
      <c r="G2843" s="562" t="s">
        <v>191</v>
      </c>
      <c r="H2843" s="562" t="s">
        <v>191</v>
      </c>
    </row>
    <row r="2844" spans="1:8" x14ac:dyDescent="0.2">
      <c r="A2844" s="562" t="s">
        <v>282</v>
      </c>
      <c r="B2844" s="562" t="s">
        <v>1979</v>
      </c>
      <c r="C2844" s="562" t="s">
        <v>971</v>
      </c>
      <c r="D2844" s="562">
        <v>1</v>
      </c>
      <c r="E2844" s="562">
        <v>4</v>
      </c>
      <c r="F2844" s="562" t="s">
        <v>184</v>
      </c>
      <c r="G2844" s="562" t="s">
        <v>191</v>
      </c>
      <c r="H2844" s="562" t="s">
        <v>191</v>
      </c>
    </row>
    <row r="2845" spans="1:8" x14ac:dyDescent="0.2">
      <c r="A2845" s="562" t="s">
        <v>282</v>
      </c>
      <c r="B2845" s="562" t="s">
        <v>1979</v>
      </c>
      <c r="C2845" s="562" t="s">
        <v>1078</v>
      </c>
      <c r="D2845" s="562">
        <v>3</v>
      </c>
      <c r="E2845" s="562">
        <v>4</v>
      </c>
      <c r="F2845" s="562" t="s">
        <v>184</v>
      </c>
      <c r="G2845" s="562" t="s">
        <v>191</v>
      </c>
      <c r="H2845" s="562" t="s">
        <v>191</v>
      </c>
    </row>
    <row r="2846" spans="1:8" x14ac:dyDescent="0.2">
      <c r="A2846" s="562" t="s">
        <v>282</v>
      </c>
      <c r="B2846" s="562" t="s">
        <v>1979</v>
      </c>
      <c r="C2846" s="562" t="s">
        <v>367</v>
      </c>
      <c r="D2846" s="562">
        <v>2</v>
      </c>
      <c r="E2846" s="562">
        <v>4</v>
      </c>
      <c r="F2846" s="562" t="s">
        <v>184</v>
      </c>
      <c r="G2846" s="562" t="s">
        <v>191</v>
      </c>
      <c r="H2846" s="562" t="s">
        <v>191</v>
      </c>
    </row>
    <row r="2847" spans="1:8" x14ac:dyDescent="0.2">
      <c r="A2847" s="562" t="s">
        <v>282</v>
      </c>
      <c r="B2847" s="562" t="s">
        <v>1979</v>
      </c>
      <c r="C2847" s="562" t="s">
        <v>1993</v>
      </c>
      <c r="D2847" s="562">
        <v>3</v>
      </c>
      <c r="E2847" s="562">
        <v>4</v>
      </c>
      <c r="F2847" s="562" t="s">
        <v>184</v>
      </c>
      <c r="G2847" s="562" t="s">
        <v>191</v>
      </c>
      <c r="H2847" s="562" t="s">
        <v>191</v>
      </c>
    </row>
    <row r="2848" spans="1:8" x14ac:dyDescent="0.2">
      <c r="A2848" s="562" t="s">
        <v>282</v>
      </c>
      <c r="B2848" s="562" t="s">
        <v>1979</v>
      </c>
      <c r="C2848" s="562" t="s">
        <v>554</v>
      </c>
      <c r="D2848" s="562">
        <v>2</v>
      </c>
      <c r="E2848" s="562">
        <v>4</v>
      </c>
      <c r="F2848" s="562" t="s">
        <v>184</v>
      </c>
      <c r="G2848" s="562" t="s">
        <v>191</v>
      </c>
      <c r="H2848" s="562" t="s">
        <v>191</v>
      </c>
    </row>
    <row r="2849" spans="1:8" x14ac:dyDescent="0.2">
      <c r="A2849" s="562" t="s">
        <v>282</v>
      </c>
      <c r="B2849" s="562" t="s">
        <v>1979</v>
      </c>
      <c r="C2849" s="562" t="s">
        <v>1994</v>
      </c>
      <c r="D2849" s="562">
        <v>2</v>
      </c>
      <c r="E2849" s="562">
        <v>4</v>
      </c>
      <c r="F2849" s="562" t="s">
        <v>184</v>
      </c>
      <c r="G2849" s="562" t="s">
        <v>191</v>
      </c>
      <c r="H2849" s="562" t="s">
        <v>191</v>
      </c>
    </row>
    <row r="2850" spans="1:8" x14ac:dyDescent="0.2">
      <c r="A2850" s="562" t="s">
        <v>282</v>
      </c>
      <c r="B2850" s="562" t="s">
        <v>1979</v>
      </c>
      <c r="C2850" s="562" t="s">
        <v>1995</v>
      </c>
      <c r="D2850" s="562">
        <v>3</v>
      </c>
      <c r="E2850" s="562">
        <v>4</v>
      </c>
      <c r="F2850" s="562" t="s">
        <v>184</v>
      </c>
      <c r="G2850" s="562" t="s">
        <v>191</v>
      </c>
      <c r="H2850" s="562" t="s">
        <v>191</v>
      </c>
    </row>
    <row r="2851" spans="1:8" x14ac:dyDescent="0.2">
      <c r="A2851" s="562" t="s">
        <v>282</v>
      </c>
      <c r="B2851" s="562" t="s">
        <v>1979</v>
      </c>
      <c r="C2851" s="562" t="s">
        <v>1707</v>
      </c>
      <c r="D2851" s="562">
        <v>1</v>
      </c>
      <c r="E2851" s="562">
        <v>4</v>
      </c>
      <c r="F2851" s="562" t="s">
        <v>184</v>
      </c>
      <c r="G2851" s="562" t="s">
        <v>191</v>
      </c>
      <c r="H2851" s="562" t="s">
        <v>191</v>
      </c>
    </row>
    <row r="2852" spans="1:8" x14ac:dyDescent="0.2">
      <c r="A2852" s="562" t="s">
        <v>282</v>
      </c>
      <c r="B2852" s="562" t="s">
        <v>1979</v>
      </c>
      <c r="C2852" s="562" t="s">
        <v>214</v>
      </c>
      <c r="D2852" s="562">
        <v>1</v>
      </c>
      <c r="E2852" s="562">
        <v>4</v>
      </c>
      <c r="F2852" s="562" t="s">
        <v>184</v>
      </c>
      <c r="G2852" s="562" t="s">
        <v>191</v>
      </c>
      <c r="H2852" s="562" t="s">
        <v>191</v>
      </c>
    </row>
    <row r="2853" spans="1:8" x14ac:dyDescent="0.2">
      <c r="A2853" s="562" t="s">
        <v>282</v>
      </c>
      <c r="B2853" s="562" t="s">
        <v>1979</v>
      </c>
      <c r="C2853" s="562" t="s">
        <v>1996</v>
      </c>
      <c r="D2853" s="562">
        <v>3</v>
      </c>
      <c r="E2853" s="562">
        <v>4</v>
      </c>
      <c r="F2853" s="562" t="s">
        <v>184</v>
      </c>
      <c r="G2853" s="562" t="s">
        <v>191</v>
      </c>
      <c r="H2853" s="562" t="s">
        <v>191</v>
      </c>
    </row>
    <row r="2854" spans="1:8" x14ac:dyDescent="0.2">
      <c r="A2854" s="562" t="s">
        <v>282</v>
      </c>
      <c r="B2854" s="562" t="s">
        <v>1979</v>
      </c>
      <c r="C2854" s="562" t="s">
        <v>1997</v>
      </c>
      <c r="D2854" s="562">
        <v>1</v>
      </c>
      <c r="E2854" s="562">
        <v>4</v>
      </c>
      <c r="F2854" s="562" t="s">
        <v>184</v>
      </c>
      <c r="G2854" s="562" t="s">
        <v>191</v>
      </c>
      <c r="H2854" s="562" t="s">
        <v>191</v>
      </c>
    </row>
    <row r="2855" spans="1:8" x14ac:dyDescent="0.2">
      <c r="A2855" s="562" t="s">
        <v>282</v>
      </c>
      <c r="B2855" s="562" t="s">
        <v>1979</v>
      </c>
      <c r="C2855" s="562" t="s">
        <v>1612</v>
      </c>
      <c r="D2855" s="562">
        <v>1</v>
      </c>
      <c r="E2855" s="562">
        <v>4</v>
      </c>
      <c r="F2855" s="562" t="s">
        <v>184</v>
      </c>
      <c r="G2855" s="562" t="s">
        <v>191</v>
      </c>
      <c r="H2855" s="562" t="s">
        <v>191</v>
      </c>
    </row>
    <row r="2856" spans="1:8" x14ac:dyDescent="0.2">
      <c r="A2856" s="562" t="s">
        <v>282</v>
      </c>
      <c r="B2856" s="562" t="s">
        <v>1979</v>
      </c>
      <c r="C2856" s="562" t="s">
        <v>1998</v>
      </c>
      <c r="D2856" s="562">
        <v>2</v>
      </c>
      <c r="E2856" s="562">
        <v>4</v>
      </c>
      <c r="F2856" s="562" t="s">
        <v>184</v>
      </c>
      <c r="G2856" s="562" t="s">
        <v>191</v>
      </c>
      <c r="H2856" s="562" t="s">
        <v>191</v>
      </c>
    </row>
    <row r="2857" spans="1:8" x14ac:dyDescent="0.2">
      <c r="A2857" s="562" t="s">
        <v>282</v>
      </c>
      <c r="B2857" s="562" t="s">
        <v>1979</v>
      </c>
      <c r="C2857" s="562" t="s">
        <v>757</v>
      </c>
      <c r="D2857" s="562">
        <v>1</v>
      </c>
      <c r="E2857" s="562">
        <v>4</v>
      </c>
      <c r="F2857" s="562" t="s">
        <v>184</v>
      </c>
      <c r="G2857" s="562" t="s">
        <v>191</v>
      </c>
      <c r="H2857" s="562" t="s">
        <v>191</v>
      </c>
    </row>
    <row r="2858" spans="1:8" x14ac:dyDescent="0.2">
      <c r="A2858" s="562" t="s">
        <v>282</v>
      </c>
      <c r="B2858" s="562" t="s">
        <v>1979</v>
      </c>
      <c r="C2858" s="562" t="s">
        <v>1999</v>
      </c>
      <c r="D2858" s="562">
        <v>1</v>
      </c>
      <c r="E2858" s="562">
        <v>4</v>
      </c>
      <c r="F2858" s="562" t="s">
        <v>184</v>
      </c>
      <c r="G2858" s="562" t="s">
        <v>191</v>
      </c>
      <c r="H2858" s="562" t="s">
        <v>191</v>
      </c>
    </row>
    <row r="2859" spans="1:8" x14ac:dyDescent="0.2">
      <c r="A2859" s="562" t="s">
        <v>282</v>
      </c>
      <c r="B2859" s="562" t="s">
        <v>1979</v>
      </c>
      <c r="C2859" s="562" t="s">
        <v>2000</v>
      </c>
      <c r="D2859" s="562">
        <v>2</v>
      </c>
      <c r="E2859" s="562">
        <v>4</v>
      </c>
      <c r="F2859" s="562" t="s">
        <v>184</v>
      </c>
      <c r="G2859" s="562" t="s">
        <v>191</v>
      </c>
      <c r="H2859" s="562" t="s">
        <v>191</v>
      </c>
    </row>
    <row r="2860" spans="1:8" x14ac:dyDescent="0.2">
      <c r="A2860" s="562" t="s">
        <v>282</v>
      </c>
      <c r="B2860" s="562" t="s">
        <v>1979</v>
      </c>
      <c r="C2860" s="562" t="s">
        <v>2001</v>
      </c>
      <c r="D2860" s="562">
        <v>1</v>
      </c>
      <c r="E2860" s="562">
        <v>4</v>
      </c>
      <c r="F2860" s="562" t="s">
        <v>184</v>
      </c>
      <c r="G2860" s="562" t="s">
        <v>191</v>
      </c>
      <c r="H2860" s="562" t="s">
        <v>191</v>
      </c>
    </row>
    <row r="2861" spans="1:8" x14ac:dyDescent="0.2">
      <c r="A2861" s="562" t="s">
        <v>282</v>
      </c>
      <c r="B2861" s="562" t="s">
        <v>1979</v>
      </c>
      <c r="C2861" s="562" t="s">
        <v>1095</v>
      </c>
      <c r="D2861" s="562">
        <v>3</v>
      </c>
      <c r="E2861" s="562">
        <v>4</v>
      </c>
      <c r="F2861" s="562" t="s">
        <v>184</v>
      </c>
      <c r="G2861" s="562" t="s">
        <v>191</v>
      </c>
      <c r="H2861" s="562" t="s">
        <v>191</v>
      </c>
    </row>
    <row r="2862" spans="1:8" x14ac:dyDescent="0.2">
      <c r="A2862" s="562" t="s">
        <v>282</v>
      </c>
      <c r="B2862" s="562" t="s">
        <v>1979</v>
      </c>
      <c r="C2862" s="562" t="s">
        <v>2002</v>
      </c>
      <c r="D2862" s="562">
        <v>1</v>
      </c>
      <c r="E2862" s="562">
        <v>4</v>
      </c>
      <c r="F2862" s="562" t="s">
        <v>184</v>
      </c>
      <c r="G2862" s="562" t="s">
        <v>191</v>
      </c>
      <c r="H2862" s="562" t="s">
        <v>191</v>
      </c>
    </row>
    <row r="2863" spans="1:8" x14ac:dyDescent="0.2">
      <c r="A2863" s="562" t="s">
        <v>282</v>
      </c>
      <c r="B2863" s="562" t="s">
        <v>1979</v>
      </c>
      <c r="C2863" s="562" t="s">
        <v>2003</v>
      </c>
      <c r="D2863" s="562">
        <v>1</v>
      </c>
      <c r="E2863" s="562">
        <v>4</v>
      </c>
      <c r="F2863" s="562" t="s">
        <v>184</v>
      </c>
      <c r="G2863" s="562" t="s">
        <v>191</v>
      </c>
      <c r="H2863" s="562" t="s">
        <v>191</v>
      </c>
    </row>
    <row r="2864" spans="1:8" x14ac:dyDescent="0.2">
      <c r="A2864" s="562" t="s">
        <v>282</v>
      </c>
      <c r="B2864" s="562" t="s">
        <v>1979</v>
      </c>
      <c r="C2864" s="562" t="s">
        <v>2004</v>
      </c>
      <c r="D2864" s="562">
        <v>1</v>
      </c>
      <c r="E2864" s="562">
        <v>4</v>
      </c>
      <c r="F2864" s="562" t="s">
        <v>184</v>
      </c>
      <c r="G2864" s="562" t="s">
        <v>191</v>
      </c>
      <c r="H2864" s="562" t="s">
        <v>191</v>
      </c>
    </row>
    <row r="2865" spans="1:8" x14ac:dyDescent="0.2">
      <c r="A2865" s="562" t="s">
        <v>282</v>
      </c>
      <c r="B2865" s="562" t="s">
        <v>1979</v>
      </c>
      <c r="C2865" s="562" t="s">
        <v>2005</v>
      </c>
      <c r="D2865" s="562">
        <v>2</v>
      </c>
      <c r="E2865" s="562">
        <v>4</v>
      </c>
      <c r="F2865" s="562" t="s">
        <v>184</v>
      </c>
      <c r="G2865" s="562" t="s">
        <v>191</v>
      </c>
      <c r="H2865" s="562" t="s">
        <v>191</v>
      </c>
    </row>
    <row r="2866" spans="1:8" x14ac:dyDescent="0.2">
      <c r="A2866" s="562" t="s">
        <v>282</v>
      </c>
      <c r="B2866" s="562" t="s">
        <v>1979</v>
      </c>
      <c r="C2866" s="562" t="s">
        <v>640</v>
      </c>
      <c r="D2866" s="562">
        <v>2</v>
      </c>
      <c r="E2866" s="562">
        <v>4</v>
      </c>
      <c r="F2866" s="562" t="s">
        <v>184</v>
      </c>
      <c r="G2866" s="562" t="s">
        <v>191</v>
      </c>
      <c r="H2866" s="562" t="s">
        <v>191</v>
      </c>
    </row>
    <row r="2867" spans="1:8" x14ac:dyDescent="0.2">
      <c r="A2867" s="562" t="s">
        <v>282</v>
      </c>
      <c r="B2867" s="562" t="s">
        <v>1979</v>
      </c>
      <c r="C2867" s="562" t="s">
        <v>2006</v>
      </c>
      <c r="D2867" s="562">
        <v>1</v>
      </c>
      <c r="E2867" s="562">
        <v>4</v>
      </c>
      <c r="F2867" s="562" t="s">
        <v>184</v>
      </c>
      <c r="G2867" s="562" t="s">
        <v>191</v>
      </c>
      <c r="H2867" s="562" t="s">
        <v>191</v>
      </c>
    </row>
    <row r="2868" spans="1:8" x14ac:dyDescent="0.2">
      <c r="A2868" s="562" t="s">
        <v>282</v>
      </c>
      <c r="B2868" s="562" t="s">
        <v>1979</v>
      </c>
      <c r="C2868" s="562" t="s">
        <v>248</v>
      </c>
      <c r="D2868" s="562">
        <v>2</v>
      </c>
      <c r="E2868" s="562">
        <v>4</v>
      </c>
      <c r="F2868" s="562" t="s">
        <v>184</v>
      </c>
      <c r="G2868" s="562" t="s">
        <v>191</v>
      </c>
      <c r="H2868" s="562" t="s">
        <v>191</v>
      </c>
    </row>
    <row r="2869" spans="1:8" x14ac:dyDescent="0.2">
      <c r="A2869" s="562" t="s">
        <v>282</v>
      </c>
      <c r="B2869" s="562" t="s">
        <v>1979</v>
      </c>
      <c r="C2869" s="562" t="s">
        <v>2007</v>
      </c>
      <c r="D2869" s="562">
        <v>2</v>
      </c>
      <c r="E2869" s="562">
        <v>4</v>
      </c>
      <c r="F2869" s="562" t="s">
        <v>184</v>
      </c>
      <c r="G2869" s="562" t="s">
        <v>191</v>
      </c>
      <c r="H2869" s="562" t="s">
        <v>191</v>
      </c>
    </row>
    <row r="2870" spans="1:8" x14ac:dyDescent="0.2">
      <c r="A2870" s="562" t="s">
        <v>282</v>
      </c>
      <c r="B2870" s="562" t="s">
        <v>1979</v>
      </c>
      <c r="C2870" s="562" t="s">
        <v>1082</v>
      </c>
      <c r="D2870" s="562">
        <v>1</v>
      </c>
      <c r="E2870" s="562">
        <v>4</v>
      </c>
      <c r="F2870" s="562" t="s">
        <v>184</v>
      </c>
      <c r="G2870" s="562" t="s">
        <v>191</v>
      </c>
      <c r="H2870" s="562" t="s">
        <v>191</v>
      </c>
    </row>
    <row r="2871" spans="1:8" x14ac:dyDescent="0.2">
      <c r="A2871" s="562" t="s">
        <v>282</v>
      </c>
      <c r="B2871" s="562" t="s">
        <v>1979</v>
      </c>
      <c r="C2871" s="562" t="s">
        <v>2008</v>
      </c>
      <c r="D2871" s="562">
        <v>1</v>
      </c>
      <c r="E2871" s="562">
        <v>4</v>
      </c>
      <c r="F2871" s="562" t="s">
        <v>184</v>
      </c>
      <c r="G2871" s="562" t="s">
        <v>191</v>
      </c>
      <c r="H2871" s="562" t="s">
        <v>191</v>
      </c>
    </row>
    <row r="2872" spans="1:8" x14ac:dyDescent="0.2">
      <c r="A2872" s="562" t="s">
        <v>282</v>
      </c>
      <c r="B2872" s="562" t="s">
        <v>1979</v>
      </c>
      <c r="C2872" s="562" t="s">
        <v>2009</v>
      </c>
      <c r="D2872" s="562">
        <v>2</v>
      </c>
      <c r="E2872" s="562">
        <v>4</v>
      </c>
      <c r="F2872" s="562" t="s">
        <v>184</v>
      </c>
      <c r="G2872" s="562" t="s">
        <v>191</v>
      </c>
      <c r="H2872" s="562" t="s">
        <v>191</v>
      </c>
    </row>
    <row r="2873" spans="1:8" x14ac:dyDescent="0.2">
      <c r="A2873" s="562" t="s">
        <v>282</v>
      </c>
      <c r="B2873" s="562" t="s">
        <v>1979</v>
      </c>
      <c r="C2873" s="562" t="s">
        <v>1774</v>
      </c>
      <c r="D2873" s="562">
        <v>1</v>
      </c>
      <c r="E2873" s="562">
        <v>4</v>
      </c>
      <c r="F2873" s="562" t="s">
        <v>184</v>
      </c>
      <c r="G2873" s="562" t="s">
        <v>191</v>
      </c>
      <c r="H2873" s="562" t="s">
        <v>191</v>
      </c>
    </row>
    <row r="2874" spans="1:8" x14ac:dyDescent="0.2">
      <c r="A2874" s="562" t="s">
        <v>282</v>
      </c>
      <c r="B2874" s="562" t="s">
        <v>1979</v>
      </c>
      <c r="C2874" s="562" t="s">
        <v>1406</v>
      </c>
      <c r="D2874" s="562">
        <v>3</v>
      </c>
      <c r="E2874" s="562">
        <v>4</v>
      </c>
      <c r="F2874" s="562" t="s">
        <v>184</v>
      </c>
      <c r="G2874" s="562" t="s">
        <v>191</v>
      </c>
      <c r="H2874" s="562" t="s">
        <v>191</v>
      </c>
    </row>
    <row r="2875" spans="1:8" x14ac:dyDescent="0.2">
      <c r="A2875" s="562" t="s">
        <v>282</v>
      </c>
      <c r="B2875" s="562" t="s">
        <v>1979</v>
      </c>
      <c r="C2875" s="562" t="s">
        <v>2010</v>
      </c>
      <c r="D2875" s="562">
        <v>1</v>
      </c>
      <c r="E2875" s="562">
        <v>4</v>
      </c>
      <c r="F2875" s="562" t="s">
        <v>184</v>
      </c>
      <c r="G2875" s="562" t="s">
        <v>191</v>
      </c>
      <c r="H2875" s="562" t="s">
        <v>191</v>
      </c>
    </row>
    <row r="2876" spans="1:8" x14ac:dyDescent="0.2">
      <c r="A2876" s="562" t="s">
        <v>282</v>
      </c>
      <c r="B2876" s="562" t="s">
        <v>1979</v>
      </c>
      <c r="C2876" s="562" t="s">
        <v>981</v>
      </c>
      <c r="D2876" s="562">
        <v>2</v>
      </c>
      <c r="E2876" s="562">
        <v>4</v>
      </c>
      <c r="F2876" s="562" t="s">
        <v>184</v>
      </c>
      <c r="G2876" s="562" t="s">
        <v>191</v>
      </c>
      <c r="H2876" s="562" t="s">
        <v>191</v>
      </c>
    </row>
    <row r="2877" spans="1:8" x14ac:dyDescent="0.2">
      <c r="A2877" s="562" t="s">
        <v>282</v>
      </c>
      <c r="B2877" s="562" t="s">
        <v>1979</v>
      </c>
      <c r="C2877" s="562" t="s">
        <v>252</v>
      </c>
      <c r="D2877" s="562">
        <v>2</v>
      </c>
      <c r="E2877" s="562">
        <v>4</v>
      </c>
      <c r="F2877" s="562" t="s">
        <v>184</v>
      </c>
      <c r="G2877" s="562" t="s">
        <v>191</v>
      </c>
      <c r="H2877" s="562" t="s">
        <v>191</v>
      </c>
    </row>
    <row r="2878" spans="1:8" x14ac:dyDescent="0.2">
      <c r="A2878" s="562" t="s">
        <v>282</v>
      </c>
      <c r="B2878" s="562" t="s">
        <v>1979</v>
      </c>
      <c r="C2878" s="562" t="s">
        <v>2011</v>
      </c>
      <c r="D2878" s="562">
        <v>3</v>
      </c>
      <c r="E2878" s="562">
        <v>4</v>
      </c>
      <c r="F2878" s="562" t="s">
        <v>184</v>
      </c>
      <c r="G2878" s="562" t="s">
        <v>191</v>
      </c>
      <c r="H2878" s="562" t="s">
        <v>191</v>
      </c>
    </row>
    <row r="2879" spans="1:8" x14ac:dyDescent="0.2">
      <c r="A2879" s="562" t="s">
        <v>282</v>
      </c>
      <c r="B2879" s="562" t="s">
        <v>1979</v>
      </c>
      <c r="C2879" s="562" t="s">
        <v>1498</v>
      </c>
      <c r="D2879" s="562">
        <v>2</v>
      </c>
      <c r="E2879" s="562">
        <v>4</v>
      </c>
      <c r="F2879" s="562" t="s">
        <v>184</v>
      </c>
      <c r="G2879" s="562" t="s">
        <v>191</v>
      </c>
      <c r="H2879" s="562" t="s">
        <v>191</v>
      </c>
    </row>
    <row r="2880" spans="1:8" x14ac:dyDescent="0.2">
      <c r="A2880" s="562" t="s">
        <v>282</v>
      </c>
      <c r="B2880" s="562" t="s">
        <v>1979</v>
      </c>
      <c r="C2880" s="562" t="s">
        <v>2012</v>
      </c>
      <c r="D2880" s="562">
        <v>3</v>
      </c>
      <c r="E2880" s="562">
        <v>4</v>
      </c>
      <c r="F2880" s="562" t="s">
        <v>184</v>
      </c>
      <c r="G2880" s="562" t="s">
        <v>191</v>
      </c>
      <c r="H2880" s="562" t="s">
        <v>191</v>
      </c>
    </row>
    <row r="2881" spans="1:8" x14ac:dyDescent="0.2">
      <c r="A2881" s="562" t="s">
        <v>282</v>
      </c>
      <c r="B2881" s="562" t="s">
        <v>1979</v>
      </c>
      <c r="C2881" s="562" t="s">
        <v>2013</v>
      </c>
      <c r="D2881" s="562">
        <v>3</v>
      </c>
      <c r="E2881" s="562">
        <v>4</v>
      </c>
      <c r="F2881" s="562" t="s">
        <v>184</v>
      </c>
      <c r="G2881" s="562" t="s">
        <v>191</v>
      </c>
      <c r="H2881" s="562" t="s">
        <v>191</v>
      </c>
    </row>
    <row r="2882" spans="1:8" x14ac:dyDescent="0.2">
      <c r="A2882" s="562" t="s">
        <v>282</v>
      </c>
      <c r="B2882" s="562" t="s">
        <v>1979</v>
      </c>
      <c r="C2882" s="562" t="s">
        <v>2014</v>
      </c>
      <c r="D2882" s="562">
        <v>1</v>
      </c>
      <c r="E2882" s="562">
        <v>4</v>
      </c>
      <c r="F2882" s="562" t="s">
        <v>184</v>
      </c>
      <c r="G2882" s="562" t="s">
        <v>191</v>
      </c>
      <c r="H2882" s="562" t="s">
        <v>191</v>
      </c>
    </row>
    <row r="2883" spans="1:8" x14ac:dyDescent="0.2">
      <c r="A2883" s="562" t="s">
        <v>282</v>
      </c>
      <c r="B2883" s="562" t="s">
        <v>1979</v>
      </c>
      <c r="C2883" s="562" t="s">
        <v>2015</v>
      </c>
      <c r="D2883" s="562">
        <v>3</v>
      </c>
      <c r="E2883" s="562">
        <v>4</v>
      </c>
      <c r="F2883" s="562" t="s">
        <v>184</v>
      </c>
      <c r="G2883" s="562" t="s">
        <v>191</v>
      </c>
      <c r="H2883" s="562" t="s">
        <v>191</v>
      </c>
    </row>
    <row r="2884" spans="1:8" x14ac:dyDescent="0.2">
      <c r="A2884" s="562" t="s">
        <v>282</v>
      </c>
      <c r="B2884" s="562" t="s">
        <v>1979</v>
      </c>
      <c r="C2884" s="562" t="s">
        <v>256</v>
      </c>
      <c r="D2884" s="562">
        <v>1</v>
      </c>
      <c r="E2884" s="562">
        <v>4</v>
      </c>
      <c r="F2884" s="562" t="s">
        <v>184</v>
      </c>
      <c r="G2884" s="562" t="s">
        <v>191</v>
      </c>
      <c r="H2884" s="562" t="s">
        <v>191</v>
      </c>
    </row>
    <row r="2885" spans="1:8" x14ac:dyDescent="0.2">
      <c r="A2885" s="562" t="s">
        <v>282</v>
      </c>
      <c r="B2885" s="562" t="s">
        <v>1979</v>
      </c>
      <c r="C2885" s="562" t="s">
        <v>1582</v>
      </c>
      <c r="D2885" s="562">
        <v>1</v>
      </c>
      <c r="E2885" s="562">
        <v>4</v>
      </c>
      <c r="F2885" s="562" t="s">
        <v>184</v>
      </c>
      <c r="G2885" s="562" t="s">
        <v>191</v>
      </c>
      <c r="H2885" s="562" t="s">
        <v>191</v>
      </c>
    </row>
    <row r="2886" spans="1:8" x14ac:dyDescent="0.2">
      <c r="A2886" s="562" t="s">
        <v>282</v>
      </c>
      <c r="B2886" s="562" t="s">
        <v>1979</v>
      </c>
      <c r="C2886" s="562" t="s">
        <v>2016</v>
      </c>
      <c r="D2886" s="562">
        <v>3</v>
      </c>
      <c r="E2886" s="562">
        <v>4</v>
      </c>
      <c r="F2886" s="562" t="s">
        <v>184</v>
      </c>
      <c r="G2886" s="562" t="s">
        <v>191</v>
      </c>
      <c r="H2886" s="562" t="s">
        <v>191</v>
      </c>
    </row>
    <row r="2887" spans="1:8" x14ac:dyDescent="0.2">
      <c r="A2887" s="562" t="s">
        <v>282</v>
      </c>
      <c r="B2887" s="562" t="s">
        <v>1979</v>
      </c>
      <c r="C2887" s="562" t="s">
        <v>2017</v>
      </c>
      <c r="D2887" s="562">
        <v>3</v>
      </c>
      <c r="E2887" s="562">
        <v>4</v>
      </c>
      <c r="F2887" s="562" t="s">
        <v>184</v>
      </c>
      <c r="G2887" s="562" t="s">
        <v>191</v>
      </c>
      <c r="H2887" s="562" t="s">
        <v>191</v>
      </c>
    </row>
    <row r="2888" spans="1:8" x14ac:dyDescent="0.2">
      <c r="A2888" s="562" t="s">
        <v>282</v>
      </c>
      <c r="B2888" s="562" t="s">
        <v>1979</v>
      </c>
      <c r="C2888" s="562" t="s">
        <v>2018</v>
      </c>
      <c r="D2888" s="562">
        <v>3</v>
      </c>
      <c r="E2888" s="562">
        <v>4</v>
      </c>
      <c r="F2888" s="562" t="s">
        <v>184</v>
      </c>
      <c r="G2888" s="562" t="s">
        <v>191</v>
      </c>
      <c r="H2888" s="562" t="s">
        <v>191</v>
      </c>
    </row>
    <row r="2889" spans="1:8" x14ac:dyDescent="0.2">
      <c r="A2889" s="562" t="s">
        <v>282</v>
      </c>
      <c r="B2889" s="562" t="s">
        <v>1979</v>
      </c>
      <c r="C2889" s="562" t="s">
        <v>2019</v>
      </c>
      <c r="D2889" s="562">
        <v>3</v>
      </c>
      <c r="E2889" s="562">
        <v>4</v>
      </c>
      <c r="F2889" s="562" t="s">
        <v>184</v>
      </c>
      <c r="G2889" s="562" t="s">
        <v>191</v>
      </c>
      <c r="H2889" s="562" t="s">
        <v>191</v>
      </c>
    </row>
    <row r="2890" spans="1:8" x14ac:dyDescent="0.2">
      <c r="A2890" s="562" t="s">
        <v>282</v>
      </c>
      <c r="B2890" s="562" t="s">
        <v>1979</v>
      </c>
      <c r="C2890" s="562" t="s">
        <v>2020</v>
      </c>
      <c r="D2890" s="562">
        <v>3</v>
      </c>
      <c r="E2890" s="562">
        <v>4</v>
      </c>
      <c r="F2890" s="562" t="s">
        <v>184</v>
      </c>
      <c r="G2890" s="562" t="s">
        <v>191</v>
      </c>
      <c r="H2890" s="562" t="s">
        <v>191</v>
      </c>
    </row>
    <row r="2891" spans="1:8" x14ac:dyDescent="0.2">
      <c r="A2891" s="562" t="s">
        <v>282</v>
      </c>
      <c r="B2891" s="562" t="s">
        <v>1979</v>
      </c>
      <c r="C2891" s="562" t="s">
        <v>2021</v>
      </c>
      <c r="D2891" s="562">
        <v>3</v>
      </c>
      <c r="E2891" s="562">
        <v>4</v>
      </c>
      <c r="F2891" s="562" t="s">
        <v>184</v>
      </c>
      <c r="G2891" s="562" t="s">
        <v>191</v>
      </c>
      <c r="H2891" s="562" t="s">
        <v>191</v>
      </c>
    </row>
    <row r="2892" spans="1:8" x14ac:dyDescent="0.2">
      <c r="A2892" s="562" t="s">
        <v>282</v>
      </c>
      <c r="B2892" s="562" t="s">
        <v>1979</v>
      </c>
      <c r="C2892" s="562" t="s">
        <v>1366</v>
      </c>
      <c r="D2892" s="562">
        <v>3</v>
      </c>
      <c r="E2892" s="562">
        <v>4</v>
      </c>
      <c r="F2892" s="562" t="s">
        <v>184</v>
      </c>
      <c r="G2892" s="562" t="s">
        <v>191</v>
      </c>
      <c r="H2892" s="562" t="s">
        <v>191</v>
      </c>
    </row>
    <row r="2893" spans="1:8" x14ac:dyDescent="0.2">
      <c r="A2893" s="562" t="s">
        <v>282</v>
      </c>
      <c r="B2893" s="562" t="s">
        <v>1979</v>
      </c>
      <c r="C2893" s="562" t="s">
        <v>269</v>
      </c>
      <c r="D2893" s="562">
        <v>1</v>
      </c>
      <c r="E2893" s="562">
        <v>4</v>
      </c>
      <c r="F2893" s="562" t="s">
        <v>184</v>
      </c>
      <c r="G2893" s="562" t="s">
        <v>191</v>
      </c>
      <c r="H2893" s="562" t="s">
        <v>191</v>
      </c>
    </row>
    <row r="2894" spans="1:8" x14ac:dyDescent="0.2">
      <c r="A2894" s="562" t="s">
        <v>282</v>
      </c>
      <c r="B2894" s="562" t="s">
        <v>1979</v>
      </c>
      <c r="C2894" s="562" t="s">
        <v>2022</v>
      </c>
      <c r="D2894" s="562">
        <v>1</v>
      </c>
      <c r="E2894" s="562">
        <v>4</v>
      </c>
      <c r="F2894" s="562" t="s">
        <v>184</v>
      </c>
      <c r="G2894" s="562" t="s">
        <v>191</v>
      </c>
      <c r="H2894" s="562" t="s">
        <v>191</v>
      </c>
    </row>
    <row r="2895" spans="1:8" x14ac:dyDescent="0.2">
      <c r="A2895" s="562" t="s">
        <v>282</v>
      </c>
      <c r="B2895" s="562" t="s">
        <v>1979</v>
      </c>
      <c r="C2895" s="562" t="s">
        <v>2023</v>
      </c>
      <c r="D2895" s="562">
        <v>2</v>
      </c>
      <c r="E2895" s="562">
        <v>4</v>
      </c>
      <c r="F2895" s="562" t="s">
        <v>184</v>
      </c>
      <c r="G2895" s="562" t="s">
        <v>191</v>
      </c>
      <c r="H2895" s="562" t="s">
        <v>191</v>
      </c>
    </row>
    <row r="2896" spans="1:8" x14ac:dyDescent="0.2">
      <c r="A2896" s="562" t="s">
        <v>282</v>
      </c>
      <c r="B2896" s="562" t="s">
        <v>1979</v>
      </c>
      <c r="C2896" s="562" t="s">
        <v>867</v>
      </c>
      <c r="D2896" s="562">
        <v>1</v>
      </c>
      <c r="E2896" s="562">
        <v>4</v>
      </c>
      <c r="F2896" s="562" t="s">
        <v>184</v>
      </c>
      <c r="G2896" s="562" t="s">
        <v>191</v>
      </c>
      <c r="H2896" s="562" t="s">
        <v>191</v>
      </c>
    </row>
    <row r="2897" spans="1:8" x14ac:dyDescent="0.2">
      <c r="A2897" s="562" t="s">
        <v>282</v>
      </c>
      <c r="B2897" s="562" t="s">
        <v>1979</v>
      </c>
      <c r="C2897" s="562" t="s">
        <v>2024</v>
      </c>
      <c r="D2897" s="562">
        <v>2</v>
      </c>
      <c r="E2897" s="562">
        <v>4</v>
      </c>
      <c r="F2897" s="562" t="s">
        <v>184</v>
      </c>
      <c r="G2897" s="562" t="s">
        <v>191</v>
      </c>
      <c r="H2897" s="562" t="s">
        <v>191</v>
      </c>
    </row>
    <row r="2898" spans="1:8" x14ac:dyDescent="0.2">
      <c r="A2898" s="562" t="s">
        <v>282</v>
      </c>
      <c r="B2898" s="562" t="s">
        <v>1979</v>
      </c>
      <c r="C2898" s="562" t="s">
        <v>2025</v>
      </c>
      <c r="D2898" s="562">
        <v>2</v>
      </c>
      <c r="E2898" s="562">
        <v>4</v>
      </c>
      <c r="F2898" s="562" t="s">
        <v>184</v>
      </c>
      <c r="G2898" s="562" t="s">
        <v>191</v>
      </c>
      <c r="H2898" s="562" t="s">
        <v>191</v>
      </c>
    </row>
    <row r="2899" spans="1:8" x14ac:dyDescent="0.2">
      <c r="A2899" s="562" t="s">
        <v>282</v>
      </c>
      <c r="B2899" s="562" t="s">
        <v>1979</v>
      </c>
      <c r="C2899" s="562" t="s">
        <v>277</v>
      </c>
      <c r="D2899" s="562">
        <v>2</v>
      </c>
      <c r="E2899" s="562">
        <v>4</v>
      </c>
      <c r="F2899" s="562" t="s">
        <v>184</v>
      </c>
      <c r="G2899" s="562" t="s">
        <v>191</v>
      </c>
      <c r="H2899" s="562" t="s">
        <v>191</v>
      </c>
    </row>
    <row r="2900" spans="1:8" x14ac:dyDescent="0.2">
      <c r="A2900" s="562" t="s">
        <v>282</v>
      </c>
      <c r="B2900" s="562" t="s">
        <v>1979</v>
      </c>
      <c r="C2900" s="562" t="s">
        <v>2026</v>
      </c>
      <c r="D2900" s="562">
        <v>2</v>
      </c>
      <c r="E2900" s="562">
        <v>4</v>
      </c>
      <c r="F2900" s="562" t="s">
        <v>184</v>
      </c>
      <c r="G2900" s="562" t="s">
        <v>191</v>
      </c>
      <c r="H2900" s="562" t="s">
        <v>191</v>
      </c>
    </row>
    <row r="2901" spans="1:8" x14ac:dyDescent="0.2">
      <c r="A2901" s="562" t="s">
        <v>282</v>
      </c>
      <c r="B2901" s="562" t="s">
        <v>1979</v>
      </c>
      <c r="C2901" s="562" t="s">
        <v>2027</v>
      </c>
      <c r="D2901" s="562">
        <v>2</v>
      </c>
      <c r="E2901" s="562">
        <v>4</v>
      </c>
      <c r="F2901" s="562" t="s">
        <v>184</v>
      </c>
      <c r="G2901" s="562" t="s">
        <v>191</v>
      </c>
      <c r="H2901" s="562" t="s">
        <v>191</v>
      </c>
    </row>
    <row r="2902" spans="1:8" x14ac:dyDescent="0.2">
      <c r="A2902" s="562" t="s">
        <v>282</v>
      </c>
      <c r="B2902" s="562" t="s">
        <v>1979</v>
      </c>
      <c r="C2902" s="562" t="s">
        <v>2028</v>
      </c>
      <c r="D2902" s="562">
        <v>1</v>
      </c>
      <c r="E2902" s="562">
        <v>4</v>
      </c>
      <c r="F2902" s="562" t="s">
        <v>184</v>
      </c>
      <c r="G2902" s="562" t="s">
        <v>191</v>
      </c>
      <c r="H2902" s="562" t="s">
        <v>191</v>
      </c>
    </row>
    <row r="2903" spans="1:8" x14ac:dyDescent="0.2">
      <c r="A2903" s="562" t="s">
        <v>282</v>
      </c>
      <c r="B2903" s="562" t="s">
        <v>1979</v>
      </c>
      <c r="C2903" s="562" t="s">
        <v>2029</v>
      </c>
      <c r="D2903" s="562">
        <v>3</v>
      </c>
      <c r="E2903" s="562">
        <v>4</v>
      </c>
      <c r="F2903" s="562" t="s">
        <v>184</v>
      </c>
      <c r="G2903" s="562" t="s">
        <v>191</v>
      </c>
      <c r="H2903" s="562" t="s">
        <v>191</v>
      </c>
    </row>
    <row r="2904" spans="1:8" x14ac:dyDescent="0.2">
      <c r="A2904" s="562" t="s">
        <v>282</v>
      </c>
      <c r="B2904" s="562" t="s">
        <v>1979</v>
      </c>
      <c r="C2904" s="562" t="s">
        <v>1508</v>
      </c>
      <c r="D2904" s="562">
        <v>2</v>
      </c>
      <c r="E2904" s="562">
        <v>4</v>
      </c>
      <c r="F2904" s="562" t="s">
        <v>184</v>
      </c>
      <c r="G2904" s="562" t="s">
        <v>191</v>
      </c>
      <c r="H2904" s="562" t="s">
        <v>191</v>
      </c>
    </row>
    <row r="2905" spans="1:8" x14ac:dyDescent="0.2">
      <c r="A2905" s="562" t="s">
        <v>282</v>
      </c>
      <c r="B2905" s="562" t="s">
        <v>1979</v>
      </c>
      <c r="C2905" s="562" t="s">
        <v>536</v>
      </c>
      <c r="D2905" s="562">
        <v>3</v>
      </c>
      <c r="E2905" s="562">
        <v>4</v>
      </c>
      <c r="F2905" s="562" t="s">
        <v>184</v>
      </c>
      <c r="G2905" s="562" t="s">
        <v>191</v>
      </c>
      <c r="H2905" s="562" t="s">
        <v>191</v>
      </c>
    </row>
    <row r="2906" spans="1:8" x14ac:dyDescent="0.2">
      <c r="A2906" s="562" t="s">
        <v>282</v>
      </c>
      <c r="B2906" s="562" t="s">
        <v>1979</v>
      </c>
      <c r="C2906" s="562" t="s">
        <v>289</v>
      </c>
      <c r="D2906" s="562">
        <v>1</v>
      </c>
      <c r="E2906" s="562">
        <v>4</v>
      </c>
      <c r="F2906" s="562" t="s">
        <v>184</v>
      </c>
      <c r="G2906" s="562" t="s">
        <v>191</v>
      </c>
      <c r="H2906" s="562" t="s">
        <v>191</v>
      </c>
    </row>
    <row r="2907" spans="1:8" x14ac:dyDescent="0.2">
      <c r="A2907" s="562" t="s">
        <v>282</v>
      </c>
      <c r="B2907" s="562" t="s">
        <v>1979</v>
      </c>
      <c r="C2907" s="562" t="s">
        <v>1000</v>
      </c>
      <c r="D2907" s="562">
        <v>2</v>
      </c>
      <c r="E2907" s="562">
        <v>4</v>
      </c>
      <c r="F2907" s="562" t="s">
        <v>184</v>
      </c>
      <c r="G2907" s="562" t="s">
        <v>191</v>
      </c>
      <c r="H2907" s="562" t="s">
        <v>191</v>
      </c>
    </row>
    <row r="2908" spans="1:8" x14ac:dyDescent="0.2">
      <c r="A2908" s="562" t="s">
        <v>282</v>
      </c>
      <c r="B2908" s="562" t="s">
        <v>1979</v>
      </c>
      <c r="C2908" s="562" t="s">
        <v>2030</v>
      </c>
      <c r="D2908" s="562">
        <v>3</v>
      </c>
      <c r="E2908" s="562">
        <v>4</v>
      </c>
      <c r="F2908" s="562" t="s">
        <v>184</v>
      </c>
      <c r="G2908" s="562" t="s">
        <v>191</v>
      </c>
      <c r="H2908" s="562" t="s">
        <v>191</v>
      </c>
    </row>
    <row r="2909" spans="1:8" x14ac:dyDescent="0.2">
      <c r="A2909" s="562" t="s">
        <v>282</v>
      </c>
      <c r="B2909" s="562" t="s">
        <v>1979</v>
      </c>
      <c r="C2909" s="562" t="s">
        <v>2031</v>
      </c>
      <c r="D2909" s="562">
        <v>3</v>
      </c>
      <c r="E2909" s="562">
        <v>4</v>
      </c>
      <c r="F2909" s="562" t="s">
        <v>184</v>
      </c>
      <c r="G2909" s="562" t="s">
        <v>191</v>
      </c>
      <c r="H2909" s="562" t="s">
        <v>191</v>
      </c>
    </row>
    <row r="2910" spans="1:8" x14ac:dyDescent="0.2">
      <c r="A2910" s="562" t="s">
        <v>282</v>
      </c>
      <c r="B2910" s="562" t="s">
        <v>1979</v>
      </c>
      <c r="C2910" s="562" t="s">
        <v>2032</v>
      </c>
      <c r="D2910" s="562">
        <v>3</v>
      </c>
      <c r="E2910" s="562">
        <v>4</v>
      </c>
      <c r="F2910" s="562" t="s">
        <v>184</v>
      </c>
      <c r="G2910" s="562" t="s">
        <v>191</v>
      </c>
      <c r="H2910" s="562" t="s">
        <v>191</v>
      </c>
    </row>
    <row r="2911" spans="1:8" x14ac:dyDescent="0.2">
      <c r="A2911" s="562" t="s">
        <v>282</v>
      </c>
      <c r="B2911" s="562" t="s">
        <v>1979</v>
      </c>
      <c r="C2911" s="562" t="s">
        <v>1512</v>
      </c>
      <c r="D2911" s="562">
        <v>3</v>
      </c>
      <c r="E2911" s="562">
        <v>4</v>
      </c>
      <c r="F2911" s="562" t="s">
        <v>184</v>
      </c>
      <c r="G2911" s="562" t="s">
        <v>191</v>
      </c>
      <c r="H2911" s="562" t="s">
        <v>191</v>
      </c>
    </row>
    <row r="2912" spans="1:8" x14ac:dyDescent="0.2">
      <c r="A2912" s="562" t="s">
        <v>282</v>
      </c>
      <c r="B2912" s="562" t="s">
        <v>1979</v>
      </c>
      <c r="C2912" s="562" t="s">
        <v>1687</v>
      </c>
      <c r="D2912" s="562">
        <v>3</v>
      </c>
      <c r="E2912" s="562">
        <v>4</v>
      </c>
      <c r="F2912" s="562" t="s">
        <v>184</v>
      </c>
      <c r="G2912" s="562" t="s">
        <v>191</v>
      </c>
      <c r="H2912" s="562" t="s">
        <v>191</v>
      </c>
    </row>
    <row r="2913" spans="1:8" x14ac:dyDescent="0.2">
      <c r="A2913" s="562" t="s">
        <v>282</v>
      </c>
      <c r="B2913" s="562" t="s">
        <v>1979</v>
      </c>
      <c r="C2913" s="562" t="s">
        <v>2033</v>
      </c>
      <c r="D2913" s="562">
        <v>2</v>
      </c>
      <c r="E2913" s="562">
        <v>4</v>
      </c>
      <c r="F2913" s="562" t="s">
        <v>184</v>
      </c>
      <c r="G2913" s="562" t="s">
        <v>191</v>
      </c>
      <c r="H2913" s="562" t="s">
        <v>191</v>
      </c>
    </row>
    <row r="2914" spans="1:8" x14ac:dyDescent="0.2">
      <c r="A2914" s="562" t="s">
        <v>282</v>
      </c>
      <c r="B2914" s="562" t="s">
        <v>1979</v>
      </c>
      <c r="C2914" s="562" t="s">
        <v>2034</v>
      </c>
      <c r="D2914" s="562">
        <v>1</v>
      </c>
      <c r="E2914" s="562">
        <v>4</v>
      </c>
      <c r="F2914" s="562" t="s">
        <v>184</v>
      </c>
      <c r="G2914" s="562" t="s">
        <v>191</v>
      </c>
      <c r="H2914" s="562" t="s">
        <v>191</v>
      </c>
    </row>
    <row r="2915" spans="1:8" x14ac:dyDescent="0.2">
      <c r="A2915" s="562" t="s">
        <v>282</v>
      </c>
      <c r="B2915" s="562" t="s">
        <v>1979</v>
      </c>
      <c r="C2915" s="562" t="s">
        <v>448</v>
      </c>
      <c r="D2915" s="562">
        <v>1</v>
      </c>
      <c r="E2915" s="562">
        <v>4</v>
      </c>
      <c r="F2915" s="562" t="s">
        <v>184</v>
      </c>
      <c r="G2915" s="562" t="s">
        <v>191</v>
      </c>
      <c r="H2915" s="562" t="s">
        <v>191</v>
      </c>
    </row>
    <row r="2916" spans="1:8" x14ac:dyDescent="0.2">
      <c r="A2916" s="562" t="s">
        <v>282</v>
      </c>
      <c r="B2916" s="562" t="s">
        <v>1979</v>
      </c>
      <c r="C2916" s="562" t="s">
        <v>875</v>
      </c>
      <c r="D2916" s="562">
        <v>1</v>
      </c>
      <c r="E2916" s="562">
        <v>4</v>
      </c>
      <c r="F2916" s="562" t="s">
        <v>184</v>
      </c>
      <c r="G2916" s="562" t="s">
        <v>191</v>
      </c>
      <c r="H2916" s="562" t="s">
        <v>191</v>
      </c>
    </row>
    <row r="2917" spans="1:8" x14ac:dyDescent="0.2">
      <c r="A2917" s="562" t="s">
        <v>282</v>
      </c>
      <c r="B2917" s="562" t="s">
        <v>1979</v>
      </c>
      <c r="C2917" s="562" t="s">
        <v>2035</v>
      </c>
      <c r="D2917" s="562">
        <v>1</v>
      </c>
      <c r="E2917" s="562">
        <v>4</v>
      </c>
      <c r="F2917" s="562" t="s">
        <v>184</v>
      </c>
      <c r="G2917" s="562" t="s">
        <v>191</v>
      </c>
      <c r="H2917" s="562" t="s">
        <v>191</v>
      </c>
    </row>
    <row r="2918" spans="1:8" x14ac:dyDescent="0.2">
      <c r="A2918" s="562" t="s">
        <v>282</v>
      </c>
      <c r="B2918" s="562" t="s">
        <v>1979</v>
      </c>
      <c r="C2918" s="562" t="s">
        <v>2036</v>
      </c>
      <c r="D2918" s="562">
        <v>3</v>
      </c>
      <c r="E2918" s="562">
        <v>4</v>
      </c>
      <c r="F2918" s="562" t="s">
        <v>184</v>
      </c>
      <c r="G2918" s="562" t="s">
        <v>191</v>
      </c>
      <c r="H2918" s="562" t="s">
        <v>191</v>
      </c>
    </row>
    <row r="2919" spans="1:8" x14ac:dyDescent="0.2">
      <c r="A2919" s="562" t="s">
        <v>282</v>
      </c>
      <c r="B2919" s="562" t="s">
        <v>1979</v>
      </c>
      <c r="C2919" s="562" t="s">
        <v>2037</v>
      </c>
      <c r="D2919" s="562">
        <v>1</v>
      </c>
      <c r="E2919" s="562">
        <v>4</v>
      </c>
      <c r="F2919" s="562" t="s">
        <v>184</v>
      </c>
      <c r="G2919" s="562" t="s">
        <v>191</v>
      </c>
      <c r="H2919" s="562" t="s">
        <v>191</v>
      </c>
    </row>
    <row r="2920" spans="1:8" x14ac:dyDescent="0.2">
      <c r="A2920" s="562" t="s">
        <v>282</v>
      </c>
      <c r="B2920" s="562" t="s">
        <v>1979</v>
      </c>
      <c r="C2920" s="562" t="s">
        <v>2038</v>
      </c>
      <c r="D2920" s="562">
        <v>3</v>
      </c>
      <c r="E2920" s="562">
        <v>4</v>
      </c>
      <c r="F2920" s="562" t="s">
        <v>184</v>
      </c>
      <c r="G2920" s="562" t="s">
        <v>191</v>
      </c>
      <c r="H2920" s="562" t="s">
        <v>191</v>
      </c>
    </row>
    <row r="2921" spans="1:8" x14ac:dyDescent="0.2">
      <c r="A2921" s="562" t="s">
        <v>282</v>
      </c>
      <c r="B2921" s="562" t="s">
        <v>1979</v>
      </c>
      <c r="C2921" s="562" t="s">
        <v>2039</v>
      </c>
      <c r="D2921" s="562">
        <v>3</v>
      </c>
      <c r="E2921" s="562">
        <v>4</v>
      </c>
      <c r="F2921" s="562" t="s">
        <v>184</v>
      </c>
      <c r="G2921" s="562" t="s">
        <v>191</v>
      </c>
      <c r="H2921" s="562" t="s">
        <v>191</v>
      </c>
    </row>
    <row r="2922" spans="1:8" x14ac:dyDescent="0.2">
      <c r="A2922" s="562" t="s">
        <v>282</v>
      </c>
      <c r="B2922" s="562" t="s">
        <v>1979</v>
      </c>
      <c r="C2922" s="562" t="s">
        <v>2040</v>
      </c>
      <c r="D2922" s="562">
        <v>1</v>
      </c>
      <c r="E2922" s="562">
        <v>4</v>
      </c>
      <c r="F2922" s="562" t="s">
        <v>184</v>
      </c>
      <c r="G2922" s="562" t="s">
        <v>191</v>
      </c>
      <c r="H2922" s="562" t="s">
        <v>191</v>
      </c>
    </row>
    <row r="2923" spans="1:8" x14ac:dyDescent="0.2">
      <c r="A2923" s="562" t="s">
        <v>282</v>
      </c>
      <c r="B2923" s="562" t="s">
        <v>1979</v>
      </c>
      <c r="C2923" s="562" t="s">
        <v>2041</v>
      </c>
      <c r="D2923" s="562">
        <v>2</v>
      </c>
      <c r="E2923" s="562">
        <v>4</v>
      </c>
      <c r="F2923" s="562" t="s">
        <v>184</v>
      </c>
      <c r="G2923" s="562" t="s">
        <v>191</v>
      </c>
      <c r="H2923" s="562" t="s">
        <v>191</v>
      </c>
    </row>
    <row r="2924" spans="1:8" x14ac:dyDescent="0.2">
      <c r="A2924" s="562" t="s">
        <v>282</v>
      </c>
      <c r="B2924" s="562" t="s">
        <v>1979</v>
      </c>
      <c r="C2924" s="562" t="s">
        <v>2042</v>
      </c>
      <c r="D2924" s="562">
        <v>3</v>
      </c>
      <c r="E2924" s="562">
        <v>4</v>
      </c>
      <c r="F2924" s="562" t="s">
        <v>184</v>
      </c>
      <c r="G2924" s="562" t="s">
        <v>191</v>
      </c>
      <c r="H2924" s="562" t="s">
        <v>191</v>
      </c>
    </row>
    <row r="2925" spans="1:8" x14ac:dyDescent="0.2">
      <c r="A2925" s="562" t="s">
        <v>282</v>
      </c>
      <c r="B2925" s="562" t="s">
        <v>1979</v>
      </c>
      <c r="C2925" s="562" t="s">
        <v>2043</v>
      </c>
      <c r="D2925" s="562">
        <v>2</v>
      </c>
      <c r="E2925" s="562">
        <v>4</v>
      </c>
      <c r="F2925" s="562" t="s">
        <v>184</v>
      </c>
      <c r="G2925" s="562" t="s">
        <v>191</v>
      </c>
      <c r="H2925" s="562" t="s">
        <v>191</v>
      </c>
    </row>
    <row r="2926" spans="1:8" x14ac:dyDescent="0.2">
      <c r="A2926" s="562" t="s">
        <v>282</v>
      </c>
      <c r="B2926" s="562" t="s">
        <v>1979</v>
      </c>
      <c r="C2926" s="562" t="s">
        <v>404</v>
      </c>
      <c r="D2926" s="562">
        <v>1</v>
      </c>
      <c r="E2926" s="562">
        <v>4</v>
      </c>
      <c r="F2926" s="562" t="s">
        <v>184</v>
      </c>
      <c r="G2926" s="562" t="s">
        <v>191</v>
      </c>
      <c r="H2926" s="562" t="s">
        <v>191</v>
      </c>
    </row>
    <row r="2927" spans="1:8" x14ac:dyDescent="0.2">
      <c r="A2927" s="562" t="s">
        <v>282</v>
      </c>
      <c r="B2927" s="562" t="s">
        <v>1979</v>
      </c>
      <c r="C2927" s="562" t="s">
        <v>2044</v>
      </c>
      <c r="D2927" s="562">
        <v>1</v>
      </c>
      <c r="E2927" s="562">
        <v>4</v>
      </c>
      <c r="F2927" s="562" t="s">
        <v>184</v>
      </c>
      <c r="G2927" s="562" t="s">
        <v>191</v>
      </c>
      <c r="H2927" s="562" t="s">
        <v>191</v>
      </c>
    </row>
    <row r="2928" spans="1:8" x14ac:dyDescent="0.2">
      <c r="A2928" s="562" t="s">
        <v>282</v>
      </c>
      <c r="B2928" s="562" t="s">
        <v>1979</v>
      </c>
      <c r="C2928" s="562" t="s">
        <v>2045</v>
      </c>
      <c r="D2928" s="562">
        <v>2</v>
      </c>
      <c r="E2928" s="562">
        <v>4</v>
      </c>
      <c r="F2928" s="562" t="s">
        <v>184</v>
      </c>
      <c r="G2928" s="562" t="s">
        <v>191</v>
      </c>
      <c r="H2928" s="562" t="s">
        <v>191</v>
      </c>
    </row>
    <row r="2929" spans="1:8" x14ac:dyDescent="0.2">
      <c r="A2929" s="562" t="s">
        <v>282</v>
      </c>
      <c r="B2929" s="562" t="s">
        <v>1979</v>
      </c>
      <c r="C2929" s="562" t="s">
        <v>677</v>
      </c>
      <c r="D2929" s="562">
        <v>3</v>
      </c>
      <c r="E2929" s="562">
        <v>4</v>
      </c>
      <c r="F2929" s="562" t="s">
        <v>184</v>
      </c>
      <c r="G2929" s="562" t="s">
        <v>191</v>
      </c>
      <c r="H2929" s="562" t="s">
        <v>191</v>
      </c>
    </row>
    <row r="2930" spans="1:8" x14ac:dyDescent="0.2">
      <c r="A2930" s="562" t="s">
        <v>282</v>
      </c>
      <c r="B2930" s="562" t="s">
        <v>1979</v>
      </c>
      <c r="C2930" s="562" t="s">
        <v>2046</v>
      </c>
      <c r="D2930" s="562">
        <v>3</v>
      </c>
      <c r="E2930" s="562">
        <v>4</v>
      </c>
      <c r="F2930" s="562" t="s">
        <v>184</v>
      </c>
      <c r="G2930" s="562" t="s">
        <v>191</v>
      </c>
      <c r="H2930" s="562" t="s">
        <v>191</v>
      </c>
    </row>
    <row r="2931" spans="1:8" x14ac:dyDescent="0.2">
      <c r="A2931" s="562" t="s">
        <v>282</v>
      </c>
      <c r="B2931" s="562" t="s">
        <v>1979</v>
      </c>
      <c r="C2931" s="562" t="s">
        <v>2047</v>
      </c>
      <c r="D2931" s="562">
        <v>1</v>
      </c>
      <c r="E2931" s="562">
        <v>4</v>
      </c>
      <c r="F2931" s="562" t="s">
        <v>184</v>
      </c>
      <c r="G2931" s="562" t="s">
        <v>191</v>
      </c>
      <c r="H2931" s="562" t="s">
        <v>191</v>
      </c>
    </row>
    <row r="2932" spans="1:8" x14ac:dyDescent="0.2">
      <c r="A2932" s="562" t="s">
        <v>282</v>
      </c>
      <c r="B2932" s="562" t="s">
        <v>1979</v>
      </c>
      <c r="C2932" s="562" t="s">
        <v>2048</v>
      </c>
      <c r="D2932" s="562">
        <v>1</v>
      </c>
      <c r="E2932" s="562">
        <v>4</v>
      </c>
      <c r="F2932" s="562" t="s">
        <v>184</v>
      </c>
      <c r="G2932" s="562" t="s">
        <v>191</v>
      </c>
      <c r="H2932" s="562" t="s">
        <v>191</v>
      </c>
    </row>
    <row r="2933" spans="1:8" x14ac:dyDescent="0.2">
      <c r="A2933" s="562" t="s">
        <v>282</v>
      </c>
      <c r="B2933" s="562" t="s">
        <v>1979</v>
      </c>
      <c r="C2933" s="562" t="s">
        <v>2049</v>
      </c>
      <c r="D2933" s="562">
        <v>1</v>
      </c>
      <c r="E2933" s="562">
        <v>4</v>
      </c>
      <c r="F2933" s="562" t="s">
        <v>184</v>
      </c>
      <c r="G2933" s="562" t="s">
        <v>191</v>
      </c>
      <c r="H2933" s="562" t="s">
        <v>191</v>
      </c>
    </row>
    <row r="2934" spans="1:8" x14ac:dyDescent="0.2">
      <c r="A2934" s="562" t="s">
        <v>282</v>
      </c>
      <c r="B2934" s="562" t="s">
        <v>1979</v>
      </c>
      <c r="C2934" s="562" t="s">
        <v>1399</v>
      </c>
      <c r="D2934" s="562">
        <v>1</v>
      </c>
      <c r="E2934" s="562">
        <v>4</v>
      </c>
      <c r="F2934" s="562" t="s">
        <v>184</v>
      </c>
      <c r="G2934" s="562" t="s">
        <v>191</v>
      </c>
      <c r="H2934" s="562" t="s">
        <v>191</v>
      </c>
    </row>
    <row r="2935" spans="1:8" x14ac:dyDescent="0.2">
      <c r="A2935" s="562" t="s">
        <v>282</v>
      </c>
      <c r="B2935" s="562" t="s">
        <v>1979</v>
      </c>
      <c r="C2935" s="562" t="s">
        <v>301</v>
      </c>
      <c r="D2935" s="562">
        <v>1</v>
      </c>
      <c r="E2935" s="562">
        <v>4</v>
      </c>
      <c r="F2935" s="562" t="s">
        <v>184</v>
      </c>
      <c r="G2935" s="562" t="s">
        <v>191</v>
      </c>
      <c r="H2935" s="562" t="s">
        <v>191</v>
      </c>
    </row>
    <row r="2936" spans="1:8" x14ac:dyDescent="0.2">
      <c r="A2936" s="562" t="s">
        <v>282</v>
      </c>
      <c r="B2936" s="562" t="s">
        <v>1979</v>
      </c>
      <c r="C2936" s="562" t="s">
        <v>1412</v>
      </c>
      <c r="D2936" s="562">
        <v>1</v>
      </c>
      <c r="E2936" s="562">
        <v>4</v>
      </c>
      <c r="F2936" s="562" t="s">
        <v>184</v>
      </c>
      <c r="G2936" s="562" t="s">
        <v>191</v>
      </c>
      <c r="H2936" s="562" t="s">
        <v>191</v>
      </c>
    </row>
    <row r="2937" spans="1:8" x14ac:dyDescent="0.2">
      <c r="A2937" s="562" t="s">
        <v>282</v>
      </c>
      <c r="B2937" s="562" t="s">
        <v>1979</v>
      </c>
      <c r="C2937" s="562" t="s">
        <v>407</v>
      </c>
      <c r="D2937" s="562">
        <v>1</v>
      </c>
      <c r="E2937" s="562">
        <v>4</v>
      </c>
      <c r="F2937" s="562" t="s">
        <v>184</v>
      </c>
      <c r="G2937" s="562" t="s">
        <v>191</v>
      </c>
      <c r="H2937" s="562" t="s">
        <v>191</v>
      </c>
    </row>
    <row r="2938" spans="1:8" x14ac:dyDescent="0.2">
      <c r="A2938" s="562" t="s">
        <v>282</v>
      </c>
      <c r="B2938" s="562" t="s">
        <v>1979</v>
      </c>
      <c r="C2938" s="562" t="s">
        <v>2050</v>
      </c>
      <c r="D2938" s="562">
        <v>1</v>
      </c>
      <c r="E2938" s="562">
        <v>4</v>
      </c>
      <c r="F2938" s="562" t="s">
        <v>184</v>
      </c>
      <c r="G2938" s="562" t="s">
        <v>191</v>
      </c>
      <c r="H2938" s="562" t="s">
        <v>191</v>
      </c>
    </row>
    <row r="2939" spans="1:8" x14ac:dyDescent="0.2">
      <c r="A2939" s="562" t="s">
        <v>282</v>
      </c>
      <c r="B2939" s="562" t="s">
        <v>1979</v>
      </c>
      <c r="C2939" s="562" t="s">
        <v>2051</v>
      </c>
      <c r="D2939" s="562">
        <v>1</v>
      </c>
      <c r="E2939" s="562">
        <v>4</v>
      </c>
      <c r="F2939" s="562" t="s">
        <v>184</v>
      </c>
      <c r="G2939" s="562" t="s">
        <v>191</v>
      </c>
      <c r="H2939" s="562" t="s">
        <v>191</v>
      </c>
    </row>
    <row r="2940" spans="1:8" x14ac:dyDescent="0.2">
      <c r="A2940" s="562" t="s">
        <v>282</v>
      </c>
      <c r="B2940" s="562" t="s">
        <v>1979</v>
      </c>
      <c r="C2940" s="562" t="s">
        <v>2052</v>
      </c>
      <c r="D2940" s="562">
        <v>3</v>
      </c>
      <c r="E2940" s="562">
        <v>4</v>
      </c>
      <c r="F2940" s="562" t="s">
        <v>184</v>
      </c>
      <c r="G2940" s="562" t="s">
        <v>191</v>
      </c>
      <c r="H2940" s="562" t="s">
        <v>191</v>
      </c>
    </row>
    <row r="2941" spans="1:8" x14ac:dyDescent="0.2">
      <c r="A2941" s="562" t="s">
        <v>282</v>
      </c>
      <c r="B2941" s="562" t="s">
        <v>1979</v>
      </c>
      <c r="C2941" s="562" t="s">
        <v>2053</v>
      </c>
      <c r="D2941" s="562">
        <v>1</v>
      </c>
      <c r="E2941" s="562">
        <v>4</v>
      </c>
      <c r="F2941" s="562" t="s">
        <v>184</v>
      </c>
      <c r="G2941" s="562" t="s">
        <v>191</v>
      </c>
      <c r="H2941" s="562" t="s">
        <v>191</v>
      </c>
    </row>
    <row r="2942" spans="1:8" x14ac:dyDescent="0.2">
      <c r="A2942" s="562" t="s">
        <v>282</v>
      </c>
      <c r="B2942" s="562" t="s">
        <v>1979</v>
      </c>
      <c r="C2942" s="562" t="s">
        <v>947</v>
      </c>
      <c r="D2942" s="562">
        <v>1</v>
      </c>
      <c r="E2942" s="562">
        <v>4</v>
      </c>
      <c r="F2942" s="562" t="s">
        <v>184</v>
      </c>
      <c r="G2942" s="562" t="s">
        <v>191</v>
      </c>
      <c r="H2942" s="562" t="s">
        <v>191</v>
      </c>
    </row>
    <row r="2943" spans="1:8" x14ac:dyDescent="0.2">
      <c r="A2943" s="562" t="s">
        <v>282</v>
      </c>
      <c r="B2943" s="562" t="s">
        <v>1979</v>
      </c>
      <c r="C2943" s="562" t="s">
        <v>2054</v>
      </c>
      <c r="D2943" s="562">
        <v>1</v>
      </c>
      <c r="E2943" s="562">
        <v>4</v>
      </c>
      <c r="F2943" s="562" t="s">
        <v>184</v>
      </c>
      <c r="G2943" s="562" t="s">
        <v>191</v>
      </c>
      <c r="H2943" s="562" t="s">
        <v>191</v>
      </c>
    </row>
    <row r="2944" spans="1:8" x14ac:dyDescent="0.2">
      <c r="A2944" s="562" t="s">
        <v>282</v>
      </c>
      <c r="B2944" s="562" t="s">
        <v>1979</v>
      </c>
      <c r="C2944" s="562" t="s">
        <v>2055</v>
      </c>
      <c r="D2944" s="562">
        <v>3</v>
      </c>
      <c r="E2944" s="562">
        <v>4</v>
      </c>
      <c r="F2944" s="562" t="s">
        <v>184</v>
      </c>
      <c r="G2944" s="562" t="s">
        <v>191</v>
      </c>
      <c r="H2944" s="562" t="s">
        <v>191</v>
      </c>
    </row>
    <row r="2945" spans="1:8" x14ac:dyDescent="0.2">
      <c r="A2945" s="562" t="s">
        <v>282</v>
      </c>
      <c r="B2945" s="562" t="s">
        <v>1979</v>
      </c>
      <c r="C2945" s="562" t="s">
        <v>1525</v>
      </c>
      <c r="D2945" s="562">
        <v>3</v>
      </c>
      <c r="E2945" s="562">
        <v>4</v>
      </c>
      <c r="F2945" s="562" t="s">
        <v>184</v>
      </c>
      <c r="G2945" s="562" t="s">
        <v>191</v>
      </c>
      <c r="H2945" s="562" t="s">
        <v>191</v>
      </c>
    </row>
    <row r="2946" spans="1:8" x14ac:dyDescent="0.2">
      <c r="A2946" s="562" t="s">
        <v>282</v>
      </c>
      <c r="B2946" s="562" t="s">
        <v>1979</v>
      </c>
      <c r="C2946" s="562" t="s">
        <v>544</v>
      </c>
      <c r="D2946" s="562">
        <v>3</v>
      </c>
      <c r="E2946" s="562">
        <v>4</v>
      </c>
      <c r="F2946" s="562" t="s">
        <v>184</v>
      </c>
      <c r="G2946" s="562" t="s">
        <v>191</v>
      </c>
      <c r="H2946" s="562" t="s">
        <v>191</v>
      </c>
    </row>
    <row r="2947" spans="1:8" x14ac:dyDescent="0.2">
      <c r="A2947" s="562" t="s">
        <v>282</v>
      </c>
      <c r="B2947" s="562" t="s">
        <v>1979</v>
      </c>
      <c r="C2947" s="562" t="s">
        <v>794</v>
      </c>
      <c r="D2947" s="562">
        <v>1</v>
      </c>
      <c r="E2947" s="562">
        <v>4</v>
      </c>
      <c r="F2947" s="562" t="s">
        <v>184</v>
      </c>
      <c r="G2947" s="562" t="s">
        <v>191</v>
      </c>
      <c r="H2947" s="562" t="s">
        <v>191</v>
      </c>
    </row>
    <row r="2948" spans="1:8" x14ac:dyDescent="0.2">
      <c r="A2948" s="562" t="s">
        <v>282</v>
      </c>
      <c r="B2948" s="562" t="s">
        <v>1979</v>
      </c>
      <c r="C2948" s="562" t="s">
        <v>2056</v>
      </c>
      <c r="D2948" s="562">
        <v>3</v>
      </c>
      <c r="E2948" s="562">
        <v>4</v>
      </c>
      <c r="F2948" s="562" t="s">
        <v>184</v>
      </c>
      <c r="G2948" s="562" t="s">
        <v>191</v>
      </c>
      <c r="H2948" s="562" t="s">
        <v>191</v>
      </c>
    </row>
    <row r="2949" spans="1:8" x14ac:dyDescent="0.2">
      <c r="A2949" s="562" t="s">
        <v>282</v>
      </c>
      <c r="B2949" s="562" t="s">
        <v>1979</v>
      </c>
      <c r="C2949" s="562" t="s">
        <v>699</v>
      </c>
      <c r="D2949" s="562">
        <v>1</v>
      </c>
      <c r="E2949" s="562">
        <v>4</v>
      </c>
      <c r="F2949" s="562" t="s">
        <v>184</v>
      </c>
      <c r="G2949" s="562" t="s">
        <v>191</v>
      </c>
      <c r="H2949" s="562" t="s">
        <v>191</v>
      </c>
    </row>
    <row r="2950" spans="1:8" x14ac:dyDescent="0.2">
      <c r="A2950" s="562" t="s">
        <v>282</v>
      </c>
      <c r="B2950" s="562" t="s">
        <v>1979</v>
      </c>
      <c r="C2950" s="562" t="s">
        <v>309</v>
      </c>
      <c r="D2950" s="562">
        <v>1</v>
      </c>
      <c r="E2950" s="562">
        <v>4</v>
      </c>
      <c r="F2950" s="562" t="s">
        <v>184</v>
      </c>
      <c r="G2950" s="562" t="s">
        <v>191</v>
      </c>
      <c r="H2950" s="562" t="s">
        <v>191</v>
      </c>
    </row>
    <row r="2951" spans="1:8" x14ac:dyDescent="0.2">
      <c r="A2951" s="562" t="s">
        <v>282</v>
      </c>
      <c r="B2951" s="562" t="s">
        <v>1979</v>
      </c>
      <c r="C2951" s="562" t="s">
        <v>2057</v>
      </c>
      <c r="D2951" s="562">
        <v>1</v>
      </c>
      <c r="E2951" s="562">
        <v>4</v>
      </c>
      <c r="F2951" s="562" t="s">
        <v>184</v>
      </c>
      <c r="G2951" s="562" t="s">
        <v>191</v>
      </c>
      <c r="H2951" s="562" t="s">
        <v>191</v>
      </c>
    </row>
    <row r="2952" spans="1:8" x14ac:dyDescent="0.2">
      <c r="A2952" s="562" t="s">
        <v>282</v>
      </c>
      <c r="B2952" s="562" t="s">
        <v>1979</v>
      </c>
      <c r="C2952" s="562" t="s">
        <v>1694</v>
      </c>
      <c r="D2952" s="562">
        <v>3</v>
      </c>
      <c r="E2952" s="562">
        <v>4</v>
      </c>
      <c r="F2952" s="562" t="s">
        <v>184</v>
      </c>
      <c r="G2952" s="562" t="s">
        <v>191</v>
      </c>
      <c r="H2952" s="562" t="s">
        <v>191</v>
      </c>
    </row>
    <row r="2953" spans="1:8" x14ac:dyDescent="0.2">
      <c r="A2953" s="562" t="s">
        <v>282</v>
      </c>
      <c r="B2953" s="562" t="s">
        <v>1979</v>
      </c>
      <c r="C2953" s="562" t="s">
        <v>2058</v>
      </c>
      <c r="D2953" s="562">
        <v>3</v>
      </c>
      <c r="E2953" s="562">
        <v>4</v>
      </c>
      <c r="F2953" s="562" t="s">
        <v>184</v>
      </c>
      <c r="G2953" s="562" t="s">
        <v>191</v>
      </c>
      <c r="H2953" s="562" t="s">
        <v>191</v>
      </c>
    </row>
    <row r="2954" spans="1:8" x14ac:dyDescent="0.2">
      <c r="A2954" s="562" t="s">
        <v>282</v>
      </c>
      <c r="B2954" s="562" t="s">
        <v>1979</v>
      </c>
      <c r="C2954" s="562" t="s">
        <v>2059</v>
      </c>
      <c r="D2954" s="562">
        <v>1</v>
      </c>
      <c r="E2954" s="562">
        <v>4</v>
      </c>
      <c r="F2954" s="562" t="s">
        <v>184</v>
      </c>
      <c r="G2954" s="562" t="s">
        <v>191</v>
      </c>
      <c r="H2954" s="562" t="s">
        <v>191</v>
      </c>
    </row>
    <row r="2955" spans="1:8" x14ac:dyDescent="0.2">
      <c r="A2955" s="562" t="s">
        <v>282</v>
      </c>
      <c r="B2955" s="562" t="s">
        <v>1979</v>
      </c>
      <c r="C2955" s="562" t="s">
        <v>1947</v>
      </c>
      <c r="D2955" s="562">
        <v>2</v>
      </c>
      <c r="E2955" s="562">
        <v>4</v>
      </c>
      <c r="F2955" s="562" t="s">
        <v>184</v>
      </c>
      <c r="G2955" s="562" t="s">
        <v>191</v>
      </c>
      <c r="H2955" s="562" t="s">
        <v>191</v>
      </c>
    </row>
    <row r="2956" spans="1:8" x14ac:dyDescent="0.2">
      <c r="A2956" s="562" t="s">
        <v>282</v>
      </c>
      <c r="B2956" s="562" t="s">
        <v>1979</v>
      </c>
      <c r="C2956" s="562" t="s">
        <v>2060</v>
      </c>
      <c r="D2956" s="562">
        <v>1</v>
      </c>
      <c r="E2956" s="562">
        <v>4</v>
      </c>
      <c r="F2956" s="562" t="s">
        <v>184</v>
      </c>
      <c r="G2956" s="562" t="s">
        <v>191</v>
      </c>
      <c r="H2956" s="562" t="s">
        <v>191</v>
      </c>
    </row>
    <row r="2957" spans="1:8" x14ac:dyDescent="0.2">
      <c r="A2957" s="562" t="s">
        <v>282</v>
      </c>
      <c r="B2957" s="562" t="s">
        <v>1979</v>
      </c>
      <c r="C2957" s="562" t="s">
        <v>1071</v>
      </c>
      <c r="D2957" s="562">
        <v>3</v>
      </c>
      <c r="E2957" s="562">
        <v>4</v>
      </c>
      <c r="F2957" s="562" t="s">
        <v>184</v>
      </c>
      <c r="G2957" s="562" t="s">
        <v>191</v>
      </c>
      <c r="H2957" s="562" t="s">
        <v>191</v>
      </c>
    </row>
    <row r="2958" spans="1:8" x14ac:dyDescent="0.2">
      <c r="A2958" s="562" t="s">
        <v>284</v>
      </c>
      <c r="B2958" s="562" t="s">
        <v>2061</v>
      </c>
      <c r="C2958" s="562" t="s">
        <v>477</v>
      </c>
      <c r="D2958" s="562">
        <v>2</v>
      </c>
      <c r="E2958" s="562">
        <v>5</v>
      </c>
      <c r="F2958" s="562" t="s">
        <v>345</v>
      </c>
      <c r="G2958" s="562" t="s">
        <v>191</v>
      </c>
      <c r="H2958" s="562" t="s">
        <v>191</v>
      </c>
    </row>
    <row r="2959" spans="1:8" x14ac:dyDescent="0.2">
      <c r="A2959" s="562" t="s">
        <v>284</v>
      </c>
      <c r="B2959" s="562" t="s">
        <v>2061</v>
      </c>
      <c r="C2959" s="562" t="s">
        <v>2062</v>
      </c>
      <c r="D2959" s="562">
        <v>2</v>
      </c>
      <c r="E2959" s="562">
        <v>5</v>
      </c>
      <c r="F2959" s="562" t="s">
        <v>345</v>
      </c>
      <c r="G2959" s="562" t="s">
        <v>191</v>
      </c>
      <c r="H2959" s="562" t="s">
        <v>191</v>
      </c>
    </row>
    <row r="2960" spans="1:8" x14ac:dyDescent="0.2">
      <c r="A2960" s="562" t="s">
        <v>284</v>
      </c>
      <c r="B2960" s="562" t="s">
        <v>2061</v>
      </c>
      <c r="C2960" s="562" t="s">
        <v>364</v>
      </c>
      <c r="D2960" s="562">
        <v>2</v>
      </c>
      <c r="E2960" s="562">
        <v>5</v>
      </c>
      <c r="F2960" s="562" t="s">
        <v>345</v>
      </c>
      <c r="G2960" s="562" t="s">
        <v>191</v>
      </c>
      <c r="H2960" s="562" t="s">
        <v>191</v>
      </c>
    </row>
    <row r="2961" spans="1:8" x14ac:dyDescent="0.2">
      <c r="A2961" s="562" t="s">
        <v>284</v>
      </c>
      <c r="B2961" s="562" t="s">
        <v>2061</v>
      </c>
      <c r="C2961" s="562" t="s">
        <v>2063</v>
      </c>
      <c r="D2961" s="562">
        <v>3</v>
      </c>
      <c r="E2961" s="562">
        <v>5</v>
      </c>
      <c r="F2961" s="562" t="s">
        <v>345</v>
      </c>
      <c r="G2961" s="562" t="s">
        <v>191</v>
      </c>
      <c r="H2961" s="562" t="s">
        <v>191</v>
      </c>
    </row>
    <row r="2962" spans="1:8" x14ac:dyDescent="0.2">
      <c r="A2962" s="562" t="s">
        <v>284</v>
      </c>
      <c r="B2962" s="562" t="s">
        <v>2061</v>
      </c>
      <c r="C2962" s="562" t="s">
        <v>2064</v>
      </c>
      <c r="D2962" s="562">
        <v>3</v>
      </c>
      <c r="E2962" s="562">
        <v>4</v>
      </c>
      <c r="F2962" s="562" t="s">
        <v>420</v>
      </c>
      <c r="G2962" s="562" t="s">
        <v>191</v>
      </c>
      <c r="H2962" s="562" t="s">
        <v>191</v>
      </c>
    </row>
    <row r="2963" spans="1:8" x14ac:dyDescent="0.2">
      <c r="A2963" s="562" t="s">
        <v>284</v>
      </c>
      <c r="B2963" s="562" t="s">
        <v>2061</v>
      </c>
      <c r="C2963" s="562" t="s">
        <v>369</v>
      </c>
      <c r="D2963" s="562">
        <v>1</v>
      </c>
      <c r="E2963" s="562">
        <v>4</v>
      </c>
      <c r="F2963" s="562" t="s">
        <v>420</v>
      </c>
      <c r="G2963" s="562" t="s">
        <v>191</v>
      </c>
      <c r="H2963" s="562" t="s">
        <v>191</v>
      </c>
    </row>
    <row r="2964" spans="1:8" x14ac:dyDescent="0.2">
      <c r="A2964" s="562" t="s">
        <v>284</v>
      </c>
      <c r="B2964" s="562" t="s">
        <v>2061</v>
      </c>
      <c r="C2964" s="562" t="s">
        <v>371</v>
      </c>
      <c r="D2964" s="562">
        <v>2</v>
      </c>
      <c r="E2964" s="562">
        <v>5</v>
      </c>
      <c r="F2964" s="562" t="s">
        <v>345</v>
      </c>
      <c r="G2964" s="562" t="s">
        <v>191</v>
      </c>
      <c r="H2964" s="562" t="s">
        <v>191</v>
      </c>
    </row>
    <row r="2965" spans="1:8" x14ac:dyDescent="0.2">
      <c r="A2965" s="562" t="s">
        <v>284</v>
      </c>
      <c r="B2965" s="562" t="s">
        <v>2061</v>
      </c>
      <c r="C2965" s="562" t="s">
        <v>2065</v>
      </c>
      <c r="D2965" s="562">
        <v>3</v>
      </c>
      <c r="E2965" s="562">
        <v>4</v>
      </c>
      <c r="F2965" s="562" t="s">
        <v>420</v>
      </c>
      <c r="G2965" s="562" t="s">
        <v>191</v>
      </c>
      <c r="H2965" s="562" t="s">
        <v>191</v>
      </c>
    </row>
    <row r="2966" spans="1:8" x14ac:dyDescent="0.2">
      <c r="A2966" s="562" t="s">
        <v>284</v>
      </c>
      <c r="B2966" s="562" t="s">
        <v>2061</v>
      </c>
      <c r="C2966" s="562" t="s">
        <v>495</v>
      </c>
      <c r="D2966" s="562">
        <v>2</v>
      </c>
      <c r="E2966" s="562">
        <v>5</v>
      </c>
      <c r="F2966" s="562" t="s">
        <v>345</v>
      </c>
      <c r="G2966" s="562" t="s">
        <v>191</v>
      </c>
      <c r="H2966" s="562" t="s">
        <v>191</v>
      </c>
    </row>
    <row r="2967" spans="1:8" x14ac:dyDescent="0.2">
      <c r="A2967" s="562" t="s">
        <v>284</v>
      </c>
      <c r="B2967" s="562" t="s">
        <v>2061</v>
      </c>
      <c r="C2967" s="562" t="s">
        <v>2066</v>
      </c>
      <c r="D2967" s="562">
        <v>1</v>
      </c>
      <c r="E2967" s="562">
        <v>6</v>
      </c>
      <c r="F2967" s="562" t="s">
        <v>345</v>
      </c>
      <c r="G2967" s="562" t="s">
        <v>191</v>
      </c>
      <c r="H2967" s="562" t="s">
        <v>191</v>
      </c>
    </row>
    <row r="2968" spans="1:8" x14ac:dyDescent="0.2">
      <c r="A2968" s="562" t="s">
        <v>284</v>
      </c>
      <c r="B2968" s="562" t="s">
        <v>2061</v>
      </c>
      <c r="C2968" s="562" t="s">
        <v>248</v>
      </c>
      <c r="D2968" s="562">
        <v>2</v>
      </c>
      <c r="E2968" s="562">
        <v>5</v>
      </c>
      <c r="F2968" s="562" t="s">
        <v>345</v>
      </c>
      <c r="G2968" s="562" t="s">
        <v>191</v>
      </c>
      <c r="H2968" s="562" t="s">
        <v>191</v>
      </c>
    </row>
    <row r="2969" spans="1:8" x14ac:dyDescent="0.2">
      <c r="A2969" s="562" t="s">
        <v>284</v>
      </c>
      <c r="B2969" s="562" t="s">
        <v>2061</v>
      </c>
      <c r="C2969" s="562" t="s">
        <v>500</v>
      </c>
      <c r="D2969" s="562">
        <v>2</v>
      </c>
      <c r="E2969" s="562">
        <v>5</v>
      </c>
      <c r="F2969" s="562" t="s">
        <v>345</v>
      </c>
      <c r="G2969" s="562" t="s">
        <v>191</v>
      </c>
      <c r="H2969" s="562" t="s">
        <v>191</v>
      </c>
    </row>
    <row r="2970" spans="1:8" x14ac:dyDescent="0.2">
      <c r="A2970" s="562" t="s">
        <v>284</v>
      </c>
      <c r="B2970" s="562" t="s">
        <v>2061</v>
      </c>
      <c r="C2970" s="562" t="s">
        <v>382</v>
      </c>
      <c r="D2970" s="562">
        <v>2</v>
      </c>
      <c r="E2970" s="562">
        <v>5</v>
      </c>
      <c r="F2970" s="562" t="s">
        <v>345</v>
      </c>
      <c r="G2970" s="562" t="s">
        <v>191</v>
      </c>
      <c r="H2970" s="562" t="s">
        <v>191</v>
      </c>
    </row>
    <row r="2971" spans="1:8" x14ac:dyDescent="0.2">
      <c r="A2971" s="562" t="s">
        <v>284</v>
      </c>
      <c r="B2971" s="562" t="s">
        <v>2061</v>
      </c>
      <c r="C2971" s="562" t="s">
        <v>2067</v>
      </c>
      <c r="D2971" s="562">
        <v>3</v>
      </c>
      <c r="E2971" s="562">
        <v>4</v>
      </c>
      <c r="F2971" s="562" t="s">
        <v>420</v>
      </c>
      <c r="G2971" s="562" t="s">
        <v>191</v>
      </c>
      <c r="H2971" s="562" t="s">
        <v>191</v>
      </c>
    </row>
    <row r="2972" spans="1:8" x14ac:dyDescent="0.2">
      <c r="A2972" s="562" t="s">
        <v>284</v>
      </c>
      <c r="B2972" s="562" t="s">
        <v>2061</v>
      </c>
      <c r="C2972" s="562" t="s">
        <v>2068</v>
      </c>
      <c r="D2972" s="562">
        <v>3</v>
      </c>
      <c r="E2972" s="562">
        <v>4</v>
      </c>
      <c r="F2972" s="562" t="s">
        <v>420</v>
      </c>
      <c r="G2972" s="562" t="s">
        <v>191</v>
      </c>
      <c r="H2972" s="562" t="s">
        <v>191</v>
      </c>
    </row>
    <row r="2973" spans="1:8" x14ac:dyDescent="0.2">
      <c r="A2973" s="562" t="s">
        <v>284</v>
      </c>
      <c r="B2973" s="562" t="s">
        <v>2061</v>
      </c>
      <c r="C2973" s="562" t="s">
        <v>261</v>
      </c>
      <c r="D2973" s="562">
        <v>3</v>
      </c>
      <c r="E2973" s="562">
        <v>4</v>
      </c>
      <c r="F2973" s="562" t="s">
        <v>420</v>
      </c>
      <c r="G2973" s="562" t="s">
        <v>191</v>
      </c>
      <c r="H2973" s="562" t="s">
        <v>191</v>
      </c>
    </row>
    <row r="2974" spans="1:8" x14ac:dyDescent="0.2">
      <c r="A2974" s="562" t="s">
        <v>284</v>
      </c>
      <c r="B2974" s="562" t="s">
        <v>2061</v>
      </c>
      <c r="C2974" s="562" t="s">
        <v>1876</v>
      </c>
      <c r="D2974" s="562">
        <v>3</v>
      </c>
      <c r="E2974" s="562">
        <v>4</v>
      </c>
      <c r="F2974" s="562" t="s">
        <v>420</v>
      </c>
      <c r="G2974" s="562" t="s">
        <v>191</v>
      </c>
      <c r="H2974" s="562" t="s">
        <v>191</v>
      </c>
    </row>
    <row r="2975" spans="1:8" x14ac:dyDescent="0.2">
      <c r="A2975" s="562" t="s">
        <v>284</v>
      </c>
      <c r="B2975" s="562" t="s">
        <v>2061</v>
      </c>
      <c r="C2975" s="562" t="s">
        <v>2069</v>
      </c>
      <c r="D2975" s="562">
        <v>3</v>
      </c>
      <c r="E2975" s="562">
        <v>4</v>
      </c>
      <c r="F2975" s="562" t="s">
        <v>420</v>
      </c>
      <c r="G2975" s="562" t="s">
        <v>191</v>
      </c>
      <c r="H2975" s="562" t="s">
        <v>191</v>
      </c>
    </row>
    <row r="2976" spans="1:8" x14ac:dyDescent="0.2">
      <c r="A2976" s="562" t="s">
        <v>284</v>
      </c>
      <c r="B2976" s="562" t="s">
        <v>2061</v>
      </c>
      <c r="C2976" s="562" t="s">
        <v>2070</v>
      </c>
      <c r="D2976" s="562">
        <v>2</v>
      </c>
      <c r="E2976" s="562">
        <v>5</v>
      </c>
      <c r="F2976" s="562" t="s">
        <v>345</v>
      </c>
      <c r="G2976" s="562" t="s">
        <v>191</v>
      </c>
      <c r="H2976" s="562" t="s">
        <v>191</v>
      </c>
    </row>
    <row r="2977" spans="1:8" x14ac:dyDescent="0.2">
      <c r="A2977" s="562" t="s">
        <v>284</v>
      </c>
      <c r="B2977" s="562" t="s">
        <v>2061</v>
      </c>
      <c r="C2977" s="562" t="s">
        <v>2071</v>
      </c>
      <c r="D2977" s="562">
        <v>2</v>
      </c>
      <c r="E2977" s="562">
        <v>5</v>
      </c>
      <c r="F2977" s="562" t="s">
        <v>345</v>
      </c>
      <c r="G2977" s="562" t="s">
        <v>191</v>
      </c>
      <c r="H2977" s="562" t="s">
        <v>191</v>
      </c>
    </row>
    <row r="2978" spans="1:8" x14ac:dyDescent="0.2">
      <c r="A2978" s="562" t="s">
        <v>284</v>
      </c>
      <c r="B2978" s="562" t="s">
        <v>2061</v>
      </c>
      <c r="C2978" s="562" t="s">
        <v>736</v>
      </c>
      <c r="D2978" s="562">
        <v>3</v>
      </c>
      <c r="E2978" s="562">
        <v>4</v>
      </c>
      <c r="F2978" s="562" t="s">
        <v>420</v>
      </c>
      <c r="G2978" s="562" t="s">
        <v>191</v>
      </c>
      <c r="H2978" s="562" t="s">
        <v>191</v>
      </c>
    </row>
    <row r="2979" spans="1:8" x14ac:dyDescent="0.2">
      <c r="A2979" s="562" t="s">
        <v>284</v>
      </c>
      <c r="B2979" s="562" t="s">
        <v>2061</v>
      </c>
      <c r="C2979" s="562" t="s">
        <v>390</v>
      </c>
      <c r="D2979" s="562">
        <v>2</v>
      </c>
      <c r="E2979" s="562">
        <v>5</v>
      </c>
      <c r="F2979" s="562" t="s">
        <v>345</v>
      </c>
      <c r="G2979" s="562" t="s">
        <v>191</v>
      </c>
      <c r="H2979" s="562" t="s">
        <v>191</v>
      </c>
    </row>
    <row r="2980" spans="1:8" x14ac:dyDescent="0.2">
      <c r="A2980" s="562" t="s">
        <v>284</v>
      </c>
      <c r="B2980" s="562" t="s">
        <v>2061</v>
      </c>
      <c r="C2980" s="562" t="s">
        <v>777</v>
      </c>
      <c r="D2980" s="562">
        <v>3</v>
      </c>
      <c r="E2980" s="562">
        <v>4</v>
      </c>
      <c r="F2980" s="562" t="s">
        <v>420</v>
      </c>
      <c r="G2980" s="562" t="s">
        <v>191</v>
      </c>
      <c r="H2980" s="562" t="s">
        <v>191</v>
      </c>
    </row>
    <row r="2981" spans="1:8" x14ac:dyDescent="0.2">
      <c r="A2981" s="562" t="s">
        <v>284</v>
      </c>
      <c r="B2981" s="562" t="s">
        <v>2061</v>
      </c>
      <c r="C2981" s="562" t="s">
        <v>2072</v>
      </c>
      <c r="D2981" s="562">
        <v>1</v>
      </c>
      <c r="E2981" s="562">
        <v>6</v>
      </c>
      <c r="F2981" s="562" t="s">
        <v>345</v>
      </c>
      <c r="G2981" s="562" t="s">
        <v>191</v>
      </c>
      <c r="H2981" s="562" t="s">
        <v>191</v>
      </c>
    </row>
    <row r="2982" spans="1:8" x14ac:dyDescent="0.2">
      <c r="A2982" s="562" t="s">
        <v>284</v>
      </c>
      <c r="B2982" s="562" t="s">
        <v>2061</v>
      </c>
      <c r="C2982" s="562" t="s">
        <v>2073</v>
      </c>
      <c r="D2982" s="562">
        <v>3</v>
      </c>
      <c r="E2982" s="562">
        <v>4</v>
      </c>
      <c r="F2982" s="562" t="s">
        <v>420</v>
      </c>
      <c r="G2982" s="562" t="s">
        <v>191</v>
      </c>
      <c r="H2982" s="562" t="s">
        <v>191</v>
      </c>
    </row>
    <row r="2983" spans="1:8" x14ac:dyDescent="0.2">
      <c r="A2983" s="562" t="s">
        <v>284</v>
      </c>
      <c r="B2983" s="562" t="s">
        <v>2061</v>
      </c>
      <c r="C2983" s="562" t="s">
        <v>2074</v>
      </c>
      <c r="D2983" s="562">
        <v>1</v>
      </c>
      <c r="E2983" s="562">
        <v>6</v>
      </c>
      <c r="F2983" s="562" t="s">
        <v>345</v>
      </c>
      <c r="G2983" s="562" t="s">
        <v>191</v>
      </c>
      <c r="H2983" s="562" t="s">
        <v>191</v>
      </c>
    </row>
    <row r="2984" spans="1:8" x14ac:dyDescent="0.2">
      <c r="A2984" s="562" t="s">
        <v>284</v>
      </c>
      <c r="B2984" s="562" t="s">
        <v>2061</v>
      </c>
      <c r="C2984" s="562" t="s">
        <v>674</v>
      </c>
      <c r="D2984" s="562">
        <v>3</v>
      </c>
      <c r="E2984" s="562">
        <v>4</v>
      </c>
      <c r="F2984" s="562" t="s">
        <v>420</v>
      </c>
      <c r="G2984" s="562" t="s">
        <v>191</v>
      </c>
      <c r="H2984" s="562" t="s">
        <v>191</v>
      </c>
    </row>
    <row r="2985" spans="1:8" x14ac:dyDescent="0.2">
      <c r="A2985" s="562" t="s">
        <v>284</v>
      </c>
      <c r="B2985" s="562" t="s">
        <v>2061</v>
      </c>
      <c r="C2985" s="562" t="s">
        <v>526</v>
      </c>
      <c r="D2985" s="562">
        <v>3</v>
      </c>
      <c r="E2985" s="562">
        <v>4</v>
      </c>
      <c r="F2985" s="562" t="s">
        <v>420</v>
      </c>
      <c r="G2985" s="562" t="s">
        <v>191</v>
      </c>
      <c r="H2985" s="562" t="s">
        <v>191</v>
      </c>
    </row>
    <row r="2986" spans="1:8" x14ac:dyDescent="0.2">
      <c r="A2986" s="562" t="s">
        <v>284</v>
      </c>
      <c r="B2986" s="562" t="s">
        <v>2061</v>
      </c>
      <c r="C2986" s="562" t="s">
        <v>2075</v>
      </c>
      <c r="D2986" s="562">
        <v>3</v>
      </c>
      <c r="E2986" s="562">
        <v>4</v>
      </c>
      <c r="F2986" s="562" t="s">
        <v>420</v>
      </c>
      <c r="G2986" s="562" t="s">
        <v>191</v>
      </c>
      <c r="H2986" s="562" t="s">
        <v>191</v>
      </c>
    </row>
    <row r="2987" spans="1:8" x14ac:dyDescent="0.2">
      <c r="A2987" s="562" t="s">
        <v>284</v>
      </c>
      <c r="B2987" s="562" t="s">
        <v>2061</v>
      </c>
      <c r="C2987" s="562" t="s">
        <v>2076</v>
      </c>
      <c r="D2987" s="562">
        <v>1</v>
      </c>
      <c r="E2987" s="562">
        <v>5</v>
      </c>
      <c r="F2987" s="562" t="s">
        <v>345</v>
      </c>
      <c r="G2987" s="562" t="s">
        <v>191</v>
      </c>
      <c r="H2987" s="562" t="s">
        <v>191</v>
      </c>
    </row>
    <row r="2988" spans="1:8" x14ac:dyDescent="0.2">
      <c r="A2988" s="562" t="s">
        <v>284</v>
      </c>
      <c r="B2988" s="562" t="s">
        <v>2061</v>
      </c>
      <c r="C2988" s="562" t="s">
        <v>2077</v>
      </c>
      <c r="D2988" s="562">
        <v>3</v>
      </c>
      <c r="E2988" s="562">
        <v>4</v>
      </c>
      <c r="F2988" s="562" t="s">
        <v>420</v>
      </c>
      <c r="G2988" s="562" t="s">
        <v>191</v>
      </c>
      <c r="H2988" s="562" t="s">
        <v>191</v>
      </c>
    </row>
    <row r="2989" spans="1:8" x14ac:dyDescent="0.2">
      <c r="A2989" s="562" t="s">
        <v>284</v>
      </c>
      <c r="B2989" s="562" t="s">
        <v>2061</v>
      </c>
      <c r="C2989" s="562" t="s">
        <v>2078</v>
      </c>
      <c r="D2989" s="562">
        <v>1</v>
      </c>
      <c r="E2989" s="562">
        <v>5</v>
      </c>
      <c r="F2989" s="562" t="s">
        <v>345</v>
      </c>
      <c r="G2989" s="562" t="s">
        <v>191</v>
      </c>
      <c r="H2989" s="562" t="s">
        <v>191</v>
      </c>
    </row>
    <row r="2990" spans="1:8" x14ac:dyDescent="0.2">
      <c r="A2990" s="562" t="s">
        <v>284</v>
      </c>
      <c r="B2990" s="562" t="s">
        <v>2061</v>
      </c>
      <c r="C2990" s="562" t="s">
        <v>949</v>
      </c>
      <c r="D2990" s="562">
        <v>1</v>
      </c>
      <c r="E2990" s="562">
        <v>6</v>
      </c>
      <c r="F2990" s="562" t="s">
        <v>345</v>
      </c>
      <c r="G2990" s="562" t="s">
        <v>191</v>
      </c>
      <c r="H2990" s="562" t="s">
        <v>191</v>
      </c>
    </row>
    <row r="2991" spans="1:8" x14ac:dyDescent="0.2">
      <c r="A2991" s="562" t="s">
        <v>284</v>
      </c>
      <c r="B2991" s="562" t="s">
        <v>2061</v>
      </c>
      <c r="C2991" s="562" t="s">
        <v>1380</v>
      </c>
      <c r="D2991" s="562">
        <v>3</v>
      </c>
      <c r="E2991" s="562">
        <v>4</v>
      </c>
      <c r="F2991" s="562" t="s">
        <v>420</v>
      </c>
      <c r="G2991" s="562" t="s">
        <v>191</v>
      </c>
      <c r="H2991" s="562" t="s">
        <v>191</v>
      </c>
    </row>
    <row r="2992" spans="1:8" x14ac:dyDescent="0.2">
      <c r="A2992" s="562" t="s">
        <v>284</v>
      </c>
      <c r="B2992" s="562" t="s">
        <v>2061</v>
      </c>
      <c r="C2992" s="562" t="s">
        <v>2079</v>
      </c>
      <c r="D2992" s="562">
        <v>3</v>
      </c>
      <c r="E2992" s="562">
        <v>4</v>
      </c>
      <c r="F2992" s="562" t="s">
        <v>420</v>
      </c>
      <c r="G2992" s="562" t="s">
        <v>191</v>
      </c>
      <c r="H2992" s="562" t="s">
        <v>191</v>
      </c>
    </row>
    <row r="2993" spans="1:8" x14ac:dyDescent="0.2">
      <c r="A2993" s="562" t="s">
        <v>284</v>
      </c>
      <c r="B2993" s="562" t="s">
        <v>2061</v>
      </c>
      <c r="C2993" s="562" t="s">
        <v>2080</v>
      </c>
      <c r="D2993" s="562">
        <v>2</v>
      </c>
      <c r="E2993" s="562">
        <v>5</v>
      </c>
      <c r="F2993" s="562" t="s">
        <v>345</v>
      </c>
      <c r="G2993" s="562" t="s">
        <v>191</v>
      </c>
      <c r="H2993" s="562" t="s">
        <v>191</v>
      </c>
    </row>
    <row r="2994" spans="1:8" x14ac:dyDescent="0.2">
      <c r="A2994" s="562" t="s">
        <v>284</v>
      </c>
      <c r="B2994" s="562" t="s">
        <v>2061</v>
      </c>
      <c r="C2994" s="562" t="s">
        <v>2081</v>
      </c>
      <c r="D2994" s="562">
        <v>3</v>
      </c>
      <c r="E2994" s="562">
        <v>4</v>
      </c>
      <c r="F2994" s="562" t="s">
        <v>420</v>
      </c>
      <c r="G2994" s="562" t="s">
        <v>191</v>
      </c>
      <c r="H2994" s="562" t="s">
        <v>191</v>
      </c>
    </row>
    <row r="2995" spans="1:8" x14ac:dyDescent="0.2">
      <c r="A2995" s="562" t="s">
        <v>284</v>
      </c>
      <c r="B2995" s="562" t="s">
        <v>2061</v>
      </c>
      <c r="C2995" s="562" t="s">
        <v>2082</v>
      </c>
      <c r="D2995" s="562">
        <v>2</v>
      </c>
      <c r="E2995" s="562">
        <v>5</v>
      </c>
      <c r="F2995" s="562" t="s">
        <v>345</v>
      </c>
      <c r="G2995" s="562" t="s">
        <v>191</v>
      </c>
      <c r="H2995" s="562" t="s">
        <v>191</v>
      </c>
    </row>
    <row r="2996" spans="1:8" x14ac:dyDescent="0.2">
      <c r="A2996" s="562" t="s">
        <v>284</v>
      </c>
      <c r="B2996" s="562" t="s">
        <v>2061</v>
      </c>
      <c r="C2996" s="562" t="s">
        <v>2083</v>
      </c>
      <c r="D2996" s="562">
        <v>2</v>
      </c>
      <c r="E2996" s="562">
        <v>5</v>
      </c>
      <c r="F2996" s="562" t="s">
        <v>345</v>
      </c>
      <c r="G2996" s="562" t="s">
        <v>191</v>
      </c>
      <c r="H2996" s="562" t="s">
        <v>191</v>
      </c>
    </row>
    <row r="2997" spans="1:8" x14ac:dyDescent="0.2">
      <c r="A2997" s="562" t="s">
        <v>286</v>
      </c>
      <c r="B2997" s="562" t="s">
        <v>2084</v>
      </c>
      <c r="C2997" s="562" t="s">
        <v>194</v>
      </c>
      <c r="D2997" s="562">
        <v>2</v>
      </c>
      <c r="E2997" s="562">
        <v>5</v>
      </c>
      <c r="F2997" s="562" t="s">
        <v>184</v>
      </c>
      <c r="G2997" s="562" t="s">
        <v>191</v>
      </c>
      <c r="H2997" s="562" t="s">
        <v>191</v>
      </c>
    </row>
    <row r="2998" spans="1:8" x14ac:dyDescent="0.2">
      <c r="A2998" s="562" t="s">
        <v>286</v>
      </c>
      <c r="B2998" s="562" t="s">
        <v>2084</v>
      </c>
      <c r="C2998" s="562" t="s">
        <v>1705</v>
      </c>
      <c r="D2998" s="562">
        <v>1</v>
      </c>
      <c r="E2998" s="562">
        <v>4</v>
      </c>
      <c r="F2998" s="562" t="s">
        <v>184</v>
      </c>
      <c r="G2998" s="562" t="s">
        <v>191</v>
      </c>
      <c r="H2998" s="562" t="s">
        <v>191</v>
      </c>
    </row>
    <row r="2999" spans="1:8" x14ac:dyDescent="0.2">
      <c r="A2999" s="562" t="s">
        <v>286</v>
      </c>
      <c r="B2999" s="562" t="s">
        <v>2084</v>
      </c>
      <c r="C2999" s="562" t="s">
        <v>365</v>
      </c>
      <c r="D2999" s="562">
        <v>3</v>
      </c>
      <c r="E2999" s="562">
        <v>4</v>
      </c>
      <c r="F2999" s="562" t="s">
        <v>184</v>
      </c>
      <c r="G2999" s="562" t="s">
        <v>191</v>
      </c>
      <c r="H2999" s="562" t="s">
        <v>191</v>
      </c>
    </row>
    <row r="3000" spans="1:8" x14ac:dyDescent="0.2">
      <c r="A3000" s="562" t="s">
        <v>286</v>
      </c>
      <c r="B3000" s="562" t="s">
        <v>2084</v>
      </c>
      <c r="C3000" s="562" t="s">
        <v>2085</v>
      </c>
      <c r="D3000" s="562">
        <v>2</v>
      </c>
      <c r="E3000" s="562">
        <v>4</v>
      </c>
      <c r="F3000" s="562" t="s">
        <v>184</v>
      </c>
      <c r="G3000" s="562" t="s">
        <v>191</v>
      </c>
      <c r="H3000" s="562" t="s">
        <v>191</v>
      </c>
    </row>
    <row r="3001" spans="1:8" x14ac:dyDescent="0.2">
      <c r="A3001" s="562" t="s">
        <v>286</v>
      </c>
      <c r="B3001" s="562" t="s">
        <v>2084</v>
      </c>
      <c r="C3001" s="562" t="s">
        <v>2086</v>
      </c>
      <c r="D3001" s="562">
        <v>1</v>
      </c>
      <c r="E3001" s="562">
        <v>5</v>
      </c>
      <c r="F3001" s="562" t="s">
        <v>184</v>
      </c>
      <c r="G3001" s="562" t="s">
        <v>191</v>
      </c>
      <c r="H3001" s="562" t="s">
        <v>191</v>
      </c>
    </row>
    <row r="3002" spans="1:8" x14ac:dyDescent="0.2">
      <c r="A3002" s="562" t="s">
        <v>286</v>
      </c>
      <c r="B3002" s="562" t="s">
        <v>2084</v>
      </c>
      <c r="C3002" s="562" t="s">
        <v>2087</v>
      </c>
      <c r="D3002" s="562">
        <v>2</v>
      </c>
      <c r="E3002" s="562">
        <v>4</v>
      </c>
      <c r="F3002" s="562" t="s">
        <v>184</v>
      </c>
      <c r="G3002" s="562" t="s">
        <v>191</v>
      </c>
      <c r="H3002" s="562" t="s">
        <v>191</v>
      </c>
    </row>
    <row r="3003" spans="1:8" x14ac:dyDescent="0.2">
      <c r="A3003" s="562" t="s">
        <v>286</v>
      </c>
      <c r="B3003" s="562" t="s">
        <v>2084</v>
      </c>
      <c r="C3003" s="562" t="s">
        <v>204</v>
      </c>
      <c r="D3003" s="562">
        <v>2</v>
      </c>
      <c r="E3003" s="562">
        <v>4</v>
      </c>
      <c r="F3003" s="562" t="s">
        <v>184</v>
      </c>
      <c r="G3003" s="562" t="s">
        <v>191</v>
      </c>
      <c r="H3003" s="562" t="s">
        <v>191</v>
      </c>
    </row>
    <row r="3004" spans="1:8" x14ac:dyDescent="0.2">
      <c r="A3004" s="562" t="s">
        <v>286</v>
      </c>
      <c r="B3004" s="562" t="s">
        <v>2084</v>
      </c>
      <c r="C3004" s="562" t="s">
        <v>216</v>
      </c>
      <c r="D3004" s="562">
        <v>2</v>
      </c>
      <c r="E3004" s="562">
        <v>4</v>
      </c>
      <c r="F3004" s="562" t="s">
        <v>184</v>
      </c>
      <c r="G3004" s="562" t="s">
        <v>191</v>
      </c>
      <c r="H3004" s="562" t="s">
        <v>191</v>
      </c>
    </row>
    <row r="3005" spans="1:8" x14ac:dyDescent="0.2">
      <c r="A3005" s="562" t="s">
        <v>286</v>
      </c>
      <c r="B3005" s="562" t="s">
        <v>2084</v>
      </c>
      <c r="C3005" s="562" t="s">
        <v>2088</v>
      </c>
      <c r="D3005" s="562">
        <v>2</v>
      </c>
      <c r="E3005" s="562">
        <v>5</v>
      </c>
      <c r="F3005" s="562" t="s">
        <v>184</v>
      </c>
      <c r="G3005" s="562" t="s">
        <v>191</v>
      </c>
      <c r="H3005" s="562" t="s">
        <v>191</v>
      </c>
    </row>
    <row r="3006" spans="1:8" x14ac:dyDescent="0.2">
      <c r="A3006" s="562" t="s">
        <v>286</v>
      </c>
      <c r="B3006" s="562" t="s">
        <v>2084</v>
      </c>
      <c r="C3006" s="562" t="s">
        <v>246</v>
      </c>
      <c r="D3006" s="562">
        <v>2</v>
      </c>
      <c r="E3006" s="562">
        <v>5</v>
      </c>
      <c r="F3006" s="562" t="s">
        <v>184</v>
      </c>
      <c r="G3006" s="562" t="s">
        <v>191</v>
      </c>
      <c r="H3006" s="562" t="s">
        <v>191</v>
      </c>
    </row>
    <row r="3007" spans="1:8" x14ac:dyDescent="0.2">
      <c r="A3007" s="562" t="s">
        <v>286</v>
      </c>
      <c r="B3007" s="562" t="s">
        <v>2084</v>
      </c>
      <c r="C3007" s="562" t="s">
        <v>642</v>
      </c>
      <c r="D3007" s="562">
        <v>2</v>
      </c>
      <c r="E3007" s="562">
        <v>4</v>
      </c>
      <c r="F3007" s="562" t="s">
        <v>184</v>
      </c>
      <c r="G3007" s="562" t="s">
        <v>191</v>
      </c>
      <c r="H3007" s="562" t="s">
        <v>191</v>
      </c>
    </row>
    <row r="3008" spans="1:8" x14ac:dyDescent="0.2">
      <c r="A3008" s="562" t="s">
        <v>286</v>
      </c>
      <c r="B3008" s="562" t="s">
        <v>2084</v>
      </c>
      <c r="C3008" s="562" t="s">
        <v>382</v>
      </c>
      <c r="D3008" s="562">
        <v>1</v>
      </c>
      <c r="E3008" s="562">
        <v>5</v>
      </c>
      <c r="F3008" s="562" t="s">
        <v>184</v>
      </c>
      <c r="G3008" s="562" t="s">
        <v>191</v>
      </c>
      <c r="H3008" s="562" t="s">
        <v>191</v>
      </c>
    </row>
    <row r="3009" spans="1:8" x14ac:dyDescent="0.2">
      <c r="A3009" s="562" t="s">
        <v>286</v>
      </c>
      <c r="B3009" s="562" t="s">
        <v>2084</v>
      </c>
      <c r="C3009" s="562" t="s">
        <v>2089</v>
      </c>
      <c r="D3009" s="562">
        <v>1</v>
      </c>
      <c r="E3009" s="562">
        <v>5</v>
      </c>
      <c r="F3009" s="562" t="s">
        <v>184</v>
      </c>
      <c r="G3009" s="562" t="s">
        <v>191</v>
      </c>
      <c r="H3009" s="562" t="s">
        <v>191</v>
      </c>
    </row>
    <row r="3010" spans="1:8" x14ac:dyDescent="0.2">
      <c r="A3010" s="562" t="s">
        <v>286</v>
      </c>
      <c r="B3010" s="562" t="s">
        <v>2084</v>
      </c>
      <c r="C3010" s="562" t="s">
        <v>1097</v>
      </c>
      <c r="D3010" s="562">
        <v>1</v>
      </c>
      <c r="E3010" s="562">
        <v>5</v>
      </c>
      <c r="F3010" s="562" t="s">
        <v>184</v>
      </c>
      <c r="G3010" s="562" t="s">
        <v>191</v>
      </c>
      <c r="H3010" s="562" t="s">
        <v>191</v>
      </c>
    </row>
    <row r="3011" spans="1:8" x14ac:dyDescent="0.2">
      <c r="A3011" s="562" t="s">
        <v>286</v>
      </c>
      <c r="B3011" s="562" t="s">
        <v>2084</v>
      </c>
      <c r="C3011" s="562" t="s">
        <v>650</v>
      </c>
      <c r="D3011" s="562">
        <v>1</v>
      </c>
      <c r="E3011" s="562">
        <v>5</v>
      </c>
      <c r="F3011" s="562" t="s">
        <v>184</v>
      </c>
      <c r="G3011" s="562" t="s">
        <v>191</v>
      </c>
      <c r="H3011" s="562" t="s">
        <v>191</v>
      </c>
    </row>
    <row r="3012" spans="1:8" x14ac:dyDescent="0.2">
      <c r="A3012" s="562" t="s">
        <v>286</v>
      </c>
      <c r="B3012" s="562" t="s">
        <v>2084</v>
      </c>
      <c r="C3012" s="562" t="s">
        <v>2090</v>
      </c>
      <c r="D3012" s="562">
        <v>1</v>
      </c>
      <c r="E3012" s="562">
        <v>5</v>
      </c>
      <c r="F3012" s="562" t="s">
        <v>184</v>
      </c>
      <c r="G3012" s="562" t="s">
        <v>191</v>
      </c>
      <c r="H3012" s="562" t="s">
        <v>191</v>
      </c>
    </row>
    <row r="3013" spans="1:8" x14ac:dyDescent="0.2">
      <c r="A3013" s="562" t="s">
        <v>286</v>
      </c>
      <c r="B3013" s="562" t="s">
        <v>2084</v>
      </c>
      <c r="C3013" s="562" t="s">
        <v>813</v>
      </c>
      <c r="D3013" s="562">
        <v>2</v>
      </c>
      <c r="E3013" s="562">
        <v>5</v>
      </c>
      <c r="F3013" s="562" t="s">
        <v>184</v>
      </c>
      <c r="G3013" s="562" t="s">
        <v>191</v>
      </c>
      <c r="H3013" s="562" t="s">
        <v>191</v>
      </c>
    </row>
    <row r="3014" spans="1:8" x14ac:dyDescent="0.2">
      <c r="A3014" s="562" t="s">
        <v>286</v>
      </c>
      <c r="B3014" s="562" t="s">
        <v>2084</v>
      </c>
      <c r="C3014" s="562" t="s">
        <v>259</v>
      </c>
      <c r="D3014" s="562">
        <v>2</v>
      </c>
      <c r="E3014" s="562">
        <v>4</v>
      </c>
      <c r="F3014" s="562" t="s">
        <v>184</v>
      </c>
      <c r="G3014" s="562" t="s">
        <v>191</v>
      </c>
      <c r="H3014" s="562" t="s">
        <v>191</v>
      </c>
    </row>
    <row r="3015" spans="1:8" x14ac:dyDescent="0.2">
      <c r="A3015" s="562" t="s">
        <v>286</v>
      </c>
      <c r="B3015" s="562" t="s">
        <v>2084</v>
      </c>
      <c r="C3015" s="562" t="s">
        <v>261</v>
      </c>
      <c r="D3015" s="562">
        <v>1</v>
      </c>
      <c r="E3015" s="562">
        <v>4</v>
      </c>
      <c r="F3015" s="562" t="s">
        <v>184</v>
      </c>
      <c r="G3015" s="562" t="s">
        <v>191</v>
      </c>
      <c r="H3015" s="562" t="s">
        <v>191</v>
      </c>
    </row>
    <row r="3016" spans="1:8" x14ac:dyDescent="0.2">
      <c r="A3016" s="562" t="s">
        <v>286</v>
      </c>
      <c r="B3016" s="562" t="s">
        <v>2084</v>
      </c>
      <c r="C3016" s="562" t="s">
        <v>2091</v>
      </c>
      <c r="D3016" s="562">
        <v>3</v>
      </c>
      <c r="E3016" s="562">
        <v>4</v>
      </c>
      <c r="F3016" s="562" t="s">
        <v>184</v>
      </c>
      <c r="G3016" s="562" t="s">
        <v>191</v>
      </c>
      <c r="H3016" s="562" t="s">
        <v>191</v>
      </c>
    </row>
    <row r="3017" spans="1:8" x14ac:dyDescent="0.2">
      <c r="A3017" s="562" t="s">
        <v>286</v>
      </c>
      <c r="B3017" s="562" t="s">
        <v>2084</v>
      </c>
      <c r="C3017" s="562" t="s">
        <v>736</v>
      </c>
      <c r="D3017" s="562">
        <v>2</v>
      </c>
      <c r="E3017" s="562">
        <v>5</v>
      </c>
      <c r="F3017" s="562" t="s">
        <v>184</v>
      </c>
      <c r="G3017" s="562" t="s">
        <v>191</v>
      </c>
      <c r="H3017" s="562" t="s">
        <v>191</v>
      </c>
    </row>
    <row r="3018" spans="1:8" x14ac:dyDescent="0.2">
      <c r="A3018" s="562" t="s">
        <v>286</v>
      </c>
      <c r="B3018" s="562" t="s">
        <v>2084</v>
      </c>
      <c r="C3018" s="562" t="s">
        <v>390</v>
      </c>
      <c r="D3018" s="562">
        <v>2</v>
      </c>
      <c r="E3018" s="562">
        <v>4</v>
      </c>
      <c r="F3018" s="562" t="s">
        <v>184</v>
      </c>
      <c r="G3018" s="562" t="s">
        <v>191</v>
      </c>
      <c r="H3018" s="562" t="s">
        <v>191</v>
      </c>
    </row>
    <row r="3019" spans="1:8" x14ac:dyDescent="0.2">
      <c r="A3019" s="562" t="s">
        <v>286</v>
      </c>
      <c r="B3019" s="562" t="s">
        <v>2084</v>
      </c>
      <c r="C3019" s="562" t="s">
        <v>392</v>
      </c>
      <c r="D3019" s="562">
        <v>3</v>
      </c>
      <c r="E3019" s="562">
        <v>4</v>
      </c>
      <c r="F3019" s="562" t="s">
        <v>184</v>
      </c>
      <c r="G3019" s="562" t="s">
        <v>191</v>
      </c>
      <c r="H3019" s="562" t="s">
        <v>191</v>
      </c>
    </row>
    <row r="3020" spans="1:8" x14ac:dyDescent="0.2">
      <c r="A3020" s="562" t="s">
        <v>286</v>
      </c>
      <c r="B3020" s="562" t="s">
        <v>2084</v>
      </c>
      <c r="C3020" s="562" t="s">
        <v>281</v>
      </c>
      <c r="D3020" s="562">
        <v>2</v>
      </c>
      <c r="E3020" s="562">
        <v>5</v>
      </c>
      <c r="F3020" s="562" t="s">
        <v>184</v>
      </c>
      <c r="G3020" s="562" t="s">
        <v>191</v>
      </c>
      <c r="H3020" s="562" t="s">
        <v>191</v>
      </c>
    </row>
    <row r="3021" spans="1:8" x14ac:dyDescent="0.2">
      <c r="A3021" s="562" t="s">
        <v>286</v>
      </c>
      <c r="B3021" s="562" t="s">
        <v>2084</v>
      </c>
      <c r="C3021" s="562" t="s">
        <v>283</v>
      </c>
      <c r="D3021" s="562">
        <v>1</v>
      </c>
      <c r="E3021" s="562">
        <v>5</v>
      </c>
      <c r="F3021" s="562" t="s">
        <v>184</v>
      </c>
      <c r="G3021" s="562" t="s">
        <v>191</v>
      </c>
      <c r="H3021" s="562" t="s">
        <v>191</v>
      </c>
    </row>
    <row r="3022" spans="1:8" x14ac:dyDescent="0.2">
      <c r="A3022" s="562" t="s">
        <v>286</v>
      </c>
      <c r="B3022" s="562" t="s">
        <v>2084</v>
      </c>
      <c r="C3022" s="562" t="s">
        <v>777</v>
      </c>
      <c r="D3022" s="562">
        <v>2</v>
      </c>
      <c r="E3022" s="562">
        <v>4</v>
      </c>
      <c r="F3022" s="562" t="s">
        <v>184</v>
      </c>
      <c r="G3022" s="562" t="s">
        <v>191</v>
      </c>
      <c r="H3022" s="562" t="s">
        <v>191</v>
      </c>
    </row>
    <row r="3023" spans="1:8" x14ac:dyDescent="0.2">
      <c r="A3023" s="562" t="s">
        <v>286</v>
      </c>
      <c r="B3023" s="562" t="s">
        <v>2084</v>
      </c>
      <c r="C3023" s="562" t="s">
        <v>1507</v>
      </c>
      <c r="D3023" s="562">
        <v>3</v>
      </c>
      <c r="E3023" s="562">
        <v>4</v>
      </c>
      <c r="F3023" s="562" t="s">
        <v>184</v>
      </c>
      <c r="G3023" s="562" t="s">
        <v>191</v>
      </c>
      <c r="H3023" s="562" t="s">
        <v>191</v>
      </c>
    </row>
    <row r="3024" spans="1:8" x14ac:dyDescent="0.2">
      <c r="A3024" s="562" t="s">
        <v>286</v>
      </c>
      <c r="B3024" s="562" t="s">
        <v>2084</v>
      </c>
      <c r="C3024" s="562" t="s">
        <v>783</v>
      </c>
      <c r="D3024" s="562">
        <v>1</v>
      </c>
      <c r="E3024" s="562">
        <v>4</v>
      </c>
      <c r="F3024" s="562" t="s">
        <v>184</v>
      </c>
      <c r="G3024" s="562" t="s">
        <v>191</v>
      </c>
      <c r="H3024" s="562" t="s">
        <v>191</v>
      </c>
    </row>
    <row r="3025" spans="1:8" x14ac:dyDescent="0.2">
      <c r="A3025" s="562" t="s">
        <v>286</v>
      </c>
      <c r="B3025" s="562" t="s">
        <v>2084</v>
      </c>
      <c r="C3025" s="562" t="s">
        <v>512</v>
      </c>
      <c r="D3025" s="562">
        <v>1</v>
      </c>
      <c r="E3025" s="562">
        <v>5</v>
      </c>
      <c r="F3025" s="562" t="s">
        <v>184</v>
      </c>
      <c r="G3025" s="562" t="s">
        <v>191</v>
      </c>
      <c r="H3025" s="562" t="s">
        <v>191</v>
      </c>
    </row>
    <row r="3026" spans="1:8" x14ac:dyDescent="0.2">
      <c r="A3026" s="562" t="s">
        <v>286</v>
      </c>
      <c r="B3026" s="562" t="s">
        <v>2084</v>
      </c>
      <c r="C3026" s="562" t="s">
        <v>2092</v>
      </c>
      <c r="D3026" s="562">
        <v>3</v>
      </c>
      <c r="E3026" s="562">
        <v>4</v>
      </c>
      <c r="F3026" s="562" t="s">
        <v>184</v>
      </c>
      <c r="G3026" s="562" t="s">
        <v>191</v>
      </c>
      <c r="H3026" s="562" t="s">
        <v>191</v>
      </c>
    </row>
    <row r="3027" spans="1:8" x14ac:dyDescent="0.2">
      <c r="A3027" s="562" t="s">
        <v>286</v>
      </c>
      <c r="B3027" s="562" t="s">
        <v>2084</v>
      </c>
      <c r="C3027" s="562" t="s">
        <v>2093</v>
      </c>
      <c r="D3027" s="562">
        <v>1</v>
      </c>
      <c r="E3027" s="562">
        <v>5</v>
      </c>
      <c r="F3027" s="562" t="s">
        <v>184</v>
      </c>
      <c r="G3027" s="562" t="s">
        <v>191</v>
      </c>
      <c r="H3027" s="562" t="s">
        <v>191</v>
      </c>
    </row>
    <row r="3028" spans="1:8" x14ac:dyDescent="0.2">
      <c r="A3028" s="562" t="s">
        <v>286</v>
      </c>
      <c r="B3028" s="562" t="s">
        <v>2084</v>
      </c>
      <c r="C3028" s="562" t="s">
        <v>287</v>
      </c>
      <c r="D3028" s="562">
        <v>1</v>
      </c>
      <c r="E3028" s="562">
        <v>4</v>
      </c>
      <c r="F3028" s="562" t="s">
        <v>184</v>
      </c>
      <c r="G3028" s="562" t="s">
        <v>191</v>
      </c>
      <c r="H3028" s="562" t="s">
        <v>191</v>
      </c>
    </row>
    <row r="3029" spans="1:8" x14ac:dyDescent="0.2">
      <c r="A3029" s="562" t="s">
        <v>286</v>
      </c>
      <c r="B3029" s="562" t="s">
        <v>2084</v>
      </c>
      <c r="C3029" s="562" t="s">
        <v>291</v>
      </c>
      <c r="D3029" s="562">
        <v>1</v>
      </c>
      <c r="E3029" s="562">
        <v>4</v>
      </c>
      <c r="F3029" s="562" t="s">
        <v>184</v>
      </c>
      <c r="G3029" s="562" t="s">
        <v>191</v>
      </c>
      <c r="H3029" s="562" t="s">
        <v>191</v>
      </c>
    </row>
    <row r="3030" spans="1:8" x14ac:dyDescent="0.2">
      <c r="A3030" s="562" t="s">
        <v>286</v>
      </c>
      <c r="B3030" s="562" t="s">
        <v>2084</v>
      </c>
      <c r="C3030" s="562" t="s">
        <v>1001</v>
      </c>
      <c r="D3030" s="562">
        <v>2</v>
      </c>
      <c r="E3030" s="562">
        <v>5</v>
      </c>
      <c r="F3030" s="562" t="s">
        <v>184</v>
      </c>
      <c r="G3030" s="562" t="s">
        <v>191</v>
      </c>
      <c r="H3030" s="562" t="s">
        <v>191</v>
      </c>
    </row>
    <row r="3031" spans="1:8" x14ac:dyDescent="0.2">
      <c r="A3031" s="562" t="s">
        <v>286</v>
      </c>
      <c r="B3031" s="562" t="s">
        <v>2084</v>
      </c>
      <c r="C3031" s="562" t="s">
        <v>823</v>
      </c>
      <c r="D3031" s="562">
        <v>1</v>
      </c>
      <c r="E3031" s="562">
        <v>5</v>
      </c>
      <c r="F3031" s="562" t="s">
        <v>184</v>
      </c>
      <c r="G3031" s="562" t="s">
        <v>191</v>
      </c>
      <c r="H3031" s="562" t="s">
        <v>191</v>
      </c>
    </row>
    <row r="3032" spans="1:8" x14ac:dyDescent="0.2">
      <c r="A3032" s="562" t="s">
        <v>286</v>
      </c>
      <c r="B3032" s="562" t="s">
        <v>2084</v>
      </c>
      <c r="C3032" s="562" t="s">
        <v>1004</v>
      </c>
      <c r="D3032" s="562">
        <v>1</v>
      </c>
      <c r="E3032" s="562">
        <v>5</v>
      </c>
      <c r="F3032" s="562" t="s">
        <v>184</v>
      </c>
      <c r="G3032" s="562" t="s">
        <v>191</v>
      </c>
      <c r="H3032" s="562" t="s">
        <v>191</v>
      </c>
    </row>
    <row r="3033" spans="1:8" x14ac:dyDescent="0.2">
      <c r="A3033" s="562" t="s">
        <v>286</v>
      </c>
      <c r="B3033" s="562" t="s">
        <v>2084</v>
      </c>
      <c r="C3033" s="562" t="s">
        <v>2094</v>
      </c>
      <c r="D3033" s="562">
        <v>2</v>
      </c>
      <c r="E3033" s="562">
        <v>4</v>
      </c>
      <c r="F3033" s="562" t="s">
        <v>184</v>
      </c>
      <c r="G3033" s="562" t="s">
        <v>191</v>
      </c>
      <c r="H3033" s="562" t="s">
        <v>191</v>
      </c>
    </row>
    <row r="3034" spans="1:8" x14ac:dyDescent="0.2">
      <c r="A3034" s="562" t="s">
        <v>286</v>
      </c>
      <c r="B3034" s="562" t="s">
        <v>2084</v>
      </c>
      <c r="C3034" s="562" t="s">
        <v>878</v>
      </c>
      <c r="D3034" s="562">
        <v>1</v>
      </c>
      <c r="E3034" s="562">
        <v>5</v>
      </c>
      <c r="F3034" s="562" t="s">
        <v>184</v>
      </c>
      <c r="G3034" s="562" t="s">
        <v>191</v>
      </c>
      <c r="H3034" s="562" t="s">
        <v>191</v>
      </c>
    </row>
    <row r="3035" spans="1:8" x14ac:dyDescent="0.2">
      <c r="A3035" s="562" t="s">
        <v>286</v>
      </c>
      <c r="B3035" s="562" t="s">
        <v>2084</v>
      </c>
      <c r="C3035" s="562" t="s">
        <v>2095</v>
      </c>
      <c r="D3035" s="562">
        <v>1</v>
      </c>
      <c r="E3035" s="562">
        <v>5</v>
      </c>
      <c r="F3035" s="562" t="s">
        <v>184</v>
      </c>
      <c r="G3035" s="562" t="s">
        <v>191</v>
      </c>
      <c r="H3035" s="562" t="s">
        <v>191</v>
      </c>
    </row>
    <row r="3036" spans="1:8" x14ac:dyDescent="0.2">
      <c r="A3036" s="562" t="s">
        <v>286</v>
      </c>
      <c r="B3036" s="562" t="s">
        <v>2084</v>
      </c>
      <c r="C3036" s="562" t="s">
        <v>586</v>
      </c>
      <c r="D3036" s="562">
        <v>2</v>
      </c>
      <c r="E3036" s="562">
        <v>4</v>
      </c>
      <c r="F3036" s="562" t="s">
        <v>184</v>
      </c>
      <c r="G3036" s="562" t="s">
        <v>191</v>
      </c>
      <c r="H3036" s="562" t="s">
        <v>191</v>
      </c>
    </row>
    <row r="3037" spans="1:8" x14ac:dyDescent="0.2">
      <c r="A3037" s="562" t="s">
        <v>286</v>
      </c>
      <c r="B3037" s="562" t="s">
        <v>2084</v>
      </c>
      <c r="C3037" s="562" t="s">
        <v>2096</v>
      </c>
      <c r="D3037" s="562">
        <v>2</v>
      </c>
      <c r="E3037" s="562">
        <v>5</v>
      </c>
      <c r="F3037" s="562" t="s">
        <v>184</v>
      </c>
      <c r="G3037" s="562" t="s">
        <v>191</v>
      </c>
      <c r="H3037" s="562" t="s">
        <v>191</v>
      </c>
    </row>
    <row r="3038" spans="1:8" x14ac:dyDescent="0.2">
      <c r="A3038" s="562" t="s">
        <v>286</v>
      </c>
      <c r="B3038" s="562" t="s">
        <v>2084</v>
      </c>
      <c r="C3038" s="562" t="s">
        <v>299</v>
      </c>
      <c r="D3038" s="562">
        <v>2</v>
      </c>
      <c r="E3038" s="562">
        <v>5</v>
      </c>
      <c r="F3038" s="562" t="s">
        <v>184</v>
      </c>
      <c r="G3038" s="562" t="s">
        <v>191</v>
      </c>
      <c r="H3038" s="562" t="s">
        <v>191</v>
      </c>
    </row>
    <row r="3039" spans="1:8" x14ac:dyDescent="0.2">
      <c r="A3039" s="562" t="s">
        <v>286</v>
      </c>
      <c r="B3039" s="562" t="s">
        <v>2084</v>
      </c>
      <c r="C3039" s="562" t="s">
        <v>2097</v>
      </c>
      <c r="D3039" s="562">
        <v>2</v>
      </c>
      <c r="E3039" s="562">
        <v>4</v>
      </c>
      <c r="F3039" s="562" t="s">
        <v>184</v>
      </c>
      <c r="G3039" s="562" t="s">
        <v>191</v>
      </c>
      <c r="H3039" s="562" t="s">
        <v>191</v>
      </c>
    </row>
    <row r="3040" spans="1:8" x14ac:dyDescent="0.2">
      <c r="A3040" s="562" t="s">
        <v>286</v>
      </c>
      <c r="B3040" s="562" t="s">
        <v>2084</v>
      </c>
      <c r="C3040" s="562" t="s">
        <v>1787</v>
      </c>
      <c r="D3040" s="562">
        <v>2</v>
      </c>
      <c r="E3040" s="562">
        <v>4</v>
      </c>
      <c r="F3040" s="562" t="s">
        <v>184</v>
      </c>
      <c r="G3040" s="562" t="s">
        <v>191</v>
      </c>
      <c r="H3040" s="562" t="s">
        <v>191</v>
      </c>
    </row>
    <row r="3041" spans="1:8" x14ac:dyDescent="0.2">
      <c r="A3041" s="562" t="s">
        <v>286</v>
      </c>
      <c r="B3041" s="562" t="s">
        <v>2084</v>
      </c>
      <c r="C3041" s="562" t="s">
        <v>2098</v>
      </c>
      <c r="D3041" s="562">
        <v>1</v>
      </c>
      <c r="E3041" s="562">
        <v>5</v>
      </c>
      <c r="F3041" s="562" t="s">
        <v>184</v>
      </c>
      <c r="G3041" s="562" t="s">
        <v>191</v>
      </c>
      <c r="H3041" s="562" t="s">
        <v>191</v>
      </c>
    </row>
    <row r="3042" spans="1:8" x14ac:dyDescent="0.2">
      <c r="A3042" s="562" t="s">
        <v>286</v>
      </c>
      <c r="B3042" s="562" t="s">
        <v>2084</v>
      </c>
      <c r="C3042" s="562" t="s">
        <v>593</v>
      </c>
      <c r="D3042" s="562">
        <v>2</v>
      </c>
      <c r="E3042" s="562">
        <v>5</v>
      </c>
      <c r="F3042" s="562" t="s">
        <v>184</v>
      </c>
      <c r="G3042" s="562" t="s">
        <v>191</v>
      </c>
      <c r="H3042" s="562" t="s">
        <v>191</v>
      </c>
    </row>
    <row r="3043" spans="1:8" x14ac:dyDescent="0.2">
      <c r="A3043" s="562" t="s">
        <v>286</v>
      </c>
      <c r="B3043" s="562" t="s">
        <v>2084</v>
      </c>
      <c r="C3043" s="562" t="s">
        <v>2099</v>
      </c>
      <c r="D3043" s="562">
        <v>2</v>
      </c>
      <c r="E3043" s="562">
        <v>5</v>
      </c>
      <c r="F3043" s="562" t="s">
        <v>184</v>
      </c>
      <c r="G3043" s="562" t="s">
        <v>191</v>
      </c>
      <c r="H3043" s="562" t="s">
        <v>191</v>
      </c>
    </row>
    <row r="3044" spans="1:8" x14ac:dyDescent="0.2">
      <c r="A3044" s="562" t="s">
        <v>286</v>
      </c>
      <c r="B3044" s="562" t="s">
        <v>2084</v>
      </c>
      <c r="C3044" s="562" t="s">
        <v>1934</v>
      </c>
      <c r="D3044" s="562">
        <v>2</v>
      </c>
      <c r="E3044" s="562">
        <v>4</v>
      </c>
      <c r="F3044" s="562" t="s">
        <v>184</v>
      </c>
      <c r="G3044" s="562" t="s">
        <v>191</v>
      </c>
      <c r="H3044" s="562" t="s">
        <v>191</v>
      </c>
    </row>
    <row r="3045" spans="1:8" x14ac:dyDescent="0.2">
      <c r="A3045" s="562" t="s">
        <v>286</v>
      </c>
      <c r="B3045" s="562" t="s">
        <v>2084</v>
      </c>
      <c r="C3045" s="562" t="s">
        <v>1935</v>
      </c>
      <c r="D3045" s="562">
        <v>2</v>
      </c>
      <c r="E3045" s="562">
        <v>5</v>
      </c>
      <c r="F3045" s="562" t="s">
        <v>184</v>
      </c>
      <c r="G3045" s="562" t="s">
        <v>191</v>
      </c>
      <c r="H3045" s="562" t="s">
        <v>191</v>
      </c>
    </row>
    <row r="3046" spans="1:8" x14ac:dyDescent="0.2">
      <c r="A3046" s="562" t="s">
        <v>286</v>
      </c>
      <c r="B3046" s="562" t="s">
        <v>2084</v>
      </c>
      <c r="C3046" s="562" t="s">
        <v>700</v>
      </c>
      <c r="D3046" s="562">
        <v>2</v>
      </c>
      <c r="E3046" s="562">
        <v>4</v>
      </c>
      <c r="F3046" s="562" t="s">
        <v>184</v>
      </c>
      <c r="G3046" s="562" t="s">
        <v>191</v>
      </c>
      <c r="H3046" s="562" t="s">
        <v>191</v>
      </c>
    </row>
    <row r="3047" spans="1:8" x14ac:dyDescent="0.2">
      <c r="A3047" s="562" t="s">
        <v>286</v>
      </c>
      <c r="B3047" s="562" t="s">
        <v>2084</v>
      </c>
      <c r="C3047" s="562" t="s">
        <v>701</v>
      </c>
      <c r="D3047" s="562">
        <v>2</v>
      </c>
      <c r="E3047" s="562">
        <v>5</v>
      </c>
      <c r="F3047" s="562" t="s">
        <v>184</v>
      </c>
      <c r="G3047" s="562" t="s">
        <v>191</v>
      </c>
      <c r="H3047" s="562" t="s">
        <v>191</v>
      </c>
    </row>
    <row r="3048" spans="1:8" x14ac:dyDescent="0.2">
      <c r="A3048" s="562" t="s">
        <v>286</v>
      </c>
      <c r="B3048" s="562" t="s">
        <v>2084</v>
      </c>
      <c r="C3048" s="562" t="s">
        <v>2100</v>
      </c>
      <c r="D3048" s="562">
        <v>1</v>
      </c>
      <c r="E3048" s="562">
        <v>5</v>
      </c>
      <c r="F3048" s="562" t="s">
        <v>184</v>
      </c>
      <c r="G3048" s="562" t="s">
        <v>191</v>
      </c>
      <c r="H3048" s="562" t="s">
        <v>191</v>
      </c>
    </row>
    <row r="3049" spans="1:8" x14ac:dyDescent="0.2">
      <c r="A3049" s="562" t="s">
        <v>286</v>
      </c>
      <c r="B3049" s="562" t="s">
        <v>2084</v>
      </c>
      <c r="C3049" s="562" t="s">
        <v>2101</v>
      </c>
      <c r="D3049" s="562">
        <v>2</v>
      </c>
      <c r="E3049" s="562">
        <v>4</v>
      </c>
      <c r="F3049" s="562" t="s">
        <v>184</v>
      </c>
      <c r="G3049" s="562" t="s">
        <v>191</v>
      </c>
      <c r="H3049" s="562" t="s">
        <v>191</v>
      </c>
    </row>
    <row r="3050" spans="1:8" x14ac:dyDescent="0.2">
      <c r="A3050" s="562" t="s">
        <v>286</v>
      </c>
      <c r="B3050" s="562" t="s">
        <v>2084</v>
      </c>
      <c r="C3050" s="562" t="s">
        <v>1601</v>
      </c>
      <c r="D3050" s="562">
        <v>2</v>
      </c>
      <c r="E3050" s="562">
        <v>4</v>
      </c>
      <c r="F3050" s="562" t="s">
        <v>184</v>
      </c>
      <c r="G3050" s="562" t="s">
        <v>191</v>
      </c>
      <c r="H3050" s="562" t="s">
        <v>191</v>
      </c>
    </row>
    <row r="3051" spans="1:8" x14ac:dyDescent="0.2">
      <c r="A3051" s="562" t="s">
        <v>286</v>
      </c>
      <c r="B3051" s="562" t="s">
        <v>2084</v>
      </c>
      <c r="C3051" s="562" t="s">
        <v>1467</v>
      </c>
      <c r="D3051" s="562">
        <v>3</v>
      </c>
      <c r="E3051" s="562">
        <v>4</v>
      </c>
      <c r="F3051" s="562" t="s">
        <v>184</v>
      </c>
      <c r="G3051" s="562" t="s">
        <v>191</v>
      </c>
      <c r="H3051" s="562" t="s">
        <v>191</v>
      </c>
    </row>
    <row r="3052" spans="1:8" x14ac:dyDescent="0.2">
      <c r="A3052" s="562" t="s">
        <v>288</v>
      </c>
      <c r="B3052" s="562" t="s">
        <v>2102</v>
      </c>
      <c r="C3052" s="562" t="s">
        <v>477</v>
      </c>
      <c r="D3052" s="562">
        <v>2</v>
      </c>
      <c r="E3052" s="562">
        <v>6</v>
      </c>
      <c r="F3052" s="562" t="s">
        <v>184</v>
      </c>
      <c r="G3052" s="562" t="s">
        <v>191</v>
      </c>
      <c r="H3052" s="562" t="s">
        <v>191</v>
      </c>
    </row>
    <row r="3053" spans="1:8" x14ac:dyDescent="0.2">
      <c r="A3053" s="562" t="s">
        <v>288</v>
      </c>
      <c r="B3053" s="562" t="s">
        <v>2102</v>
      </c>
      <c r="C3053" s="562" t="s">
        <v>1568</v>
      </c>
      <c r="D3053" s="562">
        <v>2</v>
      </c>
      <c r="E3053" s="562">
        <v>7</v>
      </c>
      <c r="F3053" s="562" t="s">
        <v>191</v>
      </c>
      <c r="G3053" s="562" t="s">
        <v>191</v>
      </c>
      <c r="H3053" s="562" t="s">
        <v>191</v>
      </c>
    </row>
    <row r="3054" spans="1:8" x14ac:dyDescent="0.2">
      <c r="A3054" s="562" t="s">
        <v>288</v>
      </c>
      <c r="B3054" s="562" t="s">
        <v>2102</v>
      </c>
      <c r="C3054" s="562" t="s">
        <v>2103</v>
      </c>
      <c r="D3054" s="562">
        <v>2</v>
      </c>
      <c r="E3054" s="562">
        <v>6</v>
      </c>
      <c r="F3054" s="562" t="s">
        <v>184</v>
      </c>
      <c r="G3054" s="562" t="s">
        <v>191</v>
      </c>
      <c r="H3054" s="562" t="s">
        <v>191</v>
      </c>
    </row>
    <row r="3055" spans="1:8" x14ac:dyDescent="0.2">
      <c r="A3055" s="562" t="s">
        <v>288</v>
      </c>
      <c r="B3055" s="562" t="s">
        <v>2102</v>
      </c>
      <c r="C3055" s="562" t="s">
        <v>2104</v>
      </c>
      <c r="D3055" s="562">
        <v>2</v>
      </c>
      <c r="E3055" s="562">
        <v>7</v>
      </c>
      <c r="F3055" s="562" t="s">
        <v>191</v>
      </c>
      <c r="G3055" s="562" t="s">
        <v>191</v>
      </c>
      <c r="H3055" s="562" t="s">
        <v>191</v>
      </c>
    </row>
    <row r="3056" spans="1:8" x14ac:dyDescent="0.2">
      <c r="A3056" s="562" t="s">
        <v>288</v>
      </c>
      <c r="B3056" s="562" t="s">
        <v>2102</v>
      </c>
      <c r="C3056" s="562" t="s">
        <v>750</v>
      </c>
      <c r="D3056" s="562">
        <v>2</v>
      </c>
      <c r="E3056" s="562">
        <v>6</v>
      </c>
      <c r="F3056" s="562" t="s">
        <v>184</v>
      </c>
      <c r="G3056" s="562" t="s">
        <v>191</v>
      </c>
      <c r="H3056" s="562" t="s">
        <v>191</v>
      </c>
    </row>
    <row r="3057" spans="1:8" x14ac:dyDescent="0.2">
      <c r="A3057" s="562" t="s">
        <v>288</v>
      </c>
      <c r="B3057" s="562" t="s">
        <v>2102</v>
      </c>
      <c r="C3057" s="562" t="s">
        <v>1345</v>
      </c>
      <c r="D3057" s="562">
        <v>1</v>
      </c>
      <c r="E3057" s="562">
        <v>6</v>
      </c>
      <c r="F3057" s="562" t="s">
        <v>184</v>
      </c>
      <c r="G3057" s="562" t="s">
        <v>191</v>
      </c>
      <c r="H3057" s="562" t="s">
        <v>191</v>
      </c>
    </row>
    <row r="3058" spans="1:8" x14ac:dyDescent="0.2">
      <c r="A3058" s="562" t="s">
        <v>288</v>
      </c>
      <c r="B3058" s="562" t="s">
        <v>2102</v>
      </c>
      <c r="C3058" s="562" t="s">
        <v>2105</v>
      </c>
      <c r="D3058" s="562">
        <v>2</v>
      </c>
      <c r="E3058" s="562">
        <v>7</v>
      </c>
      <c r="F3058" s="562" t="s">
        <v>191</v>
      </c>
      <c r="G3058" s="562" t="s">
        <v>191</v>
      </c>
      <c r="H3058" s="562" t="s">
        <v>191</v>
      </c>
    </row>
    <row r="3059" spans="1:8" x14ac:dyDescent="0.2">
      <c r="A3059" s="562" t="s">
        <v>288</v>
      </c>
      <c r="B3059" s="562" t="s">
        <v>2102</v>
      </c>
      <c r="C3059" s="562" t="s">
        <v>2106</v>
      </c>
      <c r="D3059" s="562">
        <v>2</v>
      </c>
      <c r="E3059" s="562">
        <v>6</v>
      </c>
      <c r="F3059" s="562" t="s">
        <v>184</v>
      </c>
      <c r="G3059" s="562" t="s">
        <v>191</v>
      </c>
      <c r="H3059" s="562" t="s">
        <v>191</v>
      </c>
    </row>
    <row r="3060" spans="1:8" x14ac:dyDescent="0.2">
      <c r="A3060" s="562" t="s">
        <v>288</v>
      </c>
      <c r="B3060" s="562" t="s">
        <v>2102</v>
      </c>
      <c r="C3060" s="562" t="s">
        <v>1114</v>
      </c>
      <c r="D3060" s="562">
        <v>2</v>
      </c>
      <c r="E3060" s="562">
        <v>6</v>
      </c>
      <c r="F3060" s="562" t="s">
        <v>184</v>
      </c>
      <c r="G3060" s="562" t="s">
        <v>191</v>
      </c>
      <c r="H3060" s="562" t="s">
        <v>191</v>
      </c>
    </row>
    <row r="3061" spans="1:8" x14ac:dyDescent="0.2">
      <c r="A3061" s="562" t="s">
        <v>288</v>
      </c>
      <c r="B3061" s="562" t="s">
        <v>2102</v>
      </c>
      <c r="C3061" s="562" t="s">
        <v>369</v>
      </c>
      <c r="D3061" s="562">
        <v>2</v>
      </c>
      <c r="E3061" s="562">
        <v>6</v>
      </c>
      <c r="F3061" s="562" t="s">
        <v>184</v>
      </c>
      <c r="G3061" s="562" t="s">
        <v>191</v>
      </c>
      <c r="H3061" s="562" t="s">
        <v>191</v>
      </c>
    </row>
    <row r="3062" spans="1:8" x14ac:dyDescent="0.2">
      <c r="A3062" s="562" t="s">
        <v>288</v>
      </c>
      <c r="B3062" s="562" t="s">
        <v>2102</v>
      </c>
      <c r="C3062" s="562" t="s">
        <v>371</v>
      </c>
      <c r="D3062" s="562">
        <v>2</v>
      </c>
      <c r="E3062" s="562">
        <v>6</v>
      </c>
      <c r="F3062" s="562" t="s">
        <v>184</v>
      </c>
      <c r="G3062" s="562" t="s">
        <v>191</v>
      </c>
      <c r="H3062" s="562" t="s">
        <v>191</v>
      </c>
    </row>
    <row r="3063" spans="1:8" x14ac:dyDescent="0.2">
      <c r="A3063" s="562" t="s">
        <v>288</v>
      </c>
      <c r="B3063" s="562" t="s">
        <v>2102</v>
      </c>
      <c r="C3063" s="562" t="s">
        <v>374</v>
      </c>
      <c r="D3063" s="562">
        <v>1</v>
      </c>
      <c r="E3063" s="562">
        <v>6</v>
      </c>
      <c r="F3063" s="562" t="s">
        <v>184</v>
      </c>
      <c r="G3063" s="562" t="s">
        <v>191</v>
      </c>
      <c r="H3063" s="562" t="s">
        <v>191</v>
      </c>
    </row>
    <row r="3064" spans="1:8" x14ac:dyDescent="0.2">
      <c r="A3064" s="562" t="s">
        <v>288</v>
      </c>
      <c r="B3064" s="562" t="s">
        <v>2102</v>
      </c>
      <c r="C3064" s="562" t="s">
        <v>2107</v>
      </c>
      <c r="D3064" s="562">
        <v>1</v>
      </c>
      <c r="E3064" s="562">
        <v>6</v>
      </c>
      <c r="F3064" s="562" t="s">
        <v>184</v>
      </c>
      <c r="G3064" s="562" t="s">
        <v>191</v>
      </c>
      <c r="H3064" s="562" t="s">
        <v>191</v>
      </c>
    </row>
    <row r="3065" spans="1:8" x14ac:dyDescent="0.2">
      <c r="A3065" s="562" t="s">
        <v>288</v>
      </c>
      <c r="B3065" s="562" t="s">
        <v>2102</v>
      </c>
      <c r="C3065" s="562" t="s">
        <v>631</v>
      </c>
      <c r="D3065" s="562">
        <v>1</v>
      </c>
      <c r="E3065" s="562">
        <v>6</v>
      </c>
      <c r="F3065" s="562" t="s">
        <v>184</v>
      </c>
      <c r="G3065" s="562" t="s">
        <v>191</v>
      </c>
      <c r="H3065" s="562" t="s">
        <v>191</v>
      </c>
    </row>
    <row r="3066" spans="1:8" x14ac:dyDescent="0.2">
      <c r="A3066" s="562" t="s">
        <v>288</v>
      </c>
      <c r="B3066" s="562" t="s">
        <v>2102</v>
      </c>
      <c r="C3066" s="562" t="s">
        <v>2108</v>
      </c>
      <c r="D3066" s="562">
        <v>1</v>
      </c>
      <c r="E3066" s="562">
        <v>6</v>
      </c>
      <c r="F3066" s="562" t="s">
        <v>184</v>
      </c>
      <c r="G3066" s="562" t="s">
        <v>191</v>
      </c>
      <c r="H3066" s="562" t="s">
        <v>191</v>
      </c>
    </row>
    <row r="3067" spans="1:8" x14ac:dyDescent="0.2">
      <c r="A3067" s="562" t="s">
        <v>288</v>
      </c>
      <c r="B3067" s="562" t="s">
        <v>2102</v>
      </c>
      <c r="C3067" s="562" t="s">
        <v>495</v>
      </c>
      <c r="D3067" s="562">
        <v>2</v>
      </c>
      <c r="E3067" s="562">
        <v>7</v>
      </c>
      <c r="F3067" s="562" t="s">
        <v>191</v>
      </c>
      <c r="G3067" s="562" t="s">
        <v>191</v>
      </c>
      <c r="H3067" s="562" t="s">
        <v>191</v>
      </c>
    </row>
    <row r="3068" spans="1:8" x14ac:dyDescent="0.2">
      <c r="A3068" s="562" t="s">
        <v>288</v>
      </c>
      <c r="B3068" s="562" t="s">
        <v>2102</v>
      </c>
      <c r="C3068" s="562" t="s">
        <v>1544</v>
      </c>
      <c r="D3068" s="562">
        <v>2</v>
      </c>
      <c r="E3068" s="562">
        <v>6</v>
      </c>
      <c r="F3068" s="562" t="s">
        <v>184</v>
      </c>
      <c r="G3068" s="562" t="s">
        <v>191</v>
      </c>
      <c r="H3068" s="562" t="s">
        <v>191</v>
      </c>
    </row>
    <row r="3069" spans="1:8" x14ac:dyDescent="0.2">
      <c r="A3069" s="562" t="s">
        <v>288</v>
      </c>
      <c r="B3069" s="562" t="s">
        <v>2102</v>
      </c>
      <c r="C3069" s="562" t="s">
        <v>2109</v>
      </c>
      <c r="D3069" s="562">
        <v>2</v>
      </c>
      <c r="E3069" s="562">
        <v>6</v>
      </c>
      <c r="F3069" s="562" t="s">
        <v>184</v>
      </c>
      <c r="G3069" s="562" t="s">
        <v>191</v>
      </c>
      <c r="H3069" s="562" t="s">
        <v>191</v>
      </c>
    </row>
    <row r="3070" spans="1:8" x14ac:dyDescent="0.2">
      <c r="A3070" s="562" t="s">
        <v>288</v>
      </c>
      <c r="B3070" s="562" t="s">
        <v>2102</v>
      </c>
      <c r="C3070" s="562" t="s">
        <v>1713</v>
      </c>
      <c r="D3070" s="562">
        <v>2</v>
      </c>
      <c r="E3070" s="562">
        <v>7</v>
      </c>
      <c r="F3070" s="562" t="s">
        <v>191</v>
      </c>
      <c r="G3070" s="562" t="s">
        <v>191</v>
      </c>
      <c r="H3070" s="562" t="s">
        <v>191</v>
      </c>
    </row>
    <row r="3071" spans="1:8" x14ac:dyDescent="0.2">
      <c r="A3071" s="562" t="s">
        <v>288</v>
      </c>
      <c r="B3071" s="562" t="s">
        <v>2102</v>
      </c>
      <c r="C3071" s="562" t="s">
        <v>2110</v>
      </c>
      <c r="D3071" s="562">
        <v>1</v>
      </c>
      <c r="E3071" s="562">
        <v>6</v>
      </c>
      <c r="F3071" s="562" t="s">
        <v>184</v>
      </c>
      <c r="G3071" s="562" t="s">
        <v>191</v>
      </c>
      <c r="H3071" s="562" t="s">
        <v>191</v>
      </c>
    </row>
    <row r="3072" spans="1:8" x14ac:dyDescent="0.2">
      <c r="A3072" s="562" t="s">
        <v>288</v>
      </c>
      <c r="B3072" s="562" t="s">
        <v>2102</v>
      </c>
      <c r="C3072" s="562" t="s">
        <v>1675</v>
      </c>
      <c r="D3072" s="562">
        <v>2</v>
      </c>
      <c r="E3072" s="562">
        <v>7</v>
      </c>
      <c r="F3072" s="562" t="s">
        <v>191</v>
      </c>
      <c r="G3072" s="562" t="s">
        <v>191</v>
      </c>
      <c r="H3072" s="562" t="s">
        <v>191</v>
      </c>
    </row>
    <row r="3073" spans="1:8" x14ac:dyDescent="0.2">
      <c r="A3073" s="562" t="s">
        <v>288</v>
      </c>
      <c r="B3073" s="562" t="s">
        <v>2102</v>
      </c>
      <c r="C3073" s="562" t="s">
        <v>382</v>
      </c>
      <c r="D3073" s="562">
        <v>1</v>
      </c>
      <c r="E3073" s="562">
        <v>6</v>
      </c>
      <c r="F3073" s="562" t="s">
        <v>184</v>
      </c>
      <c r="G3073" s="562" t="s">
        <v>191</v>
      </c>
      <c r="H3073" s="562" t="s">
        <v>191</v>
      </c>
    </row>
    <row r="3074" spans="1:8" x14ac:dyDescent="0.2">
      <c r="A3074" s="562" t="s">
        <v>288</v>
      </c>
      <c r="B3074" s="562" t="s">
        <v>2102</v>
      </c>
      <c r="C3074" s="562" t="s">
        <v>982</v>
      </c>
      <c r="D3074" s="562">
        <v>1</v>
      </c>
      <c r="E3074" s="562">
        <v>6</v>
      </c>
      <c r="F3074" s="562" t="s">
        <v>184</v>
      </c>
      <c r="G3074" s="562" t="s">
        <v>191</v>
      </c>
      <c r="H3074" s="562" t="s">
        <v>191</v>
      </c>
    </row>
    <row r="3075" spans="1:8" x14ac:dyDescent="0.2">
      <c r="A3075" s="562" t="s">
        <v>288</v>
      </c>
      <c r="B3075" s="562" t="s">
        <v>2102</v>
      </c>
      <c r="C3075" s="562" t="s">
        <v>2111</v>
      </c>
      <c r="D3075" s="562">
        <v>1</v>
      </c>
      <c r="E3075" s="562">
        <v>6</v>
      </c>
      <c r="F3075" s="562" t="s">
        <v>184</v>
      </c>
      <c r="G3075" s="562" t="s">
        <v>191</v>
      </c>
      <c r="H3075" s="562" t="s">
        <v>191</v>
      </c>
    </row>
    <row r="3076" spans="1:8" x14ac:dyDescent="0.2">
      <c r="A3076" s="562" t="s">
        <v>288</v>
      </c>
      <c r="B3076" s="562" t="s">
        <v>2102</v>
      </c>
      <c r="C3076" s="562" t="s">
        <v>863</v>
      </c>
      <c r="D3076" s="562">
        <v>1</v>
      </c>
      <c r="E3076" s="562">
        <v>6</v>
      </c>
      <c r="F3076" s="562" t="s">
        <v>184</v>
      </c>
      <c r="G3076" s="562" t="s">
        <v>191</v>
      </c>
      <c r="H3076" s="562" t="s">
        <v>191</v>
      </c>
    </row>
    <row r="3077" spans="1:8" x14ac:dyDescent="0.2">
      <c r="A3077" s="562" t="s">
        <v>288</v>
      </c>
      <c r="B3077" s="562" t="s">
        <v>2102</v>
      </c>
      <c r="C3077" s="562" t="s">
        <v>1128</v>
      </c>
      <c r="D3077" s="562">
        <v>2</v>
      </c>
      <c r="E3077" s="562">
        <v>7</v>
      </c>
      <c r="F3077" s="562" t="s">
        <v>191</v>
      </c>
      <c r="G3077" s="562" t="s">
        <v>191</v>
      </c>
      <c r="H3077" s="562" t="s">
        <v>191</v>
      </c>
    </row>
    <row r="3078" spans="1:8" x14ac:dyDescent="0.2">
      <c r="A3078" s="562" t="s">
        <v>288</v>
      </c>
      <c r="B3078" s="562" t="s">
        <v>2102</v>
      </c>
      <c r="C3078" s="562" t="s">
        <v>259</v>
      </c>
      <c r="D3078" s="562">
        <v>2</v>
      </c>
      <c r="E3078" s="562">
        <v>6</v>
      </c>
      <c r="F3078" s="562" t="s">
        <v>184</v>
      </c>
      <c r="G3078" s="562" t="s">
        <v>191</v>
      </c>
      <c r="H3078" s="562" t="s">
        <v>191</v>
      </c>
    </row>
    <row r="3079" spans="1:8" x14ac:dyDescent="0.2">
      <c r="A3079" s="562" t="s">
        <v>288</v>
      </c>
      <c r="B3079" s="562" t="s">
        <v>2102</v>
      </c>
      <c r="C3079" s="562" t="s">
        <v>261</v>
      </c>
      <c r="D3079" s="562">
        <v>1</v>
      </c>
      <c r="E3079" s="562">
        <v>6</v>
      </c>
      <c r="F3079" s="562" t="s">
        <v>184</v>
      </c>
      <c r="G3079" s="562" t="s">
        <v>191</v>
      </c>
      <c r="H3079" s="562" t="s">
        <v>191</v>
      </c>
    </row>
    <row r="3080" spans="1:8" x14ac:dyDescent="0.2">
      <c r="A3080" s="562" t="s">
        <v>288</v>
      </c>
      <c r="B3080" s="562" t="s">
        <v>2102</v>
      </c>
      <c r="C3080" s="562" t="s">
        <v>323</v>
      </c>
      <c r="D3080" s="562">
        <v>2</v>
      </c>
      <c r="E3080" s="562">
        <v>6</v>
      </c>
      <c r="F3080" s="562" t="s">
        <v>184</v>
      </c>
      <c r="G3080" s="562" t="s">
        <v>191</v>
      </c>
      <c r="H3080" s="562" t="s">
        <v>191</v>
      </c>
    </row>
    <row r="3081" spans="1:8" x14ac:dyDescent="0.2">
      <c r="A3081" s="562" t="s">
        <v>288</v>
      </c>
      <c r="B3081" s="562" t="s">
        <v>2102</v>
      </c>
      <c r="C3081" s="562" t="s">
        <v>2112</v>
      </c>
      <c r="D3081" s="562">
        <v>2</v>
      </c>
      <c r="E3081" s="562">
        <v>6</v>
      </c>
      <c r="F3081" s="562" t="s">
        <v>184</v>
      </c>
      <c r="G3081" s="562" t="s">
        <v>191</v>
      </c>
      <c r="H3081" s="562" t="s">
        <v>191</v>
      </c>
    </row>
    <row r="3082" spans="1:8" x14ac:dyDescent="0.2">
      <c r="A3082" s="562" t="s">
        <v>288</v>
      </c>
      <c r="B3082" s="562" t="s">
        <v>2102</v>
      </c>
      <c r="C3082" s="562" t="s">
        <v>2113</v>
      </c>
      <c r="D3082" s="562">
        <v>2</v>
      </c>
      <c r="E3082" s="562">
        <v>6</v>
      </c>
      <c r="F3082" s="562" t="s">
        <v>184</v>
      </c>
      <c r="G3082" s="562" t="s">
        <v>191</v>
      </c>
      <c r="H3082" s="562" t="s">
        <v>191</v>
      </c>
    </row>
    <row r="3083" spans="1:8" x14ac:dyDescent="0.2">
      <c r="A3083" s="562" t="s">
        <v>288</v>
      </c>
      <c r="B3083" s="562" t="s">
        <v>2102</v>
      </c>
      <c r="C3083" s="562" t="s">
        <v>2114</v>
      </c>
      <c r="D3083" s="562">
        <v>2</v>
      </c>
      <c r="E3083" s="562">
        <v>6</v>
      </c>
      <c r="F3083" s="562" t="s">
        <v>184</v>
      </c>
      <c r="G3083" s="562" t="s">
        <v>191</v>
      </c>
      <c r="H3083" s="562" t="s">
        <v>191</v>
      </c>
    </row>
    <row r="3084" spans="1:8" x14ac:dyDescent="0.2">
      <c r="A3084" s="562" t="s">
        <v>288</v>
      </c>
      <c r="B3084" s="562" t="s">
        <v>2102</v>
      </c>
      <c r="C3084" s="562" t="s">
        <v>389</v>
      </c>
      <c r="D3084" s="562">
        <v>1</v>
      </c>
      <c r="E3084" s="562">
        <v>6</v>
      </c>
      <c r="F3084" s="562" t="s">
        <v>184</v>
      </c>
      <c r="G3084" s="562" t="s">
        <v>191</v>
      </c>
      <c r="H3084" s="562" t="s">
        <v>191</v>
      </c>
    </row>
    <row r="3085" spans="1:8" x14ac:dyDescent="0.2">
      <c r="A3085" s="562" t="s">
        <v>288</v>
      </c>
      <c r="B3085" s="562" t="s">
        <v>2102</v>
      </c>
      <c r="C3085" s="562" t="s">
        <v>2115</v>
      </c>
      <c r="D3085" s="562">
        <v>1</v>
      </c>
      <c r="E3085" s="562">
        <v>7</v>
      </c>
      <c r="F3085" s="562" t="s">
        <v>191</v>
      </c>
      <c r="G3085" s="562" t="s">
        <v>191</v>
      </c>
      <c r="H3085" s="562" t="s">
        <v>191</v>
      </c>
    </row>
    <row r="3086" spans="1:8" x14ac:dyDescent="0.2">
      <c r="A3086" s="562" t="s">
        <v>288</v>
      </c>
      <c r="B3086" s="562" t="s">
        <v>2102</v>
      </c>
      <c r="C3086" s="562" t="s">
        <v>390</v>
      </c>
      <c r="D3086" s="562">
        <v>2</v>
      </c>
      <c r="E3086" s="562">
        <v>7</v>
      </c>
      <c r="F3086" s="562" t="s">
        <v>191</v>
      </c>
      <c r="G3086" s="562" t="s">
        <v>191</v>
      </c>
      <c r="H3086" s="562" t="s">
        <v>191</v>
      </c>
    </row>
    <row r="3087" spans="1:8" x14ac:dyDescent="0.2">
      <c r="A3087" s="562" t="s">
        <v>288</v>
      </c>
      <c r="B3087" s="562" t="s">
        <v>2102</v>
      </c>
      <c r="C3087" s="562" t="s">
        <v>2116</v>
      </c>
      <c r="D3087" s="562">
        <v>2</v>
      </c>
      <c r="E3087" s="562">
        <v>6</v>
      </c>
      <c r="F3087" s="562" t="s">
        <v>184</v>
      </c>
      <c r="G3087" s="562" t="s">
        <v>191</v>
      </c>
      <c r="H3087" s="562" t="s">
        <v>191</v>
      </c>
    </row>
    <row r="3088" spans="1:8" x14ac:dyDescent="0.2">
      <c r="A3088" s="562" t="s">
        <v>288</v>
      </c>
      <c r="B3088" s="562" t="s">
        <v>2102</v>
      </c>
      <c r="C3088" s="562" t="s">
        <v>2117</v>
      </c>
      <c r="D3088" s="562">
        <v>1</v>
      </c>
      <c r="E3088" s="562">
        <v>6</v>
      </c>
      <c r="F3088" s="562" t="s">
        <v>184</v>
      </c>
      <c r="G3088" s="562" t="s">
        <v>191</v>
      </c>
      <c r="H3088" s="562" t="s">
        <v>191</v>
      </c>
    </row>
    <row r="3089" spans="1:8" x14ac:dyDescent="0.2">
      <c r="A3089" s="562" t="s">
        <v>288</v>
      </c>
      <c r="B3089" s="562" t="s">
        <v>2102</v>
      </c>
      <c r="C3089" s="562" t="s">
        <v>2118</v>
      </c>
      <c r="D3089" s="562">
        <v>2</v>
      </c>
      <c r="E3089" s="562">
        <v>6</v>
      </c>
      <c r="F3089" s="562" t="s">
        <v>184</v>
      </c>
      <c r="G3089" s="562" t="s">
        <v>191</v>
      </c>
      <c r="H3089" s="562" t="s">
        <v>191</v>
      </c>
    </row>
    <row r="3090" spans="1:8" x14ac:dyDescent="0.2">
      <c r="A3090" s="562" t="s">
        <v>288</v>
      </c>
      <c r="B3090" s="562" t="s">
        <v>2102</v>
      </c>
      <c r="C3090" s="562" t="s">
        <v>1140</v>
      </c>
      <c r="D3090" s="562">
        <v>2</v>
      </c>
      <c r="E3090" s="562">
        <v>6</v>
      </c>
      <c r="F3090" s="562" t="s">
        <v>184</v>
      </c>
      <c r="G3090" s="562" t="s">
        <v>191</v>
      </c>
      <c r="H3090" s="562" t="s">
        <v>191</v>
      </c>
    </row>
    <row r="3091" spans="1:8" x14ac:dyDescent="0.2">
      <c r="A3091" s="562" t="s">
        <v>288</v>
      </c>
      <c r="B3091" s="562" t="s">
        <v>2102</v>
      </c>
      <c r="C3091" s="562" t="s">
        <v>1142</v>
      </c>
      <c r="D3091" s="562">
        <v>1</v>
      </c>
      <c r="E3091" s="562">
        <v>6</v>
      </c>
      <c r="F3091" s="562" t="s">
        <v>184</v>
      </c>
      <c r="G3091" s="562" t="s">
        <v>191</v>
      </c>
      <c r="H3091" s="562" t="s">
        <v>191</v>
      </c>
    </row>
    <row r="3092" spans="1:8" x14ac:dyDescent="0.2">
      <c r="A3092" s="562" t="s">
        <v>288</v>
      </c>
      <c r="B3092" s="562" t="s">
        <v>2102</v>
      </c>
      <c r="C3092" s="562" t="s">
        <v>2119</v>
      </c>
      <c r="D3092" s="562">
        <v>2</v>
      </c>
      <c r="E3092" s="562">
        <v>6</v>
      </c>
      <c r="F3092" s="562" t="s">
        <v>184</v>
      </c>
      <c r="G3092" s="562" t="s">
        <v>191</v>
      </c>
      <c r="H3092" s="562" t="s">
        <v>191</v>
      </c>
    </row>
    <row r="3093" spans="1:8" x14ac:dyDescent="0.2">
      <c r="A3093" s="562" t="s">
        <v>288</v>
      </c>
      <c r="B3093" s="562" t="s">
        <v>2102</v>
      </c>
      <c r="C3093" s="562" t="s">
        <v>287</v>
      </c>
      <c r="D3093" s="562">
        <v>2</v>
      </c>
      <c r="E3093" s="562">
        <v>6</v>
      </c>
      <c r="F3093" s="562" t="s">
        <v>184</v>
      </c>
      <c r="G3093" s="562" t="s">
        <v>191</v>
      </c>
      <c r="H3093" s="562" t="s">
        <v>191</v>
      </c>
    </row>
    <row r="3094" spans="1:8" x14ac:dyDescent="0.2">
      <c r="A3094" s="562" t="s">
        <v>288</v>
      </c>
      <c r="B3094" s="562" t="s">
        <v>2102</v>
      </c>
      <c r="C3094" s="562" t="s">
        <v>2120</v>
      </c>
      <c r="D3094" s="562">
        <v>2</v>
      </c>
      <c r="E3094" s="562">
        <v>6</v>
      </c>
      <c r="F3094" s="562" t="s">
        <v>184</v>
      </c>
      <c r="G3094" s="562" t="s">
        <v>191</v>
      </c>
      <c r="H3094" s="562" t="s">
        <v>191</v>
      </c>
    </row>
    <row r="3095" spans="1:8" x14ac:dyDescent="0.2">
      <c r="A3095" s="562" t="s">
        <v>288</v>
      </c>
      <c r="B3095" s="562" t="s">
        <v>2102</v>
      </c>
      <c r="C3095" s="562" t="s">
        <v>739</v>
      </c>
      <c r="D3095" s="562">
        <v>2</v>
      </c>
      <c r="E3095" s="562">
        <v>7</v>
      </c>
      <c r="F3095" s="562" t="s">
        <v>191</v>
      </c>
      <c r="G3095" s="562" t="s">
        <v>191</v>
      </c>
      <c r="H3095" s="562" t="s">
        <v>191</v>
      </c>
    </row>
    <row r="3096" spans="1:8" x14ac:dyDescent="0.2">
      <c r="A3096" s="562" t="s">
        <v>288</v>
      </c>
      <c r="B3096" s="562" t="s">
        <v>2102</v>
      </c>
      <c r="C3096" s="562" t="s">
        <v>2121</v>
      </c>
      <c r="D3096" s="562">
        <v>2</v>
      </c>
      <c r="E3096" s="562">
        <v>6</v>
      </c>
      <c r="F3096" s="562" t="s">
        <v>184</v>
      </c>
      <c r="G3096" s="562" t="s">
        <v>191</v>
      </c>
      <c r="H3096" s="562" t="s">
        <v>191</v>
      </c>
    </row>
    <row r="3097" spans="1:8" x14ac:dyDescent="0.2">
      <c r="A3097" s="562" t="s">
        <v>288</v>
      </c>
      <c r="B3097" s="562" t="s">
        <v>2102</v>
      </c>
      <c r="C3097" s="562" t="s">
        <v>2122</v>
      </c>
      <c r="D3097" s="562">
        <v>2</v>
      </c>
      <c r="E3097" s="562">
        <v>6</v>
      </c>
      <c r="F3097" s="562" t="s">
        <v>184</v>
      </c>
      <c r="G3097" s="562" t="s">
        <v>191</v>
      </c>
      <c r="H3097" s="562" t="s">
        <v>191</v>
      </c>
    </row>
    <row r="3098" spans="1:8" x14ac:dyDescent="0.2">
      <c r="A3098" s="562" t="s">
        <v>288</v>
      </c>
      <c r="B3098" s="562" t="s">
        <v>2102</v>
      </c>
      <c r="C3098" s="562" t="s">
        <v>2123</v>
      </c>
      <c r="D3098" s="562">
        <v>1</v>
      </c>
      <c r="E3098" s="562">
        <v>6</v>
      </c>
      <c r="F3098" s="562" t="s">
        <v>184</v>
      </c>
      <c r="G3098" s="562" t="s">
        <v>191</v>
      </c>
      <c r="H3098" s="562" t="s">
        <v>191</v>
      </c>
    </row>
    <row r="3099" spans="1:8" x14ac:dyDescent="0.2">
      <c r="A3099" s="562" t="s">
        <v>288</v>
      </c>
      <c r="B3099" s="562" t="s">
        <v>2102</v>
      </c>
      <c r="C3099" s="562" t="s">
        <v>674</v>
      </c>
      <c r="D3099" s="562">
        <v>1</v>
      </c>
      <c r="E3099" s="562">
        <v>6</v>
      </c>
      <c r="F3099" s="562" t="s">
        <v>184</v>
      </c>
      <c r="G3099" s="562" t="s">
        <v>191</v>
      </c>
      <c r="H3099" s="562" t="s">
        <v>191</v>
      </c>
    </row>
    <row r="3100" spans="1:8" x14ac:dyDescent="0.2">
      <c r="A3100" s="562" t="s">
        <v>288</v>
      </c>
      <c r="B3100" s="562" t="s">
        <v>2102</v>
      </c>
      <c r="C3100" s="562" t="s">
        <v>401</v>
      </c>
      <c r="D3100" s="562">
        <v>2</v>
      </c>
      <c r="E3100" s="562">
        <v>6</v>
      </c>
      <c r="F3100" s="562" t="s">
        <v>184</v>
      </c>
      <c r="G3100" s="562" t="s">
        <v>191</v>
      </c>
      <c r="H3100" s="562" t="s">
        <v>191</v>
      </c>
    </row>
    <row r="3101" spans="1:8" x14ac:dyDescent="0.2">
      <c r="A3101" s="562" t="s">
        <v>288</v>
      </c>
      <c r="B3101" s="562" t="s">
        <v>2102</v>
      </c>
      <c r="C3101" s="562" t="s">
        <v>1592</v>
      </c>
      <c r="D3101" s="562">
        <v>1</v>
      </c>
      <c r="E3101" s="562">
        <v>6</v>
      </c>
      <c r="F3101" s="562" t="s">
        <v>184</v>
      </c>
      <c r="G3101" s="562" t="s">
        <v>191</v>
      </c>
      <c r="H3101" s="562" t="s">
        <v>191</v>
      </c>
    </row>
    <row r="3102" spans="1:8" x14ac:dyDescent="0.2">
      <c r="A3102" s="562" t="s">
        <v>288</v>
      </c>
      <c r="B3102" s="562" t="s">
        <v>2102</v>
      </c>
      <c r="C3102" s="562" t="s">
        <v>2124</v>
      </c>
      <c r="D3102" s="562">
        <v>2</v>
      </c>
      <c r="E3102" s="562">
        <v>7</v>
      </c>
      <c r="F3102" s="562" t="s">
        <v>191</v>
      </c>
      <c r="G3102" s="562" t="s">
        <v>191</v>
      </c>
      <c r="H3102" s="562" t="s">
        <v>191</v>
      </c>
    </row>
    <row r="3103" spans="1:8" x14ac:dyDescent="0.2">
      <c r="A3103" s="562" t="s">
        <v>288</v>
      </c>
      <c r="B3103" s="562" t="s">
        <v>2102</v>
      </c>
      <c r="C3103" s="562" t="s">
        <v>2125</v>
      </c>
      <c r="D3103" s="562">
        <v>2</v>
      </c>
      <c r="E3103" s="562">
        <v>6</v>
      </c>
      <c r="F3103" s="562" t="s">
        <v>184</v>
      </c>
      <c r="G3103" s="562" t="s">
        <v>191</v>
      </c>
      <c r="H3103" s="562" t="s">
        <v>191</v>
      </c>
    </row>
    <row r="3104" spans="1:8" x14ac:dyDescent="0.2">
      <c r="A3104" s="562" t="s">
        <v>288</v>
      </c>
      <c r="B3104" s="562" t="s">
        <v>2102</v>
      </c>
      <c r="C3104" s="562" t="s">
        <v>788</v>
      </c>
      <c r="D3104" s="562">
        <v>1</v>
      </c>
      <c r="E3104" s="562">
        <v>6</v>
      </c>
      <c r="F3104" s="562" t="s">
        <v>184</v>
      </c>
      <c r="G3104" s="562" t="s">
        <v>191</v>
      </c>
      <c r="H3104" s="562" t="s">
        <v>191</v>
      </c>
    </row>
    <row r="3105" spans="1:8" x14ac:dyDescent="0.2">
      <c r="A3105" s="562" t="s">
        <v>288</v>
      </c>
      <c r="B3105" s="562" t="s">
        <v>2102</v>
      </c>
      <c r="C3105" s="562" t="s">
        <v>1211</v>
      </c>
      <c r="D3105" s="562">
        <v>1</v>
      </c>
      <c r="E3105" s="562">
        <v>6</v>
      </c>
      <c r="F3105" s="562" t="s">
        <v>184</v>
      </c>
      <c r="G3105" s="562" t="s">
        <v>191</v>
      </c>
      <c r="H3105" s="562" t="s">
        <v>191</v>
      </c>
    </row>
    <row r="3106" spans="1:8" x14ac:dyDescent="0.2">
      <c r="A3106" s="562" t="s">
        <v>288</v>
      </c>
      <c r="B3106" s="562" t="s">
        <v>2102</v>
      </c>
      <c r="C3106" s="562" t="s">
        <v>1914</v>
      </c>
      <c r="D3106" s="562">
        <v>2</v>
      </c>
      <c r="E3106" s="562">
        <v>6</v>
      </c>
      <c r="F3106" s="562" t="s">
        <v>184</v>
      </c>
      <c r="G3106" s="562" t="s">
        <v>191</v>
      </c>
      <c r="H3106" s="562" t="s">
        <v>191</v>
      </c>
    </row>
    <row r="3107" spans="1:8" x14ac:dyDescent="0.2">
      <c r="A3107" s="562" t="s">
        <v>288</v>
      </c>
      <c r="B3107" s="562" t="s">
        <v>2102</v>
      </c>
      <c r="C3107" s="562" t="s">
        <v>2126</v>
      </c>
      <c r="D3107" s="562">
        <v>1</v>
      </c>
      <c r="E3107" s="562">
        <v>6</v>
      </c>
      <c r="F3107" s="562" t="s">
        <v>184</v>
      </c>
      <c r="G3107" s="562" t="s">
        <v>191</v>
      </c>
      <c r="H3107" s="562" t="s">
        <v>191</v>
      </c>
    </row>
    <row r="3108" spans="1:8" x14ac:dyDescent="0.2">
      <c r="A3108" s="562" t="s">
        <v>288</v>
      </c>
      <c r="B3108" s="562" t="s">
        <v>2102</v>
      </c>
      <c r="C3108" s="562" t="s">
        <v>2127</v>
      </c>
      <c r="D3108" s="562">
        <v>2</v>
      </c>
      <c r="E3108" s="562">
        <v>6</v>
      </c>
      <c r="F3108" s="562" t="s">
        <v>184</v>
      </c>
      <c r="G3108" s="562" t="s">
        <v>191</v>
      </c>
      <c r="H3108" s="562" t="s">
        <v>191</v>
      </c>
    </row>
    <row r="3109" spans="1:8" x14ac:dyDescent="0.2">
      <c r="A3109" s="562" t="s">
        <v>288</v>
      </c>
      <c r="B3109" s="562" t="s">
        <v>2102</v>
      </c>
      <c r="C3109" s="562" t="s">
        <v>2128</v>
      </c>
      <c r="D3109" s="562">
        <v>2</v>
      </c>
      <c r="E3109" s="562">
        <v>7</v>
      </c>
      <c r="F3109" s="562" t="s">
        <v>191</v>
      </c>
      <c r="G3109" s="562" t="s">
        <v>191</v>
      </c>
      <c r="H3109" s="562" t="s">
        <v>191</v>
      </c>
    </row>
    <row r="3110" spans="1:8" x14ac:dyDescent="0.2">
      <c r="A3110" s="562" t="s">
        <v>288</v>
      </c>
      <c r="B3110" s="562" t="s">
        <v>2102</v>
      </c>
      <c r="C3110" s="562" t="s">
        <v>2129</v>
      </c>
      <c r="D3110" s="562">
        <v>1</v>
      </c>
      <c r="E3110" s="562">
        <v>6</v>
      </c>
      <c r="F3110" s="562" t="s">
        <v>184</v>
      </c>
      <c r="G3110" s="562" t="s">
        <v>191</v>
      </c>
      <c r="H3110" s="562" t="s">
        <v>191</v>
      </c>
    </row>
    <row r="3111" spans="1:8" x14ac:dyDescent="0.2">
      <c r="A3111" s="562" t="s">
        <v>288</v>
      </c>
      <c r="B3111" s="562" t="s">
        <v>2102</v>
      </c>
      <c r="C3111" s="562" t="s">
        <v>2130</v>
      </c>
      <c r="D3111" s="562">
        <v>2</v>
      </c>
      <c r="E3111" s="562">
        <v>6</v>
      </c>
      <c r="F3111" s="562" t="s">
        <v>184</v>
      </c>
      <c r="G3111" s="562" t="s">
        <v>191</v>
      </c>
      <c r="H3111" s="562" t="s">
        <v>191</v>
      </c>
    </row>
    <row r="3112" spans="1:8" x14ac:dyDescent="0.2">
      <c r="A3112" s="562" t="s">
        <v>288</v>
      </c>
      <c r="B3112" s="562" t="s">
        <v>2102</v>
      </c>
      <c r="C3112" s="562" t="s">
        <v>593</v>
      </c>
      <c r="D3112" s="562">
        <v>2</v>
      </c>
      <c r="E3112" s="562">
        <v>7</v>
      </c>
      <c r="F3112" s="562" t="s">
        <v>191</v>
      </c>
      <c r="G3112" s="562" t="s">
        <v>191</v>
      </c>
      <c r="H3112" s="562" t="s">
        <v>191</v>
      </c>
    </row>
    <row r="3113" spans="1:8" x14ac:dyDescent="0.2">
      <c r="A3113" s="562" t="s">
        <v>288</v>
      </c>
      <c r="B3113" s="562" t="s">
        <v>2102</v>
      </c>
      <c r="C3113" s="562" t="s">
        <v>2131</v>
      </c>
      <c r="D3113" s="562">
        <v>2</v>
      </c>
      <c r="E3113" s="562">
        <v>6</v>
      </c>
      <c r="F3113" s="562" t="s">
        <v>184</v>
      </c>
      <c r="G3113" s="562" t="s">
        <v>191</v>
      </c>
      <c r="H3113" s="562" t="s">
        <v>191</v>
      </c>
    </row>
    <row r="3114" spans="1:8" x14ac:dyDescent="0.2">
      <c r="A3114" s="562" t="s">
        <v>288</v>
      </c>
      <c r="B3114" s="562" t="s">
        <v>2102</v>
      </c>
      <c r="C3114" s="562" t="s">
        <v>1056</v>
      </c>
      <c r="D3114" s="562">
        <v>1</v>
      </c>
      <c r="E3114" s="562">
        <v>6</v>
      </c>
      <c r="F3114" s="562" t="s">
        <v>184</v>
      </c>
      <c r="G3114" s="562" t="s">
        <v>191</v>
      </c>
      <c r="H3114" s="562" t="s">
        <v>191</v>
      </c>
    </row>
    <row r="3115" spans="1:8" x14ac:dyDescent="0.2">
      <c r="A3115" s="562" t="s">
        <v>288</v>
      </c>
      <c r="B3115" s="562" t="s">
        <v>2102</v>
      </c>
      <c r="C3115" s="562" t="s">
        <v>2132</v>
      </c>
      <c r="D3115" s="562">
        <v>2</v>
      </c>
      <c r="E3115" s="562">
        <v>7</v>
      </c>
      <c r="F3115" s="562" t="s">
        <v>191</v>
      </c>
      <c r="G3115" s="562" t="s">
        <v>191</v>
      </c>
      <c r="H3115" s="562" t="s">
        <v>191</v>
      </c>
    </row>
    <row r="3116" spans="1:8" x14ac:dyDescent="0.2">
      <c r="A3116" s="562" t="s">
        <v>288</v>
      </c>
      <c r="B3116" s="562" t="s">
        <v>2102</v>
      </c>
      <c r="C3116" s="562" t="s">
        <v>1762</v>
      </c>
      <c r="D3116" s="562">
        <v>1</v>
      </c>
      <c r="E3116" s="562">
        <v>6</v>
      </c>
      <c r="F3116" s="562" t="s">
        <v>184</v>
      </c>
      <c r="G3116" s="562" t="s">
        <v>191</v>
      </c>
      <c r="H3116" s="562" t="s">
        <v>191</v>
      </c>
    </row>
    <row r="3117" spans="1:8" x14ac:dyDescent="0.2">
      <c r="A3117" s="562" t="s">
        <v>288</v>
      </c>
      <c r="B3117" s="562" t="s">
        <v>2102</v>
      </c>
      <c r="C3117" s="562" t="s">
        <v>2133</v>
      </c>
      <c r="D3117" s="562">
        <v>2</v>
      </c>
      <c r="E3117" s="562">
        <v>7</v>
      </c>
      <c r="F3117" s="562" t="s">
        <v>191</v>
      </c>
      <c r="G3117" s="562" t="s">
        <v>191</v>
      </c>
      <c r="H3117" s="562" t="s">
        <v>191</v>
      </c>
    </row>
    <row r="3118" spans="1:8" x14ac:dyDescent="0.2">
      <c r="A3118" s="562" t="s">
        <v>288</v>
      </c>
      <c r="B3118" s="562" t="s">
        <v>2102</v>
      </c>
      <c r="C3118" s="562" t="s">
        <v>309</v>
      </c>
      <c r="D3118" s="562">
        <v>1</v>
      </c>
      <c r="E3118" s="562">
        <v>6</v>
      </c>
      <c r="F3118" s="562" t="s">
        <v>184</v>
      </c>
      <c r="G3118" s="562" t="s">
        <v>191</v>
      </c>
      <c r="H3118" s="562" t="s">
        <v>191</v>
      </c>
    </row>
    <row r="3119" spans="1:8" x14ac:dyDescent="0.2">
      <c r="A3119" s="562" t="s">
        <v>288</v>
      </c>
      <c r="B3119" s="562" t="s">
        <v>2102</v>
      </c>
      <c r="C3119" s="562" t="s">
        <v>2134</v>
      </c>
      <c r="D3119" s="562">
        <v>1</v>
      </c>
      <c r="E3119" s="562">
        <v>6</v>
      </c>
      <c r="F3119" s="562" t="s">
        <v>184</v>
      </c>
      <c r="G3119" s="562" t="s">
        <v>191</v>
      </c>
      <c r="H3119" s="562" t="s">
        <v>191</v>
      </c>
    </row>
    <row r="3120" spans="1:8" x14ac:dyDescent="0.2">
      <c r="A3120" s="562" t="s">
        <v>288</v>
      </c>
      <c r="B3120" s="562" t="s">
        <v>2102</v>
      </c>
      <c r="C3120" s="562" t="s">
        <v>2135</v>
      </c>
      <c r="D3120" s="562">
        <v>1</v>
      </c>
      <c r="E3120" s="562">
        <v>6</v>
      </c>
      <c r="F3120" s="562" t="s">
        <v>184</v>
      </c>
      <c r="G3120" s="562" t="s">
        <v>191</v>
      </c>
      <c r="H3120" s="562" t="s">
        <v>191</v>
      </c>
    </row>
    <row r="3121" spans="1:8" x14ac:dyDescent="0.2">
      <c r="A3121" s="562" t="s">
        <v>288</v>
      </c>
      <c r="B3121" s="562" t="s">
        <v>2102</v>
      </c>
      <c r="C3121" s="562" t="s">
        <v>2136</v>
      </c>
      <c r="D3121" s="562">
        <v>2</v>
      </c>
      <c r="E3121" s="562">
        <v>6</v>
      </c>
      <c r="F3121" s="562" t="s">
        <v>184</v>
      </c>
      <c r="G3121" s="562" t="s">
        <v>191</v>
      </c>
      <c r="H3121" s="562" t="s">
        <v>191</v>
      </c>
    </row>
    <row r="3122" spans="1:8" x14ac:dyDescent="0.2">
      <c r="A3122" s="562" t="s">
        <v>288</v>
      </c>
      <c r="B3122" s="562" t="s">
        <v>2102</v>
      </c>
      <c r="C3122" s="562" t="s">
        <v>800</v>
      </c>
      <c r="D3122" s="562">
        <v>2</v>
      </c>
      <c r="E3122" s="562">
        <v>6</v>
      </c>
      <c r="F3122" s="562" t="s">
        <v>184</v>
      </c>
      <c r="G3122" s="562" t="s">
        <v>191</v>
      </c>
      <c r="H3122" s="562" t="s">
        <v>191</v>
      </c>
    </row>
    <row r="3123" spans="1:8" x14ac:dyDescent="0.2">
      <c r="A3123" s="562" t="s">
        <v>288</v>
      </c>
      <c r="B3123" s="562" t="s">
        <v>2102</v>
      </c>
      <c r="C3123" s="562" t="s">
        <v>1601</v>
      </c>
      <c r="D3123" s="562">
        <v>1</v>
      </c>
      <c r="E3123" s="562">
        <v>6</v>
      </c>
      <c r="F3123" s="562" t="s">
        <v>184</v>
      </c>
      <c r="G3123" s="562" t="s">
        <v>191</v>
      </c>
      <c r="H3123" s="562" t="s">
        <v>191</v>
      </c>
    </row>
    <row r="3124" spans="1:8" x14ac:dyDescent="0.2">
      <c r="A3124" s="562" t="s">
        <v>290</v>
      </c>
      <c r="B3124" s="562" t="s">
        <v>2137</v>
      </c>
      <c r="C3124" s="562" t="s">
        <v>1439</v>
      </c>
      <c r="D3124" s="562">
        <v>1</v>
      </c>
      <c r="E3124" s="562">
        <v>6</v>
      </c>
      <c r="F3124" s="562" t="s">
        <v>345</v>
      </c>
      <c r="G3124" s="562" t="s">
        <v>191</v>
      </c>
      <c r="H3124" s="562" t="s">
        <v>191</v>
      </c>
    </row>
    <row r="3125" spans="1:8" x14ac:dyDescent="0.2">
      <c r="A3125" s="562" t="s">
        <v>290</v>
      </c>
      <c r="B3125" s="562" t="s">
        <v>2137</v>
      </c>
      <c r="C3125" s="562" t="s">
        <v>1305</v>
      </c>
      <c r="D3125" s="562">
        <v>1</v>
      </c>
      <c r="E3125" s="562">
        <v>6</v>
      </c>
      <c r="F3125" s="562" t="s">
        <v>345</v>
      </c>
      <c r="G3125" s="562" t="s">
        <v>191</v>
      </c>
      <c r="H3125" s="562" t="s">
        <v>191</v>
      </c>
    </row>
    <row r="3126" spans="1:8" x14ac:dyDescent="0.2">
      <c r="A3126" s="562" t="s">
        <v>290</v>
      </c>
      <c r="B3126" s="562" t="s">
        <v>2137</v>
      </c>
      <c r="C3126" s="562" t="s">
        <v>971</v>
      </c>
      <c r="D3126" s="562">
        <v>1</v>
      </c>
      <c r="E3126" s="562">
        <v>6</v>
      </c>
      <c r="F3126" s="562" t="s">
        <v>345</v>
      </c>
      <c r="G3126" s="562" t="s">
        <v>191</v>
      </c>
      <c r="H3126" s="562" t="s">
        <v>191</v>
      </c>
    </row>
    <row r="3127" spans="1:8" x14ac:dyDescent="0.2">
      <c r="A3127" s="562" t="s">
        <v>290</v>
      </c>
      <c r="B3127" s="562" t="s">
        <v>2137</v>
      </c>
      <c r="C3127" s="562" t="s">
        <v>1307</v>
      </c>
      <c r="D3127" s="562">
        <v>1</v>
      </c>
      <c r="E3127" s="562">
        <v>6</v>
      </c>
      <c r="F3127" s="562" t="s">
        <v>345</v>
      </c>
      <c r="G3127" s="562" t="s">
        <v>191</v>
      </c>
      <c r="H3127" s="562" t="s">
        <v>191</v>
      </c>
    </row>
    <row r="3128" spans="1:8" x14ac:dyDescent="0.2">
      <c r="A3128" s="562" t="s">
        <v>290</v>
      </c>
      <c r="B3128" s="562" t="s">
        <v>2137</v>
      </c>
      <c r="C3128" s="562" t="s">
        <v>2138</v>
      </c>
      <c r="D3128" s="562">
        <v>1</v>
      </c>
      <c r="E3128" s="562">
        <v>6</v>
      </c>
      <c r="F3128" s="562" t="s">
        <v>345</v>
      </c>
      <c r="G3128" s="562" t="s">
        <v>191</v>
      </c>
      <c r="H3128" s="562" t="s">
        <v>191</v>
      </c>
    </row>
    <row r="3129" spans="1:8" x14ac:dyDescent="0.2">
      <c r="A3129" s="562" t="s">
        <v>290</v>
      </c>
      <c r="B3129" s="562" t="s">
        <v>2137</v>
      </c>
      <c r="C3129" s="562" t="s">
        <v>1648</v>
      </c>
      <c r="D3129" s="562">
        <v>1</v>
      </c>
      <c r="E3129" s="562">
        <v>6</v>
      </c>
      <c r="F3129" s="562" t="s">
        <v>345</v>
      </c>
      <c r="G3129" s="562" t="s">
        <v>191</v>
      </c>
      <c r="H3129" s="562" t="s">
        <v>191</v>
      </c>
    </row>
    <row r="3130" spans="1:8" x14ac:dyDescent="0.2">
      <c r="A3130" s="562" t="s">
        <v>290</v>
      </c>
      <c r="B3130" s="562" t="s">
        <v>2137</v>
      </c>
      <c r="C3130" s="562" t="s">
        <v>499</v>
      </c>
      <c r="D3130" s="562">
        <v>1</v>
      </c>
      <c r="E3130" s="562">
        <v>6</v>
      </c>
      <c r="F3130" s="562" t="s">
        <v>345</v>
      </c>
      <c r="G3130" s="562" t="s">
        <v>191</v>
      </c>
      <c r="H3130" s="562" t="s">
        <v>191</v>
      </c>
    </row>
    <row r="3131" spans="1:8" x14ac:dyDescent="0.2">
      <c r="A3131" s="562" t="s">
        <v>290</v>
      </c>
      <c r="B3131" s="562" t="s">
        <v>2137</v>
      </c>
      <c r="C3131" s="562" t="s">
        <v>2139</v>
      </c>
      <c r="D3131" s="562">
        <v>1</v>
      </c>
      <c r="E3131" s="562">
        <v>5</v>
      </c>
      <c r="F3131" s="562" t="s">
        <v>345</v>
      </c>
      <c r="G3131" s="562" t="s">
        <v>191</v>
      </c>
      <c r="H3131" s="562" t="s">
        <v>191</v>
      </c>
    </row>
    <row r="3132" spans="1:8" x14ac:dyDescent="0.2">
      <c r="A3132" s="562" t="s">
        <v>290</v>
      </c>
      <c r="B3132" s="562" t="s">
        <v>2137</v>
      </c>
      <c r="C3132" s="562" t="s">
        <v>2140</v>
      </c>
      <c r="D3132" s="562">
        <v>1</v>
      </c>
      <c r="E3132" s="562">
        <v>6</v>
      </c>
      <c r="F3132" s="562" t="s">
        <v>345</v>
      </c>
      <c r="G3132" s="562" t="s">
        <v>191</v>
      </c>
      <c r="H3132" s="562" t="s">
        <v>191</v>
      </c>
    </row>
    <row r="3133" spans="1:8" x14ac:dyDescent="0.2">
      <c r="A3133" s="562" t="s">
        <v>290</v>
      </c>
      <c r="B3133" s="562" t="s">
        <v>2137</v>
      </c>
      <c r="C3133" s="562" t="s">
        <v>388</v>
      </c>
      <c r="D3133" s="562">
        <v>1</v>
      </c>
      <c r="E3133" s="562">
        <v>6</v>
      </c>
      <c r="F3133" s="562" t="s">
        <v>345</v>
      </c>
      <c r="G3133" s="562" t="s">
        <v>191</v>
      </c>
      <c r="H3133" s="562" t="s">
        <v>191</v>
      </c>
    </row>
    <row r="3134" spans="1:8" x14ac:dyDescent="0.2">
      <c r="A3134" s="562" t="s">
        <v>290</v>
      </c>
      <c r="B3134" s="562" t="s">
        <v>2137</v>
      </c>
      <c r="C3134" s="562" t="s">
        <v>2141</v>
      </c>
      <c r="D3134" s="562">
        <v>1</v>
      </c>
      <c r="E3134" s="562">
        <v>6</v>
      </c>
      <c r="F3134" s="562" t="s">
        <v>345</v>
      </c>
      <c r="G3134" s="562" t="s">
        <v>191</v>
      </c>
      <c r="H3134" s="562" t="s">
        <v>191</v>
      </c>
    </row>
    <row r="3135" spans="1:8" x14ac:dyDescent="0.2">
      <c r="A3135" s="562" t="s">
        <v>290</v>
      </c>
      <c r="B3135" s="562" t="s">
        <v>2137</v>
      </c>
      <c r="C3135" s="562" t="s">
        <v>390</v>
      </c>
      <c r="D3135" s="562">
        <v>1</v>
      </c>
      <c r="E3135" s="562">
        <v>7</v>
      </c>
      <c r="F3135" s="562" t="s">
        <v>191</v>
      </c>
      <c r="G3135" s="562" t="s">
        <v>191</v>
      </c>
      <c r="H3135" s="562" t="s">
        <v>191</v>
      </c>
    </row>
    <row r="3136" spans="1:8" x14ac:dyDescent="0.2">
      <c r="A3136" s="562" t="s">
        <v>290</v>
      </c>
      <c r="B3136" s="562" t="s">
        <v>2137</v>
      </c>
      <c r="C3136" s="562" t="s">
        <v>2142</v>
      </c>
      <c r="D3136" s="562">
        <v>1</v>
      </c>
      <c r="E3136" s="562">
        <v>6</v>
      </c>
      <c r="F3136" s="562" t="s">
        <v>345</v>
      </c>
      <c r="G3136" s="562" t="s">
        <v>191</v>
      </c>
      <c r="H3136" s="562" t="s">
        <v>191</v>
      </c>
    </row>
    <row r="3137" spans="1:8" x14ac:dyDescent="0.2">
      <c r="A3137" s="562" t="s">
        <v>290</v>
      </c>
      <c r="B3137" s="562" t="s">
        <v>2137</v>
      </c>
      <c r="C3137" s="562" t="s">
        <v>2143</v>
      </c>
      <c r="D3137" s="562">
        <v>1</v>
      </c>
      <c r="E3137" s="562">
        <v>6</v>
      </c>
      <c r="F3137" s="562" t="s">
        <v>345</v>
      </c>
      <c r="G3137" s="562" t="s">
        <v>191</v>
      </c>
      <c r="H3137" s="562" t="s">
        <v>191</v>
      </c>
    </row>
    <row r="3138" spans="1:8" x14ac:dyDescent="0.2">
      <c r="A3138" s="562" t="s">
        <v>290</v>
      </c>
      <c r="B3138" s="562" t="s">
        <v>2137</v>
      </c>
      <c r="C3138" s="562" t="s">
        <v>518</v>
      </c>
      <c r="D3138" s="562">
        <v>1</v>
      </c>
      <c r="E3138" s="562">
        <v>6</v>
      </c>
      <c r="F3138" s="562" t="s">
        <v>345</v>
      </c>
      <c r="G3138" s="562" t="s">
        <v>191</v>
      </c>
      <c r="H3138" s="562" t="s">
        <v>191</v>
      </c>
    </row>
    <row r="3139" spans="1:8" x14ac:dyDescent="0.2">
      <c r="A3139" s="562" t="s">
        <v>290</v>
      </c>
      <c r="B3139" s="562" t="s">
        <v>2137</v>
      </c>
      <c r="C3139" s="562" t="s">
        <v>1291</v>
      </c>
      <c r="D3139" s="562">
        <v>2</v>
      </c>
      <c r="E3139" s="562">
        <v>5</v>
      </c>
      <c r="F3139" s="562" t="s">
        <v>345</v>
      </c>
      <c r="G3139" s="562" t="s">
        <v>191</v>
      </c>
      <c r="H3139" s="562" t="s">
        <v>191</v>
      </c>
    </row>
    <row r="3140" spans="1:8" x14ac:dyDescent="0.2">
      <c r="A3140" s="562" t="s">
        <v>290</v>
      </c>
      <c r="B3140" s="562" t="s">
        <v>2137</v>
      </c>
      <c r="C3140" s="562" t="s">
        <v>944</v>
      </c>
      <c r="D3140" s="562">
        <v>1</v>
      </c>
      <c r="E3140" s="562">
        <v>6</v>
      </c>
      <c r="F3140" s="562" t="s">
        <v>345</v>
      </c>
      <c r="G3140" s="562" t="s">
        <v>191</v>
      </c>
      <c r="H3140" s="562" t="s">
        <v>191</v>
      </c>
    </row>
    <row r="3141" spans="1:8" x14ac:dyDescent="0.2">
      <c r="A3141" s="562" t="s">
        <v>290</v>
      </c>
      <c r="B3141" s="562" t="s">
        <v>2137</v>
      </c>
      <c r="C3141" s="562" t="s">
        <v>2144</v>
      </c>
      <c r="D3141" s="562">
        <v>1</v>
      </c>
      <c r="E3141" s="562">
        <v>7</v>
      </c>
      <c r="F3141" s="562" t="s">
        <v>191</v>
      </c>
      <c r="G3141" s="562" t="s">
        <v>191</v>
      </c>
      <c r="H3141" s="562" t="s">
        <v>191</v>
      </c>
    </row>
    <row r="3142" spans="1:8" x14ac:dyDescent="0.2">
      <c r="A3142" s="562" t="s">
        <v>290</v>
      </c>
      <c r="B3142" s="562" t="s">
        <v>2137</v>
      </c>
      <c r="C3142" s="562" t="s">
        <v>2145</v>
      </c>
      <c r="D3142" s="562">
        <v>1</v>
      </c>
      <c r="E3142" s="562">
        <v>6</v>
      </c>
      <c r="F3142" s="562" t="s">
        <v>345</v>
      </c>
      <c r="G3142" s="562" t="s">
        <v>191</v>
      </c>
      <c r="H3142" s="562" t="s">
        <v>191</v>
      </c>
    </row>
    <row r="3143" spans="1:8" x14ac:dyDescent="0.2">
      <c r="A3143" s="562" t="s">
        <v>290</v>
      </c>
      <c r="B3143" s="562" t="s">
        <v>2137</v>
      </c>
      <c r="C3143" s="562" t="s">
        <v>744</v>
      </c>
      <c r="D3143" s="562">
        <v>1</v>
      </c>
      <c r="E3143" s="562">
        <v>7</v>
      </c>
      <c r="F3143" s="562" t="s">
        <v>191</v>
      </c>
      <c r="G3143" s="562" t="s">
        <v>191</v>
      </c>
      <c r="H3143" s="562" t="s">
        <v>191</v>
      </c>
    </row>
    <row r="3144" spans="1:8" x14ac:dyDescent="0.2">
      <c r="A3144" s="562" t="s">
        <v>290</v>
      </c>
      <c r="B3144" s="562" t="s">
        <v>2137</v>
      </c>
      <c r="C3144" s="562" t="s">
        <v>2146</v>
      </c>
      <c r="D3144" s="562">
        <v>1</v>
      </c>
      <c r="E3144" s="562">
        <v>6</v>
      </c>
      <c r="F3144" s="562" t="s">
        <v>345</v>
      </c>
      <c r="G3144" s="562" t="s">
        <v>191</v>
      </c>
      <c r="H3144" s="562" t="s">
        <v>191</v>
      </c>
    </row>
    <row r="3145" spans="1:8" x14ac:dyDescent="0.2">
      <c r="A3145" s="562" t="s">
        <v>290</v>
      </c>
      <c r="B3145" s="562" t="s">
        <v>2137</v>
      </c>
      <c r="C3145" s="562" t="s">
        <v>2147</v>
      </c>
      <c r="D3145" s="562">
        <v>1</v>
      </c>
      <c r="E3145" s="562">
        <v>6</v>
      </c>
      <c r="F3145" s="562" t="s">
        <v>345</v>
      </c>
      <c r="G3145" s="562" t="s">
        <v>191</v>
      </c>
      <c r="H3145" s="562" t="s">
        <v>191</v>
      </c>
    </row>
    <row r="3146" spans="1:8" x14ac:dyDescent="0.2">
      <c r="A3146" s="562" t="s">
        <v>290</v>
      </c>
      <c r="B3146" s="562" t="s">
        <v>2137</v>
      </c>
      <c r="C3146" s="562" t="s">
        <v>2148</v>
      </c>
      <c r="D3146" s="562">
        <v>2</v>
      </c>
      <c r="E3146" s="562">
        <v>6</v>
      </c>
      <c r="F3146" s="562" t="s">
        <v>345</v>
      </c>
      <c r="G3146" s="562" t="s">
        <v>191</v>
      </c>
      <c r="H3146" s="562" t="s">
        <v>191</v>
      </c>
    </row>
  </sheetData>
  <sheetProtection algorithmName="SHA-512" hashValue="x5amH/lY8tz3JFi/uEWIKE+QRjYrCcN6w3jwEL78L/DTevTo2WSy3X1DxdZj34bCemUzYTaI4TF/v6yXWA6TMw==" saltValue="QPJqqxExIy9hxI8c5dnPHQ==" spinCount="100000" sheet="1" objects="1" scenarios="1" selectLockedCells="1" selectUnlockedCells="1"/>
  <sortState xmlns:xlrd2="http://schemas.microsoft.com/office/spreadsheetml/2017/richdata2" ref="J2:J52">
    <sortCondition ref="J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250"/>
  <sheetViews>
    <sheetView showGridLines="0" zoomScaleNormal="100" workbookViewId="0">
      <pane ySplit="7" topLeftCell="A8" activePane="bottomLeft" state="frozen"/>
      <selection activeCell="E7" sqref="E7:F7"/>
      <selection pane="bottomLeft" activeCell="W16" sqref="W16"/>
    </sheetView>
  </sheetViews>
  <sheetFormatPr baseColWidth="10" defaultColWidth="8.832031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10" customWidth="1"/>
    <col min="10" max="11" width="3.83203125" style="10" customWidth="1"/>
    <col min="12" max="12" width="71.6640625" customWidth="1"/>
    <col min="13" max="13" width="13.5" style="42" customWidth="1"/>
    <col min="14" max="14" width="7.6640625" style="25" hidden="1" customWidth="1"/>
    <col min="15" max="15" width="7.6640625" style="51" customWidth="1"/>
    <col min="16" max="17" width="8.83203125" style="25" hidden="1" customWidth="1"/>
    <col min="18" max="21" width="8.83203125" hidden="1" customWidth="1"/>
    <col min="22" max="22" width="3" style="10" hidden="1" customWidth="1"/>
    <col min="23" max="23" width="21.5" style="10" customWidth="1"/>
    <col min="24" max="24" width="69" style="10" customWidth="1"/>
    <col min="25" max="25" width="34.83203125" style="447" hidden="1" customWidth="1"/>
    <col min="26" max="26" width="34.83203125" hidden="1" customWidth="1"/>
    <col min="27" max="27" width="9.1640625" style="448" hidden="1" customWidth="1"/>
    <col min="28" max="28" width="9.1640625" style="25" hidden="1" customWidth="1"/>
    <col min="29" max="37" width="9.1640625" style="10" hidden="1" customWidth="1"/>
    <col min="38" max="38" width="14.5" style="10" hidden="1" customWidth="1"/>
    <col min="39" max="39" width="3" style="10" hidden="1" customWidth="1"/>
    <col min="40" max="40" width="12.5" style="10" hidden="1" customWidth="1"/>
    <col min="41" max="41" width="2.1640625" style="10" hidden="1" customWidth="1"/>
    <col min="42" max="42" width="14.33203125" hidden="1" customWidth="1"/>
    <col min="43" max="43" width="2.1640625" hidden="1" customWidth="1"/>
    <col min="44" max="44" width="12.5" hidden="1" customWidth="1"/>
    <col min="45" max="45" width="2.1640625" hidden="1" customWidth="1"/>
    <col min="46" max="61" width="9.1640625" hidden="1" customWidth="1"/>
  </cols>
  <sheetData>
    <row r="1" spans="1:61" s="10" customFormat="1" x14ac:dyDescent="0.2">
      <c r="A1" s="13"/>
      <c r="B1" s="13"/>
      <c r="C1" s="13"/>
      <c r="D1" s="13"/>
      <c r="E1" s="13"/>
      <c r="F1" s="13"/>
      <c r="G1" s="13"/>
      <c r="H1" s="805" t="s">
        <v>2149</v>
      </c>
      <c r="I1" s="768" t="str">
        <f ca="1">IF(OR(AG3,AI3),"Errors on page, no Level reached","Total Chapter Points: "&amp;AG2)</f>
        <v>Total Chapter Points: 0</v>
      </c>
      <c r="J1" s="768"/>
      <c r="K1" s="768"/>
      <c r="L1" s="768"/>
      <c r="M1" s="806"/>
      <c r="N1" s="806"/>
      <c r="O1" s="806"/>
      <c r="P1" s="806"/>
      <c r="Q1" s="806"/>
      <c r="R1" s="806"/>
      <c r="S1" s="806"/>
      <c r="T1" s="806"/>
      <c r="U1" s="806"/>
      <c r="V1" s="806"/>
      <c r="W1" s="806"/>
      <c r="X1" s="337" t="s">
        <v>2150</v>
      </c>
      <c r="Y1" s="562"/>
      <c r="Z1" s="562"/>
      <c r="AA1" s="562"/>
      <c r="AB1" s="562"/>
      <c r="AC1" s="562"/>
      <c r="AD1" s="562"/>
      <c r="AE1" s="562"/>
      <c r="AF1" s="594" t="s">
        <v>2151</v>
      </c>
      <c r="AG1" s="562">
        <f>Points!K15</f>
        <v>0</v>
      </c>
      <c r="AH1" s="562"/>
      <c r="AI1" s="562"/>
      <c r="AJ1" s="562"/>
      <c r="AK1" s="562"/>
      <c r="AL1" s="562"/>
      <c r="AM1" s="562"/>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s="10" customFormat="1" x14ac:dyDescent="0.2">
      <c r="A2" s="13"/>
      <c r="B2" s="13"/>
      <c r="C2" s="13"/>
      <c r="D2" s="13"/>
      <c r="E2" s="13"/>
      <c r="F2" s="13"/>
      <c r="G2" s="13"/>
      <c r="H2" s="805"/>
      <c r="I2" s="769" t="e">
        <f ca="1">IF(OR(AG3,AI3),"Errors on page, no Level reached","Total Project Points: "&amp;Dpoints)</f>
        <v>#REF!</v>
      </c>
      <c r="J2" s="769"/>
      <c r="K2" s="769"/>
      <c r="L2" s="769"/>
      <c r="M2" s="806"/>
      <c r="N2" s="806"/>
      <c r="O2" s="806"/>
      <c r="P2" s="806"/>
      <c r="Q2" s="806"/>
      <c r="R2" s="806"/>
      <c r="S2" s="806"/>
      <c r="T2" s="806"/>
      <c r="U2" s="806"/>
      <c r="V2" s="806"/>
      <c r="W2" s="806"/>
      <c r="X2" s="337" t="s">
        <v>2152</v>
      </c>
      <c r="Y2" s="562"/>
      <c r="Z2" s="562"/>
      <c r="AA2" s="562"/>
      <c r="AB2" s="562"/>
      <c r="AC2" s="562"/>
      <c r="AD2" s="562"/>
      <c r="AE2" s="562"/>
      <c r="AF2" s="594" t="s">
        <v>2153</v>
      </c>
      <c r="AG2" s="562">
        <f ca="1">Points!H15</f>
        <v>0</v>
      </c>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H3" s="805"/>
      <c r="I3" s="769" t="str">
        <f ca="1">IF(OR(AG3,AI3),"Errors on page, no Level reached","Total Project Level: "&amp;Dlevel)</f>
        <v>Total Project Level: None</v>
      </c>
      <c r="J3" s="769"/>
      <c r="K3" s="769"/>
      <c r="L3" s="769"/>
      <c r="M3" s="806"/>
      <c r="N3" s="806"/>
      <c r="O3" s="806"/>
      <c r="P3" s="806"/>
      <c r="Q3" s="806"/>
      <c r="R3" s="806"/>
      <c r="S3" s="806"/>
      <c r="T3" s="806"/>
      <c r="U3" s="806"/>
      <c r="V3" s="806"/>
      <c r="W3" s="806"/>
      <c r="X3" s="337" t="s">
        <v>2154</v>
      </c>
      <c r="Y3" s="562"/>
      <c r="Z3" s="562"/>
      <c r="AA3" s="562"/>
      <c r="AB3" s="562"/>
      <c r="AC3" s="562"/>
      <c r="AD3" s="562"/>
      <c r="AE3" s="562"/>
      <c r="AF3" s="594" t="s">
        <v>2155</v>
      </c>
      <c r="AG3" s="562" t="b">
        <f>OR(AE:AE)</f>
        <v>0</v>
      </c>
      <c r="AH3" s="594" t="s">
        <v>2156</v>
      </c>
      <c r="AI3" s="562" t="b">
        <f ca="1">OR(AD:AD)</f>
        <v>0</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s="36" customFormat="1" x14ac:dyDescent="0.2">
      <c r="A4" s="13"/>
      <c r="B4" s="13"/>
      <c r="C4" s="13"/>
      <c r="D4" s="13"/>
      <c r="E4" s="13"/>
      <c r="F4" s="13"/>
      <c r="G4" s="13"/>
      <c r="H4" s="805"/>
      <c r="I4" s="778"/>
      <c r="J4" s="779"/>
      <c r="K4" s="779"/>
      <c r="L4" s="780"/>
      <c r="M4" s="806"/>
      <c r="N4" s="806"/>
      <c r="O4" s="806"/>
      <c r="P4" s="806"/>
      <c r="Q4" s="806"/>
      <c r="R4" s="806"/>
      <c r="S4" s="806"/>
      <c r="T4" s="806"/>
      <c r="U4" s="806"/>
      <c r="V4" s="806"/>
      <c r="W4" s="806"/>
      <c r="X4" s="715" t="s">
        <v>46</v>
      </c>
      <c r="Y4" s="562"/>
      <c r="Z4" s="56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s="36" customFormat="1" x14ac:dyDescent="0.2">
      <c r="A5" s="13"/>
      <c r="B5" s="13"/>
      <c r="C5" s="13"/>
      <c r="D5" s="13"/>
      <c r="E5" s="13"/>
      <c r="F5" s="13"/>
      <c r="G5" s="13"/>
      <c r="H5" s="805"/>
      <c r="I5" s="781" t="str">
        <f>"Revision Date:  "&amp;TEXT('Info &amp; Intro'!E7,"m/d/yyyy")</f>
        <v>Revision Date:  11/30/2020</v>
      </c>
      <c r="J5" s="782"/>
      <c r="K5" s="782"/>
      <c r="L5" s="783"/>
      <c r="M5" s="806"/>
      <c r="N5" s="806"/>
      <c r="O5" s="806"/>
      <c r="P5" s="806"/>
      <c r="Q5" s="806"/>
      <c r="R5" s="806"/>
      <c r="S5" s="806"/>
      <c r="T5" s="806"/>
      <c r="U5" s="806"/>
      <c r="V5" s="806"/>
      <c r="W5" s="806"/>
      <c r="X5" s="715"/>
      <c r="Y5" s="562"/>
      <c r="Z5" s="56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s="25" customFormat="1" x14ac:dyDescent="0.2">
      <c r="A6" s="13"/>
      <c r="B6" s="13"/>
      <c r="C6" s="13"/>
      <c r="D6" s="13"/>
      <c r="E6" s="13"/>
      <c r="F6" s="13"/>
      <c r="G6" s="13"/>
      <c r="H6" s="805"/>
      <c r="I6" s="788" t="s">
        <v>2157</v>
      </c>
      <c r="J6" s="789"/>
      <c r="K6" s="790"/>
      <c r="L6" s="784" t="s">
        <v>2158</v>
      </c>
      <c r="M6" s="784" t="s">
        <v>2159</v>
      </c>
      <c r="N6" s="784"/>
      <c r="O6" s="23" t="s">
        <v>2160</v>
      </c>
      <c r="P6" s="784" t="s">
        <v>2161</v>
      </c>
      <c r="Q6" s="784" t="s">
        <v>2162</v>
      </c>
      <c r="R6" s="784" t="s">
        <v>2163</v>
      </c>
      <c r="S6" s="784" t="s">
        <v>2164</v>
      </c>
      <c r="T6" s="784" t="s">
        <v>2165</v>
      </c>
      <c r="U6" s="784" t="s">
        <v>2166</v>
      </c>
      <c r="V6" s="784"/>
      <c r="W6" s="784" t="s">
        <v>2167</v>
      </c>
      <c r="X6" s="770" t="s">
        <v>2168</v>
      </c>
      <c r="Y6" s="562"/>
      <c r="Z6" s="562"/>
      <c r="AA6" s="562"/>
      <c r="AB6" s="562"/>
      <c r="AC6" s="588" t="s">
        <v>2169</v>
      </c>
      <c r="AD6" s="588" t="s">
        <v>2165</v>
      </c>
      <c r="AE6" s="588" t="s">
        <v>2170</v>
      </c>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x14ac:dyDescent="0.2">
      <c r="H7" s="805"/>
      <c r="I7" s="788"/>
      <c r="J7" s="789"/>
      <c r="K7" s="790"/>
      <c r="L7" s="785"/>
      <c r="M7" s="785"/>
      <c r="N7" s="785"/>
      <c r="O7" s="23" t="s">
        <v>2171</v>
      </c>
      <c r="P7" s="785"/>
      <c r="Q7" s="785"/>
      <c r="R7" s="785"/>
      <c r="S7" s="785"/>
      <c r="T7" s="785"/>
      <c r="U7" s="785"/>
      <c r="V7" s="785"/>
      <c r="W7" s="785"/>
      <c r="X7" s="771"/>
      <c r="Y7" s="562"/>
      <c r="Z7" s="562"/>
      <c r="AA7" s="562"/>
      <c r="AB7" s="562"/>
      <c r="AC7" s="588" t="s">
        <v>2169</v>
      </c>
      <c r="AD7" s="588" t="s">
        <v>2165</v>
      </c>
      <c r="AE7" s="588" t="s">
        <v>2170</v>
      </c>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s="439" customFormat="1" hidden="1" x14ac:dyDescent="0.2">
      <c r="A8" s="13"/>
      <c r="B8" s="13"/>
      <c r="C8" s="13"/>
      <c r="D8" s="13"/>
      <c r="E8" s="13"/>
      <c r="F8" s="13"/>
      <c r="G8" s="13"/>
      <c r="H8" s="13"/>
      <c r="I8" s="604"/>
      <c r="J8" s="604"/>
      <c r="K8" s="604"/>
      <c r="L8" s="602"/>
      <c r="M8" s="602"/>
      <c r="N8" s="602"/>
      <c r="O8" s="23"/>
      <c r="P8" s="602"/>
      <c r="Q8" s="602"/>
      <c r="R8" s="602"/>
      <c r="S8" s="602"/>
      <c r="T8" s="602"/>
      <c r="U8" s="602"/>
      <c r="V8" s="602"/>
      <c r="W8" s="602"/>
      <c r="X8" s="604"/>
      <c r="Y8" s="562"/>
      <c r="Z8" s="562"/>
      <c r="AA8" s="562"/>
      <c r="AB8" s="562"/>
      <c r="AC8" s="588"/>
      <c r="AD8" s="588"/>
      <c r="AE8" s="588"/>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ht="19" x14ac:dyDescent="0.25">
      <c r="A9" s="13" t="s">
        <v>48</v>
      </c>
      <c r="B9" s="13" t="s">
        <v>48</v>
      </c>
      <c r="C9" s="13" t="s">
        <v>48</v>
      </c>
      <c r="D9" s="13" t="s">
        <v>48</v>
      </c>
      <c r="E9" s="13" t="s">
        <v>48</v>
      </c>
      <c r="F9" s="13" t="s">
        <v>48</v>
      </c>
      <c r="G9" s="13" t="s">
        <v>48</v>
      </c>
      <c r="H9" s="443"/>
      <c r="I9" s="15" t="s">
        <v>2172</v>
      </c>
      <c r="J9" s="15"/>
      <c r="K9" s="15"/>
      <c r="L9" s="16"/>
      <c r="M9" s="17"/>
      <c r="N9" s="562" t="s">
        <v>48</v>
      </c>
      <c r="O9" s="17"/>
      <c r="P9" s="562" t="s">
        <v>48</v>
      </c>
      <c r="Q9" s="562" t="s">
        <v>48</v>
      </c>
      <c r="R9" s="562" t="s">
        <v>48</v>
      </c>
      <c r="S9" s="562" t="s">
        <v>48</v>
      </c>
      <c r="T9" s="562" t="s">
        <v>48</v>
      </c>
      <c r="U9" s="562" t="s">
        <v>48</v>
      </c>
      <c r="V9" s="562" t="s">
        <v>48</v>
      </c>
      <c r="W9" s="16"/>
      <c r="X9" s="16"/>
      <c r="Y9" s="586" t="s">
        <v>48</v>
      </c>
      <c r="Z9" s="586" t="s">
        <v>48</v>
      </c>
      <c r="AA9" s="586" t="s">
        <v>48</v>
      </c>
      <c r="AB9" s="586" t="s">
        <v>48</v>
      </c>
      <c r="AC9" s="586" t="s">
        <v>48</v>
      </c>
      <c r="AD9" s="586" t="s">
        <v>48</v>
      </c>
      <c r="AE9" s="586" t="s">
        <v>48</v>
      </c>
      <c r="AF9" s="586" t="s">
        <v>48</v>
      </c>
      <c r="AG9" s="586" t="s">
        <v>48</v>
      </c>
      <c r="AH9" s="586" t="s">
        <v>48</v>
      </c>
      <c r="AI9" s="586" t="s">
        <v>48</v>
      </c>
      <c r="AJ9" s="586" t="s">
        <v>48</v>
      </c>
      <c r="AK9" s="586" t="s">
        <v>48</v>
      </c>
      <c r="AL9" s="586" t="s">
        <v>48</v>
      </c>
      <c r="AM9" s="586" t="s">
        <v>48</v>
      </c>
      <c r="AN9" s="586" t="s">
        <v>48</v>
      </c>
      <c r="AO9" s="586" t="s">
        <v>48</v>
      </c>
      <c r="AP9" s="586" t="s">
        <v>48</v>
      </c>
      <c r="AQ9" s="586" t="s">
        <v>48</v>
      </c>
      <c r="AR9" s="586" t="s">
        <v>48</v>
      </c>
      <c r="AS9" s="586" t="s">
        <v>48</v>
      </c>
      <c r="AT9" s="586" t="s">
        <v>48</v>
      </c>
      <c r="AU9" s="586" t="s">
        <v>48</v>
      </c>
      <c r="AV9" s="586" t="s">
        <v>48</v>
      </c>
      <c r="AW9" s="586" t="s">
        <v>48</v>
      </c>
      <c r="AX9" s="586" t="s">
        <v>48</v>
      </c>
      <c r="AY9" s="586" t="s">
        <v>48</v>
      </c>
      <c r="AZ9" s="586" t="s">
        <v>48</v>
      </c>
      <c r="BA9" s="586" t="s">
        <v>48</v>
      </c>
      <c r="BB9" s="586" t="s">
        <v>48</v>
      </c>
      <c r="BC9" s="586" t="s">
        <v>48</v>
      </c>
      <c r="BD9" s="586" t="s">
        <v>48</v>
      </c>
      <c r="BE9" s="586" t="s">
        <v>48</v>
      </c>
      <c r="BF9" s="586" t="s">
        <v>48</v>
      </c>
      <c r="BG9" s="586" t="s">
        <v>48</v>
      </c>
      <c r="BH9" s="586" t="s">
        <v>48</v>
      </c>
      <c r="BI9" s="586" t="s">
        <v>48</v>
      </c>
    </row>
    <row r="10" spans="1:61" x14ac:dyDescent="0.2">
      <c r="B10" s="14" t="s">
        <v>2173</v>
      </c>
      <c r="C10" s="14"/>
      <c r="D10" s="14"/>
      <c r="E10" s="14"/>
      <c r="F10" s="14"/>
      <c r="G10" s="14"/>
      <c r="H10" s="441"/>
      <c r="I10" s="57" t="s">
        <v>2174</v>
      </c>
      <c r="J10" s="57"/>
      <c r="K10" s="57"/>
      <c r="L10" s="775" t="s">
        <v>2175</v>
      </c>
      <c r="M10" s="261"/>
      <c r="N10" s="562"/>
      <c r="O10" s="648"/>
      <c r="P10" s="562"/>
      <c r="Q10" s="562"/>
      <c r="R10" s="562" t="b">
        <v>0</v>
      </c>
      <c r="S10" s="562" t="b">
        <v>1</v>
      </c>
      <c r="T10" s="562" t="b">
        <v>0</v>
      </c>
      <c r="U10" s="562"/>
      <c r="V10" s="562"/>
      <c r="W10" s="562"/>
      <c r="X10" s="562"/>
      <c r="Y10" s="562"/>
      <c r="Z10" s="562"/>
      <c r="AA10" s="562"/>
      <c r="AB10" s="562"/>
      <c r="AC10" s="562"/>
      <c r="AD10" s="562"/>
      <c r="AE10" s="562"/>
      <c r="AF10" s="562"/>
      <c r="AG10" s="562"/>
      <c r="AH10" s="562"/>
      <c r="AI10" s="562"/>
      <c r="AJ10" s="562"/>
      <c r="AK10" s="562"/>
      <c r="AL10" s="562"/>
      <c r="AM10" s="13"/>
      <c r="AN10" s="562"/>
      <c r="AO10" s="13"/>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x14ac:dyDescent="0.2">
      <c r="B11" s="14" t="s">
        <v>2173</v>
      </c>
      <c r="C11" s="14"/>
      <c r="D11" s="14"/>
      <c r="E11" s="14"/>
      <c r="F11" s="14"/>
      <c r="G11" s="14"/>
      <c r="H11" s="441"/>
      <c r="I11" s="57"/>
      <c r="J11" s="57"/>
      <c r="K11" s="57"/>
      <c r="L11" s="775"/>
      <c r="M11" s="261"/>
      <c r="N11" s="562"/>
      <c r="O11" s="648"/>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94" t="str">
        <f>'Overview (Design)'!A8</f>
        <v>Builder Name:</v>
      </c>
      <c r="AY11" s="562" t="str">
        <f>'Overview (Design)'!G8</f>
        <v>AAA Green Builders</v>
      </c>
      <c r="AZ11" s="562"/>
      <c r="BA11" s="562"/>
      <c r="BB11" s="562"/>
      <c r="BC11" s="562"/>
      <c r="BD11" s="562"/>
      <c r="BE11" s="562"/>
      <c r="BF11" s="562"/>
      <c r="BG11" s="562"/>
      <c r="BH11" s="562"/>
      <c r="BI11" s="562"/>
    </row>
    <row r="12" spans="1:61" x14ac:dyDescent="0.2">
      <c r="B12" s="14" t="s">
        <v>2173</v>
      </c>
      <c r="C12" s="14"/>
      <c r="D12" s="14"/>
      <c r="E12" s="14"/>
      <c r="F12" s="14"/>
      <c r="G12" s="14"/>
      <c r="H12" s="441"/>
      <c r="I12" s="57"/>
      <c r="J12" s="57"/>
      <c r="K12" s="57"/>
      <c r="L12" s="775"/>
      <c r="M12" s="261"/>
      <c r="N12" s="562"/>
      <c r="O12" s="648"/>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94" t="str">
        <f>'Overview (Design)'!A9</f>
        <v>Physical Address of Home:</v>
      </c>
      <c r="AY12" s="562" t="str">
        <f>'Overview (Design)'!G9</f>
        <v>6666 Oak St.</v>
      </c>
      <c r="AZ12" s="562"/>
      <c r="BA12" s="562"/>
      <c r="BB12" s="562"/>
      <c r="BC12" s="562"/>
      <c r="BD12" s="562"/>
      <c r="BE12" s="562"/>
      <c r="BF12" s="562"/>
      <c r="BG12" s="562"/>
      <c r="BH12" s="562"/>
      <c r="BI12" s="562"/>
    </row>
    <row r="13" spans="1:61" ht="19" x14ac:dyDescent="0.25">
      <c r="B13" s="14" t="s">
        <v>2176</v>
      </c>
      <c r="C13" s="14"/>
      <c r="D13" s="14"/>
      <c r="E13" s="14"/>
      <c r="F13" s="14"/>
      <c r="G13" s="14"/>
      <c r="H13" s="441"/>
      <c r="I13" s="58" t="s">
        <v>2177</v>
      </c>
      <c r="J13" s="58"/>
      <c r="K13" s="58"/>
      <c r="L13" s="52"/>
      <c r="M13" s="262"/>
      <c r="N13" s="16"/>
      <c r="O13" s="44"/>
      <c r="P13" s="16"/>
      <c r="Q13" s="16"/>
      <c r="R13" s="16"/>
      <c r="S13" s="16"/>
      <c r="T13" s="16"/>
      <c r="U13" s="16"/>
      <c r="V13" s="16"/>
      <c r="W13" s="16"/>
      <c r="X13" s="16"/>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94" t="str">
        <f>'Overview (Design)'!A10</f>
        <v>Community/Lot #:</v>
      </c>
      <c r="AY13" s="562">
        <f>'Overview (Design)'!G10</f>
        <v>0</v>
      </c>
      <c r="AZ13" s="562"/>
      <c r="BA13" s="562"/>
      <c r="BB13" s="562"/>
      <c r="BC13" s="562"/>
      <c r="BD13" s="562"/>
      <c r="BE13" s="562"/>
      <c r="BF13" s="562"/>
      <c r="BG13" s="562"/>
      <c r="BH13" s="562"/>
      <c r="BI13" s="562"/>
    </row>
    <row r="14" spans="1:61" ht="15" customHeight="1" x14ac:dyDescent="0.2">
      <c r="B14" s="14" t="s">
        <v>2178</v>
      </c>
      <c r="C14" s="14"/>
      <c r="D14" s="14"/>
      <c r="E14" s="14"/>
      <c r="F14" s="14"/>
      <c r="G14" s="14"/>
      <c r="H14" s="441"/>
      <c r="I14" s="57" t="s">
        <v>2179</v>
      </c>
      <c r="J14" s="57"/>
      <c r="K14" s="57"/>
      <c r="L14" s="775" t="s">
        <v>2180</v>
      </c>
      <c r="M14" s="772"/>
      <c r="N14" s="26"/>
      <c r="O14" s="807"/>
      <c r="P14" s="190"/>
      <c r="Q14" s="190"/>
      <c r="R14" s="562"/>
      <c r="S14" s="562"/>
      <c r="T14" s="562"/>
      <c r="U14" s="562"/>
      <c r="V14" s="562"/>
      <c r="W14" s="82"/>
      <c r="X14" s="786"/>
      <c r="Y14" s="562"/>
      <c r="Z14" s="562"/>
      <c r="AA14" s="562"/>
      <c r="AB14" s="562"/>
      <c r="AC14" s="562"/>
      <c r="AD14" s="562"/>
      <c r="AE14" s="562"/>
      <c r="AF14" s="562"/>
      <c r="AG14" s="562"/>
      <c r="AH14" s="562"/>
      <c r="AI14" s="562"/>
      <c r="AJ14" s="562"/>
      <c r="AK14" s="562"/>
      <c r="AL14" s="190"/>
      <c r="AM14" s="190"/>
      <c r="AN14" s="190"/>
      <c r="AO14" s="190"/>
      <c r="AP14" s="190"/>
      <c r="AQ14" s="190"/>
      <c r="AR14" s="562" t="str">
        <f>SUBSTITUTE(SUBSTITUTE(SUBSTITUTE("dnt"&amp;$B14&amp;$C14&amp;$D14&amp;$E14&amp;$F14,".","_"),"(","_"),")","")</f>
        <v>dnt501_2</v>
      </c>
      <c r="AS14" s="190">
        <f>X14</f>
        <v>0</v>
      </c>
      <c r="AT14" s="562"/>
      <c r="AU14" s="562"/>
      <c r="AV14" s="562"/>
      <c r="AW14" s="562"/>
      <c r="AX14" s="594" t="str">
        <f>'Overview (Design)'!A11</f>
        <v>City:</v>
      </c>
      <c r="AY14" s="562" t="str">
        <f>'Overview (Design)'!G11</f>
        <v>Raleigh</v>
      </c>
      <c r="AZ14" s="562"/>
      <c r="BA14" s="562"/>
      <c r="BB14" s="562"/>
      <c r="BC14" s="562"/>
      <c r="BD14" s="562"/>
      <c r="BE14" s="562"/>
      <c r="BF14" s="562"/>
      <c r="BG14" s="562"/>
      <c r="BH14" s="562"/>
      <c r="BI14" s="562"/>
    </row>
    <row r="15" spans="1:61" x14ac:dyDescent="0.2">
      <c r="B15" s="14" t="s">
        <v>2178</v>
      </c>
      <c r="C15" s="14"/>
      <c r="D15" s="14"/>
      <c r="E15" s="14"/>
      <c r="F15" s="14"/>
      <c r="G15" s="14"/>
      <c r="H15" s="441"/>
      <c r="I15" s="57"/>
      <c r="J15" s="57"/>
      <c r="K15" s="57"/>
      <c r="L15" s="775"/>
      <c r="M15" s="772"/>
      <c r="N15" s="26"/>
      <c r="O15" s="807"/>
      <c r="P15" s="190"/>
      <c r="Q15" s="190"/>
      <c r="R15" s="562"/>
      <c r="S15" s="562"/>
      <c r="T15" s="562"/>
      <c r="U15" s="562"/>
      <c r="V15" s="562"/>
      <c r="W15" s="562"/>
      <c r="X15" s="787"/>
      <c r="Y15" s="562"/>
      <c r="Z15" s="562"/>
      <c r="AA15" s="562"/>
      <c r="AB15" s="562"/>
      <c r="AC15" s="562"/>
      <c r="AD15" s="562"/>
      <c r="AE15" s="562"/>
      <c r="AF15" s="562"/>
      <c r="AG15" s="562"/>
      <c r="AH15" s="562"/>
      <c r="AI15" s="562"/>
      <c r="AJ15" s="562"/>
      <c r="AK15" s="562"/>
      <c r="AL15" s="190"/>
      <c r="AM15" s="190"/>
      <c r="AN15" s="190"/>
      <c r="AO15" s="190"/>
      <c r="AP15" s="190"/>
      <c r="AQ15" s="190"/>
      <c r="AR15" s="190"/>
      <c r="AS15" s="190"/>
      <c r="AT15" s="562"/>
      <c r="AU15" s="562"/>
      <c r="AV15" s="562"/>
      <c r="AW15" s="562"/>
      <c r="AX15" s="594" t="str">
        <f>'Overview (Design)'!A12</f>
        <v>State:</v>
      </c>
      <c r="AY15" s="562" t="str">
        <f>'Overview (Design)'!G12</f>
        <v>North Carolina</v>
      </c>
      <c r="AZ15" s="562"/>
      <c r="BA15" s="562"/>
      <c r="BB15" s="562"/>
      <c r="BC15" s="562" t="str">
        <f>'Overview (Design)'!K12</f>
        <v>State</v>
      </c>
      <c r="BD15" s="562" t="str">
        <f>'Overview (Design)'!L12</f>
        <v>County</v>
      </c>
      <c r="BE15" s="562" t="str">
        <f>'Overview (Design)'!M12</f>
        <v>Radon</v>
      </c>
      <c r="BF15" s="562" t="str">
        <f>'Overview (Design)'!N12</f>
        <v>Climate</v>
      </c>
      <c r="BG15" s="562" t="str">
        <f>'Overview (Design)'!O12</f>
        <v>Moist</v>
      </c>
      <c r="BH15" s="562" t="str">
        <f>'Overview (Design)'!P12</f>
        <v>WarmHumid</v>
      </c>
      <c r="BI15" s="562" t="str">
        <f>'Overview (Design)'!Q12</f>
        <v>Tropical</v>
      </c>
    </row>
    <row r="16" spans="1:61" x14ac:dyDescent="0.2">
      <c r="B16" s="14" t="s">
        <v>2178</v>
      </c>
      <c r="C16" s="14"/>
      <c r="D16" s="14"/>
      <c r="E16" s="14" t="s">
        <v>2181</v>
      </c>
      <c r="F16" s="14"/>
      <c r="G16" s="14"/>
      <c r="H16" s="441"/>
      <c r="I16" s="57"/>
      <c r="J16" s="61" t="s">
        <v>2181</v>
      </c>
      <c r="K16" s="61"/>
      <c r="L16" s="776" t="s">
        <v>2182</v>
      </c>
      <c r="M16" s="773">
        <v>6</v>
      </c>
      <c r="N16" s="62"/>
      <c r="O16" s="808">
        <f>M16*W16</f>
        <v>0</v>
      </c>
      <c r="P16" s="63" t="b">
        <v>1</v>
      </c>
      <c r="Q16" s="63" t="b">
        <v>1</v>
      </c>
      <c r="R16" s="562" t="b">
        <v>0</v>
      </c>
      <c r="S16" s="562" t="b">
        <v>1</v>
      </c>
      <c r="T16" s="562" t="b">
        <v>0</v>
      </c>
      <c r="U16" s="562"/>
      <c r="V16" s="562"/>
      <c r="W16" s="18"/>
      <c r="X16" s="787"/>
      <c r="Y16" s="562"/>
      <c r="Z16" s="562"/>
      <c r="AA16" s="562"/>
      <c r="AB16" s="562"/>
      <c r="AC16" s="562"/>
      <c r="AD16" s="562"/>
      <c r="AE16" s="562"/>
      <c r="AF16" s="562"/>
      <c r="AG16" s="562"/>
      <c r="AH16" s="562"/>
      <c r="AI16" s="562"/>
      <c r="AJ16" s="562"/>
      <c r="AK16" s="562"/>
      <c r="AL16" s="562" t="str">
        <f>SUBSTITUTE(SUBSTITUTE(SUBSTITUTE("dpa"&amp;$B16&amp;$C16&amp;$D16&amp;$E16&amp;$F16,".","_"),"(","_"),")","")</f>
        <v>dpa501_2_1</v>
      </c>
      <c r="AM16" s="190">
        <f>M16</f>
        <v>6</v>
      </c>
      <c r="AN16" s="562" t="str">
        <f>SUBSTITUTE(SUBSTITUTE(SUBSTITUTE("dpc"&amp;$B16&amp;$C16&amp;$D16&amp;$E16&amp;$F16,".","_"),"(","_"),")","")</f>
        <v>dpc501_2_1</v>
      </c>
      <c r="AO16" s="190">
        <f>O16</f>
        <v>0</v>
      </c>
      <c r="AP16" s="562" t="str">
        <f>SUBSTITUTE(SUBSTITUTE(SUBSTITUTE("dch"&amp;$B16&amp;$C16&amp;$D16&amp;$E16&amp;$F16,".","_"),"(","_"),")","")</f>
        <v>dch501_2_1</v>
      </c>
      <c r="AQ16" s="190">
        <f>W16</f>
        <v>0</v>
      </c>
      <c r="AR16" s="562" t="str">
        <f>SUBSTITUTE(SUBSTITUTE(SUBSTITUTE("dnt"&amp;$B16&amp;$C16&amp;$D16&amp;$E16&amp;$F16,".","_"),"(","_"),")","")</f>
        <v>dnt501_2_1</v>
      </c>
      <c r="AS16" s="190">
        <f>X16</f>
        <v>0</v>
      </c>
      <c r="AT16" s="562"/>
      <c r="AU16" s="562"/>
      <c r="AV16" s="562"/>
      <c r="AW16" s="562"/>
      <c r="AX16" s="594" t="str">
        <f>'Overview (Design)'!A13</f>
        <v>County:</v>
      </c>
      <c r="AY16" s="562">
        <f>'Overview (Design)'!G13</f>
        <v>0</v>
      </c>
      <c r="AZ16" s="562"/>
      <c r="BA16" s="562"/>
      <c r="BB16" s="562"/>
      <c r="BC16" s="562" t="str">
        <f>'Overview (Design)'!K13</f>
        <v>North Carolina</v>
      </c>
      <c r="BD16" s="562" t="str">
        <f>'Overview (Design)'!L13</f>
        <v/>
      </c>
      <c r="BE16" s="562" t="str">
        <f>'Overview (Design)'!M13</f>
        <v>!!</v>
      </c>
      <c r="BF16" s="562" t="str">
        <f>'Overview (Design)'!N13</f>
        <v>!!</v>
      </c>
      <c r="BG16" s="562" t="str">
        <f>'Overview (Design)'!O13</f>
        <v>!!</v>
      </c>
      <c r="BH16" s="562" t="str">
        <f>'Overview (Design)'!P13</f>
        <v>!!</v>
      </c>
      <c r="BI16" s="562" t="str">
        <f>'Overview (Design)'!Q13</f>
        <v>!!</v>
      </c>
    </row>
    <row r="17" spans="2:51" x14ac:dyDescent="0.2">
      <c r="B17" s="14" t="s">
        <v>2178</v>
      </c>
      <c r="C17" s="14"/>
      <c r="D17" s="14"/>
      <c r="E17" s="14" t="s">
        <v>2181</v>
      </c>
      <c r="F17" s="14"/>
      <c r="G17" s="14"/>
      <c r="H17" s="441"/>
      <c r="I17" s="57"/>
      <c r="J17" s="125"/>
      <c r="K17" s="125"/>
      <c r="L17" s="777"/>
      <c r="M17" s="774"/>
      <c r="N17" s="127"/>
      <c r="O17" s="809"/>
      <c r="P17" s="189"/>
      <c r="Q17" s="189"/>
      <c r="R17" s="562"/>
      <c r="S17" s="562"/>
      <c r="T17" s="562"/>
      <c r="U17" s="562"/>
      <c r="V17" s="562"/>
      <c r="W17" s="562"/>
      <c r="X17" s="787"/>
      <c r="Y17" s="562"/>
      <c r="Z17" s="562"/>
      <c r="AA17" s="562"/>
      <c r="AB17" s="562"/>
      <c r="AC17" s="562"/>
      <c r="AD17" s="562"/>
      <c r="AE17" s="562"/>
      <c r="AF17" s="562"/>
      <c r="AG17" s="562"/>
      <c r="AH17" s="562"/>
      <c r="AI17" s="562"/>
      <c r="AJ17" s="562"/>
      <c r="AK17" s="562"/>
      <c r="AL17" s="190"/>
      <c r="AM17" s="190"/>
      <c r="AN17" s="190"/>
      <c r="AO17" s="190"/>
      <c r="AP17" s="190"/>
      <c r="AQ17" s="190"/>
      <c r="AR17" s="190"/>
      <c r="AS17" s="190"/>
      <c r="AT17" s="562"/>
      <c r="AU17" s="562"/>
      <c r="AV17" s="562"/>
      <c r="AW17" s="562"/>
      <c r="AX17" s="594" t="str">
        <f>'Overview (Design)'!A14</f>
        <v>Zip:</v>
      </c>
      <c r="AY17" s="562" t="str">
        <f>'Overview (Design)'!G14</f>
        <v>99999</v>
      </c>
    </row>
    <row r="18" spans="2:51" x14ac:dyDescent="0.2">
      <c r="B18" s="14" t="s">
        <v>2178</v>
      </c>
      <c r="C18" s="14"/>
      <c r="D18" s="14"/>
      <c r="E18" s="14" t="s">
        <v>2183</v>
      </c>
      <c r="F18" s="14"/>
      <c r="G18" s="14"/>
      <c r="H18" s="441"/>
      <c r="I18" s="57"/>
      <c r="J18" s="61" t="s">
        <v>2183</v>
      </c>
      <c r="K18" s="61"/>
      <c r="L18" s="791" t="s">
        <v>2184</v>
      </c>
      <c r="M18" s="773">
        <v>3</v>
      </c>
      <c r="N18" s="62"/>
      <c r="O18" s="808">
        <f>M18*W18</f>
        <v>0</v>
      </c>
      <c r="P18" s="63" t="b">
        <v>1</v>
      </c>
      <c r="Q18" s="63" t="b">
        <v>1</v>
      </c>
      <c r="R18" s="562" t="b">
        <v>0</v>
      </c>
      <c r="S18" s="562" t="b">
        <v>1</v>
      </c>
      <c r="T18" s="562" t="b">
        <v>0</v>
      </c>
      <c r="U18" s="562"/>
      <c r="V18" s="562"/>
      <c r="W18" s="18"/>
      <c r="X18" s="787"/>
      <c r="Y18" s="562"/>
      <c r="Z18" s="562"/>
      <c r="AA18" s="562"/>
      <c r="AB18" s="562"/>
      <c r="AC18" s="562"/>
      <c r="AD18" s="562"/>
      <c r="AE18" s="562"/>
      <c r="AF18" s="562"/>
      <c r="AG18" s="562"/>
      <c r="AH18" s="562"/>
      <c r="AI18" s="562"/>
      <c r="AJ18" s="562"/>
      <c r="AK18" s="562"/>
      <c r="AL18" s="562" t="str">
        <f>SUBSTITUTE(SUBSTITUTE(SUBSTITUTE("dpa"&amp;$B18&amp;$C18&amp;$D18&amp;$E18&amp;$F18,".","_"),"(","_"),")","")</f>
        <v>dpa501_2_2</v>
      </c>
      <c r="AM18" s="190">
        <f>M18</f>
        <v>3</v>
      </c>
      <c r="AN18" s="562" t="str">
        <f>SUBSTITUTE(SUBSTITUTE(SUBSTITUTE("dpc"&amp;$B18&amp;$C18&amp;$D18&amp;$E18&amp;$F18,".","_"),"(","_"),")","")</f>
        <v>dpc501_2_2</v>
      </c>
      <c r="AO18" s="190">
        <f>O18</f>
        <v>0</v>
      </c>
      <c r="AP18" s="562" t="str">
        <f>SUBSTITUTE(SUBSTITUTE(SUBSTITUTE("dch"&amp;$B18&amp;$C18&amp;$D18&amp;$E18&amp;$F18,".","_"),"(","_"),")","")</f>
        <v>dch501_2_2</v>
      </c>
      <c r="AQ18" s="190">
        <f>W18</f>
        <v>0</v>
      </c>
      <c r="AR18" s="562" t="str">
        <f>SUBSTITUTE(SUBSTITUTE(SUBSTITUTE("dnt"&amp;$B18&amp;$C18&amp;$D18&amp;$E18&amp;$F18,".","_"),"(","_"),")","")</f>
        <v>dnt501_2_2</v>
      </c>
      <c r="AS18" s="190">
        <f>X18</f>
        <v>0</v>
      </c>
      <c r="AT18" s="562"/>
      <c r="AU18" s="562"/>
      <c r="AV18" s="562"/>
      <c r="AW18" s="562"/>
      <c r="AX18" s="594"/>
      <c r="AY18" s="562"/>
    </row>
    <row r="19" spans="2:51" x14ac:dyDescent="0.2">
      <c r="B19" s="14" t="s">
        <v>2178</v>
      </c>
      <c r="C19" s="14"/>
      <c r="D19" s="14"/>
      <c r="E19" s="14" t="s">
        <v>2183</v>
      </c>
      <c r="F19" s="14"/>
      <c r="G19" s="14"/>
      <c r="H19" s="441"/>
      <c r="I19" s="57"/>
      <c r="J19" s="125"/>
      <c r="K19" s="125"/>
      <c r="L19" s="792"/>
      <c r="M19" s="774"/>
      <c r="N19" s="127"/>
      <c r="O19" s="809"/>
      <c r="P19" s="189"/>
      <c r="Q19" s="189"/>
      <c r="R19" s="562"/>
      <c r="S19" s="562"/>
      <c r="T19" s="562"/>
      <c r="U19" s="562"/>
      <c r="V19" s="562"/>
      <c r="W19" s="562"/>
      <c r="X19" s="787"/>
      <c r="Y19" s="562"/>
      <c r="Z19" s="562"/>
      <c r="AA19" s="562"/>
      <c r="AB19" s="562"/>
      <c r="AC19" s="562"/>
      <c r="AD19" s="562"/>
      <c r="AE19" s="562"/>
      <c r="AF19" s="562"/>
      <c r="AG19" s="562"/>
      <c r="AH19" s="562"/>
      <c r="AI19" s="562"/>
      <c r="AJ19" s="562"/>
      <c r="AK19" s="562"/>
      <c r="AL19" s="190"/>
      <c r="AM19" s="190"/>
      <c r="AN19" s="190"/>
      <c r="AO19" s="190"/>
      <c r="AP19" s="190"/>
      <c r="AQ19" s="190"/>
      <c r="AR19" s="190"/>
      <c r="AS19" s="190"/>
      <c r="AT19" s="562"/>
      <c r="AU19" s="562"/>
      <c r="AV19" s="562"/>
      <c r="AW19" s="562"/>
      <c r="AX19" s="594" t="str">
        <f>'Overview (Design)'!A16</f>
        <v>Single-Family or Multifamily:</v>
      </c>
      <c r="AY19" s="562" t="str">
        <f>'Overview (Design)'!G16</f>
        <v>Single-Family</v>
      </c>
    </row>
    <row r="20" spans="2:51" ht="15" customHeight="1" x14ac:dyDescent="0.2">
      <c r="B20" s="14" t="s">
        <v>2178</v>
      </c>
      <c r="C20" s="14"/>
      <c r="D20" s="14"/>
      <c r="E20" s="14" t="s">
        <v>2185</v>
      </c>
      <c r="F20" s="14"/>
      <c r="G20" s="14"/>
      <c r="H20" s="441"/>
      <c r="I20" s="57"/>
      <c r="J20" s="61" t="s">
        <v>2185</v>
      </c>
      <c r="K20" s="61"/>
      <c r="L20" s="791" t="s">
        <v>2186</v>
      </c>
      <c r="M20" s="773">
        <v>4</v>
      </c>
      <c r="N20" s="62"/>
      <c r="O20" s="808">
        <f>M20*W20</f>
        <v>0</v>
      </c>
      <c r="P20" s="63" t="b">
        <v>1</v>
      </c>
      <c r="Q20" s="63" t="b">
        <v>1</v>
      </c>
      <c r="R20" s="562" t="b">
        <v>0</v>
      </c>
      <c r="S20" s="562" t="b">
        <v>1</v>
      </c>
      <c r="T20" s="562" t="b">
        <v>0</v>
      </c>
      <c r="U20" s="562"/>
      <c r="V20" s="562"/>
      <c r="W20" s="18"/>
      <c r="X20" s="787"/>
      <c r="Y20" s="562"/>
      <c r="Z20" s="562"/>
      <c r="AA20" s="562"/>
      <c r="AB20" s="562"/>
      <c r="AC20" s="562" t="b">
        <f>OR(AD20:AE20)</f>
        <v>0</v>
      </c>
      <c r="AD20" s="562" t="b">
        <v>0</v>
      </c>
      <c r="AE20" s="562" t="b">
        <f>AND(W20=TRUE,LEN(X20)=0)</f>
        <v>0</v>
      </c>
      <c r="AF20" s="562"/>
      <c r="AG20" s="562"/>
      <c r="AH20" s="562"/>
      <c r="AI20" s="562"/>
      <c r="AJ20" s="562"/>
      <c r="AK20" s="562"/>
      <c r="AL20" s="562" t="str">
        <f>SUBSTITUTE(SUBSTITUTE(SUBSTITUTE("dpa"&amp;$B20&amp;$C20&amp;$D20&amp;$E20&amp;$F20,".","_"),"(","_"),")","")</f>
        <v>dpa501_2_3</v>
      </c>
      <c r="AM20" s="190">
        <f>M20</f>
        <v>4</v>
      </c>
      <c r="AN20" s="562" t="str">
        <f>SUBSTITUTE(SUBSTITUTE(SUBSTITUTE("dpc"&amp;$B20&amp;$C20&amp;$D20&amp;$E20&amp;$F20,".","_"),"(","_"),")","")</f>
        <v>dpc501_2_3</v>
      </c>
      <c r="AO20" s="190">
        <f>O20</f>
        <v>0</v>
      </c>
      <c r="AP20" s="562" t="str">
        <f>SUBSTITUTE(SUBSTITUTE(SUBSTITUTE("dch"&amp;$B20&amp;$C20&amp;$D20&amp;$E20&amp;$F20,".","_"),"(","_"),")","")</f>
        <v>dch501_2_3</v>
      </c>
      <c r="AQ20" s="190">
        <f>W20</f>
        <v>0</v>
      </c>
      <c r="AR20" s="562" t="str">
        <f>SUBSTITUTE(SUBSTITUTE(SUBSTITUTE("dnt"&amp;$B20&amp;$C20&amp;$D20&amp;$E20&amp;$F20,".","_"),"(","_"),")","")</f>
        <v>dnt501_2_3</v>
      </c>
      <c r="AS20" s="190">
        <f>X20</f>
        <v>0</v>
      </c>
      <c r="AT20" s="562"/>
      <c r="AU20" s="562"/>
      <c r="AV20" s="562"/>
      <c r="AW20" s="562"/>
      <c r="AX20" s="594" t="str">
        <f>'Overview (Design)'!A17</f>
        <v>Number of Units:</v>
      </c>
      <c r="AY20" s="562">
        <f>'Overview (Design)'!G17</f>
        <v>0</v>
      </c>
    </row>
    <row r="21" spans="2:51" x14ac:dyDescent="0.2">
      <c r="B21" s="14" t="s">
        <v>2178</v>
      </c>
      <c r="C21" s="14"/>
      <c r="D21" s="14"/>
      <c r="E21" s="14" t="s">
        <v>2185</v>
      </c>
      <c r="F21" s="14"/>
      <c r="G21" s="14"/>
      <c r="H21" s="441"/>
      <c r="I21" s="57"/>
      <c r="J21" s="61"/>
      <c r="K21" s="61"/>
      <c r="L21" s="791"/>
      <c r="M21" s="773"/>
      <c r="N21" s="62"/>
      <c r="O21" s="808"/>
      <c r="P21" s="189"/>
      <c r="Q21" s="189"/>
      <c r="R21" s="562"/>
      <c r="S21" s="562"/>
      <c r="T21" s="562"/>
      <c r="U21" s="562"/>
      <c r="V21" s="562"/>
      <c r="W21" s="562"/>
      <c r="X21" s="787"/>
      <c r="Y21" s="562"/>
      <c r="Z21" s="562"/>
      <c r="AA21" s="562"/>
      <c r="AB21" s="562"/>
      <c r="AC21" s="562"/>
      <c r="AD21" s="562"/>
      <c r="AE21" s="562"/>
      <c r="AF21" s="562"/>
      <c r="AG21" s="562"/>
      <c r="AH21" s="562"/>
      <c r="AI21" s="562"/>
      <c r="AJ21" s="562"/>
      <c r="AK21" s="562"/>
      <c r="AL21" s="190"/>
      <c r="AM21" s="190"/>
      <c r="AN21" s="190"/>
      <c r="AO21" s="190"/>
      <c r="AP21" s="190"/>
      <c r="AQ21" s="190"/>
      <c r="AR21" s="190"/>
      <c r="AS21" s="190"/>
      <c r="AT21" s="562"/>
      <c r="AU21" s="562"/>
      <c r="AV21" s="562"/>
      <c r="AW21" s="562"/>
      <c r="AX21" s="594" t="str">
        <f>'Overview (Design)'!A18</f>
        <v>Project Name:</v>
      </c>
      <c r="AY21" s="562">
        <f>'Overview (Design)'!G18</f>
        <v>0</v>
      </c>
    </row>
    <row r="22" spans="2:51" x14ac:dyDescent="0.2">
      <c r="B22" s="14" t="s">
        <v>2178</v>
      </c>
      <c r="C22" s="14"/>
      <c r="D22" s="14"/>
      <c r="E22" s="14" t="s">
        <v>2185</v>
      </c>
      <c r="F22" s="14"/>
      <c r="G22" s="14"/>
      <c r="H22" s="441"/>
      <c r="I22" s="57"/>
      <c r="J22" s="61"/>
      <c r="K22" s="61"/>
      <c r="L22" s="791"/>
      <c r="M22" s="773"/>
      <c r="N22" s="62"/>
      <c r="O22" s="808"/>
      <c r="P22" s="189"/>
      <c r="Q22" s="189"/>
      <c r="R22" s="562"/>
      <c r="S22" s="562"/>
      <c r="T22" s="562"/>
      <c r="U22" s="562"/>
      <c r="V22" s="562"/>
      <c r="W22" s="562"/>
      <c r="X22" s="787"/>
      <c r="Y22" s="562"/>
      <c r="Z22" s="562"/>
      <c r="AA22" s="562"/>
      <c r="AB22" s="562"/>
      <c r="AC22" s="562"/>
      <c r="AD22" s="562"/>
      <c r="AE22" s="562"/>
      <c r="AF22" s="562"/>
      <c r="AG22" s="562"/>
      <c r="AH22" s="562"/>
      <c r="AI22" s="562"/>
      <c r="AJ22" s="562"/>
      <c r="AK22" s="562"/>
      <c r="AL22" s="190"/>
      <c r="AM22" s="190"/>
      <c r="AN22" s="190"/>
      <c r="AO22" s="190"/>
      <c r="AP22" s="190"/>
      <c r="AQ22" s="190"/>
      <c r="AR22" s="190"/>
      <c r="AS22" s="190"/>
      <c r="AT22" s="562"/>
      <c r="AU22" s="562"/>
      <c r="AV22" s="562"/>
      <c r="AW22" s="562"/>
      <c r="AX22" s="594"/>
      <c r="AY22" s="562"/>
    </row>
    <row r="23" spans="2:51" x14ac:dyDescent="0.2">
      <c r="B23" s="14" t="s">
        <v>2178</v>
      </c>
      <c r="C23" s="14"/>
      <c r="D23" s="14"/>
      <c r="E23" s="14" t="s">
        <v>2185</v>
      </c>
      <c r="F23" s="14"/>
      <c r="G23" s="14"/>
      <c r="H23" s="441"/>
      <c r="I23" s="57"/>
      <c r="J23" s="61"/>
      <c r="K23" s="61"/>
      <c r="L23" s="791"/>
      <c r="M23" s="773"/>
      <c r="N23" s="62"/>
      <c r="O23" s="808"/>
      <c r="P23" s="189"/>
      <c r="Q23" s="189"/>
      <c r="R23" s="562"/>
      <c r="S23" s="562"/>
      <c r="T23" s="562"/>
      <c r="U23" s="562"/>
      <c r="V23" s="562"/>
      <c r="W23" s="562"/>
      <c r="X23" s="787"/>
      <c r="Y23" s="562"/>
      <c r="Z23" s="562"/>
      <c r="AA23" s="562"/>
      <c r="AB23" s="562"/>
      <c r="AC23" s="562"/>
      <c r="AD23" s="562"/>
      <c r="AE23" s="562"/>
      <c r="AF23" s="562"/>
      <c r="AG23" s="562"/>
      <c r="AH23" s="562"/>
      <c r="AI23" s="562"/>
      <c r="AJ23" s="562"/>
      <c r="AK23" s="562"/>
      <c r="AL23" s="190"/>
      <c r="AM23" s="190"/>
      <c r="AN23" s="190"/>
      <c r="AO23" s="190"/>
      <c r="AP23" s="190"/>
      <c r="AQ23" s="190"/>
      <c r="AR23" s="190"/>
      <c r="AS23" s="190"/>
      <c r="AT23" s="562"/>
      <c r="AU23" s="562"/>
      <c r="AV23" s="562"/>
      <c r="AW23" s="562"/>
      <c r="AX23" s="594" t="str">
        <f>'Overview (Design)'!A21</f>
        <v>Above grade plane finished floor area:</v>
      </c>
      <c r="AY23" s="562">
        <f>'Overview (Design)'!G21</f>
        <v>0</v>
      </c>
    </row>
    <row r="24" spans="2:51" x14ac:dyDescent="0.2">
      <c r="B24" s="14" t="s">
        <v>2178</v>
      </c>
      <c r="C24" s="14"/>
      <c r="D24" s="14"/>
      <c r="E24" s="14" t="s">
        <v>2185</v>
      </c>
      <c r="F24" s="14"/>
      <c r="G24" s="14"/>
      <c r="H24" s="441"/>
      <c r="I24" s="57"/>
      <c r="J24" s="61"/>
      <c r="K24" s="61"/>
      <c r="L24" s="65" t="s">
        <v>2187</v>
      </c>
      <c r="M24" s="773"/>
      <c r="N24" s="62"/>
      <c r="O24" s="808"/>
      <c r="P24" s="189"/>
      <c r="Q24" s="189"/>
      <c r="R24" s="562"/>
      <c r="S24" s="562"/>
      <c r="T24" s="562"/>
      <c r="U24" s="562"/>
      <c r="V24" s="562"/>
      <c r="W24" s="562"/>
      <c r="X24" s="787"/>
      <c r="Y24" s="562"/>
      <c r="Z24" s="562"/>
      <c r="AA24" s="562"/>
      <c r="AB24" s="562"/>
      <c r="AC24" s="562"/>
      <c r="AD24" s="562"/>
      <c r="AE24" s="562"/>
      <c r="AF24" s="562"/>
      <c r="AG24" s="562"/>
      <c r="AH24" s="562"/>
      <c r="AI24" s="562"/>
      <c r="AJ24" s="562"/>
      <c r="AK24" s="562"/>
      <c r="AL24" s="190"/>
      <c r="AM24" s="190"/>
      <c r="AN24" s="190"/>
      <c r="AO24" s="190"/>
      <c r="AP24" s="190"/>
      <c r="AQ24" s="190"/>
      <c r="AR24" s="190"/>
      <c r="AS24" s="190"/>
      <c r="AT24" s="562"/>
      <c r="AU24" s="562"/>
      <c r="AV24" s="562"/>
      <c r="AW24" s="562"/>
      <c r="AX24" s="594" t="str">
        <f>'Overview (Design)'!A22</f>
        <v>Total conditioned floor area:</v>
      </c>
      <c r="AY24" s="562">
        <f>'Overview (Design)'!G22</f>
        <v>0</v>
      </c>
    </row>
    <row r="25" spans="2:51" x14ac:dyDescent="0.2">
      <c r="B25" s="14" t="s">
        <v>2178</v>
      </c>
      <c r="C25" s="14"/>
      <c r="D25" s="14"/>
      <c r="E25" s="14" t="s">
        <v>2185</v>
      </c>
      <c r="F25" s="14"/>
      <c r="G25" s="14"/>
      <c r="H25" s="441"/>
      <c r="I25" s="57"/>
      <c r="J25" s="61"/>
      <c r="K25" s="61"/>
      <c r="L25" s="65" t="s">
        <v>2188</v>
      </c>
      <c r="M25" s="773"/>
      <c r="N25" s="62"/>
      <c r="O25" s="808"/>
      <c r="P25" s="189"/>
      <c r="Q25" s="189"/>
      <c r="R25" s="562"/>
      <c r="S25" s="562"/>
      <c r="T25" s="562"/>
      <c r="U25" s="562"/>
      <c r="V25" s="562"/>
      <c r="W25" s="562"/>
      <c r="X25" s="787"/>
      <c r="Y25" s="562"/>
      <c r="Z25" s="562"/>
      <c r="AA25" s="562"/>
      <c r="AB25" s="562"/>
      <c r="AC25" s="562"/>
      <c r="AD25" s="562"/>
      <c r="AE25" s="562"/>
      <c r="AF25" s="562"/>
      <c r="AG25" s="562"/>
      <c r="AH25" s="562"/>
      <c r="AI25" s="562"/>
      <c r="AJ25" s="562"/>
      <c r="AK25" s="562"/>
      <c r="AL25" s="190"/>
      <c r="AM25" s="190"/>
      <c r="AN25" s="190"/>
      <c r="AO25" s="190"/>
      <c r="AP25" s="190"/>
      <c r="AQ25" s="190"/>
      <c r="AR25" s="190"/>
      <c r="AS25" s="190"/>
      <c r="AT25" s="562"/>
      <c r="AU25" s="562"/>
      <c r="AV25" s="562"/>
      <c r="AW25" s="562"/>
      <c r="AX25" s="594" t="str">
        <f>'Overview (Design)'!A23</f>
        <v>Stories above grade:</v>
      </c>
      <c r="AY25" s="562">
        <f>'Overview (Design)'!G23</f>
        <v>0</v>
      </c>
    </row>
    <row r="26" spans="2:51" x14ac:dyDescent="0.2">
      <c r="B26" s="14" t="s">
        <v>2178</v>
      </c>
      <c r="C26" s="14"/>
      <c r="D26" s="14"/>
      <c r="E26" s="14" t="s">
        <v>2185</v>
      </c>
      <c r="F26" s="14"/>
      <c r="G26" s="14"/>
      <c r="H26" s="441"/>
      <c r="I26" s="57"/>
      <c r="J26" s="61"/>
      <c r="K26" s="61"/>
      <c r="L26" s="65" t="s">
        <v>2189</v>
      </c>
      <c r="M26" s="773"/>
      <c r="N26" s="62"/>
      <c r="O26" s="808"/>
      <c r="P26" s="189"/>
      <c r="Q26" s="189"/>
      <c r="R26" s="562"/>
      <c r="S26" s="562"/>
      <c r="T26" s="562"/>
      <c r="U26" s="562"/>
      <c r="V26" s="562"/>
      <c r="W26" s="562"/>
      <c r="X26" s="787"/>
      <c r="Y26" s="562"/>
      <c r="Z26" s="562"/>
      <c r="AA26" s="562"/>
      <c r="AB26" s="562"/>
      <c r="AC26" s="562"/>
      <c r="AD26" s="562"/>
      <c r="AE26" s="562"/>
      <c r="AF26" s="562"/>
      <c r="AG26" s="562"/>
      <c r="AH26" s="562"/>
      <c r="AI26" s="562"/>
      <c r="AJ26" s="562"/>
      <c r="AK26" s="562"/>
      <c r="AL26" s="190"/>
      <c r="AM26" s="190"/>
      <c r="AN26" s="190"/>
      <c r="AO26" s="190"/>
      <c r="AP26" s="190"/>
      <c r="AQ26" s="190"/>
      <c r="AR26" s="190"/>
      <c r="AS26" s="190"/>
      <c r="AT26" s="562"/>
      <c r="AU26" s="562"/>
      <c r="AV26" s="562"/>
      <c r="AW26" s="562"/>
      <c r="AX26" s="594"/>
      <c r="AY26" s="562"/>
    </row>
    <row r="27" spans="2:51" x14ac:dyDescent="0.2">
      <c r="B27" s="14" t="s">
        <v>2178</v>
      </c>
      <c r="C27" s="14"/>
      <c r="D27" s="14"/>
      <c r="E27" s="14" t="s">
        <v>2185</v>
      </c>
      <c r="F27" s="14"/>
      <c r="G27" s="14"/>
      <c r="H27" s="441"/>
      <c r="I27" s="57"/>
      <c r="J27" s="61"/>
      <c r="K27" s="61"/>
      <c r="L27" s="65" t="s">
        <v>2190</v>
      </c>
      <c r="M27" s="773"/>
      <c r="N27" s="62"/>
      <c r="O27" s="808"/>
      <c r="P27" s="189"/>
      <c r="Q27" s="189"/>
      <c r="R27" s="562"/>
      <c r="S27" s="562"/>
      <c r="T27" s="562"/>
      <c r="U27" s="562"/>
      <c r="V27" s="562"/>
      <c r="W27" s="562"/>
      <c r="X27" s="787"/>
      <c r="Y27" s="562"/>
      <c r="Z27" s="562"/>
      <c r="AA27" s="562"/>
      <c r="AB27" s="562"/>
      <c r="AC27" s="562"/>
      <c r="AD27" s="562"/>
      <c r="AE27" s="562"/>
      <c r="AF27" s="562"/>
      <c r="AG27" s="562"/>
      <c r="AH27" s="562"/>
      <c r="AI27" s="562"/>
      <c r="AJ27" s="562"/>
      <c r="AK27" s="562"/>
      <c r="AL27" s="190"/>
      <c r="AM27" s="190"/>
      <c r="AN27" s="190"/>
      <c r="AO27" s="190"/>
      <c r="AP27" s="190"/>
      <c r="AQ27" s="190"/>
      <c r="AR27" s="190"/>
      <c r="AS27" s="190"/>
      <c r="AT27" s="562"/>
      <c r="AU27" s="562"/>
      <c r="AV27" s="562"/>
      <c r="AW27" s="562"/>
      <c r="AX27" s="594" t="str">
        <f>'Overview (Design)'!A25</f>
        <v xml:space="preserve">Project Description (optional): </v>
      </c>
      <c r="AY27" s="562">
        <f>'Overview (Design)'!G25</f>
        <v>0</v>
      </c>
    </row>
    <row r="28" spans="2:51" x14ac:dyDescent="0.2">
      <c r="B28" s="14" t="s">
        <v>2178</v>
      </c>
      <c r="C28" s="14"/>
      <c r="D28" s="14"/>
      <c r="E28" s="14" t="s">
        <v>2185</v>
      </c>
      <c r="F28" s="14"/>
      <c r="G28" s="14"/>
      <c r="H28" s="441"/>
      <c r="I28" s="57"/>
      <c r="J28" s="125"/>
      <c r="K28" s="125"/>
      <c r="L28" s="571" t="s">
        <v>2191</v>
      </c>
      <c r="M28" s="774"/>
      <c r="N28" s="127"/>
      <c r="O28" s="809"/>
      <c r="P28" s="189"/>
      <c r="Q28" s="189"/>
      <c r="R28" s="562"/>
      <c r="S28" s="562"/>
      <c r="T28" s="562"/>
      <c r="U28" s="562"/>
      <c r="V28" s="562"/>
      <c r="W28" s="562"/>
      <c r="X28" s="787"/>
      <c r="Y28" s="562"/>
      <c r="Z28" s="562"/>
      <c r="AA28" s="562"/>
      <c r="AB28" s="562"/>
      <c r="AC28" s="562"/>
      <c r="AD28" s="562"/>
      <c r="AE28" s="562"/>
      <c r="AF28" s="562"/>
      <c r="AG28" s="562"/>
      <c r="AH28" s="562"/>
      <c r="AI28" s="562"/>
      <c r="AJ28" s="562"/>
      <c r="AK28" s="562"/>
      <c r="AL28" s="190"/>
      <c r="AM28" s="190"/>
      <c r="AN28" s="190"/>
      <c r="AO28" s="190"/>
      <c r="AP28" s="190"/>
      <c r="AQ28" s="190"/>
      <c r="AR28" s="190"/>
      <c r="AS28" s="190"/>
      <c r="AT28" s="562"/>
      <c r="AU28" s="562"/>
      <c r="AV28" s="562"/>
      <c r="AW28" s="562"/>
      <c r="AX28" s="562"/>
      <c r="AY28" s="562"/>
    </row>
    <row r="29" spans="2:51" x14ac:dyDescent="0.2">
      <c r="B29" s="14" t="s">
        <v>2178</v>
      </c>
      <c r="C29" s="14"/>
      <c r="D29" s="14"/>
      <c r="E29" s="14" t="s">
        <v>2192</v>
      </c>
      <c r="F29" s="14"/>
      <c r="G29" s="14"/>
      <c r="H29" s="441"/>
      <c r="I29" s="57"/>
      <c r="J29" s="61" t="s">
        <v>2192</v>
      </c>
      <c r="K29" s="61"/>
      <c r="L29" s="791" t="s">
        <v>2193</v>
      </c>
      <c r="M29" s="773">
        <v>5</v>
      </c>
      <c r="N29" s="62"/>
      <c r="O29" s="808">
        <f>M29*W29</f>
        <v>0</v>
      </c>
      <c r="P29" s="63" t="b">
        <v>1</v>
      </c>
      <c r="Q29" s="63" t="b">
        <v>1</v>
      </c>
      <c r="R29" s="562" t="b">
        <v>0</v>
      </c>
      <c r="S29" s="562" t="b">
        <v>1</v>
      </c>
      <c r="T29" s="562" t="b">
        <v>0</v>
      </c>
      <c r="U29" s="562"/>
      <c r="V29" s="562"/>
      <c r="W29" s="18"/>
      <c r="X29" s="787"/>
      <c r="Y29" s="562"/>
      <c r="Z29" s="562"/>
      <c r="AA29" s="562"/>
      <c r="AB29" s="562"/>
      <c r="AC29" s="562"/>
      <c r="AD29" s="562"/>
      <c r="AE29" s="562"/>
      <c r="AF29" s="562"/>
      <c r="AG29" s="562"/>
      <c r="AH29" s="562"/>
      <c r="AI29" s="562"/>
      <c r="AJ29" s="562"/>
      <c r="AK29" s="562"/>
      <c r="AL29" s="562" t="str">
        <f>SUBSTITUTE(SUBSTITUTE(SUBSTITUTE("dpa"&amp;$B29&amp;$C29&amp;$D29&amp;$E29&amp;$F29,".","_"),"(","_"),")","")</f>
        <v>dpa501_2_4</v>
      </c>
      <c r="AM29" s="190">
        <f>M29</f>
        <v>5</v>
      </c>
      <c r="AN29" s="562" t="str">
        <f>SUBSTITUTE(SUBSTITUTE(SUBSTITUTE("dpc"&amp;$B29&amp;$C29&amp;$D29&amp;$E29&amp;$F29,".","_"),"(","_"),")","")</f>
        <v>dpc501_2_4</v>
      </c>
      <c r="AO29" s="190">
        <f>O29</f>
        <v>0</v>
      </c>
      <c r="AP29" s="562" t="str">
        <f>SUBSTITUTE(SUBSTITUTE(SUBSTITUTE("dch"&amp;$B29&amp;$C29&amp;$D29&amp;$E29&amp;$F29,".","_"),"(","_"),")","")</f>
        <v>dch501_2_4</v>
      </c>
      <c r="AQ29" s="190">
        <f>W29</f>
        <v>0</v>
      </c>
      <c r="AR29" s="562" t="str">
        <f>SUBSTITUTE(SUBSTITUTE(SUBSTITUTE("dnt"&amp;$B29&amp;$C29&amp;$D29&amp;$E29&amp;$F29,".","_"),"(","_"),")","")</f>
        <v>dnt501_2_4</v>
      </c>
      <c r="AS29" s="190">
        <f>X29</f>
        <v>0</v>
      </c>
      <c r="AT29" s="562"/>
      <c r="AU29" s="562"/>
      <c r="AV29" s="562"/>
      <c r="AW29" s="562"/>
      <c r="AX29" s="594" t="str">
        <f>'Overview (Design)'!A27</f>
        <v>HERS Index (if available):</v>
      </c>
      <c r="AY29" s="562">
        <f>'Overview (Design)'!G27</f>
        <v>0</v>
      </c>
    </row>
    <row r="30" spans="2:51" x14ac:dyDescent="0.2">
      <c r="B30" s="14" t="s">
        <v>2178</v>
      </c>
      <c r="C30" s="14"/>
      <c r="D30" s="14"/>
      <c r="E30" s="14" t="s">
        <v>2192</v>
      </c>
      <c r="F30" s="14"/>
      <c r="G30" s="14"/>
      <c r="H30" s="441"/>
      <c r="I30" s="57"/>
      <c r="J30" s="61"/>
      <c r="K30" s="61"/>
      <c r="L30" s="791"/>
      <c r="M30" s="773"/>
      <c r="N30" s="62"/>
      <c r="O30" s="808"/>
      <c r="P30" s="189"/>
      <c r="Q30" s="189"/>
      <c r="R30" s="562"/>
      <c r="S30" s="562"/>
      <c r="T30" s="562"/>
      <c r="U30" s="562"/>
      <c r="V30" s="562"/>
      <c r="W30" s="562"/>
      <c r="X30" s="787"/>
      <c r="Y30" s="562"/>
      <c r="Z30" s="562"/>
      <c r="AA30" s="562"/>
      <c r="AB30" s="562"/>
      <c r="AC30" s="562"/>
      <c r="AD30" s="562"/>
      <c r="AE30" s="562"/>
      <c r="AF30" s="562"/>
      <c r="AG30" s="562"/>
      <c r="AH30" s="562"/>
      <c r="AI30" s="562"/>
      <c r="AJ30" s="562"/>
      <c r="AK30" s="562"/>
      <c r="AL30" s="190"/>
      <c r="AM30" s="190"/>
      <c r="AN30" s="190"/>
      <c r="AO30" s="190"/>
      <c r="AP30" s="190"/>
      <c r="AQ30" s="190"/>
      <c r="AR30" s="190"/>
      <c r="AS30" s="190"/>
      <c r="AT30" s="562"/>
      <c r="AU30" s="562"/>
      <c r="AV30" s="562"/>
      <c r="AW30" s="562"/>
      <c r="AX30" s="594" t="str">
        <f>'Overview (Design)'!A28</f>
        <v>Foundation Type:</v>
      </c>
      <c r="AY30" s="562">
        <f>'Overview (Design)'!G28</f>
        <v>0</v>
      </c>
    </row>
    <row r="31" spans="2:51" x14ac:dyDescent="0.2">
      <c r="B31" s="14" t="s">
        <v>2178</v>
      </c>
      <c r="C31" s="14"/>
      <c r="D31" s="14"/>
      <c r="E31" s="14" t="s">
        <v>2192</v>
      </c>
      <c r="F31" s="14"/>
      <c r="G31" s="14"/>
      <c r="H31" s="441"/>
      <c r="I31" s="57"/>
      <c r="J31" s="125"/>
      <c r="K31" s="125"/>
      <c r="L31" s="792"/>
      <c r="M31" s="774"/>
      <c r="N31" s="127"/>
      <c r="O31" s="809"/>
      <c r="P31" s="189"/>
      <c r="Q31" s="189"/>
      <c r="R31" s="562"/>
      <c r="S31" s="562"/>
      <c r="T31" s="562"/>
      <c r="U31" s="562"/>
      <c r="V31" s="562"/>
      <c r="W31" s="562"/>
      <c r="X31" s="787"/>
      <c r="Y31" s="562"/>
      <c r="Z31" s="562"/>
      <c r="AA31" s="562"/>
      <c r="AB31" s="562"/>
      <c r="AC31" s="562"/>
      <c r="AD31" s="562"/>
      <c r="AE31" s="562"/>
      <c r="AF31" s="562"/>
      <c r="AG31" s="562"/>
      <c r="AH31" s="562"/>
      <c r="AI31" s="562"/>
      <c r="AJ31" s="562"/>
      <c r="AK31" s="562"/>
      <c r="AL31" s="190"/>
      <c r="AM31" s="190"/>
      <c r="AN31" s="190"/>
      <c r="AO31" s="190"/>
      <c r="AP31" s="190"/>
      <c r="AQ31" s="190"/>
      <c r="AR31" s="190"/>
      <c r="AS31" s="190"/>
      <c r="AT31" s="562"/>
      <c r="AU31" s="562"/>
      <c r="AV31" s="562"/>
      <c r="AW31" s="562"/>
      <c r="AX31" s="594"/>
      <c r="AY31" s="562"/>
    </row>
    <row r="32" spans="2:51" x14ac:dyDescent="0.2">
      <c r="B32" s="14" t="s">
        <v>2178</v>
      </c>
      <c r="C32" s="14"/>
      <c r="D32" s="14"/>
      <c r="E32" s="14" t="s">
        <v>2194</v>
      </c>
      <c r="F32" s="14"/>
      <c r="G32" s="14"/>
      <c r="H32" s="441"/>
      <c r="I32" s="57"/>
      <c r="J32" s="57" t="s">
        <v>2194</v>
      </c>
      <c r="K32" s="57"/>
      <c r="L32" s="817" t="s">
        <v>2195</v>
      </c>
      <c r="M32" s="772"/>
      <c r="N32" s="26"/>
      <c r="O32" s="810">
        <f ca="1">IFERROR(INDEX({2,4,6},MATCH(W32,INDIRECT(U32),0)),0)*S32</f>
        <v>0</v>
      </c>
      <c r="P32" s="63" t="b">
        <v>1</v>
      </c>
      <c r="Q32" s="63" t="b">
        <v>1</v>
      </c>
      <c r="R32" s="562" t="b">
        <v>0</v>
      </c>
      <c r="S32" s="562" t="b">
        <f ca="1">IF($AY$19=INDEX(INDIRECT("ddSingleOrMulti"),2),TRUE,FALSE)</f>
        <v>0</v>
      </c>
      <c r="T32" s="64" t="b">
        <f ca="1">AND(NOT(S32),LEN(W32)&gt;0)</f>
        <v>0</v>
      </c>
      <c r="U32" s="562" t="str">
        <f>SUBSTITUTE(SUBSTITUTE(SUBSTITUTE("dd"&amp;$B32&amp;$C32&amp;$D32&amp;$E32&amp;$F32,".","_"),"(","_"),")","")</f>
        <v>dd501_2_5</v>
      </c>
      <c r="V32" s="562"/>
      <c r="W32" s="6"/>
      <c r="X32" s="787"/>
      <c r="Y32" s="562"/>
      <c r="Z32" s="562"/>
      <c r="AA32" s="562"/>
      <c r="AB32" s="562"/>
      <c r="AC32" s="562" t="b">
        <f ca="1">OR(AD32:AE32)</f>
        <v>0</v>
      </c>
      <c r="AD32" s="562" t="b">
        <f ca="1">T32</f>
        <v>0</v>
      </c>
      <c r="AE32" s="562"/>
      <c r="AF32" s="562"/>
      <c r="AG32" s="562"/>
      <c r="AH32" s="562"/>
      <c r="AI32" s="562"/>
      <c r="AJ32" s="562"/>
      <c r="AK32" s="562"/>
      <c r="AL32" s="190"/>
      <c r="AM32" s="190"/>
      <c r="AN32" s="562" t="str">
        <f>SUBSTITUTE(SUBSTITUTE(SUBSTITUTE("dpc"&amp;$B32&amp;$C32&amp;$D32&amp;$E32&amp;$F32,".","_"),"(","_"),")","")</f>
        <v>dpc501_2_5</v>
      </c>
      <c r="AO32" s="190">
        <f ca="1">O32</f>
        <v>0</v>
      </c>
      <c r="AP32" s="562" t="str">
        <f>SUBSTITUTE(SUBSTITUTE(SUBSTITUTE("dch"&amp;$B32&amp;$C32&amp;$D32&amp;$E32&amp;$F32,".","_"),"(","_"),")","")</f>
        <v>dch501_2_5</v>
      </c>
      <c r="AQ32" s="190">
        <f>W32</f>
        <v>0</v>
      </c>
      <c r="AR32" s="562" t="str">
        <f>SUBSTITUTE(SUBSTITUTE(SUBSTITUTE("dnt"&amp;$B32&amp;$C32&amp;$D32&amp;$E32&amp;$F32,".","_"),"(","_"),")","")</f>
        <v>dnt501_2_5</v>
      </c>
      <c r="AS32" s="190">
        <f>X32</f>
        <v>0</v>
      </c>
      <c r="AT32" s="562"/>
      <c r="AU32" s="562"/>
      <c r="AV32" s="562"/>
      <c r="AW32" s="562"/>
      <c r="AX32" s="594" t="str">
        <f>'Overview (Design)'!A30</f>
        <v>Type of Heating System (main system):</v>
      </c>
      <c r="AY32" s="562">
        <f>'Overview (Design)'!G30</f>
        <v>0</v>
      </c>
    </row>
    <row r="33" spans="1:60" x14ac:dyDescent="0.2">
      <c r="B33" s="14" t="s">
        <v>2178</v>
      </c>
      <c r="C33" s="14"/>
      <c r="D33" s="14"/>
      <c r="E33" s="14" t="s">
        <v>2194</v>
      </c>
      <c r="F33" s="14"/>
      <c r="G33" s="14"/>
      <c r="H33" s="441"/>
      <c r="I33" s="57"/>
      <c r="J33" s="57"/>
      <c r="K33" s="57"/>
      <c r="L33" s="817"/>
      <c r="M33" s="772"/>
      <c r="N33" s="26"/>
      <c r="O33" s="810"/>
      <c r="P33" s="189"/>
      <c r="Q33" s="189"/>
      <c r="R33" s="562"/>
      <c r="S33" s="562"/>
      <c r="T33" s="562"/>
      <c r="U33" s="562"/>
      <c r="V33" s="562"/>
      <c r="W33" s="562"/>
      <c r="X33" s="787"/>
      <c r="Y33" s="562"/>
      <c r="Z33" s="562"/>
      <c r="AA33" s="562"/>
      <c r="AB33" s="562"/>
      <c r="AC33" s="562"/>
      <c r="AD33" s="562"/>
      <c r="AE33" s="562"/>
      <c r="AF33" s="562"/>
      <c r="AG33" s="562"/>
      <c r="AH33" s="562"/>
      <c r="AI33" s="562"/>
      <c r="AJ33" s="562"/>
      <c r="AK33" s="562"/>
      <c r="AL33" s="190"/>
      <c r="AM33" s="190"/>
      <c r="AN33" s="190"/>
      <c r="AO33" s="190"/>
      <c r="AP33" s="190"/>
      <c r="AQ33" s="190"/>
      <c r="AR33" s="190"/>
      <c r="AS33" s="190"/>
      <c r="AT33" s="562"/>
      <c r="AU33" s="562"/>
      <c r="AV33" s="562"/>
      <c r="AW33" s="562"/>
      <c r="AX33" s="594" t="str">
        <f>'Overview (Design)'!A31</f>
        <v>Type of Heating System (system 2):</v>
      </c>
      <c r="AY33" s="562">
        <f>'Overview (Design)'!G31</f>
        <v>0</v>
      </c>
      <c r="AZ33" s="562"/>
      <c r="BA33" s="562"/>
      <c r="BB33" s="562"/>
      <c r="BC33" s="562"/>
      <c r="BD33" s="562"/>
      <c r="BE33" s="562"/>
      <c r="BF33" s="562"/>
      <c r="BG33" s="562"/>
      <c r="BH33" s="562"/>
    </row>
    <row r="34" spans="1:60" x14ac:dyDescent="0.2">
      <c r="B34" s="14" t="s">
        <v>2178</v>
      </c>
      <c r="C34" s="14"/>
      <c r="D34" s="14"/>
      <c r="E34" s="14" t="s">
        <v>2194</v>
      </c>
      <c r="F34" s="14" t="s">
        <v>2196</v>
      </c>
      <c r="G34" s="14"/>
      <c r="H34" s="441"/>
      <c r="I34" s="57"/>
      <c r="J34" s="57"/>
      <c r="K34" s="57" t="s">
        <v>2196</v>
      </c>
      <c r="L34" s="53" t="s">
        <v>2197</v>
      </c>
      <c r="M34" s="596">
        <v>2</v>
      </c>
      <c r="N34" s="26"/>
      <c r="O34" s="609"/>
      <c r="P34" s="562"/>
      <c r="Q34" s="562"/>
      <c r="R34" s="562"/>
      <c r="S34" s="562"/>
      <c r="T34" s="562"/>
      <c r="U34" s="562"/>
      <c r="V34" s="562"/>
      <c r="W34" s="562"/>
      <c r="X34" s="787"/>
      <c r="Y34" s="562"/>
      <c r="Z34" s="562"/>
      <c r="AA34" s="562"/>
      <c r="AB34" s="562"/>
      <c r="AC34" s="562"/>
      <c r="AD34" s="562"/>
      <c r="AE34" s="562"/>
      <c r="AF34" s="562"/>
      <c r="AG34" s="562"/>
      <c r="AH34" s="562"/>
      <c r="AI34" s="562"/>
      <c r="AJ34" s="562"/>
      <c r="AK34" s="562"/>
      <c r="AL34" s="562" t="str">
        <f t="shared" ref="AL34:AL36" si="0">SUBSTITUTE(SUBSTITUTE(SUBSTITUTE("dpa"&amp;$B34&amp;$C34&amp;$D34&amp;$E34&amp;$F34,".","_"),"(","_"),")","")</f>
        <v>dpa501_2_5_a</v>
      </c>
      <c r="AM34" s="190">
        <f>M34</f>
        <v>2</v>
      </c>
      <c r="AN34" s="190"/>
      <c r="AO34" s="190"/>
      <c r="AP34" s="190"/>
      <c r="AQ34" s="190"/>
      <c r="AR34" s="190"/>
      <c r="AS34" s="190"/>
      <c r="AT34" s="562"/>
      <c r="AU34" s="562"/>
      <c r="AV34" s="562"/>
      <c r="AW34" s="562"/>
      <c r="AX34" s="594" t="str">
        <f>'Overview (Design)'!A32</f>
        <v>Type of Heating System (system 3):</v>
      </c>
      <c r="AY34" s="562">
        <f>'Overview (Design)'!G32</f>
        <v>0</v>
      </c>
      <c r="AZ34" s="562"/>
      <c r="BA34" s="562"/>
      <c r="BB34" s="562"/>
      <c r="BC34" s="562"/>
      <c r="BD34" s="562"/>
      <c r="BE34" s="562"/>
      <c r="BF34" s="562"/>
      <c r="BG34" s="562"/>
      <c r="BH34" s="562"/>
    </row>
    <row r="35" spans="1:60" s="10" customFormat="1" x14ac:dyDescent="0.2">
      <c r="A35" s="13"/>
      <c r="B35" s="14" t="s">
        <v>2178</v>
      </c>
      <c r="C35" s="14"/>
      <c r="D35" s="14"/>
      <c r="E35" s="14" t="s">
        <v>2194</v>
      </c>
      <c r="F35" s="14" t="s">
        <v>2198</v>
      </c>
      <c r="G35" s="14"/>
      <c r="H35" s="441"/>
      <c r="I35" s="57"/>
      <c r="J35" s="57"/>
      <c r="K35" s="57" t="s">
        <v>2198</v>
      </c>
      <c r="L35" s="53" t="s">
        <v>2199</v>
      </c>
      <c r="M35" s="596">
        <v>4</v>
      </c>
      <c r="N35" s="26"/>
      <c r="O35" s="609"/>
      <c r="P35" s="562"/>
      <c r="Q35" s="562"/>
      <c r="R35" s="562"/>
      <c r="S35" s="562"/>
      <c r="T35" s="562"/>
      <c r="U35" s="562"/>
      <c r="V35" s="562"/>
      <c r="W35" s="562"/>
      <c r="X35" s="787"/>
      <c r="Y35" s="562"/>
      <c r="Z35" s="562"/>
      <c r="AA35" s="562"/>
      <c r="AB35" s="562"/>
      <c r="AC35" s="562"/>
      <c r="AD35" s="562"/>
      <c r="AE35" s="562"/>
      <c r="AF35" s="562"/>
      <c r="AG35" s="562"/>
      <c r="AH35" s="562"/>
      <c r="AI35" s="562"/>
      <c r="AJ35" s="562"/>
      <c r="AK35" s="562"/>
      <c r="AL35" s="562" t="str">
        <f t="shared" si="0"/>
        <v>dpa501_2_5_b</v>
      </c>
      <c r="AM35" s="190">
        <f>M35</f>
        <v>4</v>
      </c>
      <c r="AN35" s="190"/>
      <c r="AO35" s="190"/>
      <c r="AP35" s="190"/>
      <c r="AQ35" s="190"/>
      <c r="AR35" s="190"/>
      <c r="AS35" s="190"/>
      <c r="AT35" s="562"/>
      <c r="AU35" s="562"/>
      <c r="AV35" s="562"/>
      <c r="AW35" s="562"/>
      <c r="AX35" s="594" t="str">
        <f>'Overview (Design)'!A33</f>
        <v>Heating Fuel:</v>
      </c>
      <c r="AY35" s="562">
        <f>'Overview (Design)'!G33</f>
        <v>0</v>
      </c>
      <c r="AZ35" s="562"/>
      <c r="BA35" s="562"/>
      <c r="BB35" s="562"/>
      <c r="BC35" s="562"/>
      <c r="BD35" s="562"/>
      <c r="BE35" s="562"/>
      <c r="BF35" s="562"/>
      <c r="BG35" s="562"/>
      <c r="BH35" s="562"/>
    </row>
    <row r="36" spans="1:60" x14ac:dyDescent="0.2">
      <c r="B36" s="14" t="s">
        <v>2178</v>
      </c>
      <c r="C36" s="14"/>
      <c r="D36" s="14"/>
      <c r="E36" s="14" t="s">
        <v>2194</v>
      </c>
      <c r="F36" s="19" t="s">
        <v>2200</v>
      </c>
      <c r="G36" s="19"/>
      <c r="H36" s="442"/>
      <c r="I36" s="57"/>
      <c r="J36" s="57"/>
      <c r="K36" s="59" t="s">
        <v>2200</v>
      </c>
      <c r="L36" s="53" t="s">
        <v>2201</v>
      </c>
      <c r="M36" s="596">
        <v>6</v>
      </c>
      <c r="N36" s="26"/>
      <c r="O36" s="609"/>
      <c r="P36" s="562"/>
      <c r="Q36" s="562"/>
      <c r="R36" s="562"/>
      <c r="S36" s="562"/>
      <c r="T36" s="562"/>
      <c r="U36" s="562"/>
      <c r="V36" s="562"/>
      <c r="W36" s="562"/>
      <c r="X36" s="787"/>
      <c r="Y36" s="562"/>
      <c r="Z36" s="562"/>
      <c r="AA36" s="562"/>
      <c r="AB36" s="562"/>
      <c r="AC36" s="562"/>
      <c r="AD36" s="562"/>
      <c r="AE36" s="562"/>
      <c r="AF36" s="562"/>
      <c r="AG36" s="562"/>
      <c r="AH36" s="562"/>
      <c r="AI36" s="562"/>
      <c r="AJ36" s="562"/>
      <c r="AK36" s="562"/>
      <c r="AL36" s="562" t="str">
        <f t="shared" si="0"/>
        <v>dpa501_2_5_c</v>
      </c>
      <c r="AM36" s="190">
        <f>M36</f>
        <v>6</v>
      </c>
      <c r="AN36" s="190"/>
      <c r="AO36" s="190"/>
      <c r="AP36" s="190"/>
      <c r="AQ36" s="190"/>
      <c r="AR36" s="190"/>
      <c r="AS36" s="190"/>
      <c r="AT36" s="562"/>
      <c r="AU36" s="562"/>
      <c r="AV36" s="562"/>
      <c r="AW36" s="562"/>
      <c r="AX36" s="594" t="str">
        <f>'Overview (Design)'!A34</f>
        <v>Heating Ducts:</v>
      </c>
      <c r="AY36" s="562">
        <f>'Overview (Design)'!G34</f>
        <v>0</v>
      </c>
      <c r="AZ36" s="562"/>
      <c r="BA36" s="562"/>
      <c r="BB36" s="562"/>
      <c r="BC36" s="562"/>
      <c r="BD36" s="562"/>
      <c r="BE36" s="562"/>
      <c r="BF36" s="562"/>
      <c r="BG36" s="562"/>
      <c r="BH36" s="562"/>
    </row>
    <row r="37" spans="1:60" ht="19" x14ac:dyDescent="0.25">
      <c r="B37" s="14" t="s">
        <v>2202</v>
      </c>
      <c r="C37" s="14"/>
      <c r="D37" s="14"/>
      <c r="E37" s="14"/>
      <c r="F37" s="14"/>
      <c r="G37" s="14"/>
      <c r="H37" s="441"/>
      <c r="I37" s="45" t="s">
        <v>2203</v>
      </c>
      <c r="J37" s="45"/>
      <c r="K37" s="45"/>
      <c r="L37" s="45"/>
      <c r="M37" s="225"/>
      <c r="N37" s="16"/>
      <c r="O37" s="264"/>
      <c r="P37" s="16"/>
      <c r="Q37" s="16"/>
      <c r="R37" s="16"/>
      <c r="S37" s="16"/>
      <c r="T37" s="16"/>
      <c r="U37" s="16"/>
      <c r="V37" s="16"/>
      <c r="W37" s="16"/>
      <c r="X37" s="16"/>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94" t="str">
        <f>'Overview (Design)'!A35</f>
        <v>Type of Cooling System (main system):</v>
      </c>
      <c r="AY37" s="562">
        <f>'Overview (Design)'!G35</f>
        <v>0</v>
      </c>
      <c r="AZ37" s="562"/>
      <c r="BA37" s="562"/>
      <c r="BB37" s="562"/>
      <c r="BC37" s="562"/>
      <c r="BD37" s="562"/>
      <c r="BE37" s="562"/>
      <c r="BF37" s="562"/>
      <c r="BG37" s="562"/>
      <c r="BH37" s="562"/>
    </row>
    <row r="38" spans="1:60" x14ac:dyDescent="0.2">
      <c r="B38" s="14" t="s">
        <v>2204</v>
      </c>
      <c r="C38" s="14"/>
      <c r="D38" s="14"/>
      <c r="E38" s="14"/>
      <c r="F38" s="14"/>
      <c r="G38" s="14"/>
      <c r="H38" s="441"/>
      <c r="I38" s="107" t="s">
        <v>2205</v>
      </c>
      <c r="J38" s="60"/>
      <c r="K38" s="60"/>
      <c r="L38" s="775" t="s">
        <v>2206</v>
      </c>
      <c r="M38" s="814">
        <v>4</v>
      </c>
      <c r="N38" s="562"/>
      <c r="O38" s="795">
        <f>M38*W38</f>
        <v>0</v>
      </c>
      <c r="P38" s="562" t="b">
        <v>1</v>
      </c>
      <c r="Q38" s="562" t="b">
        <v>1</v>
      </c>
      <c r="R38" s="562" t="b">
        <v>0</v>
      </c>
      <c r="S38" s="562" t="b">
        <v>1</v>
      </c>
      <c r="T38" s="562" t="b">
        <v>0</v>
      </c>
      <c r="U38" s="562"/>
      <c r="V38" s="562"/>
      <c r="W38" s="18"/>
      <c r="X38" s="787"/>
      <c r="Y38" s="562"/>
      <c r="Z38" s="562"/>
      <c r="AA38" s="562"/>
      <c r="AB38" s="562"/>
      <c r="AC38" s="562"/>
      <c r="AD38" s="562"/>
      <c r="AE38" s="562"/>
      <c r="AF38" s="562"/>
      <c r="AG38" s="562"/>
      <c r="AH38" s="562"/>
      <c r="AI38" s="562"/>
      <c r="AJ38" s="562"/>
      <c r="AK38" s="562"/>
      <c r="AL38" s="562" t="str">
        <f>SUBSTITUTE(SUBSTITUTE(SUBSTITUTE("dpa"&amp;$B38&amp;$C38&amp;$D38&amp;$E38&amp;$F38,".","_"),"(","_"),")","")</f>
        <v>dpa502_1</v>
      </c>
      <c r="AM38" s="190">
        <f>M38</f>
        <v>4</v>
      </c>
      <c r="AN38" s="562" t="str">
        <f>SUBSTITUTE(SUBSTITUTE(SUBSTITUTE("dpc"&amp;$B38&amp;$C38&amp;$D38&amp;$E38&amp;$F38,".","_"),"(","_"),")","")</f>
        <v>dpc502_1</v>
      </c>
      <c r="AO38" s="190">
        <f>O38</f>
        <v>0</v>
      </c>
      <c r="AP38" s="562" t="str">
        <f>SUBSTITUTE(SUBSTITUTE(SUBSTITUTE("dch"&amp;$B38&amp;$C38&amp;$D38&amp;$E38&amp;$F38,".","_"),"(","_"),")","")</f>
        <v>dch502_1</v>
      </c>
      <c r="AQ38" s="190">
        <f>W38</f>
        <v>0</v>
      </c>
      <c r="AR38" s="562" t="str">
        <f>SUBSTITUTE(SUBSTITUTE(SUBSTITUTE("dnt"&amp;$B38&amp;$C38&amp;$D38&amp;$E38&amp;$F38,".","_"),"(","_"),")","")</f>
        <v>dnt502_1</v>
      </c>
      <c r="AS38" s="190">
        <f>X38</f>
        <v>0</v>
      </c>
      <c r="AT38" s="562"/>
      <c r="AU38" s="562"/>
      <c r="AV38" s="562"/>
      <c r="AW38" s="562"/>
      <c r="AX38" s="594" t="str">
        <f>'Overview (Design)'!A36</f>
        <v>Type of Cooling System (system 2):</v>
      </c>
      <c r="AY38" s="562">
        <f>'Overview (Design)'!G36</f>
        <v>0</v>
      </c>
      <c r="AZ38" s="562"/>
      <c r="BA38" s="562"/>
      <c r="BB38" s="562"/>
      <c r="BC38" s="562"/>
      <c r="BD38" s="562"/>
      <c r="BE38" s="562"/>
      <c r="BF38" s="562"/>
      <c r="BG38" s="562"/>
      <c r="BH38" s="562"/>
    </row>
    <row r="39" spans="1:60" x14ac:dyDescent="0.2">
      <c r="B39" s="14" t="s">
        <v>2204</v>
      </c>
      <c r="C39" s="14"/>
      <c r="D39" s="14"/>
      <c r="E39" s="14"/>
      <c r="F39" s="14"/>
      <c r="G39" s="14"/>
      <c r="H39" s="441"/>
      <c r="I39" s="60"/>
      <c r="J39" s="60"/>
      <c r="K39" s="60"/>
      <c r="L39" s="775"/>
      <c r="M39" s="814"/>
      <c r="N39" s="562"/>
      <c r="O39" s="795"/>
      <c r="P39" s="562"/>
      <c r="Q39" s="562"/>
      <c r="R39" s="562"/>
      <c r="S39" s="562"/>
      <c r="T39" s="562"/>
      <c r="U39" s="562"/>
      <c r="V39" s="562"/>
      <c r="W39" s="562"/>
      <c r="X39" s="787"/>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94" t="str">
        <f>'Overview (Design)'!A37</f>
        <v>Type of Cooling System (system 3):</v>
      </c>
      <c r="AY39" s="562">
        <f>'Overview (Design)'!G37</f>
        <v>0</v>
      </c>
      <c r="AZ39" s="562"/>
      <c r="BA39" s="562"/>
      <c r="BB39" s="562"/>
      <c r="BC39" s="562"/>
      <c r="BD39" s="562"/>
      <c r="BE39" s="562"/>
      <c r="BF39" s="562"/>
      <c r="BG39" s="562"/>
      <c r="BH39" s="562"/>
    </row>
    <row r="40" spans="1:60" x14ac:dyDescent="0.2">
      <c r="B40" s="14" t="s">
        <v>2204</v>
      </c>
      <c r="C40" s="14"/>
      <c r="D40" s="14"/>
      <c r="E40" s="14"/>
      <c r="F40" s="14"/>
      <c r="G40" s="14"/>
      <c r="H40" s="441"/>
      <c r="I40" s="60"/>
      <c r="J40" s="60"/>
      <c r="K40" s="60"/>
      <c r="L40" s="775"/>
      <c r="M40" s="814"/>
      <c r="N40" s="562"/>
      <c r="O40" s="795"/>
      <c r="P40" s="562"/>
      <c r="Q40" s="562"/>
      <c r="R40" s="562"/>
      <c r="S40" s="562"/>
      <c r="T40" s="562"/>
      <c r="U40" s="562"/>
      <c r="V40" s="562"/>
      <c r="W40" s="562"/>
      <c r="X40" s="787"/>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94" t="str">
        <f>'Overview (Design)'!A38</f>
        <v>Cooling Ducts:</v>
      </c>
      <c r="AY40" s="562">
        <f>'Overview (Design)'!G38</f>
        <v>0</v>
      </c>
      <c r="AZ40" s="562"/>
      <c r="BA40" s="562"/>
      <c r="BB40" s="562"/>
      <c r="BC40" s="562"/>
      <c r="BD40" s="562"/>
      <c r="BE40" s="562"/>
      <c r="BF40" s="562"/>
      <c r="BG40" s="562"/>
      <c r="BH40" s="562"/>
    </row>
    <row r="41" spans="1:60" x14ac:dyDescent="0.2">
      <c r="B41" s="14" t="s">
        <v>2204</v>
      </c>
      <c r="C41" s="14"/>
      <c r="D41" s="14"/>
      <c r="E41" s="14"/>
      <c r="F41" s="14"/>
      <c r="G41" s="14"/>
      <c r="H41" s="441"/>
      <c r="I41" s="60"/>
      <c r="J41" s="60"/>
      <c r="K41" s="60"/>
      <c r="L41" s="775"/>
      <c r="M41" s="814"/>
      <c r="N41" s="562"/>
      <c r="O41" s="795"/>
      <c r="P41" s="562"/>
      <c r="Q41" s="562"/>
      <c r="R41" s="562"/>
      <c r="S41" s="562"/>
      <c r="T41" s="562"/>
      <c r="U41" s="562"/>
      <c r="V41" s="562"/>
      <c r="W41" s="562"/>
      <c r="X41" s="787"/>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94"/>
      <c r="AY41" s="562"/>
      <c r="AZ41" s="562"/>
      <c r="BA41" s="562"/>
      <c r="BB41" s="562"/>
      <c r="BC41" s="562"/>
      <c r="BD41" s="562"/>
      <c r="BE41" s="562"/>
      <c r="BF41" s="562"/>
      <c r="BG41" s="562"/>
      <c r="BH41" s="562"/>
    </row>
    <row r="42" spans="1:60" ht="19" x14ac:dyDescent="0.25">
      <c r="B42" s="14" t="s">
        <v>2207</v>
      </c>
      <c r="C42" s="14"/>
      <c r="D42" s="14"/>
      <c r="E42" s="14"/>
      <c r="F42" s="14"/>
      <c r="G42" s="14"/>
      <c r="H42" s="441"/>
      <c r="I42" s="45" t="s">
        <v>2208</v>
      </c>
      <c r="J42" s="58"/>
      <c r="K42" s="58"/>
      <c r="L42" s="54"/>
      <c r="M42" s="225"/>
      <c r="N42" s="16"/>
      <c r="O42" s="264"/>
      <c r="P42" s="16"/>
      <c r="Q42" s="16"/>
      <c r="R42" s="16"/>
      <c r="S42" s="16"/>
      <c r="T42" s="16"/>
      <c r="U42" s="16"/>
      <c r="V42" s="16"/>
      <c r="W42" s="16"/>
      <c r="X42" s="16"/>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94" t="str">
        <f>'Overview (Design)'!A40</f>
        <v>Maximum window and door SHGC:</v>
      </c>
      <c r="AY42" s="562">
        <f>'Overview (Design)'!G40</f>
        <v>0</v>
      </c>
      <c r="AZ42" s="562"/>
      <c r="BA42" s="562"/>
      <c r="BB42" s="562"/>
      <c r="BC42" s="562"/>
      <c r="BD42" s="562"/>
      <c r="BE42" s="562"/>
      <c r="BF42" s="562"/>
      <c r="BG42" s="562"/>
      <c r="BH42" s="562"/>
    </row>
    <row r="43" spans="1:60" x14ac:dyDescent="0.2">
      <c r="B43" s="14" t="s">
        <v>2209</v>
      </c>
      <c r="C43" s="14"/>
      <c r="D43" s="14"/>
      <c r="E43" s="14"/>
      <c r="F43" s="14"/>
      <c r="G43" s="14"/>
      <c r="H43" s="441"/>
      <c r="I43" s="347" t="s">
        <v>2210</v>
      </c>
      <c r="J43" s="71"/>
      <c r="K43" s="71"/>
      <c r="L43" s="820" t="s">
        <v>2211</v>
      </c>
      <c r="M43" s="610"/>
      <c r="N43" s="64"/>
      <c r="O43" s="607"/>
      <c r="P43" s="64"/>
      <c r="Q43" s="64"/>
      <c r="R43" s="64"/>
      <c r="S43" s="64"/>
      <c r="T43" s="64"/>
      <c r="U43" s="64"/>
      <c r="V43" s="64"/>
      <c r="W43" s="64"/>
      <c r="X43" s="798"/>
      <c r="Y43" s="562"/>
      <c r="Z43" s="562"/>
      <c r="AA43" s="562"/>
      <c r="AB43" s="562"/>
      <c r="AC43" s="562"/>
      <c r="AD43" s="562"/>
      <c r="AE43" s="562"/>
      <c r="AF43" s="562"/>
      <c r="AG43" s="562"/>
      <c r="AH43" s="562"/>
      <c r="AI43" s="562"/>
      <c r="AJ43" s="562"/>
      <c r="AK43" s="562"/>
      <c r="AL43" s="562"/>
      <c r="AM43" s="562"/>
      <c r="AN43" s="562"/>
      <c r="AO43" s="562"/>
      <c r="AP43" s="562"/>
      <c r="AQ43" s="562"/>
      <c r="AR43" s="562" t="str">
        <f>SUBSTITUTE(SUBSTITUTE(SUBSTITUTE("dnt"&amp;$B43&amp;$C43&amp;$D43&amp;$E43&amp;$F43,".","_"),"(","_"),")","")</f>
        <v>dnt503_0</v>
      </c>
      <c r="AS43" s="190">
        <f>X43</f>
        <v>0</v>
      </c>
      <c r="AT43" s="562"/>
      <c r="AU43" s="562"/>
      <c r="AV43" s="562"/>
      <c r="AW43" s="562"/>
      <c r="AX43" s="594" t="str">
        <f>'Overview (Design)'!A41</f>
        <v>Maximum skylight SHGC:</v>
      </c>
      <c r="AY43" s="562">
        <f>'Overview (Design)'!G41</f>
        <v>0</v>
      </c>
      <c r="AZ43" s="562"/>
      <c r="BA43" s="562"/>
      <c r="BB43" s="562"/>
      <c r="BC43" s="562"/>
      <c r="BD43" s="562"/>
      <c r="BE43" s="562"/>
      <c r="BF43" s="562"/>
      <c r="BG43" s="562"/>
      <c r="BH43" s="562"/>
    </row>
    <row r="44" spans="1:60" x14ac:dyDescent="0.2">
      <c r="B44" s="14" t="s">
        <v>2209</v>
      </c>
      <c r="C44" s="14"/>
      <c r="D44" s="14"/>
      <c r="E44" s="14"/>
      <c r="F44" s="14"/>
      <c r="G44" s="14"/>
      <c r="H44" s="441"/>
      <c r="I44" s="71"/>
      <c r="J44" s="71"/>
      <c r="K44" s="71"/>
      <c r="L44" s="820"/>
      <c r="M44" s="610"/>
      <c r="N44" s="64"/>
      <c r="O44" s="607"/>
      <c r="P44" s="64"/>
      <c r="Q44" s="64"/>
      <c r="R44" s="64"/>
      <c r="S44" s="64"/>
      <c r="T44" s="64"/>
      <c r="U44" s="64"/>
      <c r="V44" s="64"/>
      <c r="W44" s="64"/>
      <c r="X44" s="798"/>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94" t="str">
        <f>'Overview (Design)'!A42</f>
        <v>Maximum window and door U-value:</v>
      </c>
      <c r="AY44" s="562">
        <f>'Overview (Design)'!G42</f>
        <v>0</v>
      </c>
      <c r="AZ44" s="562"/>
      <c r="BA44" s="562"/>
      <c r="BB44" s="562"/>
      <c r="BC44" s="562"/>
      <c r="BD44" s="562"/>
      <c r="BE44" s="562"/>
      <c r="BF44" s="562"/>
      <c r="BG44" s="562"/>
      <c r="BH44" s="562"/>
    </row>
    <row r="45" spans="1:60" x14ac:dyDescent="0.2">
      <c r="B45" s="14" t="s">
        <v>2209</v>
      </c>
      <c r="C45" s="14"/>
      <c r="D45" s="14"/>
      <c r="E45" s="14"/>
      <c r="F45" s="14"/>
      <c r="G45" s="14"/>
      <c r="H45" s="441"/>
      <c r="I45" s="71"/>
      <c r="J45" s="71"/>
      <c r="K45" s="71"/>
      <c r="L45" s="820"/>
      <c r="M45" s="610"/>
      <c r="N45" s="64"/>
      <c r="O45" s="607"/>
      <c r="P45" s="64"/>
      <c r="Q45" s="64"/>
      <c r="R45" s="64"/>
      <c r="S45" s="64"/>
      <c r="T45" s="64"/>
      <c r="U45" s="64"/>
      <c r="V45" s="64"/>
      <c r="W45" s="64"/>
      <c r="X45" s="798"/>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94" t="str">
        <f>'Overview (Design)'!A43</f>
        <v>Maximum skylight U-value:</v>
      </c>
      <c r="AY45" s="562">
        <f>'Overview (Design)'!G43</f>
        <v>0</v>
      </c>
      <c r="AZ45" s="562"/>
      <c r="BA45" s="562"/>
      <c r="BB45" s="562"/>
      <c r="BC45" s="562"/>
      <c r="BD45" s="562"/>
      <c r="BE45" s="562"/>
      <c r="BF45" s="562"/>
      <c r="BG45" s="562"/>
      <c r="BH45" s="562"/>
    </row>
    <row r="46" spans="1:60" x14ac:dyDescent="0.2">
      <c r="B46" s="14" t="s">
        <v>2209</v>
      </c>
      <c r="C46" s="14"/>
      <c r="D46" s="14"/>
      <c r="E46" s="14"/>
      <c r="F46" s="14"/>
      <c r="G46" s="14"/>
      <c r="H46" s="441"/>
      <c r="I46" s="71"/>
      <c r="J46" s="71"/>
      <c r="K46" s="71"/>
      <c r="L46" s="820"/>
      <c r="M46" s="610"/>
      <c r="N46" s="64"/>
      <c r="O46" s="607"/>
      <c r="P46" s="64"/>
      <c r="Q46" s="64"/>
      <c r="R46" s="64"/>
      <c r="S46" s="64"/>
      <c r="T46" s="64"/>
      <c r="U46" s="64"/>
      <c r="V46" s="64"/>
      <c r="W46" s="64"/>
      <c r="X46" s="798"/>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94" t="str">
        <f>'Overview (Design)'!A44</f>
        <v>Renewable Energy:</v>
      </c>
      <c r="AY46" s="562">
        <f>'Overview (Design)'!G44</f>
        <v>0</v>
      </c>
      <c r="AZ46" s="562"/>
      <c r="BA46" s="562"/>
      <c r="BB46" s="562"/>
      <c r="BC46" s="562"/>
      <c r="BD46" s="562"/>
      <c r="BE46" s="562"/>
      <c r="BF46" s="562"/>
      <c r="BG46" s="562"/>
      <c r="BH46" s="562"/>
    </row>
    <row r="47" spans="1:60" ht="16" thickBot="1" x14ac:dyDescent="0.25">
      <c r="B47" s="14" t="s">
        <v>2209</v>
      </c>
      <c r="C47" s="14"/>
      <c r="D47" s="14"/>
      <c r="E47" s="14"/>
      <c r="F47" s="14"/>
      <c r="G47" s="14"/>
      <c r="H47" s="441"/>
      <c r="I47" s="72"/>
      <c r="J47" s="72"/>
      <c r="K47" s="72"/>
      <c r="L47" s="73" t="s">
        <v>2212</v>
      </c>
      <c r="M47" s="615"/>
      <c r="N47" s="68"/>
      <c r="O47" s="622"/>
      <c r="P47" s="68"/>
      <c r="Q47" s="68"/>
      <c r="R47" s="68"/>
      <c r="S47" s="68"/>
      <c r="T47" s="68"/>
      <c r="U47" s="68"/>
      <c r="V47" s="68"/>
      <c r="W47" s="68"/>
      <c r="X47" s="799"/>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94" t="str">
        <f>'Overview (Design)'!A45</f>
        <v>Thermal Envelope Insulation:</v>
      </c>
      <c r="AY47" s="562">
        <f>'Overview (Design)'!G45</f>
        <v>0</v>
      </c>
      <c r="AZ47" s="562"/>
      <c r="BA47" s="562"/>
      <c r="BB47" s="562"/>
      <c r="BC47" s="562"/>
      <c r="BD47" s="562"/>
      <c r="BE47" s="562"/>
      <c r="BF47" s="562"/>
      <c r="BG47" s="562"/>
      <c r="BH47" s="562"/>
    </row>
    <row r="48" spans="1:60" ht="16" thickTop="1" x14ac:dyDescent="0.2">
      <c r="B48" s="14" t="s">
        <v>2213</v>
      </c>
      <c r="C48" s="14"/>
      <c r="D48" s="14"/>
      <c r="E48" s="14"/>
      <c r="F48" s="14"/>
      <c r="G48" s="14"/>
      <c r="H48" s="441"/>
      <c r="I48" s="107" t="s">
        <v>2214</v>
      </c>
      <c r="J48" s="613"/>
      <c r="K48" s="613"/>
      <c r="L48" s="811" t="s">
        <v>2215</v>
      </c>
      <c r="M48" s="625"/>
      <c r="N48" s="74"/>
      <c r="O48" s="623"/>
      <c r="P48" s="74"/>
      <c r="Q48" s="74"/>
      <c r="R48" s="74"/>
      <c r="S48" s="74"/>
      <c r="T48" s="74"/>
      <c r="U48" s="74"/>
      <c r="V48" s="74"/>
      <c r="W48" s="74"/>
      <c r="X48" s="802"/>
      <c r="Y48" s="562"/>
      <c r="Z48" s="562"/>
      <c r="AA48" s="562"/>
      <c r="AB48" s="562"/>
      <c r="AC48" s="562"/>
      <c r="AD48" s="562"/>
      <c r="AE48" s="562"/>
      <c r="AF48" s="562"/>
      <c r="AG48" s="562"/>
      <c r="AH48" s="562"/>
      <c r="AI48" s="562"/>
      <c r="AJ48" s="562"/>
      <c r="AK48" s="562"/>
      <c r="AL48" s="562"/>
      <c r="AM48" s="562"/>
      <c r="AN48" s="562"/>
      <c r="AO48" s="562"/>
      <c r="AP48" s="562"/>
      <c r="AQ48" s="562"/>
      <c r="AR48" s="562" t="str">
        <f>SUBSTITUTE(SUBSTITUTE(SUBSTITUTE("dnt"&amp;$B48&amp;$C48&amp;$D48&amp;$E48&amp;$F48,".","_"),"(","_"),")","")</f>
        <v>dnt503_1</v>
      </c>
      <c r="AS48" s="190">
        <f>X48</f>
        <v>0</v>
      </c>
      <c r="AT48" s="562"/>
      <c r="AU48" s="562"/>
      <c r="AV48" s="562"/>
      <c r="AW48" s="562"/>
      <c r="AX48" s="594" t="str">
        <f>'Overview (Design)'!A46</f>
        <v>Attic Type:</v>
      </c>
      <c r="AY48" s="562">
        <f>'Overview (Design)'!G46</f>
        <v>0</v>
      </c>
      <c r="AZ48" s="562"/>
      <c r="BA48" s="562"/>
      <c r="BB48" s="562"/>
      <c r="BC48" s="562"/>
      <c r="BD48" s="562"/>
      <c r="BE48" s="562"/>
      <c r="BF48" s="562"/>
      <c r="BG48" s="562"/>
      <c r="BH48" s="562"/>
    </row>
    <row r="49" spans="1:51" s="507" customFormat="1" x14ac:dyDescent="0.2">
      <c r="A49" s="13"/>
      <c r="B49" s="14" t="s">
        <v>2213</v>
      </c>
      <c r="C49" s="14"/>
      <c r="D49" s="14"/>
      <c r="E49" s="14"/>
      <c r="F49" s="14"/>
      <c r="G49" s="14"/>
      <c r="H49" s="441"/>
      <c r="I49" s="107"/>
      <c r="J49" s="614"/>
      <c r="K49" s="614"/>
      <c r="L49" s="812"/>
      <c r="M49" s="610"/>
      <c r="N49" s="64"/>
      <c r="O49" s="607"/>
      <c r="P49" s="64"/>
      <c r="Q49" s="64"/>
      <c r="R49" s="64"/>
      <c r="S49" s="64"/>
      <c r="T49" s="64"/>
      <c r="U49" s="64"/>
      <c r="V49" s="64"/>
      <c r="W49" s="64"/>
      <c r="X49" s="786"/>
      <c r="Y49" s="562"/>
      <c r="Z49" s="562"/>
      <c r="AA49" s="562"/>
      <c r="AB49" s="562"/>
      <c r="AC49" s="562"/>
      <c r="AD49" s="562"/>
      <c r="AE49" s="562"/>
      <c r="AF49" s="562"/>
      <c r="AG49" s="562"/>
      <c r="AH49" s="562"/>
      <c r="AI49" s="562"/>
      <c r="AJ49" s="562"/>
      <c r="AK49" s="562"/>
      <c r="AL49" s="562"/>
      <c r="AM49" s="562"/>
      <c r="AN49" s="562"/>
      <c r="AO49" s="562"/>
      <c r="AP49" s="562"/>
      <c r="AQ49" s="562"/>
      <c r="AR49" s="562"/>
      <c r="AS49" s="190"/>
      <c r="AT49" s="562"/>
      <c r="AU49" s="562"/>
      <c r="AV49" s="562"/>
      <c r="AW49" s="562"/>
      <c r="AX49" s="594"/>
      <c r="AY49" s="562"/>
    </row>
    <row r="50" spans="1:51" x14ac:dyDescent="0.2">
      <c r="B50" s="14" t="s">
        <v>2213</v>
      </c>
      <c r="C50" s="14"/>
      <c r="D50" s="14"/>
      <c r="E50" s="14" t="s">
        <v>2181</v>
      </c>
      <c r="F50" s="14"/>
      <c r="G50" s="14"/>
      <c r="H50" s="441"/>
      <c r="I50" s="71"/>
      <c r="J50" s="125" t="s">
        <v>2181</v>
      </c>
      <c r="K50" s="128"/>
      <c r="L50" s="126" t="s">
        <v>2216</v>
      </c>
      <c r="M50" s="611">
        <v>5</v>
      </c>
      <c r="N50" s="129"/>
      <c r="O50" s="608">
        <f>M50*W50</f>
        <v>0</v>
      </c>
      <c r="P50" s="562" t="b">
        <v>1</v>
      </c>
      <c r="Q50" s="562" t="b">
        <v>0</v>
      </c>
      <c r="R50" s="64" t="b">
        <v>0</v>
      </c>
      <c r="S50" s="64" t="b">
        <v>1</v>
      </c>
      <c r="T50" s="64" t="b">
        <v>0</v>
      </c>
      <c r="U50" s="64"/>
      <c r="V50" s="64"/>
      <c r="W50" s="18"/>
      <c r="X50" s="798"/>
      <c r="Y50" s="562"/>
      <c r="Z50" s="562"/>
      <c r="AA50" s="562"/>
      <c r="AB50" s="562"/>
      <c r="AC50" s="562"/>
      <c r="AD50" s="562"/>
      <c r="AE50" s="562"/>
      <c r="AF50" s="562"/>
      <c r="AG50" s="562"/>
      <c r="AH50" s="562"/>
      <c r="AI50" s="562"/>
      <c r="AJ50" s="562"/>
      <c r="AK50" s="562"/>
      <c r="AL50" s="562" t="str">
        <f t="shared" ref="AL50:AL51" si="1">SUBSTITUTE(SUBSTITUTE(SUBSTITUTE("dpa"&amp;$B50&amp;$C50&amp;$D50&amp;$E50&amp;$F50,".","_"),"(","_"),")","")</f>
        <v>dpa503_1_1</v>
      </c>
      <c r="AM50" s="190">
        <f>M50</f>
        <v>5</v>
      </c>
      <c r="AN50" s="562" t="str">
        <f>SUBSTITUTE(SUBSTITUTE(SUBSTITUTE("dpc"&amp;$B50&amp;$C50&amp;$D50&amp;$E50&amp;$F50,".","_"),"(","_"),")","")</f>
        <v>dpc503_1_1</v>
      </c>
      <c r="AO50" s="190">
        <f>O50</f>
        <v>0</v>
      </c>
      <c r="AP50" s="562" t="str">
        <f t="shared" ref="AP50:AP51" si="2">SUBSTITUTE(SUBSTITUTE(SUBSTITUTE("dch"&amp;$B50&amp;$C50&amp;$D50&amp;$E50&amp;$F50,".","_"),"(","_"),")","")</f>
        <v>dch503_1_1</v>
      </c>
      <c r="AQ50" s="190">
        <f>W50</f>
        <v>0</v>
      </c>
      <c r="AR50" s="190"/>
      <c r="AS50" s="190"/>
      <c r="AT50" s="562"/>
      <c r="AU50" s="562"/>
      <c r="AV50" s="562"/>
      <c r="AW50" s="562"/>
      <c r="AX50" s="594" t="str">
        <f>'Overview (Design)'!A47</f>
        <v>Attached Garage:</v>
      </c>
      <c r="AY50" s="562">
        <f>'Overview (Design)'!G47</f>
        <v>0</v>
      </c>
    </row>
    <row r="51" spans="1:51" x14ac:dyDescent="0.2">
      <c r="B51" s="14" t="s">
        <v>2213</v>
      </c>
      <c r="C51" s="14"/>
      <c r="D51" s="14"/>
      <c r="E51" s="14" t="s">
        <v>2183</v>
      </c>
      <c r="F51" s="14"/>
      <c r="G51" s="14"/>
      <c r="H51" s="441"/>
      <c r="I51" s="71"/>
      <c r="J51" s="61" t="s">
        <v>2183</v>
      </c>
      <c r="K51" s="71"/>
      <c r="L51" s="791" t="s">
        <v>2217</v>
      </c>
      <c r="M51" s="800">
        <v>6</v>
      </c>
      <c r="N51" s="64"/>
      <c r="O51" s="793">
        <f>M51*S51*W51</f>
        <v>0</v>
      </c>
      <c r="P51" s="562" t="b">
        <v>1</v>
      </c>
      <c r="Q51" s="562" t="b">
        <v>0</v>
      </c>
      <c r="R51" s="64" t="b">
        <v>0</v>
      </c>
      <c r="S51" s="64" t="b">
        <f>IF(W50=TRUE,TRUE,FALSE)</f>
        <v>0</v>
      </c>
      <c r="T51" s="64" t="b">
        <f>AND(NOT(S51),W51=TRUE)</f>
        <v>0</v>
      </c>
      <c r="U51" s="64"/>
      <c r="V51" s="64"/>
      <c r="W51" s="18"/>
      <c r="X51" s="798"/>
      <c r="Y51" s="562"/>
      <c r="Z51" s="562"/>
      <c r="AA51" s="562"/>
      <c r="AB51" s="562"/>
      <c r="AC51" s="562" t="b">
        <f>OR(AD51:AE51)</f>
        <v>0</v>
      </c>
      <c r="AD51" s="562" t="b">
        <f>T51</f>
        <v>0</v>
      </c>
      <c r="AE51" s="562"/>
      <c r="AF51" s="562"/>
      <c r="AG51" s="562"/>
      <c r="AH51" s="562"/>
      <c r="AI51" s="562"/>
      <c r="AJ51" s="562"/>
      <c r="AK51" s="562"/>
      <c r="AL51" s="562" t="str">
        <f t="shared" si="1"/>
        <v>dpa503_1_2</v>
      </c>
      <c r="AM51" s="190">
        <f>M51</f>
        <v>6</v>
      </c>
      <c r="AN51" s="562" t="str">
        <f>SUBSTITUTE(SUBSTITUTE(SUBSTITUTE("dpc"&amp;$B51&amp;$C51&amp;$D51&amp;$E51&amp;$F51,".","_"),"(","_"),")","")</f>
        <v>dpc503_1_2</v>
      </c>
      <c r="AO51" s="190">
        <f>O51</f>
        <v>0</v>
      </c>
      <c r="AP51" s="562" t="str">
        <f t="shared" si="2"/>
        <v>dch503_1_2</v>
      </c>
      <c r="AQ51" s="190">
        <f>W51</f>
        <v>0</v>
      </c>
      <c r="AR51" s="190"/>
      <c r="AS51" s="190"/>
      <c r="AT51" s="562"/>
      <c r="AU51" s="562"/>
      <c r="AV51" s="562"/>
      <c r="AW51" s="562"/>
      <c r="AX51" s="594" t="str">
        <f>'Overview (Design)'!A48</f>
        <v>Recessed Lighting:</v>
      </c>
      <c r="AY51" s="562">
        <f>'Overview (Design)'!G48</f>
        <v>0</v>
      </c>
    </row>
    <row r="52" spans="1:51" x14ac:dyDescent="0.2">
      <c r="B52" s="14" t="s">
        <v>2213</v>
      </c>
      <c r="C52" s="14"/>
      <c r="D52" s="14"/>
      <c r="E52" s="14" t="s">
        <v>2183</v>
      </c>
      <c r="F52" s="14"/>
      <c r="G52" s="14"/>
      <c r="H52" s="441"/>
      <c r="I52" s="71"/>
      <c r="J52" s="125"/>
      <c r="K52" s="128"/>
      <c r="L52" s="792"/>
      <c r="M52" s="801"/>
      <c r="N52" s="129"/>
      <c r="O52" s="794"/>
      <c r="P52" s="64"/>
      <c r="Q52" s="64"/>
      <c r="R52" s="64"/>
      <c r="S52" s="64"/>
      <c r="T52" s="64"/>
      <c r="U52" s="64"/>
      <c r="V52" s="64"/>
      <c r="W52" s="64"/>
      <c r="X52" s="798"/>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94"/>
      <c r="AY52" s="562"/>
    </row>
    <row r="53" spans="1:51" x14ac:dyDescent="0.2">
      <c r="B53" s="14" t="s">
        <v>2213</v>
      </c>
      <c r="C53" s="14"/>
      <c r="D53" s="14"/>
      <c r="E53" s="14" t="s">
        <v>2185</v>
      </c>
      <c r="F53" s="14"/>
      <c r="G53" s="14"/>
      <c r="H53" s="441"/>
      <c r="I53" s="71"/>
      <c r="J53" s="61" t="s">
        <v>2185</v>
      </c>
      <c r="K53" s="71"/>
      <c r="L53" s="791" t="s">
        <v>2218</v>
      </c>
      <c r="M53" s="800">
        <v>4</v>
      </c>
      <c r="N53" s="64"/>
      <c r="O53" s="793">
        <f>M53*S53*W53</f>
        <v>0</v>
      </c>
      <c r="P53" s="562" t="b">
        <v>1</v>
      </c>
      <c r="Q53" s="562" t="b">
        <v>0</v>
      </c>
      <c r="R53" s="64" t="b">
        <v>0</v>
      </c>
      <c r="S53" s="64" t="b">
        <f>IF(AND(W50=TRUE,W51=TRUE),TRUE,FALSE)</f>
        <v>0</v>
      </c>
      <c r="T53" s="64" t="b">
        <f>AND(NOT(S53),W53=TRUE)</f>
        <v>0</v>
      </c>
      <c r="U53" s="64"/>
      <c r="V53" s="64"/>
      <c r="W53" s="18"/>
      <c r="X53" s="798"/>
      <c r="Y53" s="562"/>
      <c r="Z53" s="562"/>
      <c r="AA53" s="562"/>
      <c r="AB53" s="562"/>
      <c r="AC53" s="562" t="b">
        <f>OR(AD53:AE53)</f>
        <v>0</v>
      </c>
      <c r="AD53" s="562" t="b">
        <f>T53</f>
        <v>0</v>
      </c>
      <c r="AE53" s="562"/>
      <c r="AF53" s="562"/>
      <c r="AG53" s="562"/>
      <c r="AH53" s="562"/>
      <c r="AI53" s="562"/>
      <c r="AJ53" s="562"/>
      <c r="AK53" s="562"/>
      <c r="AL53" s="562" t="str">
        <f>SUBSTITUTE(SUBSTITUTE(SUBSTITUTE("dpa"&amp;$B53&amp;$C53&amp;$D53&amp;$E53&amp;$F53,".","_"),"(","_"),")","")</f>
        <v>dpa503_1_3</v>
      </c>
      <c r="AM53" s="190">
        <f>M53</f>
        <v>4</v>
      </c>
      <c r="AN53" s="562" t="str">
        <f>SUBSTITUTE(SUBSTITUTE(SUBSTITUTE("dpc"&amp;$B53&amp;$C53&amp;$D53&amp;$E53&amp;$F53,".","_"),"(","_"),")","")</f>
        <v>dpc503_1_3</v>
      </c>
      <c r="AO53" s="190">
        <f>O53</f>
        <v>0</v>
      </c>
      <c r="AP53" s="562" t="str">
        <f>SUBSTITUTE(SUBSTITUTE(SUBSTITUTE("dch"&amp;$B53&amp;$C53&amp;$D53&amp;$E53&amp;$F53,".","_"),"(","_"),")","")</f>
        <v>dch503_1_3</v>
      </c>
      <c r="AQ53" s="190">
        <f>W53</f>
        <v>0</v>
      </c>
      <c r="AR53" s="190"/>
      <c r="AS53" s="190"/>
      <c r="AT53" s="562"/>
      <c r="AU53" s="562"/>
      <c r="AV53" s="562"/>
      <c r="AW53" s="562"/>
      <c r="AX53" s="594" t="str">
        <f>'Overview (Design)'!A50</f>
        <v>Special Design Features:</v>
      </c>
      <c r="AY53" s="562">
        <f>'Overview (Design)'!G50</f>
        <v>0</v>
      </c>
    </row>
    <row r="54" spans="1:51" x14ac:dyDescent="0.2">
      <c r="B54" s="14" t="s">
        <v>2213</v>
      </c>
      <c r="C54" s="14"/>
      <c r="D54" s="14"/>
      <c r="E54" s="14" t="s">
        <v>2185</v>
      </c>
      <c r="F54" s="14"/>
      <c r="G54" s="14"/>
      <c r="H54" s="441"/>
      <c r="I54" s="71"/>
      <c r="J54" s="125"/>
      <c r="K54" s="128"/>
      <c r="L54" s="792"/>
      <c r="M54" s="801"/>
      <c r="N54" s="129"/>
      <c r="O54" s="794"/>
      <c r="P54" s="64"/>
      <c r="Q54" s="64"/>
      <c r="R54" s="64"/>
      <c r="S54" s="64"/>
      <c r="T54" s="64"/>
      <c r="U54" s="64"/>
      <c r="V54" s="64"/>
      <c r="W54" s="64"/>
      <c r="X54" s="798"/>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94" t="str">
        <f>'Overview (Design)'!A51</f>
        <v>Passive Solar:</v>
      </c>
      <c r="AY54" s="562">
        <f>'Overview (Design)'!G51</f>
        <v>0</v>
      </c>
    </row>
    <row r="55" spans="1:51" x14ac:dyDescent="0.2">
      <c r="B55" s="14" t="s">
        <v>2213</v>
      </c>
      <c r="C55" s="14"/>
      <c r="D55" s="14"/>
      <c r="E55" s="14" t="s">
        <v>2192</v>
      </c>
      <c r="F55" s="14"/>
      <c r="G55" s="14"/>
      <c r="H55" s="441"/>
      <c r="I55" s="71"/>
      <c r="J55" s="125" t="s">
        <v>2192</v>
      </c>
      <c r="K55" s="128"/>
      <c r="L55" s="126" t="s">
        <v>2219</v>
      </c>
      <c r="M55" s="611">
        <v>4</v>
      </c>
      <c r="N55" s="129"/>
      <c r="O55" s="608">
        <f>M55*W55</f>
        <v>0</v>
      </c>
      <c r="P55" s="562" t="b">
        <v>1</v>
      </c>
      <c r="Q55" s="562" t="b">
        <v>0</v>
      </c>
      <c r="R55" s="64" t="b">
        <v>0</v>
      </c>
      <c r="S55" s="64" t="b">
        <v>1</v>
      </c>
      <c r="T55" s="64" t="b">
        <v>0</v>
      </c>
      <c r="U55" s="64"/>
      <c r="V55" s="64"/>
      <c r="W55" s="18"/>
      <c r="X55" s="798"/>
      <c r="Y55" s="562"/>
      <c r="Z55" s="562"/>
      <c r="AA55" s="562"/>
      <c r="AB55" s="562"/>
      <c r="AC55" s="562"/>
      <c r="AD55" s="562"/>
      <c r="AE55" s="562"/>
      <c r="AF55" s="562"/>
      <c r="AG55" s="562"/>
      <c r="AH55" s="562"/>
      <c r="AI55" s="562"/>
      <c r="AJ55" s="562"/>
      <c r="AK55" s="562"/>
      <c r="AL55" s="562" t="str">
        <f t="shared" ref="AL55:AL57" si="3">SUBSTITUTE(SUBSTITUTE(SUBSTITUTE("dpa"&amp;$B55&amp;$C55&amp;$D55&amp;$E55&amp;$F55,".","_"),"(","_"),")","")</f>
        <v>dpa503_1_4</v>
      </c>
      <c r="AM55" s="190">
        <f>M55</f>
        <v>4</v>
      </c>
      <c r="AN55" s="562" t="str">
        <f t="shared" ref="AN55:AN57" si="4">SUBSTITUTE(SUBSTITUTE(SUBSTITUTE("dpc"&amp;$B55&amp;$C55&amp;$D55&amp;$E55&amp;$F55,".","_"),"(","_"),")","")</f>
        <v>dpc503_1_4</v>
      </c>
      <c r="AO55" s="190">
        <f>O55</f>
        <v>0</v>
      </c>
      <c r="AP55" s="562" t="str">
        <f t="shared" ref="AP55:AP57" si="5">SUBSTITUTE(SUBSTITUTE(SUBSTITUTE("dch"&amp;$B55&amp;$C55&amp;$D55&amp;$E55&amp;$F55,".","_"),"(","_"),")","")</f>
        <v>dch503_1_4</v>
      </c>
      <c r="AQ55" s="190">
        <f>W55</f>
        <v>0</v>
      </c>
      <c r="AR55" s="190"/>
      <c r="AS55" s="190"/>
      <c r="AT55" s="562"/>
      <c r="AU55" s="562"/>
      <c r="AV55" s="562"/>
      <c r="AW55" s="562"/>
      <c r="AX55" s="594" t="str">
        <f>'Overview (Design)'!A52</f>
        <v>Mass Walls:</v>
      </c>
      <c r="AY55" s="562">
        <f>'Overview (Design)'!G52</f>
        <v>0</v>
      </c>
    </row>
    <row r="56" spans="1:51" ht="15.75" customHeight="1" x14ac:dyDescent="0.2">
      <c r="B56" s="14" t="s">
        <v>2213</v>
      </c>
      <c r="C56" s="14"/>
      <c r="D56" s="14"/>
      <c r="E56" s="14" t="s">
        <v>2194</v>
      </c>
      <c r="F56" s="14"/>
      <c r="G56" s="14"/>
      <c r="H56" s="441"/>
      <c r="I56" s="71"/>
      <c r="J56" s="125" t="s">
        <v>2194</v>
      </c>
      <c r="K56" s="128"/>
      <c r="L56" s="126" t="s">
        <v>2220</v>
      </c>
      <c r="M56" s="611">
        <v>3</v>
      </c>
      <c r="N56" s="129"/>
      <c r="O56" s="608">
        <f>M56*W56</f>
        <v>0</v>
      </c>
      <c r="P56" s="562" t="b">
        <v>1</v>
      </c>
      <c r="Q56" s="562" t="b">
        <v>0</v>
      </c>
      <c r="R56" s="64" t="b">
        <v>0</v>
      </c>
      <c r="S56" s="64" t="b">
        <v>1</v>
      </c>
      <c r="T56" s="64" t="b">
        <v>0</v>
      </c>
      <c r="U56" s="64"/>
      <c r="V56" s="64"/>
      <c r="W56" s="18"/>
      <c r="X56" s="798"/>
      <c r="Y56" s="562"/>
      <c r="Z56" s="562"/>
      <c r="AA56" s="562"/>
      <c r="AB56" s="562"/>
      <c r="AC56" s="562"/>
      <c r="AD56" s="562"/>
      <c r="AE56" s="562"/>
      <c r="AF56" s="562"/>
      <c r="AG56" s="562"/>
      <c r="AH56" s="562"/>
      <c r="AI56" s="562"/>
      <c r="AJ56" s="562"/>
      <c r="AK56" s="562"/>
      <c r="AL56" s="562" t="str">
        <f t="shared" si="3"/>
        <v>dpa503_1_5</v>
      </c>
      <c r="AM56" s="190">
        <f>M56</f>
        <v>3</v>
      </c>
      <c r="AN56" s="562" t="str">
        <f t="shared" si="4"/>
        <v>dpc503_1_5</v>
      </c>
      <c r="AO56" s="190">
        <f>O56</f>
        <v>0</v>
      </c>
      <c r="AP56" s="562" t="str">
        <f t="shared" si="5"/>
        <v>dch503_1_5</v>
      </c>
      <c r="AQ56" s="190">
        <f>W56</f>
        <v>0</v>
      </c>
      <c r="AR56" s="190"/>
      <c r="AS56" s="190"/>
      <c r="AT56" s="562"/>
      <c r="AU56" s="562"/>
      <c r="AV56" s="562"/>
      <c r="AW56" s="562"/>
      <c r="AX56" s="594" t="str">
        <f>'Overview (Design)'!A53</f>
        <v>Ductless:</v>
      </c>
      <c r="AY56" s="562">
        <f>'Overview (Design)'!G53</f>
        <v>0</v>
      </c>
    </row>
    <row r="57" spans="1:51" x14ac:dyDescent="0.2">
      <c r="B57" s="14" t="s">
        <v>2213</v>
      </c>
      <c r="C57" s="14"/>
      <c r="D57" s="14"/>
      <c r="E57" s="14" t="s">
        <v>2221</v>
      </c>
      <c r="F57" s="14"/>
      <c r="G57" s="14"/>
      <c r="H57" s="441"/>
      <c r="I57" s="71"/>
      <c r="J57" s="61" t="s">
        <v>2221</v>
      </c>
      <c r="K57" s="71"/>
      <c r="L57" s="791" t="s">
        <v>2222</v>
      </c>
      <c r="M57" s="800">
        <v>4</v>
      </c>
      <c r="N57" s="64"/>
      <c r="O57" s="793">
        <f>M57*W57</f>
        <v>0</v>
      </c>
      <c r="P57" s="562" t="b">
        <v>1</v>
      </c>
      <c r="Q57" s="562" t="b">
        <v>0</v>
      </c>
      <c r="R57" s="64" t="b">
        <v>0</v>
      </c>
      <c r="S57" s="64" t="b">
        <v>1</v>
      </c>
      <c r="T57" s="64" t="b">
        <v>0</v>
      </c>
      <c r="U57" s="64"/>
      <c r="V57" s="64"/>
      <c r="W57" s="18"/>
      <c r="X57" s="798"/>
      <c r="Y57" s="562"/>
      <c r="Z57" s="562"/>
      <c r="AA57" s="562"/>
      <c r="AB57" s="562"/>
      <c r="AC57" s="562"/>
      <c r="AD57" s="562"/>
      <c r="AE57" s="562"/>
      <c r="AF57" s="562"/>
      <c r="AG57" s="562"/>
      <c r="AH57" s="562"/>
      <c r="AI57" s="562"/>
      <c r="AJ57" s="562"/>
      <c r="AK57" s="562"/>
      <c r="AL57" s="562" t="str">
        <f t="shared" si="3"/>
        <v>dpa503_1_6</v>
      </c>
      <c r="AM57" s="190">
        <f>M57</f>
        <v>4</v>
      </c>
      <c r="AN57" s="562" t="str">
        <f t="shared" si="4"/>
        <v>dpc503_1_6</v>
      </c>
      <c r="AO57" s="190">
        <f>O57</f>
        <v>0</v>
      </c>
      <c r="AP57" s="562" t="str">
        <f t="shared" si="5"/>
        <v>dch503_1_6</v>
      </c>
      <c r="AQ57" s="190">
        <f>W57</f>
        <v>0</v>
      </c>
      <c r="AR57" s="190"/>
      <c r="AS57" s="190"/>
      <c r="AT57" s="562"/>
      <c r="AU57" s="562"/>
      <c r="AV57" s="562"/>
      <c r="AW57" s="562"/>
      <c r="AX57" s="594" t="str">
        <f>'Overview (Design)'!A54</f>
        <v>Radiant/Hydronic:</v>
      </c>
      <c r="AY57" s="562">
        <f>'Overview (Design)'!G54</f>
        <v>0</v>
      </c>
    </row>
    <row r="58" spans="1:51" x14ac:dyDescent="0.2">
      <c r="B58" s="14" t="s">
        <v>2213</v>
      </c>
      <c r="C58" s="14"/>
      <c r="D58" s="14"/>
      <c r="E58" s="14" t="s">
        <v>2221</v>
      </c>
      <c r="F58" s="14"/>
      <c r="G58" s="14"/>
      <c r="H58" s="441"/>
      <c r="I58" s="71"/>
      <c r="J58" s="125"/>
      <c r="K58" s="128"/>
      <c r="L58" s="792"/>
      <c r="M58" s="801"/>
      <c r="N58" s="129"/>
      <c r="O58" s="794"/>
      <c r="P58" s="64"/>
      <c r="Q58" s="64"/>
      <c r="R58" s="64"/>
      <c r="S58" s="64"/>
      <c r="T58" s="64"/>
      <c r="U58" s="64"/>
      <c r="V58" s="64"/>
      <c r="W58" s="64"/>
      <c r="X58" s="798"/>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94" t="str">
        <f>'Overview (Design)'!A55</f>
        <v>Tankless Water Heater:</v>
      </c>
      <c r="AY58" s="562">
        <f>'Overview (Design)'!G55</f>
        <v>0</v>
      </c>
    </row>
    <row r="59" spans="1:51" x14ac:dyDescent="0.2">
      <c r="B59" s="14" t="s">
        <v>2213</v>
      </c>
      <c r="C59" s="14"/>
      <c r="D59" s="14"/>
      <c r="E59" s="14" t="s">
        <v>2223</v>
      </c>
      <c r="F59" s="14"/>
      <c r="G59" s="14"/>
      <c r="H59" s="441"/>
      <c r="I59" s="71"/>
      <c r="J59" s="61" t="s">
        <v>2223</v>
      </c>
      <c r="K59" s="71"/>
      <c r="L59" s="791" t="s">
        <v>2224</v>
      </c>
      <c r="M59" s="800">
        <v>5</v>
      </c>
      <c r="N59" s="64"/>
      <c r="O59" s="793">
        <f>M59*W59</f>
        <v>0</v>
      </c>
      <c r="P59" s="562" t="b">
        <v>1</v>
      </c>
      <c r="Q59" s="562" t="b">
        <v>0</v>
      </c>
      <c r="R59" s="64" t="b">
        <v>0</v>
      </c>
      <c r="S59" s="64" t="b">
        <v>1</v>
      </c>
      <c r="T59" s="64" t="b">
        <v>0</v>
      </c>
      <c r="U59" s="64"/>
      <c r="V59" s="64"/>
      <c r="W59" s="18"/>
      <c r="X59" s="798"/>
      <c r="Y59" s="562"/>
      <c r="Z59" s="562"/>
      <c r="AA59" s="562"/>
      <c r="AB59" s="562"/>
      <c r="AC59" s="562"/>
      <c r="AD59" s="562"/>
      <c r="AE59" s="562"/>
      <c r="AF59" s="562"/>
      <c r="AG59" s="562"/>
      <c r="AH59" s="562"/>
      <c r="AI59" s="562"/>
      <c r="AJ59" s="562"/>
      <c r="AK59" s="562"/>
      <c r="AL59" s="562" t="str">
        <f>SUBSTITUTE(SUBSTITUTE(SUBSTITUTE("dpa"&amp;$B59&amp;$C59&amp;$D59&amp;$E59&amp;$F59,".","_"),"(","_"),")","")</f>
        <v>dpa503_1_7</v>
      </c>
      <c r="AM59" s="190">
        <f>M59</f>
        <v>5</v>
      </c>
      <c r="AN59" s="562" t="str">
        <f>SUBSTITUTE(SUBSTITUTE(SUBSTITUTE("dpc"&amp;$B59&amp;$C59&amp;$D59&amp;$E59&amp;$F59,".","_"),"(","_"),")","")</f>
        <v>dpc503_1_7</v>
      </c>
      <c r="AO59" s="190">
        <f>O59</f>
        <v>0</v>
      </c>
      <c r="AP59" s="562" t="str">
        <f>SUBSTITUTE(SUBSTITUTE(SUBSTITUTE("dch"&amp;$B59&amp;$C59&amp;$D59&amp;$E59&amp;$F59,".","_"),"(","_"),")","")</f>
        <v>dch503_1_7</v>
      </c>
      <c r="AQ59" s="190">
        <f>W59</f>
        <v>0</v>
      </c>
      <c r="AR59" s="190"/>
      <c r="AS59" s="190"/>
      <c r="AT59" s="562"/>
      <c r="AU59" s="562"/>
      <c r="AV59" s="562"/>
      <c r="AW59" s="562"/>
      <c r="AX59" s="594" t="str">
        <f>'Overview (Design)'!A56</f>
        <v>Composting Toilet:</v>
      </c>
      <c r="AY59" s="562">
        <f>'Overview (Design)'!G56</f>
        <v>0</v>
      </c>
    </row>
    <row r="60" spans="1:51" ht="16" thickBot="1" x14ac:dyDescent="0.25">
      <c r="B60" s="14" t="s">
        <v>2213</v>
      </c>
      <c r="C60" s="14"/>
      <c r="D60" s="14"/>
      <c r="E60" s="14" t="s">
        <v>2223</v>
      </c>
      <c r="F60" s="14"/>
      <c r="G60" s="14"/>
      <c r="H60" s="441"/>
      <c r="I60" s="72"/>
      <c r="J60" s="72"/>
      <c r="K60" s="72"/>
      <c r="L60" s="818"/>
      <c r="M60" s="813"/>
      <c r="N60" s="68"/>
      <c r="O60" s="821"/>
      <c r="P60" s="68"/>
      <c r="Q60" s="68"/>
      <c r="R60" s="68"/>
      <c r="S60" s="68"/>
      <c r="T60" s="68"/>
      <c r="U60" s="68"/>
      <c r="V60" s="68"/>
      <c r="W60" s="68"/>
      <c r="X60" s="799"/>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94"/>
      <c r="AY60" s="562"/>
    </row>
    <row r="61" spans="1:51" ht="16" thickTop="1" x14ac:dyDescent="0.2">
      <c r="B61" s="14" t="s">
        <v>2225</v>
      </c>
      <c r="C61" s="14"/>
      <c r="D61" s="14"/>
      <c r="E61" s="14"/>
      <c r="F61" s="14"/>
      <c r="G61" s="14"/>
      <c r="H61" s="441"/>
      <c r="I61" s="75" t="s">
        <v>2226</v>
      </c>
      <c r="J61" s="76"/>
      <c r="K61" s="76"/>
      <c r="L61" s="95" t="s">
        <v>2227</v>
      </c>
      <c r="M61" s="625"/>
      <c r="N61" s="74"/>
      <c r="O61" s="623"/>
      <c r="P61" s="74"/>
      <c r="Q61" s="74"/>
      <c r="R61" s="74"/>
      <c r="S61" s="74"/>
      <c r="T61" s="74"/>
      <c r="U61" s="74"/>
      <c r="V61" s="74"/>
      <c r="W61" s="74" t="s">
        <v>2228</v>
      </c>
      <c r="X61" s="802"/>
      <c r="Y61" s="562"/>
      <c r="Z61" s="562"/>
      <c r="AA61" s="562"/>
      <c r="AB61" s="562"/>
      <c r="AC61" s="562"/>
      <c r="AD61" s="562"/>
      <c r="AE61" s="562"/>
      <c r="AF61" s="562"/>
      <c r="AG61" s="562"/>
      <c r="AH61" s="562"/>
      <c r="AI61" s="562"/>
      <c r="AJ61" s="562"/>
      <c r="AK61" s="562"/>
      <c r="AL61" s="562"/>
      <c r="AM61" s="562"/>
      <c r="AN61" s="562"/>
      <c r="AO61" s="562"/>
      <c r="AP61" s="562"/>
      <c r="AQ61" s="562"/>
      <c r="AR61" s="562" t="str">
        <f>SUBSTITUTE(SUBSTITUTE(SUBSTITUTE("dnt"&amp;$B61&amp;$C61&amp;$D61&amp;$E61&amp;$F61,".","_"),"(","_"),")","")</f>
        <v>dnt503_2</v>
      </c>
      <c r="AS61" s="190">
        <f>X61</f>
        <v>0</v>
      </c>
      <c r="AT61" s="562"/>
      <c r="AU61" s="562"/>
      <c r="AV61" s="562"/>
      <c r="AW61" s="562"/>
      <c r="AX61" s="594" t="str">
        <f>'Overview (Design)'!A58</f>
        <v>Local Energy Code:</v>
      </c>
      <c r="AY61" s="562">
        <f>'Overview (Design)'!G58</f>
        <v>0</v>
      </c>
    </row>
    <row r="62" spans="1:51" x14ac:dyDescent="0.2">
      <c r="B62" s="14" t="s">
        <v>2225</v>
      </c>
      <c r="C62" s="14"/>
      <c r="D62" s="14"/>
      <c r="E62" s="14"/>
      <c r="F62" s="14"/>
      <c r="G62" s="14"/>
      <c r="H62" s="441"/>
      <c r="I62" s="70"/>
      <c r="J62" s="71"/>
      <c r="K62" s="71"/>
      <c r="L62" s="567" t="s">
        <v>2229</v>
      </c>
      <c r="M62" s="610"/>
      <c r="N62" s="64"/>
      <c r="O62" s="607"/>
      <c r="P62" s="562" t="b">
        <v>1</v>
      </c>
      <c r="Q62" s="562" t="b">
        <v>1</v>
      </c>
      <c r="R62" s="64" t="b">
        <v>1</v>
      </c>
      <c r="S62" s="64" t="b">
        <v>1</v>
      </c>
      <c r="T62" s="64" t="b">
        <v>0</v>
      </c>
      <c r="U62" s="64"/>
      <c r="V62" s="64"/>
      <c r="W62" s="77"/>
      <c r="X62" s="798"/>
      <c r="Y62" s="562"/>
      <c r="Z62" s="562"/>
      <c r="AA62" s="562"/>
      <c r="AB62" s="562"/>
      <c r="AC62" s="562"/>
      <c r="AD62" s="562"/>
      <c r="AE62" s="562"/>
      <c r="AF62" s="562"/>
      <c r="AG62" s="562"/>
      <c r="AH62" s="562"/>
      <c r="AI62" s="562"/>
      <c r="AJ62" s="562"/>
      <c r="AK62" s="562"/>
      <c r="AL62" s="562"/>
      <c r="AM62" s="562"/>
      <c r="AN62" s="562"/>
      <c r="AO62" s="562"/>
      <c r="AP62" s="562" t="str">
        <f t="shared" ref="AP62:AP64" si="6">SUBSTITUTE(SUBSTITUTE(SUBSTITUTE("dch"&amp;$B62&amp;$C62&amp;$D62&amp;$E62&amp;$F62,".","_"),"(","_"),")","")</f>
        <v>dch503_2</v>
      </c>
      <c r="AQ62" s="190">
        <f>W62</f>
        <v>0</v>
      </c>
      <c r="AR62" s="562"/>
      <c r="AS62" s="562"/>
      <c r="AT62" s="562"/>
      <c r="AU62" s="562"/>
      <c r="AV62" s="562"/>
      <c r="AW62" s="562"/>
      <c r="AX62" s="594" t="str">
        <f>'Overview (Design)'!A59</f>
        <v>Local Building Code:</v>
      </c>
      <c r="AY62" s="562">
        <f>'Overview (Design)'!G59</f>
        <v>0</v>
      </c>
    </row>
    <row r="63" spans="1:51" x14ac:dyDescent="0.2">
      <c r="B63" s="14" t="s">
        <v>2225</v>
      </c>
      <c r="C63" s="14"/>
      <c r="D63" s="14"/>
      <c r="E63" s="14" t="s">
        <v>2181</v>
      </c>
      <c r="F63" s="14"/>
      <c r="G63" s="14"/>
      <c r="H63" s="441"/>
      <c r="I63" s="71"/>
      <c r="J63" s="125" t="s">
        <v>2181</v>
      </c>
      <c r="K63" s="128"/>
      <c r="L63" s="126" t="s">
        <v>2230</v>
      </c>
      <c r="M63" s="611">
        <v>5</v>
      </c>
      <c r="N63" s="129"/>
      <c r="O63" s="608">
        <f>M63*W63*S63</f>
        <v>0</v>
      </c>
      <c r="P63" s="562" t="b">
        <v>1</v>
      </c>
      <c r="Q63" s="562" t="b">
        <v>1</v>
      </c>
      <c r="R63" s="64" t="b">
        <v>0</v>
      </c>
      <c r="S63" s="64" t="b">
        <f>IF(W62&gt;=0.25,TRUE,FALSE)</f>
        <v>0</v>
      </c>
      <c r="T63" s="64" t="b">
        <f>AND(NOT(S63),W63=TRUE)</f>
        <v>0</v>
      </c>
      <c r="U63" s="64"/>
      <c r="V63" s="64"/>
      <c r="W63" s="18"/>
      <c r="X63" s="798"/>
      <c r="Y63" s="562"/>
      <c r="Z63" s="562"/>
      <c r="AA63" s="562"/>
      <c r="AB63" s="562"/>
      <c r="AC63" s="562" t="b">
        <f>OR(AD63:AE63)</f>
        <v>0</v>
      </c>
      <c r="AD63" s="562" t="b">
        <f>T63</f>
        <v>0</v>
      </c>
      <c r="AE63" s="562"/>
      <c r="AF63" s="562"/>
      <c r="AG63" s="562"/>
      <c r="AH63" s="562"/>
      <c r="AI63" s="562"/>
      <c r="AJ63" s="562"/>
      <c r="AK63" s="562"/>
      <c r="AL63" s="562" t="str">
        <f t="shared" ref="AL63:AL64" si="7">SUBSTITUTE(SUBSTITUTE(SUBSTITUTE("dpa"&amp;$B63&amp;$C63&amp;$D63&amp;$E63&amp;$F63,".","_"),"(","_"),")","")</f>
        <v>dpa503_2_1</v>
      </c>
      <c r="AM63" s="190">
        <f>M63</f>
        <v>5</v>
      </c>
      <c r="AN63" s="562" t="str">
        <f t="shared" ref="AN63:AN64" si="8">SUBSTITUTE(SUBSTITUTE(SUBSTITUTE("dpc"&amp;$B63&amp;$C63&amp;$D63&amp;$E63&amp;$F63,".","_"),"(","_"),")","")</f>
        <v>dpc503_2_1</v>
      </c>
      <c r="AO63" s="190">
        <f>O63</f>
        <v>0</v>
      </c>
      <c r="AP63" s="562" t="str">
        <f t="shared" si="6"/>
        <v>dch503_2_1</v>
      </c>
      <c r="AQ63" s="190">
        <f>W63</f>
        <v>0</v>
      </c>
      <c r="AR63" s="190"/>
      <c r="AS63" s="190"/>
      <c r="AT63" s="562"/>
      <c r="AU63" s="562"/>
      <c r="AV63" s="562"/>
      <c r="AW63" s="562"/>
      <c r="AX63" s="562"/>
      <c r="AY63" s="562"/>
    </row>
    <row r="64" spans="1:51" x14ac:dyDescent="0.2">
      <c r="B64" s="14" t="s">
        <v>2225</v>
      </c>
      <c r="C64" s="14"/>
      <c r="D64" s="14"/>
      <c r="E64" s="14" t="s">
        <v>2183</v>
      </c>
      <c r="F64" s="14"/>
      <c r="G64" s="14"/>
      <c r="H64" s="441"/>
      <c r="I64" s="71"/>
      <c r="J64" s="61" t="s">
        <v>2183</v>
      </c>
      <c r="K64" s="71"/>
      <c r="L64" s="791" t="s">
        <v>2231</v>
      </c>
      <c r="M64" s="800">
        <v>5</v>
      </c>
      <c r="N64" s="64"/>
      <c r="O64" s="793">
        <f>M64*W64*S64</f>
        <v>0</v>
      </c>
      <c r="P64" s="562" t="b">
        <v>1</v>
      </c>
      <c r="Q64" s="562" t="b">
        <v>1</v>
      </c>
      <c r="R64" s="64" t="b">
        <v>0</v>
      </c>
      <c r="S64" s="64" t="b">
        <f>S63</f>
        <v>0</v>
      </c>
      <c r="T64" s="64" t="b">
        <f>AND(NOT(S64),W64=TRUE)</f>
        <v>0</v>
      </c>
      <c r="U64" s="64"/>
      <c r="V64" s="64"/>
      <c r="W64" s="18"/>
      <c r="X64" s="798"/>
      <c r="Y64" s="562"/>
      <c r="Z64" s="562"/>
      <c r="AA64" s="562"/>
      <c r="AB64" s="562"/>
      <c r="AC64" s="562" t="b">
        <f>OR(AD64:AE64)</f>
        <v>0</v>
      </c>
      <c r="AD64" s="562" t="b">
        <f>T64</f>
        <v>0</v>
      </c>
      <c r="AE64" s="562"/>
      <c r="AF64" s="562"/>
      <c r="AG64" s="562"/>
      <c r="AH64" s="562"/>
      <c r="AI64" s="562"/>
      <c r="AJ64" s="562"/>
      <c r="AK64" s="562"/>
      <c r="AL64" s="562" t="str">
        <f t="shared" si="7"/>
        <v>dpa503_2_2</v>
      </c>
      <c r="AM64" s="190">
        <f>M64</f>
        <v>5</v>
      </c>
      <c r="AN64" s="562" t="str">
        <f t="shared" si="8"/>
        <v>dpc503_2_2</v>
      </c>
      <c r="AO64" s="190">
        <f>O64</f>
        <v>0</v>
      </c>
      <c r="AP64" s="562" t="str">
        <f t="shared" si="6"/>
        <v>dch503_2_2</v>
      </c>
      <c r="AQ64" s="190">
        <f>W64</f>
        <v>0</v>
      </c>
      <c r="AR64" s="562"/>
      <c r="AS64" s="562"/>
      <c r="AT64" s="562"/>
      <c r="AU64" s="562"/>
      <c r="AV64" s="562"/>
      <c r="AW64" s="562"/>
      <c r="AX64" s="562"/>
      <c r="AY64" s="562"/>
    </row>
    <row r="65" spans="1:51" x14ac:dyDescent="0.2">
      <c r="B65" s="14" t="s">
        <v>2225</v>
      </c>
      <c r="C65" s="14"/>
      <c r="D65" s="14"/>
      <c r="E65" s="14" t="s">
        <v>2183</v>
      </c>
      <c r="F65" s="14"/>
      <c r="G65" s="14"/>
      <c r="H65" s="441"/>
      <c r="I65" s="71"/>
      <c r="J65" s="128"/>
      <c r="K65" s="128"/>
      <c r="L65" s="792"/>
      <c r="M65" s="801"/>
      <c r="N65" s="129"/>
      <c r="O65" s="794"/>
      <c r="P65" s="64"/>
      <c r="Q65" s="64"/>
      <c r="R65" s="64"/>
      <c r="S65" s="64"/>
      <c r="T65" s="64"/>
      <c r="U65" s="64"/>
      <c r="V65" s="64"/>
      <c r="W65" s="64"/>
      <c r="X65" s="798"/>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row>
    <row r="66" spans="1:51" x14ac:dyDescent="0.2">
      <c r="B66" s="14" t="s">
        <v>2225</v>
      </c>
      <c r="C66" s="14"/>
      <c r="D66" s="14"/>
      <c r="E66" s="14" t="s">
        <v>2185</v>
      </c>
      <c r="F66" s="14"/>
      <c r="G66" s="14"/>
      <c r="H66" s="441"/>
      <c r="I66" s="71"/>
      <c r="J66" s="61" t="s">
        <v>2185</v>
      </c>
      <c r="K66" s="71"/>
      <c r="L66" s="791" t="s">
        <v>2232</v>
      </c>
      <c r="M66" s="610"/>
      <c r="N66" s="64"/>
      <c r="O66" s="793">
        <f ca="1">S66*IFERROR(INDEX({1,4,6},MATCH(W66,INDIRECT(U66))),0)</f>
        <v>0</v>
      </c>
      <c r="P66" s="562" t="b">
        <v>1</v>
      </c>
      <c r="Q66" s="562" t="b">
        <v>1</v>
      </c>
      <c r="R66" s="64" t="b">
        <v>0</v>
      </c>
      <c r="S66" s="64" t="b">
        <f>S63</f>
        <v>0</v>
      </c>
      <c r="T66" s="64" t="b">
        <f>AND(NOT(S66),LEN(W66)&gt;0)</f>
        <v>0</v>
      </c>
      <c r="U66" s="64" t="str">
        <f>SUBSTITUTE(SUBSTITUTE(SUBSTITUTE("dd"&amp;B66&amp;C66&amp;D66&amp;E66&amp;F66,".","_"),"(","_"),")","")</f>
        <v>dd503_2_3</v>
      </c>
      <c r="V66" s="64"/>
      <c r="W66" s="6"/>
      <c r="X66" s="798"/>
      <c r="Y66" s="562"/>
      <c r="Z66" s="562"/>
      <c r="AA66" s="562"/>
      <c r="AB66" s="562"/>
      <c r="AC66" s="562" t="b">
        <f>OR(AD66:AE66)</f>
        <v>0</v>
      </c>
      <c r="AD66" s="562" t="b">
        <f>T66</f>
        <v>0</v>
      </c>
      <c r="AE66" s="562"/>
      <c r="AF66" s="562"/>
      <c r="AG66" s="562"/>
      <c r="AH66" s="562"/>
      <c r="AI66" s="562"/>
      <c r="AJ66" s="562"/>
      <c r="AK66" s="562"/>
      <c r="AL66" s="562"/>
      <c r="AM66" s="562"/>
      <c r="AN66" s="562" t="str">
        <f>SUBSTITUTE(SUBSTITUTE(SUBSTITUTE("dpc"&amp;$B66&amp;$C66&amp;$D66&amp;$E66&amp;$F66,".","_"),"(","_"),")","")</f>
        <v>dpc503_2_3</v>
      </c>
      <c r="AO66" s="190">
        <f ca="1">O66</f>
        <v>0</v>
      </c>
      <c r="AP66" s="562" t="str">
        <f>SUBSTITUTE(SUBSTITUTE(SUBSTITUTE("dch"&amp;$B66&amp;$C66&amp;$D66&amp;$E66&amp;$F66,".","_"),"(","_"),")","")</f>
        <v>dch503_2_3</v>
      </c>
      <c r="AQ66" s="190">
        <f>W66</f>
        <v>0</v>
      </c>
      <c r="AR66" s="562"/>
      <c r="AS66" s="562"/>
      <c r="AT66" s="562"/>
      <c r="AU66" s="562"/>
      <c r="AV66" s="562"/>
      <c r="AW66" s="562"/>
      <c r="AX66" s="562"/>
      <c r="AY66" s="562"/>
    </row>
    <row r="67" spans="1:51" x14ac:dyDescent="0.2">
      <c r="B67" s="14" t="s">
        <v>2225</v>
      </c>
      <c r="C67" s="14"/>
      <c r="D67" s="14"/>
      <c r="E67" s="14" t="s">
        <v>2185</v>
      </c>
      <c r="F67" s="14"/>
      <c r="G67" s="14"/>
      <c r="H67" s="441"/>
      <c r="I67" s="71"/>
      <c r="J67" s="71"/>
      <c r="K67" s="71"/>
      <c r="L67" s="791"/>
      <c r="M67" s="610"/>
      <c r="N67" s="64"/>
      <c r="O67" s="793"/>
      <c r="P67" s="64"/>
      <c r="Q67" s="64"/>
      <c r="R67" s="64"/>
      <c r="S67" s="64"/>
      <c r="T67" s="64"/>
      <c r="U67" s="64"/>
      <c r="V67" s="64"/>
      <c r="W67" s="64"/>
      <c r="X67" s="798"/>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row>
    <row r="68" spans="1:51" x14ac:dyDescent="0.2">
      <c r="B68" s="14" t="s">
        <v>2225</v>
      </c>
      <c r="C68" s="14"/>
      <c r="D68" s="14"/>
      <c r="E68" s="14" t="s">
        <v>2185</v>
      </c>
      <c r="F68" s="14" t="s">
        <v>2196</v>
      </c>
      <c r="G68" s="14"/>
      <c r="H68" s="441"/>
      <c r="I68" s="71"/>
      <c r="J68" s="71"/>
      <c r="K68" s="61" t="s">
        <v>2196</v>
      </c>
      <c r="L68" s="65" t="s">
        <v>2233</v>
      </c>
      <c r="M68" s="610">
        <v>1</v>
      </c>
      <c r="N68" s="64"/>
      <c r="O68" s="607"/>
      <c r="P68" s="64"/>
      <c r="Q68" s="64"/>
      <c r="R68" s="64"/>
      <c r="S68" s="64"/>
      <c r="T68" s="64"/>
      <c r="U68" s="64"/>
      <c r="V68" s="64"/>
      <c r="W68" s="64"/>
      <c r="X68" s="798"/>
      <c r="Y68" s="562"/>
      <c r="Z68" s="562"/>
      <c r="AA68" s="562"/>
      <c r="AB68" s="562"/>
      <c r="AC68" s="562"/>
      <c r="AD68" s="562"/>
      <c r="AE68" s="562"/>
      <c r="AF68" s="562"/>
      <c r="AG68" s="562"/>
      <c r="AH68" s="562"/>
      <c r="AI68" s="562"/>
      <c r="AJ68" s="562"/>
      <c r="AK68" s="562"/>
      <c r="AL68" s="562" t="str">
        <f t="shared" ref="AL68:AL71" si="9">SUBSTITUTE(SUBSTITUTE(SUBSTITUTE("dpa"&amp;$B68&amp;$C68&amp;$D68&amp;$E68&amp;$F68,".","_"),"(","_"),")","")</f>
        <v>dpa503_2_3_a</v>
      </c>
      <c r="AM68" s="190">
        <f>M68</f>
        <v>1</v>
      </c>
      <c r="AN68" s="562"/>
      <c r="AO68" s="562"/>
      <c r="AP68" s="562"/>
      <c r="AQ68" s="562"/>
      <c r="AR68" s="562"/>
      <c r="AS68" s="562"/>
      <c r="AT68" s="562"/>
      <c r="AU68" s="562"/>
      <c r="AV68" s="562"/>
      <c r="AW68" s="562"/>
      <c r="AX68" s="562"/>
      <c r="AY68" s="562"/>
    </row>
    <row r="69" spans="1:51" s="46" customFormat="1" x14ac:dyDescent="0.2">
      <c r="A69" s="13"/>
      <c r="B69" s="14" t="s">
        <v>2225</v>
      </c>
      <c r="C69" s="14"/>
      <c r="D69" s="14"/>
      <c r="E69" s="14" t="s">
        <v>2185</v>
      </c>
      <c r="F69" s="14" t="s">
        <v>2198</v>
      </c>
      <c r="G69" s="14"/>
      <c r="H69" s="441"/>
      <c r="I69" s="71"/>
      <c r="J69" s="71"/>
      <c r="K69" s="61" t="s">
        <v>2198</v>
      </c>
      <c r="L69" s="65" t="s">
        <v>2234</v>
      </c>
      <c r="M69" s="610">
        <v>4</v>
      </c>
      <c r="N69" s="64"/>
      <c r="O69" s="607"/>
      <c r="P69" s="64"/>
      <c r="Q69" s="64"/>
      <c r="R69" s="64"/>
      <c r="S69" s="64"/>
      <c r="T69" s="64"/>
      <c r="U69" s="64"/>
      <c r="V69" s="64"/>
      <c r="W69" s="64"/>
      <c r="X69" s="798"/>
      <c r="Y69" s="562"/>
      <c r="Z69" s="562"/>
      <c r="AA69" s="562"/>
      <c r="AB69" s="562"/>
      <c r="AC69" s="562"/>
      <c r="AD69" s="562"/>
      <c r="AE69" s="562"/>
      <c r="AF69" s="562"/>
      <c r="AG69" s="562"/>
      <c r="AH69" s="562"/>
      <c r="AI69" s="562"/>
      <c r="AJ69" s="562"/>
      <c r="AK69" s="562"/>
      <c r="AL69" s="562" t="str">
        <f t="shared" si="9"/>
        <v>dpa503_2_3_b</v>
      </c>
      <c r="AM69" s="190">
        <f>M69</f>
        <v>4</v>
      </c>
      <c r="AN69" s="562"/>
      <c r="AO69" s="562"/>
      <c r="AP69" s="562"/>
      <c r="AQ69" s="562"/>
      <c r="AR69" s="562"/>
      <c r="AS69" s="562"/>
      <c r="AT69" s="562"/>
      <c r="AU69" s="562"/>
      <c r="AV69" s="562"/>
      <c r="AW69" s="562"/>
      <c r="AX69" s="562"/>
      <c r="AY69" s="562"/>
    </row>
    <row r="70" spans="1:51" x14ac:dyDescent="0.2">
      <c r="B70" s="14" t="s">
        <v>2225</v>
      </c>
      <c r="C70" s="14"/>
      <c r="D70" s="14"/>
      <c r="E70" s="14" t="s">
        <v>2185</v>
      </c>
      <c r="F70" s="19" t="s">
        <v>2200</v>
      </c>
      <c r="G70" s="19"/>
      <c r="H70" s="442"/>
      <c r="I70" s="71"/>
      <c r="J70" s="128"/>
      <c r="K70" s="130" t="s">
        <v>2200</v>
      </c>
      <c r="L70" s="126" t="s">
        <v>2235</v>
      </c>
      <c r="M70" s="611">
        <v>6</v>
      </c>
      <c r="N70" s="64"/>
      <c r="O70" s="608"/>
      <c r="P70" s="64"/>
      <c r="Q70" s="64"/>
      <c r="R70" s="64"/>
      <c r="S70" s="64"/>
      <c r="T70" s="64"/>
      <c r="U70" s="64"/>
      <c r="V70" s="64"/>
      <c r="W70" s="64"/>
      <c r="X70" s="798"/>
      <c r="Y70" s="562"/>
      <c r="Z70" s="562"/>
      <c r="AA70" s="562"/>
      <c r="AB70" s="562"/>
      <c r="AC70" s="562"/>
      <c r="AD70" s="562"/>
      <c r="AE70" s="562"/>
      <c r="AF70" s="562"/>
      <c r="AG70" s="562"/>
      <c r="AH70" s="562"/>
      <c r="AI70" s="562"/>
      <c r="AJ70" s="562"/>
      <c r="AK70" s="562"/>
      <c r="AL70" s="562" t="str">
        <f t="shared" si="9"/>
        <v>dpa503_2_3_c</v>
      </c>
      <c r="AM70" s="190">
        <f>M70</f>
        <v>6</v>
      </c>
      <c r="AN70" s="562"/>
      <c r="AO70" s="562"/>
      <c r="AP70" s="562"/>
      <c r="AQ70" s="562"/>
      <c r="AR70" s="562"/>
      <c r="AS70" s="562"/>
      <c r="AT70" s="562"/>
      <c r="AU70" s="562"/>
      <c r="AV70" s="562"/>
      <c r="AW70" s="562"/>
      <c r="AX70" s="562"/>
      <c r="AY70" s="562"/>
    </row>
    <row r="71" spans="1:51" x14ac:dyDescent="0.2">
      <c r="B71" s="14" t="s">
        <v>2225</v>
      </c>
      <c r="C71" s="14"/>
      <c r="D71" s="14"/>
      <c r="E71" s="14" t="s">
        <v>2192</v>
      </c>
      <c r="F71" s="14"/>
      <c r="G71" s="14"/>
      <c r="H71" s="441"/>
      <c r="I71" s="71"/>
      <c r="J71" s="61" t="s">
        <v>2192</v>
      </c>
      <c r="K71" s="71"/>
      <c r="L71" s="791" t="s">
        <v>2236</v>
      </c>
      <c r="M71" s="800">
        <v>6</v>
      </c>
      <c r="N71" s="148"/>
      <c r="O71" s="793">
        <f>M71*W71*S71</f>
        <v>0</v>
      </c>
      <c r="P71" s="562" t="b">
        <v>1</v>
      </c>
      <c r="Q71" s="562" t="b">
        <v>1</v>
      </c>
      <c r="R71" s="64" t="b">
        <v>0</v>
      </c>
      <c r="S71" s="64" t="b">
        <f>S63</f>
        <v>0</v>
      </c>
      <c r="T71" s="64" t="b">
        <f>AND(NOT(S71),W71=TRUE)</f>
        <v>0</v>
      </c>
      <c r="U71" s="64"/>
      <c r="V71" s="64"/>
      <c r="W71" s="18"/>
      <c r="X71" s="798"/>
      <c r="Y71" s="562"/>
      <c r="Z71" s="562"/>
      <c r="AA71" s="562"/>
      <c r="AB71" s="562"/>
      <c r="AC71" s="562" t="b">
        <f>OR(AD71:AE71)</f>
        <v>0</v>
      </c>
      <c r="AD71" s="562" t="b">
        <f>T71</f>
        <v>0</v>
      </c>
      <c r="AE71" s="562"/>
      <c r="AF71" s="562"/>
      <c r="AG71" s="562"/>
      <c r="AH71" s="562"/>
      <c r="AI71" s="562"/>
      <c r="AJ71" s="562"/>
      <c r="AK71" s="562"/>
      <c r="AL71" s="562" t="str">
        <f t="shared" si="9"/>
        <v>dpa503_2_4</v>
      </c>
      <c r="AM71" s="190">
        <f>M71</f>
        <v>6</v>
      </c>
      <c r="AN71" s="562" t="str">
        <f>SUBSTITUTE(SUBSTITUTE(SUBSTITUTE("dpc"&amp;$B71&amp;$C71&amp;$D71&amp;$E71&amp;$F71,".","_"),"(","_"),")","")</f>
        <v>dpc503_2_4</v>
      </c>
      <c r="AO71" s="190">
        <f>O71</f>
        <v>0</v>
      </c>
      <c r="AP71" s="562" t="str">
        <f>SUBSTITUTE(SUBSTITUTE(SUBSTITUTE("dch"&amp;$B71&amp;$C71&amp;$D71&amp;$E71&amp;$F71,".","_"),"(","_"),")","")</f>
        <v>dch503_2_4</v>
      </c>
      <c r="AQ71" s="190">
        <f>W71</f>
        <v>0</v>
      </c>
      <c r="AR71" s="562"/>
      <c r="AS71" s="562"/>
      <c r="AT71" s="562"/>
      <c r="AU71" s="562"/>
      <c r="AV71" s="562"/>
      <c r="AW71" s="562"/>
      <c r="AX71" s="562"/>
      <c r="AY71" s="562"/>
    </row>
    <row r="72" spans="1:51" x14ac:dyDescent="0.2">
      <c r="B72" s="14" t="s">
        <v>2225</v>
      </c>
      <c r="C72" s="14"/>
      <c r="D72" s="14"/>
      <c r="E72" s="14" t="s">
        <v>2192</v>
      </c>
      <c r="F72" s="14"/>
      <c r="G72" s="14"/>
      <c r="H72" s="441"/>
      <c r="I72" s="71"/>
      <c r="J72" s="128"/>
      <c r="K72" s="128"/>
      <c r="L72" s="792"/>
      <c r="M72" s="801"/>
      <c r="N72" s="129"/>
      <c r="O72" s="794"/>
      <c r="P72" s="64"/>
      <c r="Q72" s="64"/>
      <c r="R72" s="64"/>
      <c r="S72" s="64"/>
      <c r="T72" s="64"/>
      <c r="U72" s="64"/>
      <c r="V72" s="64"/>
      <c r="W72" s="64"/>
      <c r="X72" s="798"/>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row>
    <row r="73" spans="1:51" ht="16" thickBot="1" x14ac:dyDescent="0.25">
      <c r="B73" s="14" t="s">
        <v>2225</v>
      </c>
      <c r="C73" s="14"/>
      <c r="D73" s="14"/>
      <c r="E73" s="14" t="s">
        <v>2194</v>
      </c>
      <c r="F73" s="14"/>
      <c r="G73" s="14"/>
      <c r="H73" s="441"/>
      <c r="I73" s="72"/>
      <c r="J73" s="66" t="s">
        <v>2194</v>
      </c>
      <c r="K73" s="72"/>
      <c r="L73" s="67" t="s">
        <v>2237</v>
      </c>
      <c r="M73" s="615">
        <v>5</v>
      </c>
      <c r="N73" s="68"/>
      <c r="O73" s="622">
        <f>M73*W73*S73</f>
        <v>0</v>
      </c>
      <c r="P73" s="562" t="b">
        <v>1</v>
      </c>
      <c r="Q73" s="562" t="b">
        <v>1</v>
      </c>
      <c r="R73" s="68" t="b">
        <v>0</v>
      </c>
      <c r="S73" s="68" t="b">
        <f>S63</f>
        <v>0</v>
      </c>
      <c r="T73" s="64" t="b">
        <f>AND(NOT(S73),W73=TRUE)</f>
        <v>0</v>
      </c>
      <c r="U73" s="68"/>
      <c r="V73" s="68"/>
      <c r="W73" s="18"/>
      <c r="X73" s="799"/>
      <c r="Y73" s="562"/>
      <c r="Z73" s="562"/>
      <c r="AA73" s="562"/>
      <c r="AB73" s="562"/>
      <c r="AC73" s="562" t="b">
        <f>OR(AD73:AE73)</f>
        <v>0</v>
      </c>
      <c r="AD73" s="562" t="b">
        <f>T73</f>
        <v>0</v>
      </c>
      <c r="AE73" s="562"/>
      <c r="AF73" s="562"/>
      <c r="AG73" s="562"/>
      <c r="AH73" s="562"/>
      <c r="AI73" s="562"/>
      <c r="AJ73" s="562"/>
      <c r="AK73" s="562"/>
      <c r="AL73" s="562" t="str">
        <f>SUBSTITUTE(SUBSTITUTE(SUBSTITUTE("dpa"&amp;$B73&amp;$C73&amp;$D73&amp;$E73&amp;$F73,".","_"),"(","_"),")","")</f>
        <v>dpa503_2_5</v>
      </c>
      <c r="AM73" s="190">
        <f>M73</f>
        <v>5</v>
      </c>
      <c r="AN73" s="562" t="str">
        <f>SUBSTITUTE(SUBSTITUTE(SUBSTITUTE("dpc"&amp;$B73&amp;$C73&amp;$D73&amp;$E73&amp;$F73,".","_"),"(","_"),")","")</f>
        <v>dpc503_2_5</v>
      </c>
      <c r="AO73" s="190">
        <f>O73</f>
        <v>0</v>
      </c>
      <c r="AP73" s="562" t="str">
        <f>SUBSTITUTE(SUBSTITUTE(SUBSTITUTE("dch"&amp;$B73&amp;$C73&amp;$D73&amp;$E73&amp;$F73,".","_"),"(","_"),")","")</f>
        <v>dch503_2_5</v>
      </c>
      <c r="AQ73" s="190">
        <f>W73</f>
        <v>0</v>
      </c>
      <c r="AR73" s="562"/>
      <c r="AS73" s="562"/>
      <c r="AT73" s="562"/>
      <c r="AU73" s="562"/>
      <c r="AV73" s="562"/>
      <c r="AW73" s="562"/>
      <c r="AX73" s="562"/>
      <c r="AY73" s="562"/>
    </row>
    <row r="74" spans="1:51" ht="16" thickTop="1" x14ac:dyDescent="0.2">
      <c r="B74" s="14" t="s">
        <v>2238</v>
      </c>
      <c r="C74" s="14"/>
      <c r="D74" s="14"/>
      <c r="E74" s="14"/>
      <c r="F74" s="14"/>
      <c r="G74" s="14"/>
      <c r="H74" s="441"/>
      <c r="I74" s="75" t="s">
        <v>2239</v>
      </c>
      <c r="J74" s="76"/>
      <c r="K74" s="76"/>
      <c r="L74" s="819" t="s">
        <v>2240</v>
      </c>
      <c r="M74" s="625"/>
      <c r="N74" s="74"/>
      <c r="O74" s="623"/>
      <c r="P74" s="74"/>
      <c r="Q74" s="74"/>
      <c r="R74" s="74"/>
      <c r="S74" s="74"/>
      <c r="T74" s="74"/>
      <c r="U74" s="74"/>
      <c r="V74" s="74"/>
      <c r="W74" s="74"/>
      <c r="X74" s="802"/>
      <c r="Y74" s="562"/>
      <c r="Z74" s="562"/>
      <c r="AA74" s="562"/>
      <c r="AB74" s="562"/>
      <c r="AC74" s="562"/>
      <c r="AD74" s="562"/>
      <c r="AE74" s="562"/>
      <c r="AF74" s="562"/>
      <c r="AG74" s="562"/>
      <c r="AH74" s="562"/>
      <c r="AI74" s="562"/>
      <c r="AJ74" s="562"/>
      <c r="AK74" s="562"/>
      <c r="AL74" s="562"/>
      <c r="AM74" s="562"/>
      <c r="AN74" s="562"/>
      <c r="AO74" s="562"/>
      <c r="AP74" s="562"/>
      <c r="AQ74" s="562"/>
      <c r="AR74" s="562" t="str">
        <f>SUBSTITUTE(SUBSTITUTE(SUBSTITUTE("dnt"&amp;$B74&amp;$C74&amp;$D74&amp;$E74&amp;$F74,".","_"),"(","_"),")","")</f>
        <v>dnt503_3</v>
      </c>
      <c r="AS74" s="190">
        <f>X74</f>
        <v>0</v>
      </c>
      <c r="AT74" s="562"/>
      <c r="AU74" s="562"/>
      <c r="AV74" s="562"/>
      <c r="AW74" s="562"/>
      <c r="AX74" s="562"/>
      <c r="AY74" s="562"/>
    </row>
    <row r="75" spans="1:51" x14ac:dyDescent="0.2">
      <c r="B75" s="14" t="s">
        <v>2238</v>
      </c>
      <c r="C75" s="14"/>
      <c r="D75" s="14"/>
      <c r="E75" s="14"/>
      <c r="F75" s="14"/>
      <c r="G75" s="14"/>
      <c r="H75" s="441"/>
      <c r="I75" s="71"/>
      <c r="J75" s="71"/>
      <c r="K75" s="71"/>
      <c r="L75" s="820"/>
      <c r="M75" s="610"/>
      <c r="N75" s="64"/>
      <c r="O75" s="607"/>
      <c r="P75" s="64"/>
      <c r="Q75" s="64"/>
      <c r="R75" s="64"/>
      <c r="S75" s="64"/>
      <c r="T75" s="64"/>
      <c r="U75" s="64"/>
      <c r="V75" s="64"/>
      <c r="W75" s="64"/>
      <c r="X75" s="798"/>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row>
    <row r="76" spans="1:51" x14ac:dyDescent="0.2">
      <c r="B76" s="14" t="s">
        <v>2238</v>
      </c>
      <c r="C76" s="14"/>
      <c r="D76" s="14"/>
      <c r="E76" s="14"/>
      <c r="F76" s="14"/>
      <c r="G76" s="14"/>
      <c r="H76" s="441"/>
      <c r="I76" s="71"/>
      <c r="J76" s="71"/>
      <c r="K76" s="71"/>
      <c r="L76" s="567" t="s">
        <v>2241</v>
      </c>
      <c r="M76" s="610"/>
      <c r="N76" s="64"/>
      <c r="O76" s="607"/>
      <c r="P76" s="64"/>
      <c r="Q76" s="64"/>
      <c r="R76" s="64"/>
      <c r="S76" s="64"/>
      <c r="T76" s="64"/>
      <c r="U76" s="64"/>
      <c r="V76" s="64"/>
      <c r="W76" s="64"/>
      <c r="X76" s="798"/>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row>
    <row r="77" spans="1:51" x14ac:dyDescent="0.2">
      <c r="B77" s="14" t="s">
        <v>2238</v>
      </c>
      <c r="C77" s="14"/>
      <c r="D77" s="14"/>
      <c r="E77" s="14" t="s">
        <v>2181</v>
      </c>
      <c r="F77" s="14"/>
      <c r="G77" s="14"/>
      <c r="H77" s="441"/>
      <c r="I77" s="71"/>
      <c r="J77" s="61" t="s">
        <v>2181</v>
      </c>
      <c r="K77" s="71"/>
      <c r="L77" s="791" t="s">
        <v>2242</v>
      </c>
      <c r="M77" s="800">
        <v>5</v>
      </c>
      <c r="N77" s="64"/>
      <c r="O77" s="793">
        <f>M77*W77</f>
        <v>0</v>
      </c>
      <c r="P77" s="562" t="b">
        <v>1</v>
      </c>
      <c r="Q77" s="562" t="b">
        <v>0</v>
      </c>
      <c r="R77" s="64" t="b">
        <v>0</v>
      </c>
      <c r="S77" s="64" t="b">
        <v>1</v>
      </c>
      <c r="T77" s="64" t="b">
        <v>0</v>
      </c>
      <c r="U77" s="64"/>
      <c r="V77" s="64"/>
      <c r="W77" s="18"/>
      <c r="X77" s="798"/>
      <c r="Y77" s="562"/>
      <c r="Z77" s="562"/>
      <c r="AA77" s="562"/>
      <c r="AB77" s="562"/>
      <c r="AC77" s="562"/>
      <c r="AD77" s="562"/>
      <c r="AE77" s="562"/>
      <c r="AF77" s="562"/>
      <c r="AG77" s="562"/>
      <c r="AH77" s="562"/>
      <c r="AI77" s="562"/>
      <c r="AJ77" s="562"/>
      <c r="AK77" s="562"/>
      <c r="AL77" s="562" t="str">
        <f>SUBSTITUTE(SUBSTITUTE(SUBSTITUTE("dpa"&amp;$B77&amp;$C77&amp;$D77&amp;$E77&amp;$F77,".","_"),"(","_"),")","")</f>
        <v>dpa503_3_1</v>
      </c>
      <c r="AM77" s="190">
        <f>M77</f>
        <v>5</v>
      </c>
      <c r="AN77" s="562" t="str">
        <f>SUBSTITUTE(SUBSTITUTE(SUBSTITUTE("dpc"&amp;$B77&amp;$C77&amp;$D77&amp;$E77&amp;$F77,".","_"),"(","_"),")","")</f>
        <v>dpc503_3_1</v>
      </c>
      <c r="AO77" s="190">
        <f>O77</f>
        <v>0</v>
      </c>
      <c r="AP77" s="562" t="str">
        <f>SUBSTITUTE(SUBSTITUTE(SUBSTITUTE("dch"&amp;$B77&amp;$C77&amp;$D77&amp;$E77&amp;$F77,".","_"),"(","_"),")","")</f>
        <v>dch503_3_1</v>
      </c>
      <c r="AQ77" s="190">
        <f>W77</f>
        <v>0</v>
      </c>
      <c r="AR77" s="562"/>
      <c r="AS77" s="562"/>
      <c r="AT77" s="562"/>
      <c r="AU77" s="562"/>
      <c r="AV77" s="562"/>
      <c r="AW77" s="562"/>
      <c r="AX77" s="562"/>
      <c r="AY77" s="562"/>
    </row>
    <row r="78" spans="1:51" x14ac:dyDescent="0.2">
      <c r="B78" s="14" t="s">
        <v>2238</v>
      </c>
      <c r="C78" s="14"/>
      <c r="D78" s="14"/>
      <c r="E78" s="14" t="s">
        <v>2181</v>
      </c>
      <c r="F78" s="14"/>
      <c r="G78" s="14"/>
      <c r="H78" s="441"/>
      <c r="I78" s="71"/>
      <c r="J78" s="125"/>
      <c r="K78" s="128"/>
      <c r="L78" s="792"/>
      <c r="M78" s="801"/>
      <c r="N78" s="129"/>
      <c r="O78" s="794"/>
      <c r="P78" s="64"/>
      <c r="Q78" s="64"/>
      <c r="R78" s="64"/>
      <c r="S78" s="64"/>
      <c r="T78" s="64"/>
      <c r="U78" s="64"/>
      <c r="V78" s="64"/>
      <c r="W78" s="64"/>
      <c r="X78" s="798"/>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row>
    <row r="79" spans="1:51" x14ac:dyDescent="0.2">
      <c r="B79" s="14" t="s">
        <v>2238</v>
      </c>
      <c r="C79" s="14"/>
      <c r="D79" s="14"/>
      <c r="E79" s="14" t="s">
        <v>2183</v>
      </c>
      <c r="F79" s="14"/>
      <c r="G79" s="14"/>
      <c r="H79" s="441"/>
      <c r="I79" s="71"/>
      <c r="J79" s="61" t="s">
        <v>2183</v>
      </c>
      <c r="K79" s="71"/>
      <c r="L79" s="791" t="s">
        <v>2243</v>
      </c>
      <c r="M79" s="824">
        <v>5</v>
      </c>
      <c r="N79" s="64"/>
      <c r="O79" s="815">
        <f>M79*MIN(W81+W82+W84+W85,1)</f>
        <v>0</v>
      </c>
      <c r="P79" s="562" t="b">
        <v>1</v>
      </c>
      <c r="Q79" s="562" t="b">
        <v>0</v>
      </c>
      <c r="R79" s="64" t="b">
        <v>0</v>
      </c>
      <c r="S79" s="64" t="b">
        <v>1</v>
      </c>
      <c r="T79" s="64" t="b">
        <v>0</v>
      </c>
      <c r="U79" s="64"/>
      <c r="V79" s="64"/>
      <c r="W79" s="64"/>
      <c r="X79" s="798"/>
      <c r="Y79" s="562"/>
      <c r="Z79" s="562"/>
      <c r="AA79" s="562"/>
      <c r="AB79" s="562"/>
      <c r="AC79" s="562"/>
      <c r="AD79" s="562"/>
      <c r="AE79" s="562"/>
      <c r="AF79" s="562"/>
      <c r="AG79" s="562"/>
      <c r="AH79" s="562"/>
      <c r="AI79" s="562"/>
      <c r="AJ79" s="562"/>
      <c r="AK79" s="562"/>
      <c r="AL79" s="562" t="str">
        <f>SUBSTITUTE(SUBSTITUTE(SUBSTITUTE("dpa"&amp;$B79&amp;$C79&amp;$D79&amp;$E79&amp;$F79,".","_"),"(","_"),")","")</f>
        <v>dpa503_3_2</v>
      </c>
      <c r="AM79" s="190">
        <f>M79</f>
        <v>5</v>
      </c>
      <c r="AN79" s="562" t="str">
        <f>SUBSTITUTE(SUBSTITUTE(SUBSTITUTE("dpc"&amp;$B79&amp;$C79&amp;$D79&amp;$E79&amp;$F79,".","_"),"(","_"),")","")</f>
        <v>dpc503_3_2</v>
      </c>
      <c r="AO79" s="190">
        <f>O79</f>
        <v>0</v>
      </c>
      <c r="AP79" s="562"/>
      <c r="AQ79" s="562"/>
      <c r="AR79" s="562"/>
      <c r="AS79" s="562"/>
      <c r="AT79" s="562"/>
      <c r="AU79" s="562"/>
      <c r="AV79" s="562"/>
      <c r="AW79" s="562"/>
      <c r="AX79" s="562"/>
      <c r="AY79" s="562"/>
    </row>
    <row r="80" spans="1:51" x14ac:dyDescent="0.2">
      <c r="B80" s="14" t="s">
        <v>2238</v>
      </c>
      <c r="C80" s="14"/>
      <c r="D80" s="14"/>
      <c r="E80" s="14" t="s">
        <v>2183</v>
      </c>
      <c r="F80" s="14"/>
      <c r="G80" s="14"/>
      <c r="H80" s="441"/>
      <c r="I80" s="71"/>
      <c r="J80" s="71"/>
      <c r="K80" s="71"/>
      <c r="L80" s="791"/>
      <c r="M80" s="800"/>
      <c r="N80" s="64"/>
      <c r="O80" s="793"/>
      <c r="P80" s="64"/>
      <c r="Q80" s="64"/>
      <c r="R80" s="64"/>
      <c r="S80" s="64"/>
      <c r="T80" s="64"/>
      <c r="U80" s="64"/>
      <c r="V80" s="64"/>
      <c r="W80" s="64"/>
      <c r="X80" s="798"/>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row>
    <row r="81" spans="1:51" x14ac:dyDescent="0.2">
      <c r="B81" s="14" t="s">
        <v>2238</v>
      </c>
      <c r="C81" s="14"/>
      <c r="D81" s="14"/>
      <c r="E81" s="14" t="s">
        <v>2183</v>
      </c>
      <c r="F81" s="14" t="s">
        <v>2196</v>
      </c>
      <c r="G81" s="14"/>
      <c r="H81" s="441"/>
      <c r="I81" s="71"/>
      <c r="J81" s="71"/>
      <c r="K81" s="61" t="s">
        <v>2196</v>
      </c>
      <c r="L81" s="65" t="s">
        <v>2244</v>
      </c>
      <c r="M81" s="800"/>
      <c r="N81" s="64"/>
      <c r="O81" s="793"/>
      <c r="P81" s="562" t="b">
        <v>1</v>
      </c>
      <c r="Q81" s="562" t="b">
        <v>0</v>
      </c>
      <c r="R81" s="64" t="b">
        <v>0</v>
      </c>
      <c r="S81" s="64" t="b">
        <v>1</v>
      </c>
      <c r="T81" s="64" t="b">
        <v>0</v>
      </c>
      <c r="U81" s="64"/>
      <c r="V81" s="64"/>
      <c r="W81" s="18"/>
      <c r="X81" s="798"/>
      <c r="Y81" s="562"/>
      <c r="Z81" s="562"/>
      <c r="AA81" s="562"/>
      <c r="AB81" s="562"/>
      <c r="AC81" s="562"/>
      <c r="AD81" s="562"/>
      <c r="AE81" s="562"/>
      <c r="AF81" s="562"/>
      <c r="AG81" s="562"/>
      <c r="AH81" s="562"/>
      <c r="AI81" s="562"/>
      <c r="AJ81" s="562"/>
      <c r="AK81" s="562"/>
      <c r="AL81" s="562"/>
      <c r="AM81" s="562"/>
      <c r="AN81" s="562"/>
      <c r="AO81" s="562"/>
      <c r="AP81" s="562" t="str">
        <f t="shared" ref="AP81:AP82" si="10">SUBSTITUTE(SUBSTITUTE(SUBSTITUTE("dch"&amp;$B81&amp;$C81&amp;$D81&amp;$E81&amp;$F81,".","_"),"(","_"),")","")</f>
        <v>dch503_3_2_a</v>
      </c>
      <c r="AQ81" s="190">
        <f>W81</f>
        <v>0</v>
      </c>
      <c r="AR81" s="562"/>
      <c r="AS81" s="562"/>
      <c r="AT81" s="562"/>
      <c r="AU81" s="562"/>
      <c r="AV81" s="562"/>
      <c r="AW81" s="562"/>
      <c r="AX81" s="562"/>
      <c r="AY81" s="562"/>
    </row>
    <row r="82" spans="1:51" x14ac:dyDescent="0.2">
      <c r="B82" s="14" t="s">
        <v>2238</v>
      </c>
      <c r="C82" s="14"/>
      <c r="D82" s="14"/>
      <c r="E82" s="14" t="s">
        <v>2183</v>
      </c>
      <c r="F82" s="14" t="s">
        <v>2198</v>
      </c>
      <c r="G82" s="14"/>
      <c r="H82" s="441"/>
      <c r="I82" s="71"/>
      <c r="J82" s="71"/>
      <c r="K82" s="61" t="s">
        <v>2198</v>
      </c>
      <c r="L82" s="791" t="s">
        <v>2245</v>
      </c>
      <c r="M82" s="800"/>
      <c r="N82" s="64"/>
      <c r="O82" s="793"/>
      <c r="P82" s="562" t="b">
        <v>1</v>
      </c>
      <c r="Q82" s="562" t="b">
        <v>0</v>
      </c>
      <c r="R82" s="64" t="b">
        <v>0</v>
      </c>
      <c r="S82" s="64" t="b">
        <v>1</v>
      </c>
      <c r="T82" s="64" t="b">
        <v>0</v>
      </c>
      <c r="U82" s="64"/>
      <c r="V82" s="64"/>
      <c r="W82" s="18"/>
      <c r="X82" s="798"/>
      <c r="Y82" s="562"/>
      <c r="Z82" s="562"/>
      <c r="AA82" s="562"/>
      <c r="AB82" s="562"/>
      <c r="AC82" s="562"/>
      <c r="AD82" s="562"/>
      <c r="AE82" s="562"/>
      <c r="AF82" s="562"/>
      <c r="AG82" s="562"/>
      <c r="AH82" s="562"/>
      <c r="AI82" s="562"/>
      <c r="AJ82" s="562"/>
      <c r="AK82" s="562"/>
      <c r="AL82" s="562"/>
      <c r="AM82" s="562"/>
      <c r="AN82" s="562"/>
      <c r="AO82" s="562"/>
      <c r="AP82" s="562" t="str">
        <f t="shared" si="10"/>
        <v>dch503_3_2_b</v>
      </c>
      <c r="AQ82" s="190">
        <f>W82</f>
        <v>0</v>
      </c>
      <c r="AR82" s="562"/>
      <c r="AS82" s="562"/>
      <c r="AT82" s="562"/>
      <c r="AU82" s="562"/>
      <c r="AV82" s="562"/>
      <c r="AW82" s="562"/>
      <c r="AX82" s="562"/>
      <c r="AY82" s="562"/>
    </row>
    <row r="83" spans="1:51" s="94" customFormat="1" x14ac:dyDescent="0.2">
      <c r="A83" s="13"/>
      <c r="B83" s="14" t="s">
        <v>2238</v>
      </c>
      <c r="C83" s="14"/>
      <c r="D83" s="14"/>
      <c r="E83" s="14" t="s">
        <v>2183</v>
      </c>
      <c r="F83" s="14" t="s">
        <v>2198</v>
      </c>
      <c r="G83" s="14"/>
      <c r="H83" s="441"/>
      <c r="I83" s="71"/>
      <c r="J83" s="71"/>
      <c r="K83" s="71"/>
      <c r="L83" s="791"/>
      <c r="M83" s="800"/>
      <c r="N83" s="64"/>
      <c r="O83" s="793"/>
      <c r="P83" s="64"/>
      <c r="Q83" s="64"/>
      <c r="R83" s="64"/>
      <c r="S83" s="64"/>
      <c r="T83" s="64"/>
      <c r="U83" s="64"/>
      <c r="V83" s="64"/>
      <c r="W83" s="64"/>
      <c r="X83" s="798"/>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row>
    <row r="84" spans="1:51" x14ac:dyDescent="0.2">
      <c r="B84" s="14" t="s">
        <v>2238</v>
      </c>
      <c r="C84" s="14"/>
      <c r="D84" s="14"/>
      <c r="E84" s="14" t="s">
        <v>2183</v>
      </c>
      <c r="F84" s="19" t="s">
        <v>2200</v>
      </c>
      <c r="G84" s="19"/>
      <c r="H84" s="442"/>
      <c r="I84" s="71"/>
      <c r="J84" s="71"/>
      <c r="K84" s="79" t="s">
        <v>2200</v>
      </c>
      <c r="L84" s="65" t="s">
        <v>2246</v>
      </c>
      <c r="M84" s="800"/>
      <c r="N84" s="64"/>
      <c r="O84" s="793"/>
      <c r="P84" s="562" t="b">
        <v>1</v>
      </c>
      <c r="Q84" s="562" t="b">
        <v>0</v>
      </c>
      <c r="R84" s="64" t="b">
        <v>0</v>
      </c>
      <c r="S84" s="64" t="b">
        <v>1</v>
      </c>
      <c r="T84" s="64" t="b">
        <v>0</v>
      </c>
      <c r="U84" s="64"/>
      <c r="V84" s="64"/>
      <c r="W84" s="18"/>
      <c r="X84" s="798"/>
      <c r="Y84" s="562"/>
      <c r="Z84" s="562"/>
      <c r="AA84" s="562"/>
      <c r="AB84" s="562"/>
      <c r="AC84" s="562"/>
      <c r="AD84" s="562"/>
      <c r="AE84" s="562"/>
      <c r="AF84" s="562"/>
      <c r="AG84" s="562"/>
      <c r="AH84" s="562"/>
      <c r="AI84" s="562"/>
      <c r="AJ84" s="562"/>
      <c r="AK84" s="562"/>
      <c r="AL84" s="562"/>
      <c r="AM84" s="562"/>
      <c r="AN84" s="562"/>
      <c r="AO84" s="562"/>
      <c r="AP84" s="562" t="str">
        <f t="shared" ref="AP84:AP86" si="11">SUBSTITUTE(SUBSTITUTE(SUBSTITUTE("dch"&amp;$B84&amp;$C84&amp;$D84&amp;$E84&amp;$F84,".","_"),"(","_"),")","")</f>
        <v>dch503_3_2_c</v>
      </c>
      <c r="AQ84" s="190">
        <f>W84</f>
        <v>0</v>
      </c>
      <c r="AR84" s="562"/>
      <c r="AS84" s="562"/>
      <c r="AT84" s="562"/>
      <c r="AU84" s="562"/>
      <c r="AV84" s="562"/>
      <c r="AW84" s="562"/>
      <c r="AX84" s="562"/>
      <c r="AY84" s="562"/>
    </row>
    <row r="85" spans="1:51" x14ac:dyDescent="0.2">
      <c r="B85" s="14" t="s">
        <v>2238</v>
      </c>
      <c r="C85" s="14"/>
      <c r="D85" s="14"/>
      <c r="E85" s="14" t="s">
        <v>2183</v>
      </c>
      <c r="F85" s="19" t="s">
        <v>2247</v>
      </c>
      <c r="G85" s="19"/>
      <c r="H85" s="442"/>
      <c r="I85" s="71"/>
      <c r="J85" s="128"/>
      <c r="K85" s="130" t="s">
        <v>2247</v>
      </c>
      <c r="L85" s="126" t="s">
        <v>2248</v>
      </c>
      <c r="M85" s="801"/>
      <c r="N85" s="129"/>
      <c r="O85" s="794"/>
      <c r="P85" s="562" t="b">
        <v>1</v>
      </c>
      <c r="Q85" s="562" t="b">
        <v>0</v>
      </c>
      <c r="R85" s="64" t="b">
        <v>0</v>
      </c>
      <c r="S85" s="64" t="b">
        <v>1</v>
      </c>
      <c r="T85" s="64" t="b">
        <v>0</v>
      </c>
      <c r="U85" s="64"/>
      <c r="V85" s="64"/>
      <c r="W85" s="18"/>
      <c r="X85" s="798"/>
      <c r="Y85" s="562"/>
      <c r="Z85" s="562"/>
      <c r="AA85" s="562"/>
      <c r="AB85" s="562"/>
      <c r="AC85" s="562"/>
      <c r="AD85" s="562"/>
      <c r="AE85" s="562"/>
      <c r="AF85" s="562"/>
      <c r="AG85" s="562"/>
      <c r="AH85" s="562"/>
      <c r="AI85" s="562"/>
      <c r="AJ85" s="562"/>
      <c r="AK85" s="562"/>
      <c r="AL85" s="562"/>
      <c r="AM85" s="562"/>
      <c r="AN85" s="562"/>
      <c r="AO85" s="562"/>
      <c r="AP85" s="562" t="str">
        <f t="shared" si="11"/>
        <v>dch503_3_2_d</v>
      </c>
      <c r="AQ85" s="190">
        <f>W85</f>
        <v>0</v>
      </c>
      <c r="AR85" s="562"/>
      <c r="AS85" s="562"/>
      <c r="AT85" s="562"/>
      <c r="AU85" s="562"/>
      <c r="AV85" s="562"/>
      <c r="AW85" s="562"/>
      <c r="AX85" s="562"/>
      <c r="AY85" s="562"/>
    </row>
    <row r="86" spans="1:51" ht="16" thickBot="1" x14ac:dyDescent="0.25">
      <c r="B86" s="14" t="s">
        <v>2238</v>
      </c>
      <c r="C86" s="14"/>
      <c r="D86" s="14"/>
      <c r="E86" s="14" t="s">
        <v>2185</v>
      </c>
      <c r="F86" s="14"/>
      <c r="G86" s="14"/>
      <c r="H86" s="441"/>
      <c r="I86" s="72"/>
      <c r="J86" s="66" t="s">
        <v>2185</v>
      </c>
      <c r="K86" s="72"/>
      <c r="L86" s="67" t="s">
        <v>2249</v>
      </c>
      <c r="M86" s="615">
        <v>5</v>
      </c>
      <c r="N86" s="68"/>
      <c r="O86" s="622">
        <f>M86*W86</f>
        <v>0</v>
      </c>
      <c r="P86" s="562" t="b">
        <v>1</v>
      </c>
      <c r="Q86" s="562" t="b">
        <v>0</v>
      </c>
      <c r="R86" s="68" t="b">
        <v>0</v>
      </c>
      <c r="S86" s="68" t="b">
        <v>1</v>
      </c>
      <c r="T86" s="68" t="b">
        <v>0</v>
      </c>
      <c r="U86" s="68"/>
      <c r="V86" s="68"/>
      <c r="W86" s="137"/>
      <c r="X86" s="799"/>
      <c r="Y86" s="562"/>
      <c r="Z86" s="562"/>
      <c r="AA86" s="562"/>
      <c r="AB86" s="562"/>
      <c r="AC86" s="562"/>
      <c r="AD86" s="562"/>
      <c r="AE86" s="562"/>
      <c r="AF86" s="562"/>
      <c r="AG86" s="562"/>
      <c r="AH86" s="562"/>
      <c r="AI86" s="562"/>
      <c r="AJ86" s="562"/>
      <c r="AK86" s="562"/>
      <c r="AL86" s="562" t="str">
        <f>SUBSTITUTE(SUBSTITUTE(SUBSTITUTE("dpa"&amp;$B86&amp;$C86&amp;$D86&amp;$E86&amp;$F86,".","_"),"(","_"),")","")</f>
        <v>dpa503_3_3</v>
      </c>
      <c r="AM86" s="190">
        <f>M86</f>
        <v>5</v>
      </c>
      <c r="AN86" s="562" t="str">
        <f>SUBSTITUTE(SUBSTITUTE(SUBSTITUTE("dpc"&amp;$B86&amp;$C86&amp;$D86&amp;$E86&amp;$F86,".","_"),"(","_"),")","")</f>
        <v>dpc503_3_3</v>
      </c>
      <c r="AO86" s="190">
        <f>O86</f>
        <v>0</v>
      </c>
      <c r="AP86" s="562" t="str">
        <f t="shared" si="11"/>
        <v>dch503_3_3</v>
      </c>
      <c r="AQ86" s="190">
        <f>W86</f>
        <v>0</v>
      </c>
      <c r="AR86" s="562"/>
      <c r="AS86" s="562"/>
      <c r="AT86" s="562"/>
      <c r="AU86" s="562"/>
      <c r="AV86" s="562"/>
      <c r="AW86" s="562"/>
      <c r="AX86" s="562"/>
      <c r="AY86" s="562"/>
    </row>
    <row r="87" spans="1:51" ht="16" thickTop="1" x14ac:dyDescent="0.2">
      <c r="B87" s="14" t="s">
        <v>2250</v>
      </c>
      <c r="C87" s="14"/>
      <c r="D87" s="14"/>
      <c r="E87" s="14"/>
      <c r="F87" s="14"/>
      <c r="G87" s="14"/>
      <c r="H87" s="441"/>
      <c r="I87" s="107" t="s">
        <v>2251</v>
      </c>
      <c r="J87" s="60"/>
      <c r="K87" s="60"/>
      <c r="L87" s="819" t="s">
        <v>2252</v>
      </c>
      <c r="M87" s="616"/>
      <c r="N87" s="562"/>
      <c r="O87" s="609"/>
      <c r="P87" s="562"/>
      <c r="Q87" s="562"/>
      <c r="R87" s="562"/>
      <c r="S87" s="562"/>
      <c r="T87" s="562"/>
      <c r="U87" s="562"/>
      <c r="V87" s="562"/>
      <c r="W87" s="136"/>
      <c r="X87" s="796"/>
      <c r="Y87" s="562"/>
      <c r="Z87" s="562"/>
      <c r="AA87" s="562"/>
      <c r="AB87" s="562"/>
      <c r="AC87" s="562"/>
      <c r="AD87" s="562"/>
      <c r="AE87" s="562"/>
      <c r="AF87" s="562"/>
      <c r="AG87" s="562"/>
      <c r="AH87" s="562"/>
      <c r="AI87" s="562"/>
      <c r="AJ87" s="562"/>
      <c r="AK87" s="562"/>
      <c r="AL87" s="562"/>
      <c r="AM87" s="562"/>
      <c r="AN87" s="562"/>
      <c r="AO87" s="562"/>
      <c r="AP87" s="562"/>
      <c r="AQ87" s="562"/>
      <c r="AR87" s="562" t="str">
        <f>SUBSTITUTE(SUBSTITUTE(SUBSTITUTE("dnt"&amp;$B87&amp;$C87&amp;$D87&amp;$E87&amp;$F87,".","_"),"(","_"),")","")</f>
        <v>dnt503_4</v>
      </c>
      <c r="AS87" s="190">
        <f>X87</f>
        <v>0</v>
      </c>
      <c r="AT87" s="562"/>
      <c r="AU87" s="562"/>
      <c r="AV87" s="562"/>
      <c r="AW87" s="562"/>
      <c r="AX87" s="562"/>
      <c r="AY87" s="562"/>
    </row>
    <row r="88" spans="1:51" x14ac:dyDescent="0.2">
      <c r="B88" s="14" t="s">
        <v>2250</v>
      </c>
      <c r="C88" s="14"/>
      <c r="D88" s="14"/>
      <c r="E88" s="14"/>
      <c r="F88" s="14"/>
      <c r="G88" s="14"/>
      <c r="H88" s="441"/>
      <c r="I88" s="60"/>
      <c r="J88" s="60"/>
      <c r="K88" s="60"/>
      <c r="L88" s="775"/>
      <c r="M88" s="616"/>
      <c r="N88" s="562"/>
      <c r="O88" s="609"/>
      <c r="P88" s="562"/>
      <c r="Q88" s="562"/>
      <c r="R88" s="562"/>
      <c r="S88" s="562"/>
      <c r="T88" s="562"/>
      <c r="U88" s="562"/>
      <c r="V88" s="562"/>
      <c r="W88" s="562"/>
      <c r="X88" s="797"/>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row>
    <row r="89" spans="1:51" x14ac:dyDescent="0.2">
      <c r="B89" s="14" t="s">
        <v>2250</v>
      </c>
      <c r="C89" s="14"/>
      <c r="D89" s="14"/>
      <c r="E89" s="14"/>
      <c r="F89" s="14"/>
      <c r="G89" s="14"/>
      <c r="H89" s="441"/>
      <c r="I89" s="60"/>
      <c r="J89" s="60"/>
      <c r="K89" s="60"/>
      <c r="L89" s="775"/>
      <c r="M89" s="616"/>
      <c r="N89" s="562"/>
      <c r="O89" s="609"/>
      <c r="P89" s="562"/>
      <c r="Q89" s="562"/>
      <c r="R89" s="562"/>
      <c r="S89" s="562"/>
      <c r="T89" s="562"/>
      <c r="U89" s="562"/>
      <c r="V89" s="562"/>
      <c r="W89" s="562"/>
      <c r="X89" s="797"/>
      <c r="Y89" s="562"/>
      <c r="Z89" s="562"/>
      <c r="AA89" s="562"/>
      <c r="AB89" s="562"/>
      <c r="AC89" s="562"/>
      <c r="AD89" s="562"/>
      <c r="AE89" s="562"/>
      <c r="AF89" s="562"/>
      <c r="AG89" s="562"/>
      <c r="AH89" s="562"/>
      <c r="AI89" s="562"/>
      <c r="AJ89" s="562"/>
      <c r="AK89" s="562"/>
      <c r="AL89" s="562"/>
      <c r="AM89" s="562"/>
      <c r="AN89" s="562"/>
      <c r="AO89" s="562"/>
      <c r="AP89" s="562"/>
      <c r="AQ89" s="562"/>
      <c r="AR89" s="562"/>
      <c r="AS89" s="562"/>
      <c r="AT89" s="562"/>
      <c r="AU89" s="562"/>
      <c r="AV89" s="562"/>
      <c r="AW89" s="562"/>
      <c r="AX89" s="562"/>
      <c r="AY89" s="562"/>
    </row>
    <row r="90" spans="1:51" x14ac:dyDescent="0.2">
      <c r="B90" s="14" t="s">
        <v>2250</v>
      </c>
      <c r="C90" s="14"/>
      <c r="D90" s="14"/>
      <c r="E90" s="14"/>
      <c r="F90" s="14"/>
      <c r="G90" s="14"/>
      <c r="H90" s="441"/>
      <c r="I90" s="60"/>
      <c r="J90" s="60"/>
      <c r="K90" s="60"/>
      <c r="L90" s="775"/>
      <c r="M90" s="616"/>
      <c r="N90" s="562"/>
      <c r="O90" s="609"/>
      <c r="P90" s="562"/>
      <c r="Q90" s="562"/>
      <c r="R90" s="562"/>
      <c r="S90" s="562"/>
      <c r="T90" s="562"/>
      <c r="U90" s="562"/>
      <c r="V90" s="562"/>
      <c r="W90" s="562"/>
      <c r="X90" s="797"/>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row>
    <row r="91" spans="1:51" x14ac:dyDescent="0.2">
      <c r="B91" s="14" t="s">
        <v>2250</v>
      </c>
      <c r="C91" s="14"/>
      <c r="D91" s="14"/>
      <c r="E91" s="14"/>
      <c r="F91" s="14"/>
      <c r="G91" s="14"/>
      <c r="H91" s="441"/>
      <c r="I91" s="60"/>
      <c r="J91" s="60"/>
      <c r="K91" s="60"/>
      <c r="L91" s="816" t="s">
        <v>2253</v>
      </c>
      <c r="M91" s="616"/>
      <c r="N91" s="562"/>
      <c r="O91" s="609"/>
      <c r="P91" s="562"/>
      <c r="Q91" s="562"/>
      <c r="R91" s="562"/>
      <c r="S91" s="562"/>
      <c r="T91" s="562"/>
      <c r="U91" s="562"/>
      <c r="V91" s="562"/>
      <c r="W91" s="562"/>
      <c r="X91" s="797"/>
      <c r="Y91" s="562"/>
      <c r="Z91" s="562"/>
      <c r="AA91" s="562"/>
      <c r="AB91" s="562"/>
      <c r="AC91" s="562"/>
      <c r="AD91" s="562"/>
      <c r="AE91" s="562"/>
      <c r="AF91" s="562"/>
      <c r="AG91" s="562"/>
      <c r="AH91" s="562"/>
      <c r="AI91" s="562"/>
      <c r="AJ91" s="562"/>
      <c r="AK91" s="562"/>
      <c r="AL91" s="562"/>
      <c r="AM91" s="562"/>
      <c r="AN91" s="562"/>
      <c r="AO91" s="562"/>
      <c r="AP91" s="562"/>
      <c r="AQ91" s="562"/>
      <c r="AR91" s="562"/>
      <c r="AS91" s="562"/>
      <c r="AT91" s="562"/>
      <c r="AU91" s="562"/>
      <c r="AV91" s="562"/>
      <c r="AW91" s="562"/>
      <c r="AX91" s="562"/>
      <c r="AY91" s="562"/>
    </row>
    <row r="92" spans="1:51" x14ac:dyDescent="0.2">
      <c r="B92" s="14" t="s">
        <v>2250</v>
      </c>
      <c r="C92" s="14"/>
      <c r="D92" s="14"/>
      <c r="E92" s="14"/>
      <c r="F92" s="14"/>
      <c r="G92" s="14"/>
      <c r="H92" s="441"/>
      <c r="I92" s="60"/>
      <c r="J92" s="60"/>
      <c r="K92" s="60"/>
      <c r="L92" s="816"/>
      <c r="M92" s="616"/>
      <c r="N92" s="562"/>
      <c r="O92" s="609"/>
      <c r="P92" s="562"/>
      <c r="Q92" s="562"/>
      <c r="R92" s="562"/>
      <c r="S92" s="562"/>
      <c r="T92" s="562"/>
      <c r="U92" s="562"/>
      <c r="V92" s="562"/>
      <c r="W92" s="562"/>
      <c r="X92" s="797"/>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562"/>
      <c r="AW92" s="562"/>
      <c r="AX92" s="562"/>
      <c r="AY92" s="562"/>
    </row>
    <row r="93" spans="1:51" x14ac:dyDescent="0.2">
      <c r="B93" s="14" t="s">
        <v>2250</v>
      </c>
      <c r="C93" s="14"/>
      <c r="D93" s="14"/>
      <c r="E93" s="14"/>
      <c r="F93" s="14"/>
      <c r="G93" s="14"/>
      <c r="H93" s="441"/>
      <c r="I93" s="60"/>
      <c r="J93" s="60"/>
      <c r="K93" s="60"/>
      <c r="L93" s="816"/>
      <c r="M93" s="616"/>
      <c r="N93" s="562"/>
      <c r="O93" s="609"/>
      <c r="P93" s="562"/>
      <c r="Q93" s="562"/>
      <c r="R93" s="562"/>
      <c r="S93" s="562"/>
      <c r="T93" s="562"/>
      <c r="U93" s="562"/>
      <c r="V93" s="562"/>
      <c r="W93" s="562"/>
      <c r="X93" s="786"/>
      <c r="Y93" s="562"/>
      <c r="Z93" s="562"/>
      <c r="AA93" s="562"/>
      <c r="AB93" s="562"/>
      <c r="AC93" s="562"/>
      <c r="AD93" s="562"/>
      <c r="AE93" s="562"/>
      <c r="AF93" s="562"/>
      <c r="AG93" s="562"/>
      <c r="AH93" s="562"/>
      <c r="AI93" s="562"/>
      <c r="AJ93" s="562"/>
      <c r="AK93" s="562"/>
      <c r="AL93" s="562"/>
      <c r="AM93" s="562"/>
      <c r="AN93" s="562"/>
      <c r="AO93" s="562"/>
      <c r="AP93" s="562"/>
      <c r="AQ93" s="562"/>
      <c r="AR93" s="562"/>
      <c r="AS93" s="562"/>
      <c r="AT93" s="562"/>
      <c r="AU93" s="562"/>
      <c r="AV93" s="562"/>
      <c r="AW93" s="562"/>
      <c r="AX93" s="562"/>
      <c r="AY93" s="562"/>
    </row>
    <row r="94" spans="1:51" ht="15.75" customHeight="1" x14ac:dyDescent="0.2">
      <c r="B94" s="14" t="s">
        <v>2250</v>
      </c>
      <c r="C94" s="14"/>
      <c r="D94" s="14"/>
      <c r="E94" s="14" t="s">
        <v>2181</v>
      </c>
      <c r="F94" s="14"/>
      <c r="G94" s="14"/>
      <c r="H94" s="441"/>
      <c r="I94" s="60"/>
      <c r="J94" s="61" t="s">
        <v>2181</v>
      </c>
      <c r="K94" s="71"/>
      <c r="L94" s="791" t="s">
        <v>2254</v>
      </c>
      <c r="M94" s="800">
        <v>7</v>
      </c>
      <c r="N94" s="64"/>
      <c r="O94" s="793">
        <f>M94*W94</f>
        <v>0</v>
      </c>
      <c r="P94" s="562" t="b">
        <v>1</v>
      </c>
      <c r="Q94" s="562" t="b">
        <v>0</v>
      </c>
      <c r="R94" s="562" t="b">
        <v>0</v>
      </c>
      <c r="S94" s="562" t="b">
        <v>1</v>
      </c>
      <c r="T94" s="562" t="b">
        <v>0</v>
      </c>
      <c r="U94" s="562"/>
      <c r="V94" s="562"/>
      <c r="W94" s="18"/>
      <c r="X94" s="787"/>
      <c r="Y94" s="562"/>
      <c r="Z94" s="562"/>
      <c r="AA94" s="562"/>
      <c r="AB94" s="562"/>
      <c r="AC94" s="562"/>
      <c r="AD94" s="562"/>
      <c r="AE94" s="562"/>
      <c r="AF94" s="562"/>
      <c r="AG94" s="562"/>
      <c r="AH94" s="562"/>
      <c r="AI94" s="562"/>
      <c r="AJ94" s="562"/>
      <c r="AK94" s="562"/>
      <c r="AL94" s="562" t="str">
        <f>SUBSTITUTE(SUBSTITUTE(SUBSTITUTE("dpa"&amp;$B94&amp;$C94&amp;$D94&amp;$E94&amp;$F94,".","_"),"(","_"),")","")</f>
        <v>dpa503_4_1</v>
      </c>
      <c r="AM94" s="190">
        <f>M94</f>
        <v>7</v>
      </c>
      <c r="AN94" s="562" t="str">
        <f>SUBSTITUTE(SUBSTITUTE(SUBSTITUTE("dpc"&amp;$B94&amp;$C94&amp;$D94&amp;$E94&amp;$F94,".","_"),"(","_"),")","")</f>
        <v>dpc503_4_1</v>
      </c>
      <c r="AO94" s="190">
        <f>O94</f>
        <v>0</v>
      </c>
      <c r="AP94" s="562" t="str">
        <f>SUBSTITUTE(SUBSTITUTE(SUBSTITUTE("dch"&amp;$B94&amp;$C94&amp;$D94&amp;$E94&amp;$F94,".","_"),"(","_"),")","")</f>
        <v>dch503_4_1</v>
      </c>
      <c r="AQ94" s="190">
        <f>W94</f>
        <v>0</v>
      </c>
      <c r="AR94" s="562" t="str">
        <f>SUBSTITUTE(SUBSTITUTE(SUBSTITUTE("dnt"&amp;$B94&amp;$C94&amp;$D94&amp;$E94&amp;$F94,".","_"),"(","_"),")","")</f>
        <v>dnt503_4_1</v>
      </c>
      <c r="AS94" s="190">
        <f>X94</f>
        <v>0</v>
      </c>
      <c r="AT94" s="562"/>
      <c r="AU94" s="562"/>
      <c r="AV94" s="562"/>
      <c r="AW94" s="562"/>
      <c r="AX94" s="562"/>
      <c r="AY94" s="562"/>
    </row>
    <row r="95" spans="1:51" x14ac:dyDescent="0.2">
      <c r="B95" s="14" t="s">
        <v>2250</v>
      </c>
      <c r="C95" s="14"/>
      <c r="D95" s="14"/>
      <c r="E95" s="14" t="s">
        <v>2181</v>
      </c>
      <c r="F95" s="14"/>
      <c r="G95" s="14"/>
      <c r="H95" s="441"/>
      <c r="I95" s="60"/>
      <c r="J95" s="61"/>
      <c r="K95" s="71"/>
      <c r="L95" s="791"/>
      <c r="M95" s="800"/>
      <c r="N95" s="64"/>
      <c r="O95" s="793"/>
      <c r="P95" s="562"/>
      <c r="Q95" s="562"/>
      <c r="R95" s="562"/>
      <c r="S95" s="562"/>
      <c r="T95" s="562"/>
      <c r="U95" s="562"/>
      <c r="V95" s="562"/>
      <c r="W95" s="562"/>
      <c r="X95" s="787"/>
      <c r="Y95" s="562"/>
      <c r="Z95" s="562"/>
      <c r="AA95" s="562"/>
      <c r="AB95" s="562"/>
      <c r="AC95" s="562"/>
      <c r="AD95" s="562"/>
      <c r="AE95" s="562"/>
      <c r="AF95" s="562"/>
      <c r="AG95" s="562"/>
      <c r="AH95" s="562"/>
      <c r="AI95" s="562"/>
      <c r="AJ95" s="562"/>
      <c r="AK95" s="562"/>
      <c r="AL95" s="562"/>
      <c r="AM95" s="562"/>
      <c r="AN95" s="562"/>
      <c r="AO95" s="562"/>
      <c r="AP95" s="562"/>
      <c r="AQ95" s="562"/>
      <c r="AR95" s="562"/>
      <c r="AS95" s="562"/>
      <c r="AT95" s="562"/>
      <c r="AU95" s="562"/>
      <c r="AV95" s="562"/>
      <c r="AW95" s="562"/>
      <c r="AX95" s="562"/>
      <c r="AY95" s="562"/>
    </row>
    <row r="96" spans="1:51" x14ac:dyDescent="0.2">
      <c r="B96" s="14" t="s">
        <v>2250</v>
      </c>
      <c r="C96" s="14"/>
      <c r="D96" s="14"/>
      <c r="E96" s="14" t="s">
        <v>2181</v>
      </c>
      <c r="F96" s="14"/>
      <c r="G96" s="14"/>
      <c r="H96" s="441"/>
      <c r="I96" s="60"/>
      <c r="J96" s="128"/>
      <c r="K96" s="128"/>
      <c r="L96" s="792"/>
      <c r="M96" s="801"/>
      <c r="N96" s="129"/>
      <c r="O96" s="794"/>
      <c r="P96" s="562"/>
      <c r="Q96" s="562"/>
      <c r="R96" s="562"/>
      <c r="S96" s="562"/>
      <c r="T96" s="562"/>
      <c r="U96" s="562"/>
      <c r="V96" s="562"/>
      <c r="W96" s="562"/>
      <c r="X96" s="787"/>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562"/>
      <c r="AW96" s="562"/>
      <c r="AX96" s="562"/>
      <c r="AY96" s="562"/>
    </row>
    <row r="97" spans="2:48" x14ac:dyDescent="0.2">
      <c r="B97" s="14" t="s">
        <v>2250</v>
      </c>
      <c r="C97" s="14"/>
      <c r="D97" s="14"/>
      <c r="E97" s="14" t="s">
        <v>2183</v>
      </c>
      <c r="F97" s="14"/>
      <c r="G97" s="14"/>
      <c r="H97" s="441"/>
      <c r="I97" s="60"/>
      <c r="J97" s="57" t="s">
        <v>2183</v>
      </c>
      <c r="K97" s="60"/>
      <c r="L97" s="817" t="s">
        <v>2255</v>
      </c>
      <c r="M97" s="616"/>
      <c r="N97" s="562"/>
      <c r="O97" s="795">
        <f ca="1">S97*IFERROR(INDEX({5,8,10},MATCH(W97,INDIRECT(U97))),0)</f>
        <v>0</v>
      </c>
      <c r="P97" s="562" t="b">
        <v>1</v>
      </c>
      <c r="Q97" s="562" t="b">
        <v>0</v>
      </c>
      <c r="R97" s="562" t="b">
        <v>0</v>
      </c>
      <c r="S97" s="562" t="b">
        <v>1</v>
      </c>
      <c r="T97" s="562" t="b">
        <v>0</v>
      </c>
      <c r="U97" s="562" t="str">
        <f>SUBSTITUTE(SUBSTITUTE(SUBSTITUTE("dd"&amp;B97&amp;C97&amp;D97&amp;E97&amp;F97,".","_"),"(","_"),")","")</f>
        <v>dd503_4_2</v>
      </c>
      <c r="V97" s="562"/>
      <c r="W97" s="6"/>
      <c r="X97" s="787"/>
      <c r="Y97" s="562"/>
      <c r="Z97" s="562"/>
      <c r="AA97" s="562"/>
      <c r="AB97" s="562"/>
      <c r="AC97" s="562"/>
      <c r="AD97" s="562"/>
      <c r="AE97" s="562"/>
      <c r="AF97" s="562"/>
      <c r="AG97" s="562"/>
      <c r="AH97" s="562"/>
      <c r="AI97" s="562"/>
      <c r="AJ97" s="562"/>
      <c r="AK97" s="562"/>
      <c r="AL97" s="562"/>
      <c r="AM97" s="562"/>
      <c r="AN97" s="562" t="str">
        <f>SUBSTITUTE(SUBSTITUTE(SUBSTITUTE("dpc"&amp;$B97&amp;$C97&amp;$D97&amp;$E97&amp;$F97,".","_"),"(","_"),")","")</f>
        <v>dpc503_4_2</v>
      </c>
      <c r="AO97" s="190">
        <f ca="1">O97</f>
        <v>0</v>
      </c>
      <c r="AP97" s="562" t="str">
        <f>SUBSTITUTE(SUBSTITUTE(SUBSTITUTE("dch"&amp;$B97&amp;$C97&amp;$D97&amp;$E97&amp;$F97,".","_"),"(","_"),")","")</f>
        <v>dch503_4_2</v>
      </c>
      <c r="AQ97" s="190">
        <f>W97</f>
        <v>0</v>
      </c>
      <c r="AR97" s="562" t="str">
        <f>SUBSTITUTE(SUBSTITUTE(SUBSTITUTE("dnt"&amp;$B97&amp;$C97&amp;$D97&amp;$E97&amp;$F97,".","_"),"(","_"),")","")</f>
        <v>dnt503_4_2</v>
      </c>
      <c r="AS97" s="190">
        <f>X97</f>
        <v>0</v>
      </c>
      <c r="AT97" s="562"/>
      <c r="AU97" s="562"/>
      <c r="AV97" s="562"/>
    </row>
    <row r="98" spans="2:48" x14ac:dyDescent="0.2">
      <c r="B98" s="14" t="s">
        <v>2250</v>
      </c>
      <c r="C98" s="14"/>
      <c r="D98" s="14"/>
      <c r="E98" s="14" t="s">
        <v>2183</v>
      </c>
      <c r="F98" s="14"/>
      <c r="G98" s="14"/>
      <c r="H98" s="441"/>
      <c r="I98" s="60"/>
      <c r="J98" s="60"/>
      <c r="K98" s="60"/>
      <c r="L98" s="817"/>
      <c r="M98" s="616"/>
      <c r="N98" s="562"/>
      <c r="O98" s="795"/>
      <c r="P98" s="562"/>
      <c r="Q98" s="562"/>
      <c r="R98" s="562"/>
      <c r="S98" s="562"/>
      <c r="T98" s="562"/>
      <c r="U98" s="562"/>
      <c r="V98" s="562"/>
      <c r="W98" s="562"/>
      <c r="X98" s="787"/>
      <c r="Y98" s="562"/>
      <c r="Z98" s="562"/>
      <c r="AA98" s="562"/>
      <c r="AB98" s="562"/>
      <c r="AC98" s="562"/>
      <c r="AD98" s="562"/>
      <c r="AE98" s="562"/>
      <c r="AF98" s="562"/>
      <c r="AG98" s="562"/>
      <c r="AH98" s="562"/>
      <c r="AI98" s="562"/>
      <c r="AJ98" s="562"/>
      <c r="AK98" s="562"/>
      <c r="AL98" s="562"/>
      <c r="AM98" s="562"/>
      <c r="AN98" s="562"/>
      <c r="AO98" s="562"/>
      <c r="AP98" s="562"/>
      <c r="AQ98" s="562"/>
      <c r="AR98" s="562"/>
      <c r="AS98" s="562"/>
      <c r="AT98" s="562"/>
      <c r="AU98" s="562"/>
      <c r="AV98" s="562"/>
    </row>
    <row r="99" spans="2:48" x14ac:dyDescent="0.2">
      <c r="B99" s="14" t="s">
        <v>2250</v>
      </c>
      <c r="C99" s="14"/>
      <c r="D99" s="14"/>
      <c r="E99" s="14" t="s">
        <v>2183</v>
      </c>
      <c r="F99" s="14"/>
      <c r="G99" s="14"/>
      <c r="H99" s="441"/>
      <c r="I99" s="60"/>
      <c r="J99" s="60"/>
      <c r="K99" s="60"/>
      <c r="L99" s="817"/>
      <c r="M99" s="616"/>
      <c r="N99" s="562"/>
      <c r="O99" s="795"/>
      <c r="P99" s="562"/>
      <c r="Q99" s="562"/>
      <c r="R99" s="562"/>
      <c r="S99" s="562"/>
      <c r="T99" s="562"/>
      <c r="U99" s="562"/>
      <c r="V99" s="562"/>
      <c r="W99" s="562"/>
      <c r="X99" s="787"/>
      <c r="Y99" s="562"/>
      <c r="Z99" s="562"/>
      <c r="AA99" s="562"/>
      <c r="AB99" s="562"/>
      <c r="AC99" s="562"/>
      <c r="AD99" s="562"/>
      <c r="AE99" s="562"/>
      <c r="AF99" s="562"/>
      <c r="AG99" s="562"/>
      <c r="AH99" s="562"/>
      <c r="AI99" s="562"/>
      <c r="AJ99" s="562"/>
      <c r="AK99" s="562"/>
      <c r="AL99" s="562"/>
      <c r="AM99" s="562"/>
      <c r="AN99" s="562"/>
      <c r="AO99" s="562"/>
      <c r="AP99" s="562"/>
      <c r="AQ99" s="562"/>
      <c r="AR99" s="562"/>
      <c r="AS99" s="562"/>
      <c r="AT99" s="562"/>
      <c r="AU99" s="562"/>
      <c r="AV99" s="562"/>
    </row>
    <row r="100" spans="2:48" x14ac:dyDescent="0.2">
      <c r="B100" s="14" t="s">
        <v>2250</v>
      </c>
      <c r="C100" s="14"/>
      <c r="D100" s="14"/>
      <c r="E100" s="14" t="s">
        <v>2183</v>
      </c>
      <c r="F100" s="14"/>
      <c r="G100" s="14"/>
      <c r="H100" s="441"/>
      <c r="I100" s="60"/>
      <c r="J100" s="60"/>
      <c r="K100" s="60"/>
      <c r="L100" s="817"/>
      <c r="M100" s="616"/>
      <c r="N100" s="562"/>
      <c r="O100" s="795"/>
      <c r="P100" s="562"/>
      <c r="Q100" s="562"/>
      <c r="R100" s="562"/>
      <c r="S100" s="562"/>
      <c r="T100" s="562"/>
      <c r="U100" s="562"/>
      <c r="V100" s="562"/>
      <c r="W100" s="562"/>
      <c r="X100" s="787"/>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c r="AT100" s="562"/>
      <c r="AU100" s="562"/>
      <c r="AV100" s="562"/>
    </row>
    <row r="101" spans="2:48" x14ac:dyDescent="0.2">
      <c r="B101" s="14" t="s">
        <v>2250</v>
      </c>
      <c r="C101" s="14"/>
      <c r="D101" s="14"/>
      <c r="E101" s="14" t="s">
        <v>2183</v>
      </c>
      <c r="F101" s="14" t="s">
        <v>2196</v>
      </c>
      <c r="G101" s="14"/>
      <c r="H101" s="441"/>
      <c r="I101" s="60"/>
      <c r="J101" s="60"/>
      <c r="K101" s="57" t="s">
        <v>2196</v>
      </c>
      <c r="L101" s="53" t="s">
        <v>2256</v>
      </c>
      <c r="M101" s="616">
        <v>5</v>
      </c>
      <c r="N101" s="562"/>
      <c r="O101" s="609"/>
      <c r="P101" s="562"/>
      <c r="Q101" s="562"/>
      <c r="R101" s="562"/>
      <c r="S101" s="562"/>
      <c r="T101" s="562"/>
      <c r="U101" s="562"/>
      <c r="V101" s="562"/>
      <c r="W101" s="562"/>
      <c r="X101" s="787"/>
      <c r="Y101" s="562"/>
      <c r="Z101" s="562"/>
      <c r="AA101" s="562"/>
      <c r="AB101" s="562"/>
      <c r="AC101" s="562"/>
      <c r="AD101" s="562"/>
      <c r="AE101" s="562"/>
      <c r="AF101" s="562"/>
      <c r="AG101" s="562"/>
      <c r="AH101" s="562"/>
      <c r="AI101" s="562"/>
      <c r="AJ101" s="562"/>
      <c r="AK101" s="562"/>
      <c r="AL101" s="562" t="str">
        <f t="shared" ref="AL101:AL103" si="12">SUBSTITUTE(SUBSTITUTE(SUBSTITUTE("dpa"&amp;$B101&amp;$C101&amp;$D101&amp;$E101&amp;$F101,".","_"),"(","_"),")","")</f>
        <v>dpa503_4_2_a</v>
      </c>
      <c r="AM101" s="190">
        <f>M101</f>
        <v>5</v>
      </c>
      <c r="AN101" s="562"/>
      <c r="AO101" s="562"/>
      <c r="AP101" s="562"/>
      <c r="AQ101" s="562"/>
      <c r="AR101" s="562"/>
      <c r="AS101" s="562"/>
      <c r="AT101" s="562"/>
      <c r="AU101" s="562"/>
      <c r="AV101" s="562"/>
    </row>
    <row r="102" spans="2:48" x14ac:dyDescent="0.2">
      <c r="B102" s="14" t="s">
        <v>2250</v>
      </c>
      <c r="C102" s="14"/>
      <c r="D102" s="14"/>
      <c r="E102" s="14" t="s">
        <v>2183</v>
      </c>
      <c r="F102" s="14" t="s">
        <v>2198</v>
      </c>
      <c r="G102" s="14"/>
      <c r="H102" s="441"/>
      <c r="I102" s="60"/>
      <c r="J102" s="60"/>
      <c r="K102" s="57" t="s">
        <v>2198</v>
      </c>
      <c r="L102" s="53" t="s">
        <v>2257</v>
      </c>
      <c r="M102" s="616">
        <v>8</v>
      </c>
      <c r="N102" s="562"/>
      <c r="O102" s="609"/>
      <c r="P102" s="562"/>
      <c r="Q102" s="562"/>
      <c r="R102" s="562"/>
      <c r="S102" s="562"/>
      <c r="T102" s="562"/>
      <c r="U102" s="562"/>
      <c r="V102" s="562"/>
      <c r="W102" s="562"/>
      <c r="X102" s="787"/>
      <c r="Y102" s="562"/>
      <c r="Z102" s="562"/>
      <c r="AA102" s="562"/>
      <c r="AB102" s="562"/>
      <c r="AC102" s="562"/>
      <c r="AD102" s="562"/>
      <c r="AE102" s="562"/>
      <c r="AF102" s="562"/>
      <c r="AG102" s="562"/>
      <c r="AH102" s="562"/>
      <c r="AI102" s="562"/>
      <c r="AJ102" s="562"/>
      <c r="AK102" s="562"/>
      <c r="AL102" s="562" t="str">
        <f t="shared" si="12"/>
        <v>dpa503_4_2_b</v>
      </c>
      <c r="AM102" s="190">
        <f>M102</f>
        <v>8</v>
      </c>
      <c r="AN102" s="562"/>
      <c r="AO102" s="562"/>
      <c r="AP102" s="562"/>
      <c r="AQ102" s="562"/>
      <c r="AR102" s="562"/>
      <c r="AS102" s="562"/>
      <c r="AT102" s="562"/>
      <c r="AU102" s="562"/>
      <c r="AV102" s="562"/>
    </row>
    <row r="103" spans="2:48" x14ac:dyDescent="0.2">
      <c r="B103" s="14" t="s">
        <v>2250</v>
      </c>
      <c r="C103" s="14"/>
      <c r="D103" s="14"/>
      <c r="E103" s="14" t="s">
        <v>2183</v>
      </c>
      <c r="F103" s="14" t="s">
        <v>2200</v>
      </c>
      <c r="G103" s="14"/>
      <c r="H103" s="441"/>
      <c r="I103" s="60"/>
      <c r="J103" s="128"/>
      <c r="K103" s="130" t="s">
        <v>2200</v>
      </c>
      <c r="L103" s="126" t="s">
        <v>2258</v>
      </c>
      <c r="M103" s="611">
        <v>10</v>
      </c>
      <c r="N103" s="129"/>
      <c r="O103" s="608"/>
      <c r="P103" s="562"/>
      <c r="Q103" s="562"/>
      <c r="R103" s="562"/>
      <c r="S103" s="562"/>
      <c r="T103" s="562"/>
      <c r="U103" s="562"/>
      <c r="V103" s="562"/>
      <c r="W103" s="562"/>
      <c r="X103" s="787"/>
      <c r="Y103" s="562"/>
      <c r="Z103" s="562"/>
      <c r="AA103" s="562"/>
      <c r="AB103" s="562"/>
      <c r="AC103" s="562"/>
      <c r="AD103" s="562"/>
      <c r="AE103" s="562"/>
      <c r="AF103" s="562"/>
      <c r="AG103" s="562"/>
      <c r="AH103" s="562"/>
      <c r="AI103" s="562"/>
      <c r="AJ103" s="562"/>
      <c r="AK103" s="562"/>
      <c r="AL103" s="562" t="str">
        <f t="shared" si="12"/>
        <v>dpa503_4_2_c</v>
      </c>
      <c r="AM103" s="190">
        <f>M103</f>
        <v>10</v>
      </c>
      <c r="AN103" s="562"/>
      <c r="AO103" s="562"/>
      <c r="AP103" s="562"/>
      <c r="AQ103" s="562"/>
      <c r="AR103" s="562"/>
      <c r="AS103" s="562"/>
      <c r="AT103" s="562"/>
      <c r="AU103" s="562"/>
      <c r="AV103" s="562"/>
    </row>
    <row r="104" spans="2:48" x14ac:dyDescent="0.2">
      <c r="B104" s="14" t="s">
        <v>2250</v>
      </c>
      <c r="C104" s="14"/>
      <c r="D104" s="14"/>
      <c r="E104" s="14" t="s">
        <v>2185</v>
      </c>
      <c r="F104" s="14"/>
      <c r="G104" s="14"/>
      <c r="H104" s="441"/>
      <c r="I104" s="71"/>
      <c r="J104" s="61" t="s">
        <v>2185</v>
      </c>
      <c r="K104" s="79"/>
      <c r="L104" s="791" t="s">
        <v>2259</v>
      </c>
      <c r="M104" s="610"/>
      <c r="N104" s="64"/>
      <c r="O104" s="795">
        <f ca="1">S104*IFERROR(INDEX({5,8,10},MATCH(W104,INDIRECT(U104))),0)</f>
        <v>0</v>
      </c>
      <c r="P104" s="64" t="b">
        <v>1</v>
      </c>
      <c r="Q104" s="64" t="b">
        <v>1</v>
      </c>
      <c r="R104" s="64" t="b">
        <v>0</v>
      </c>
      <c r="S104" s="64" t="b">
        <v>1</v>
      </c>
      <c r="T104" s="64" t="b">
        <v>0</v>
      </c>
      <c r="U104" s="64" t="str">
        <f>SUBSTITUTE(SUBSTITUTE(SUBSTITUTE("dd"&amp;B104&amp;C104&amp;D104&amp;E104&amp;F104,".","_"),"(","_"),")","")</f>
        <v>dd503_4_3</v>
      </c>
      <c r="V104" s="64"/>
      <c r="W104" s="6"/>
      <c r="X104" s="798"/>
      <c r="Y104" s="562"/>
      <c r="Z104" s="562"/>
      <c r="AA104" s="562"/>
      <c r="AB104" s="562"/>
      <c r="AC104" s="562"/>
      <c r="AD104" s="562"/>
      <c r="AE104" s="562"/>
      <c r="AF104" s="562"/>
      <c r="AG104" s="562"/>
      <c r="AH104" s="562"/>
      <c r="AI104" s="562"/>
      <c r="AJ104" s="562"/>
      <c r="AK104" s="562"/>
      <c r="AL104" s="562"/>
      <c r="AM104" s="562"/>
      <c r="AN104" s="562" t="str">
        <f>SUBSTITUTE(SUBSTITUTE(SUBSTITUTE("dpc"&amp;$B104&amp;$C104&amp;$D104&amp;$E104&amp;$F104,".","_"),"(","_"),")","")</f>
        <v>dpc503_4_3</v>
      </c>
      <c r="AO104" s="190">
        <f ca="1">O104</f>
        <v>0</v>
      </c>
      <c r="AP104" s="562" t="str">
        <f>SUBSTITUTE(SUBSTITUTE(SUBSTITUTE("dch"&amp;$B104&amp;$C104&amp;$D104&amp;$E104&amp;$F104,".","_"),"(","_"),")","")</f>
        <v>dch503_4_3</v>
      </c>
      <c r="AQ104" s="190">
        <f>W104</f>
        <v>0</v>
      </c>
      <c r="AR104" s="562" t="str">
        <f>SUBSTITUTE(SUBSTITUTE(SUBSTITUTE("dnt"&amp;$B104&amp;$C104&amp;$D104&amp;$E104&amp;$F104,".","_"),"(","_"),")","")</f>
        <v>dnt503_4_3</v>
      </c>
      <c r="AS104" s="190">
        <f>X104</f>
        <v>0</v>
      </c>
      <c r="AT104" s="562"/>
      <c r="AU104" s="562"/>
      <c r="AV104" s="562"/>
    </row>
    <row r="105" spans="2:48" x14ac:dyDescent="0.2">
      <c r="B105" s="14" t="s">
        <v>2250</v>
      </c>
      <c r="C105" s="14"/>
      <c r="D105" s="14"/>
      <c r="E105" s="14" t="s">
        <v>2185</v>
      </c>
      <c r="F105" s="14"/>
      <c r="G105" s="14"/>
      <c r="H105" s="441"/>
      <c r="I105" s="71"/>
      <c r="J105" s="71"/>
      <c r="K105" s="71"/>
      <c r="L105" s="791"/>
      <c r="M105" s="610"/>
      <c r="N105" s="64"/>
      <c r="O105" s="795"/>
      <c r="P105" s="64"/>
      <c r="Q105" s="64"/>
      <c r="R105" s="64"/>
      <c r="S105" s="64"/>
      <c r="T105" s="64"/>
      <c r="U105" s="64"/>
      <c r="V105" s="64"/>
      <c r="W105" s="64"/>
      <c r="X105" s="798"/>
      <c r="Y105" s="562"/>
      <c r="Z105" s="562"/>
      <c r="AA105" s="562"/>
      <c r="AB105" s="562"/>
      <c r="AC105" s="562"/>
      <c r="AD105" s="562"/>
      <c r="AE105" s="562"/>
      <c r="AF105" s="562"/>
      <c r="AG105" s="562"/>
      <c r="AH105" s="562"/>
      <c r="AI105" s="562"/>
      <c r="AJ105" s="562"/>
      <c r="AK105" s="562"/>
      <c r="AL105" s="562"/>
      <c r="AM105" s="562"/>
      <c r="AN105" s="562"/>
      <c r="AO105" s="562"/>
      <c r="AP105" s="562"/>
      <c r="AQ105" s="562"/>
      <c r="AR105" s="562"/>
      <c r="AS105" s="562"/>
      <c r="AT105" s="562"/>
      <c r="AU105" s="562"/>
      <c r="AV105" s="562"/>
    </row>
    <row r="106" spans="2:48" x14ac:dyDescent="0.2">
      <c r="B106" s="14" t="s">
        <v>2250</v>
      </c>
      <c r="C106" s="14"/>
      <c r="D106" s="14"/>
      <c r="E106" s="14" t="s">
        <v>2185</v>
      </c>
      <c r="F106" s="14" t="s">
        <v>2196</v>
      </c>
      <c r="G106" s="14"/>
      <c r="H106" s="441"/>
      <c r="I106" s="71"/>
      <c r="J106" s="71"/>
      <c r="K106" s="61" t="s">
        <v>2196</v>
      </c>
      <c r="L106" s="65" t="s">
        <v>2260</v>
      </c>
      <c r="M106" s="610">
        <v>5</v>
      </c>
      <c r="N106" s="64"/>
      <c r="O106" s="609"/>
      <c r="P106" s="64"/>
      <c r="Q106" s="64"/>
      <c r="R106" s="64"/>
      <c r="S106" s="64"/>
      <c r="T106" s="64"/>
      <c r="U106" s="64"/>
      <c r="V106" s="64"/>
      <c r="W106" s="64"/>
      <c r="X106" s="798"/>
      <c r="Y106" s="562"/>
      <c r="Z106" s="562"/>
      <c r="AA106" s="562"/>
      <c r="AB106" s="562"/>
      <c r="AC106" s="562"/>
      <c r="AD106" s="562"/>
      <c r="AE106" s="562"/>
      <c r="AF106" s="562"/>
      <c r="AG106" s="562"/>
      <c r="AH106" s="562"/>
      <c r="AI106" s="562"/>
      <c r="AJ106" s="562"/>
      <c r="AK106" s="562"/>
      <c r="AL106" s="562" t="str">
        <f>SUBSTITUTE(SUBSTITUTE(SUBSTITUTE("dpa"&amp;$B106&amp;$C106&amp;$D106&amp;$E106&amp;$F106,".","_"),"(","_"),")","")</f>
        <v>dpa503_4_3_a</v>
      </c>
      <c r="AM106" s="190">
        <f>M106</f>
        <v>5</v>
      </c>
      <c r="AN106" s="562"/>
      <c r="AO106" s="562"/>
      <c r="AP106" s="562"/>
      <c r="AQ106" s="562"/>
      <c r="AR106" s="562"/>
      <c r="AS106" s="562"/>
      <c r="AT106" s="562"/>
      <c r="AU106" s="562"/>
      <c r="AV106" s="562"/>
    </row>
    <row r="107" spans="2:48" x14ac:dyDescent="0.2">
      <c r="B107" s="14" t="s">
        <v>2250</v>
      </c>
      <c r="C107" s="14"/>
      <c r="D107" s="14"/>
      <c r="E107" s="14" t="s">
        <v>2185</v>
      </c>
      <c r="F107" s="14" t="s">
        <v>2198</v>
      </c>
      <c r="G107" s="14"/>
      <c r="H107" s="441"/>
      <c r="I107" s="71"/>
      <c r="J107" s="71"/>
      <c r="K107" s="61" t="s">
        <v>2198</v>
      </c>
      <c r="L107" s="65" t="s">
        <v>2261</v>
      </c>
      <c r="M107" s="610">
        <v>8</v>
      </c>
      <c r="N107" s="64"/>
      <c r="O107" s="609"/>
      <c r="P107" s="64"/>
      <c r="Q107" s="64"/>
      <c r="R107" s="64"/>
      <c r="S107" s="64"/>
      <c r="T107" s="64"/>
      <c r="U107" s="64"/>
      <c r="V107" s="64"/>
      <c r="W107" s="64"/>
      <c r="X107" s="798"/>
      <c r="Y107" s="562"/>
      <c r="Z107" s="562"/>
      <c r="AA107" s="562"/>
      <c r="AB107" s="562"/>
      <c r="AC107" s="562"/>
      <c r="AD107" s="562"/>
      <c r="AE107" s="562"/>
      <c r="AF107" s="562"/>
      <c r="AG107" s="562"/>
      <c r="AH107" s="562"/>
      <c r="AI107" s="562"/>
      <c r="AJ107" s="562"/>
      <c r="AK107" s="562"/>
      <c r="AL107" s="562" t="str">
        <f>SUBSTITUTE(SUBSTITUTE(SUBSTITUTE("dpa"&amp;$B107&amp;$C107&amp;$D107&amp;$E107&amp;$F107,".","_"),"(","_"),")","")</f>
        <v>dpa503_4_3_b</v>
      </c>
      <c r="AM107" s="190">
        <f>M107</f>
        <v>8</v>
      </c>
      <c r="AN107" s="562"/>
      <c r="AO107" s="562"/>
      <c r="AP107" s="562"/>
      <c r="AQ107" s="562"/>
      <c r="AR107" s="562"/>
      <c r="AS107" s="562"/>
      <c r="AT107" s="562"/>
      <c r="AU107" s="562"/>
      <c r="AV107" s="562"/>
    </row>
    <row r="108" spans="2:48" ht="16" thickBot="1" x14ac:dyDescent="0.25">
      <c r="B108" s="14" t="s">
        <v>2250</v>
      </c>
      <c r="C108" s="14"/>
      <c r="D108" s="14"/>
      <c r="E108" s="14" t="s">
        <v>2185</v>
      </c>
      <c r="F108" s="14" t="s">
        <v>2200</v>
      </c>
      <c r="G108" s="14"/>
      <c r="H108" s="441"/>
      <c r="I108" s="72"/>
      <c r="J108" s="72"/>
      <c r="K108" s="80" t="s">
        <v>2200</v>
      </c>
      <c r="L108" s="67" t="s">
        <v>2262</v>
      </c>
      <c r="M108" s="615">
        <v>10</v>
      </c>
      <c r="N108" s="68"/>
      <c r="O108" s="622"/>
      <c r="P108" s="68"/>
      <c r="Q108" s="68"/>
      <c r="R108" s="68"/>
      <c r="S108" s="68"/>
      <c r="T108" s="68"/>
      <c r="U108" s="68"/>
      <c r="V108" s="68"/>
      <c r="W108" s="68"/>
      <c r="X108" s="799"/>
      <c r="Y108" s="562"/>
      <c r="Z108" s="562"/>
      <c r="AA108" s="562"/>
      <c r="AB108" s="562"/>
      <c r="AC108" s="562"/>
      <c r="AD108" s="562"/>
      <c r="AE108" s="562"/>
      <c r="AF108" s="562"/>
      <c r="AG108" s="562"/>
      <c r="AH108" s="562"/>
      <c r="AI108" s="562"/>
      <c r="AJ108" s="562"/>
      <c r="AK108" s="562"/>
      <c r="AL108" s="562" t="str">
        <f>SUBSTITUTE(SUBSTITUTE(SUBSTITUTE("dpa"&amp;$B108&amp;$C108&amp;$D108&amp;$E108&amp;$F108,".","_"),"(","_"),")","")</f>
        <v>dpa503_4_3_c</v>
      </c>
      <c r="AM108" s="190">
        <f>M108</f>
        <v>10</v>
      </c>
      <c r="AN108" s="562"/>
      <c r="AO108" s="562"/>
      <c r="AP108" s="562"/>
      <c r="AQ108" s="562"/>
      <c r="AR108" s="562"/>
      <c r="AS108" s="562"/>
      <c r="AT108" s="562"/>
      <c r="AU108" s="562"/>
      <c r="AV108" s="562"/>
    </row>
    <row r="109" spans="2:48" ht="16" thickTop="1" x14ac:dyDescent="0.2">
      <c r="B109" s="14" t="s">
        <v>2263</v>
      </c>
      <c r="C109" s="14"/>
      <c r="D109" s="14"/>
      <c r="E109" s="14"/>
      <c r="F109" s="14"/>
      <c r="G109" s="14"/>
      <c r="H109" s="441"/>
      <c r="I109" s="107" t="s">
        <v>2264</v>
      </c>
      <c r="J109" s="60"/>
      <c r="K109" s="60"/>
      <c r="L109" s="775" t="s">
        <v>2265</v>
      </c>
      <c r="M109" s="616"/>
      <c r="N109" s="562"/>
      <c r="O109" s="3"/>
      <c r="P109" s="562"/>
      <c r="Q109" s="562"/>
      <c r="R109" s="562"/>
      <c r="S109" s="562"/>
      <c r="T109" s="562"/>
      <c r="U109" s="562"/>
      <c r="V109" s="562"/>
      <c r="W109" s="562"/>
      <c r="X109" s="786"/>
      <c r="Y109" s="562"/>
      <c r="Z109" s="562"/>
      <c r="AA109" s="562"/>
      <c r="AB109" s="562"/>
      <c r="AC109" s="562"/>
      <c r="AD109" s="562"/>
      <c r="AE109" s="562"/>
      <c r="AF109" s="562"/>
      <c r="AG109" s="562"/>
      <c r="AH109" s="562"/>
      <c r="AI109" s="562"/>
      <c r="AJ109" s="562"/>
      <c r="AK109" s="562"/>
      <c r="AL109" s="562"/>
      <c r="AM109" s="562"/>
      <c r="AN109" s="562"/>
      <c r="AO109" s="562"/>
      <c r="AP109" s="562"/>
      <c r="AQ109" s="562"/>
      <c r="AR109" s="562" t="str">
        <f>SUBSTITUTE(SUBSTITUTE(SUBSTITUTE("dnt"&amp;$B109&amp;$C109&amp;$D109&amp;$E109&amp;$F109,".","_"),"(","_"),")","")</f>
        <v>dnt503_5</v>
      </c>
      <c r="AS109" s="190">
        <f>X109</f>
        <v>0</v>
      </c>
      <c r="AT109" s="562"/>
      <c r="AU109" s="562"/>
      <c r="AV109" s="562"/>
    </row>
    <row r="110" spans="2:48" x14ac:dyDescent="0.2">
      <c r="B110" s="14" t="s">
        <v>2263</v>
      </c>
      <c r="C110" s="14"/>
      <c r="D110" s="14"/>
      <c r="E110" s="14"/>
      <c r="F110" s="14"/>
      <c r="G110" s="14"/>
      <c r="H110" s="441"/>
      <c r="I110" s="60"/>
      <c r="J110" s="60"/>
      <c r="K110" s="60"/>
      <c r="L110" s="775"/>
      <c r="M110" s="616"/>
      <c r="N110" s="562"/>
      <c r="O110" s="3"/>
      <c r="P110" s="562"/>
      <c r="Q110" s="562"/>
      <c r="R110" s="562"/>
      <c r="S110" s="562"/>
      <c r="T110" s="562"/>
      <c r="U110" s="562"/>
      <c r="V110" s="562"/>
      <c r="W110" s="562"/>
      <c r="X110" s="787"/>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c r="AT110" s="562"/>
      <c r="AU110" s="562"/>
      <c r="AV110" s="562"/>
    </row>
    <row r="111" spans="2:48" x14ac:dyDescent="0.2">
      <c r="B111" s="14" t="s">
        <v>2263</v>
      </c>
      <c r="C111" s="14"/>
      <c r="D111" s="14"/>
      <c r="E111" s="14"/>
      <c r="F111" s="14"/>
      <c r="G111" s="14"/>
      <c r="H111" s="441"/>
      <c r="I111" s="60"/>
      <c r="J111" s="60"/>
      <c r="K111" s="60"/>
      <c r="L111" s="816" t="s">
        <v>2266</v>
      </c>
      <c r="M111" s="616"/>
      <c r="N111" s="562"/>
      <c r="O111" s="3"/>
      <c r="P111" s="64" t="b">
        <v>0</v>
      </c>
      <c r="Q111" s="64" t="b">
        <v>1</v>
      </c>
      <c r="R111" s="562" t="b">
        <v>0</v>
      </c>
      <c r="S111" s="562" t="b">
        <v>1</v>
      </c>
      <c r="T111" s="562" t="b">
        <v>0</v>
      </c>
      <c r="U111" s="562" t="str">
        <f>SUBSTITUTE(SUBSTITUTE(SUBSTITUTE("dd"&amp;B111&amp;C111&amp;D111&amp;E111&amp;F111,".","_"),"(","_"),")","")</f>
        <v>dd503_5</v>
      </c>
      <c r="V111" s="562"/>
      <c r="W111" s="590"/>
      <c r="X111" s="787"/>
      <c r="Y111" s="562"/>
      <c r="Z111" s="562"/>
      <c r="AA111" s="562"/>
      <c r="AB111" s="562"/>
      <c r="AC111" s="562"/>
      <c r="AD111" s="562"/>
      <c r="AE111" s="562"/>
      <c r="AF111" s="562"/>
      <c r="AG111" s="562"/>
      <c r="AH111" s="562"/>
      <c r="AI111" s="562"/>
      <c r="AJ111" s="562"/>
      <c r="AK111" s="562"/>
      <c r="AL111" s="562"/>
      <c r="AM111" s="562"/>
      <c r="AN111" s="562"/>
      <c r="AO111" s="562"/>
      <c r="AP111" s="562" t="str">
        <f>SUBSTITUTE(SUBSTITUTE(SUBSTITUTE("dch"&amp;$B111&amp;$C111&amp;$D111&amp;$E111&amp;$F111,".","_"),"(","_"),")","")</f>
        <v>dch503_5</v>
      </c>
      <c r="AQ111" s="190">
        <f>W111</f>
        <v>0</v>
      </c>
      <c r="AR111" s="562"/>
      <c r="AS111" s="562"/>
      <c r="AT111" s="562"/>
      <c r="AU111" s="562"/>
      <c r="AV111" s="562"/>
    </row>
    <row r="112" spans="2:48" x14ac:dyDescent="0.2">
      <c r="B112" s="14" t="s">
        <v>2263</v>
      </c>
      <c r="C112" s="14"/>
      <c r="D112" s="14"/>
      <c r="E112" s="14"/>
      <c r="F112" s="14"/>
      <c r="G112" s="14"/>
      <c r="H112" s="441"/>
      <c r="I112" s="60"/>
      <c r="J112" s="60"/>
      <c r="K112" s="60"/>
      <c r="L112" s="816"/>
      <c r="M112" s="616"/>
      <c r="N112" s="562"/>
      <c r="O112" s="3"/>
      <c r="P112" s="562"/>
      <c r="Q112" s="562"/>
      <c r="R112" s="562"/>
      <c r="S112" s="562"/>
      <c r="T112" s="562"/>
      <c r="U112" s="562"/>
      <c r="V112" s="562"/>
      <c r="W112" s="562"/>
      <c r="X112" s="787"/>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c r="AT112" s="562"/>
      <c r="AU112" s="562"/>
      <c r="AV112" s="562"/>
    </row>
    <row r="113" spans="2:48" x14ac:dyDescent="0.2">
      <c r="B113" s="14" t="s">
        <v>2263</v>
      </c>
      <c r="C113" s="14"/>
      <c r="D113" s="14"/>
      <c r="E113" s="14" t="s">
        <v>2181</v>
      </c>
      <c r="F113" s="14"/>
      <c r="G113" s="14"/>
      <c r="H113" s="441"/>
      <c r="I113" s="60"/>
      <c r="J113" s="57" t="s">
        <v>2181</v>
      </c>
      <c r="K113" s="60"/>
      <c r="L113" s="817" t="s">
        <v>2267</v>
      </c>
      <c r="M113" s="616"/>
      <c r="N113" s="562"/>
      <c r="O113" s="795">
        <f ca="1">S113*IFERROR(INDEX(M115:M118,MATCH(W113,INDIRECT(U113))),0)</f>
        <v>0</v>
      </c>
      <c r="P113" s="64" t="b">
        <v>0</v>
      </c>
      <c r="Q113" s="64" t="b">
        <v>1</v>
      </c>
      <c r="R113" s="562" t="b">
        <v>0</v>
      </c>
      <c r="S113" s="562" t="b">
        <f>NOT(ISBLANK(W111))</f>
        <v>0</v>
      </c>
      <c r="T113" s="64" t="b">
        <f>AND(NOT(S113),LEN(W113)&gt;0)</f>
        <v>0</v>
      </c>
      <c r="U113" s="562" t="str">
        <f>SUBSTITUTE(SUBSTITUTE(SUBSTITUTE("dd"&amp;B113&amp;C113&amp;D113&amp;E113&amp;F113,".","_"),"(","_"),")","")</f>
        <v>dd503_5_1</v>
      </c>
      <c r="V113" s="562"/>
      <c r="W113" s="590"/>
      <c r="X113" s="787"/>
      <c r="Y113" s="562"/>
      <c r="Z113" s="562"/>
      <c r="AA113" s="562"/>
      <c r="AB113" s="562"/>
      <c r="AC113" s="562" t="b">
        <f>OR(AD113:AE113)</f>
        <v>0</v>
      </c>
      <c r="AD113" s="562" t="b">
        <f>T113</f>
        <v>0</v>
      </c>
      <c r="AE113" s="562"/>
      <c r="AF113" s="562"/>
      <c r="AG113" s="562"/>
      <c r="AH113" s="562"/>
      <c r="AI113" s="562"/>
      <c r="AJ113" s="562"/>
      <c r="AK113" s="562"/>
      <c r="AL113" s="562"/>
      <c r="AM113" s="562"/>
      <c r="AN113" s="562" t="str">
        <f>SUBSTITUTE(SUBSTITUTE(SUBSTITUTE("dpc"&amp;$B113&amp;$C113&amp;$D113&amp;$E113&amp;$F113,".","_"),"(","_"),")","")</f>
        <v>dpc503_5_1</v>
      </c>
      <c r="AO113" s="190">
        <f ca="1">O113</f>
        <v>0</v>
      </c>
      <c r="AP113" s="562" t="str">
        <f>SUBSTITUTE(SUBSTITUTE(SUBSTITUTE("dch"&amp;$B113&amp;$C113&amp;$D113&amp;$E113&amp;$F113,".","_"),"(","_"),")","")</f>
        <v>dch503_5_1</v>
      </c>
      <c r="AQ113" s="190">
        <f>W113</f>
        <v>0</v>
      </c>
      <c r="AR113" s="562" t="str">
        <f>SUBSTITUTE(SUBSTITUTE(SUBSTITUTE("dnt"&amp;$B113&amp;$C113&amp;$D113&amp;$E113&amp;$F113,".","_"),"(","_"),")","")</f>
        <v>dnt503_5_1</v>
      </c>
      <c r="AS113" s="190">
        <f>X113</f>
        <v>0</v>
      </c>
      <c r="AT113" s="562"/>
      <c r="AU113" s="562"/>
      <c r="AV113" s="562"/>
    </row>
    <row r="114" spans="2:48" x14ac:dyDescent="0.2">
      <c r="B114" s="14" t="s">
        <v>2263</v>
      </c>
      <c r="C114" s="14"/>
      <c r="D114" s="14"/>
      <c r="E114" s="14" t="s">
        <v>2181</v>
      </c>
      <c r="F114" s="14"/>
      <c r="G114" s="14"/>
      <c r="H114" s="441"/>
      <c r="I114" s="60"/>
      <c r="J114" s="57"/>
      <c r="K114" s="60"/>
      <c r="L114" s="817"/>
      <c r="M114" s="616"/>
      <c r="N114" s="562"/>
      <c r="O114" s="795"/>
      <c r="P114" s="562"/>
      <c r="Q114" s="562"/>
      <c r="R114" s="562"/>
      <c r="S114" s="562"/>
      <c r="T114" s="562"/>
      <c r="U114" s="562"/>
      <c r="V114" s="562"/>
      <c r="W114" s="562"/>
      <c r="X114" s="787"/>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c r="AT114" s="562"/>
      <c r="AU114" s="562"/>
      <c r="AV114" s="562"/>
    </row>
    <row r="115" spans="2:48" x14ac:dyDescent="0.2">
      <c r="B115" s="14" t="s">
        <v>2263</v>
      </c>
      <c r="C115" s="14"/>
      <c r="D115" s="14"/>
      <c r="E115" s="14" t="s">
        <v>2181</v>
      </c>
      <c r="F115" s="14" t="s">
        <v>2196</v>
      </c>
      <c r="G115" s="14"/>
      <c r="H115" s="441"/>
      <c r="I115" s="60"/>
      <c r="J115" s="60"/>
      <c r="K115" s="57" t="s">
        <v>2196</v>
      </c>
      <c r="L115" s="53" t="s">
        <v>2268</v>
      </c>
      <c r="M115" s="263">
        <f ca="1">4*IFERROR(INDEX({0.5,0.5,1},MATCH($W$111,INDIRECT($U$111),0)),0)</f>
        <v>0</v>
      </c>
      <c r="N115" s="562"/>
      <c r="O115" s="609"/>
      <c r="P115" s="562"/>
      <c r="Q115" s="562"/>
      <c r="R115" s="562"/>
      <c r="S115" s="562"/>
      <c r="T115" s="562"/>
      <c r="U115" s="562"/>
      <c r="V115" s="562"/>
      <c r="W115" s="562"/>
      <c r="X115" s="787"/>
      <c r="Y115" s="562"/>
      <c r="Z115" s="562"/>
      <c r="AA115" s="562"/>
      <c r="AB115" s="562"/>
      <c r="AC115" s="562"/>
      <c r="AD115" s="562"/>
      <c r="AE115" s="562"/>
      <c r="AF115" s="562"/>
      <c r="AG115" s="562"/>
      <c r="AH115" s="562"/>
      <c r="AI115" s="562"/>
      <c r="AJ115" s="562"/>
      <c r="AK115" s="562"/>
      <c r="AL115" s="562" t="str">
        <f t="shared" ref="AL115:AL119" si="13">SUBSTITUTE(SUBSTITUTE(SUBSTITUTE("dpa"&amp;$B115&amp;$C115&amp;$D115&amp;$E115&amp;$F115,".","_"),"(","_"),")","")</f>
        <v>dpa503_5_1_a</v>
      </c>
      <c r="AM115" s="190">
        <f ca="1">M115</f>
        <v>0</v>
      </c>
      <c r="AN115" s="562"/>
      <c r="AO115" s="562"/>
      <c r="AP115" s="562"/>
      <c r="AQ115" s="562"/>
      <c r="AR115" s="562"/>
      <c r="AS115" s="562"/>
      <c r="AT115" s="562"/>
      <c r="AU115" s="562"/>
      <c r="AV115" s="562"/>
    </row>
    <row r="116" spans="2:48" x14ac:dyDescent="0.2">
      <c r="B116" s="14" t="s">
        <v>2263</v>
      </c>
      <c r="C116" s="14"/>
      <c r="D116" s="14"/>
      <c r="E116" s="14" t="s">
        <v>2181</v>
      </c>
      <c r="F116" s="14" t="s">
        <v>2198</v>
      </c>
      <c r="G116" s="14"/>
      <c r="H116" s="441"/>
      <c r="I116" s="60"/>
      <c r="J116" s="60"/>
      <c r="K116" s="57" t="s">
        <v>2198</v>
      </c>
      <c r="L116" s="53" t="s">
        <v>2269</v>
      </c>
      <c r="M116" s="263">
        <f ca="1">3*IFERROR(INDEX({0.5,0.5,1},MATCH($W$111,INDIRECT($U$111),0)),0)</f>
        <v>0</v>
      </c>
      <c r="N116" s="562"/>
      <c r="O116" s="609"/>
      <c r="P116" s="562"/>
      <c r="Q116" s="562"/>
      <c r="R116" s="562"/>
      <c r="S116" s="562"/>
      <c r="T116" s="562"/>
      <c r="U116" s="562"/>
      <c r="V116" s="562"/>
      <c r="W116" s="562"/>
      <c r="X116" s="787"/>
      <c r="Y116" s="562"/>
      <c r="Z116" s="562"/>
      <c r="AA116" s="562"/>
      <c r="AB116" s="562"/>
      <c r="AC116" s="562"/>
      <c r="AD116" s="562"/>
      <c r="AE116" s="562"/>
      <c r="AF116" s="562"/>
      <c r="AG116" s="562"/>
      <c r="AH116" s="562"/>
      <c r="AI116" s="562"/>
      <c r="AJ116" s="562"/>
      <c r="AK116" s="562"/>
      <c r="AL116" s="562" t="str">
        <f t="shared" si="13"/>
        <v>dpa503_5_1_b</v>
      </c>
      <c r="AM116" s="190">
        <f ca="1">M116</f>
        <v>0</v>
      </c>
      <c r="AN116" s="562"/>
      <c r="AO116" s="562"/>
      <c r="AP116" s="562"/>
      <c r="AQ116" s="562"/>
      <c r="AR116" s="562"/>
      <c r="AS116" s="562"/>
      <c r="AT116" s="562"/>
      <c r="AU116" s="562"/>
      <c r="AV116" s="562"/>
    </row>
    <row r="117" spans="2:48" x14ac:dyDescent="0.2">
      <c r="B117" s="14" t="s">
        <v>2263</v>
      </c>
      <c r="C117" s="14"/>
      <c r="D117" s="14"/>
      <c r="E117" s="14" t="s">
        <v>2181</v>
      </c>
      <c r="F117" s="14" t="s">
        <v>2200</v>
      </c>
      <c r="G117" s="14"/>
      <c r="H117" s="441"/>
      <c r="I117" s="60"/>
      <c r="J117" s="60"/>
      <c r="K117" s="59" t="s">
        <v>2200</v>
      </c>
      <c r="L117" s="53" t="s">
        <v>2270</v>
      </c>
      <c r="M117" s="263">
        <f ca="1">2*IFERROR(INDEX({0.5,0.5,1},MATCH($W$111,INDIRECT($U$111),0)),0)</f>
        <v>0</v>
      </c>
      <c r="N117" s="562"/>
      <c r="O117" s="609"/>
      <c r="P117" s="562"/>
      <c r="Q117" s="562"/>
      <c r="R117" s="562"/>
      <c r="S117" s="562"/>
      <c r="T117" s="562"/>
      <c r="U117" s="562"/>
      <c r="V117" s="562"/>
      <c r="W117" s="562"/>
      <c r="X117" s="787"/>
      <c r="Y117" s="562"/>
      <c r="Z117" s="562"/>
      <c r="AA117" s="562"/>
      <c r="AB117" s="562"/>
      <c r="AC117" s="562"/>
      <c r="AD117" s="562"/>
      <c r="AE117" s="562"/>
      <c r="AF117" s="562"/>
      <c r="AG117" s="562"/>
      <c r="AH117" s="562"/>
      <c r="AI117" s="562"/>
      <c r="AJ117" s="562"/>
      <c r="AK117" s="562"/>
      <c r="AL117" s="562" t="str">
        <f t="shared" si="13"/>
        <v>dpa503_5_1_c</v>
      </c>
      <c r="AM117" s="190">
        <f ca="1">M117</f>
        <v>0</v>
      </c>
      <c r="AN117" s="562"/>
      <c r="AO117" s="562"/>
      <c r="AP117" s="562"/>
      <c r="AQ117" s="562"/>
      <c r="AR117" s="562"/>
      <c r="AS117" s="562"/>
      <c r="AT117" s="562"/>
      <c r="AU117" s="562"/>
      <c r="AV117" s="562"/>
    </row>
    <row r="118" spans="2:48" x14ac:dyDescent="0.2">
      <c r="B118" s="14" t="s">
        <v>2263</v>
      </c>
      <c r="C118" s="14"/>
      <c r="D118" s="14"/>
      <c r="E118" s="14" t="s">
        <v>2181</v>
      </c>
      <c r="F118" s="14" t="s">
        <v>2247</v>
      </c>
      <c r="G118" s="14"/>
      <c r="H118" s="441"/>
      <c r="I118" s="60"/>
      <c r="J118" s="128"/>
      <c r="K118" s="130" t="s">
        <v>2247</v>
      </c>
      <c r="L118" s="126" t="s">
        <v>2271</v>
      </c>
      <c r="M118" s="612">
        <f ca="1">1*IFERROR(INDEX({0.5,0.5,1},MATCH($W$111,INDIRECT($U$111),0)),0)</f>
        <v>0</v>
      </c>
      <c r="N118" s="129"/>
      <c r="O118" s="608"/>
      <c r="P118" s="562"/>
      <c r="Q118" s="562"/>
      <c r="R118" s="562"/>
      <c r="S118" s="562"/>
      <c r="T118" s="562"/>
      <c r="U118" s="562"/>
      <c r="V118" s="562"/>
      <c r="W118" s="562"/>
      <c r="X118" s="787"/>
      <c r="Y118" s="562"/>
      <c r="Z118" s="562"/>
      <c r="AA118" s="562"/>
      <c r="AB118" s="562"/>
      <c r="AC118" s="562"/>
      <c r="AD118" s="562"/>
      <c r="AE118" s="562"/>
      <c r="AF118" s="562"/>
      <c r="AG118" s="562"/>
      <c r="AH118" s="562"/>
      <c r="AI118" s="562"/>
      <c r="AJ118" s="562"/>
      <c r="AK118" s="562"/>
      <c r="AL118" s="562" t="str">
        <f t="shared" si="13"/>
        <v>dpa503_5_1_d</v>
      </c>
      <c r="AM118" s="190">
        <f ca="1">M118</f>
        <v>0</v>
      </c>
      <c r="AN118" s="562"/>
      <c r="AO118" s="562"/>
      <c r="AP118" s="562"/>
      <c r="AQ118" s="562"/>
      <c r="AR118" s="562"/>
      <c r="AS118" s="562"/>
      <c r="AT118" s="562"/>
      <c r="AU118" s="562"/>
      <c r="AV118" s="562"/>
    </row>
    <row r="119" spans="2:48" x14ac:dyDescent="0.2">
      <c r="B119" s="14" t="s">
        <v>2263</v>
      </c>
      <c r="C119" s="14"/>
      <c r="D119" s="14"/>
      <c r="E119" s="14" t="s">
        <v>2183</v>
      </c>
      <c r="F119" s="14"/>
      <c r="G119" s="14"/>
      <c r="H119" s="441"/>
      <c r="I119" s="60"/>
      <c r="J119" s="61" t="s">
        <v>2183</v>
      </c>
      <c r="K119" s="71"/>
      <c r="L119" s="791" t="s">
        <v>2272</v>
      </c>
      <c r="M119" s="803">
        <f ca="1">7*IFERROR(INDEX({0.5,0.5,1},MATCH($W$111,INDIRECT($U$111),0)),0)</f>
        <v>0</v>
      </c>
      <c r="N119" s="64"/>
      <c r="O119" s="793">
        <f ca="1">M119*S119*W119</f>
        <v>0</v>
      </c>
      <c r="P119" s="562" t="b">
        <v>0</v>
      </c>
      <c r="Q119" s="562" t="b">
        <v>1</v>
      </c>
      <c r="R119" s="562" t="b">
        <v>0</v>
      </c>
      <c r="S119" s="562" t="b">
        <f>NOT(ISBLANK(W111))</f>
        <v>0</v>
      </c>
      <c r="T119" s="64" t="b">
        <f>AND(NOT(S119),W119=TRUE)</f>
        <v>0</v>
      </c>
      <c r="U119" s="562"/>
      <c r="V119" s="562"/>
      <c r="W119" s="18"/>
      <c r="X119" s="787"/>
      <c r="Y119" s="562"/>
      <c r="Z119" s="562"/>
      <c r="AA119" s="562"/>
      <c r="AB119" s="562"/>
      <c r="AC119" s="562" t="b">
        <f>OR(AD119:AE119)</f>
        <v>0</v>
      </c>
      <c r="AD119" s="562" t="b">
        <f>T119</f>
        <v>0</v>
      </c>
      <c r="AE119" s="562"/>
      <c r="AF119" s="562"/>
      <c r="AG119" s="562"/>
      <c r="AH119" s="562"/>
      <c r="AI119" s="562"/>
      <c r="AJ119" s="562"/>
      <c r="AK119" s="562"/>
      <c r="AL119" s="562" t="str">
        <f t="shared" si="13"/>
        <v>dpa503_5_2</v>
      </c>
      <c r="AM119" s="190">
        <f ca="1">M119</f>
        <v>0</v>
      </c>
      <c r="AN119" s="562" t="str">
        <f>SUBSTITUTE(SUBSTITUTE(SUBSTITUTE("dpc"&amp;$B119&amp;$C119&amp;$D119&amp;$E119&amp;$F119,".","_"),"(","_"),")","")</f>
        <v>dpc503_5_2</v>
      </c>
      <c r="AO119" s="190">
        <f ca="1">O119</f>
        <v>0</v>
      </c>
      <c r="AP119" s="562" t="str">
        <f>SUBSTITUTE(SUBSTITUTE(SUBSTITUTE("dch"&amp;$B119&amp;$C119&amp;$D119&amp;$E119&amp;$F119,".","_"),"(","_"),")","")</f>
        <v>dch503_5_2</v>
      </c>
      <c r="AQ119" s="190">
        <f>W119</f>
        <v>0</v>
      </c>
      <c r="AR119" s="562" t="str">
        <f>SUBSTITUTE(SUBSTITUTE(SUBSTITUTE("dnt"&amp;$B119&amp;$C119&amp;$D119&amp;$E119&amp;$F119,".","_"),"(","_"),")","")</f>
        <v>dnt503_5_2</v>
      </c>
      <c r="AS119" s="190">
        <f>X119</f>
        <v>0</v>
      </c>
      <c r="AT119" s="562"/>
      <c r="AU119" s="562"/>
      <c r="AV119" s="562"/>
    </row>
    <row r="120" spans="2:48" x14ac:dyDescent="0.2">
      <c r="B120" s="14" t="s">
        <v>2263</v>
      </c>
      <c r="C120" s="14"/>
      <c r="D120" s="14"/>
      <c r="E120" s="14" t="s">
        <v>2183</v>
      </c>
      <c r="F120" s="14"/>
      <c r="G120" s="14"/>
      <c r="H120" s="441"/>
      <c r="I120" s="60"/>
      <c r="J120" s="128"/>
      <c r="K120" s="128"/>
      <c r="L120" s="792"/>
      <c r="M120" s="804"/>
      <c r="N120" s="129"/>
      <c r="O120" s="794"/>
      <c r="P120" s="562"/>
      <c r="Q120" s="562"/>
      <c r="R120" s="562"/>
      <c r="S120" s="562"/>
      <c r="T120" s="562"/>
      <c r="U120" s="562"/>
      <c r="V120" s="562"/>
      <c r="W120" s="562"/>
      <c r="X120" s="787"/>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row>
    <row r="121" spans="2:48" x14ac:dyDescent="0.2">
      <c r="B121" s="14" t="s">
        <v>2263</v>
      </c>
      <c r="C121" s="14"/>
      <c r="D121" s="14"/>
      <c r="E121" s="14" t="s">
        <v>2185</v>
      </c>
      <c r="F121" s="14"/>
      <c r="G121" s="14"/>
      <c r="H121" s="441"/>
      <c r="I121" s="60"/>
      <c r="J121" s="61" t="s">
        <v>2185</v>
      </c>
      <c r="K121" s="71"/>
      <c r="L121" s="791" t="s">
        <v>2273</v>
      </c>
      <c r="M121" s="803">
        <f ca="1">3*IFERROR(INDEX({0.5,0.5,1},MATCH($W$111,INDIRECT($U$111),0)),0)</f>
        <v>0</v>
      </c>
      <c r="N121" s="64"/>
      <c r="O121" s="793">
        <f ca="1">M121*S121*W121</f>
        <v>0</v>
      </c>
      <c r="P121" s="562" t="b">
        <v>0</v>
      </c>
      <c r="Q121" s="562" t="b">
        <v>1</v>
      </c>
      <c r="R121" s="562" t="b">
        <v>0</v>
      </c>
      <c r="S121" s="562" t="b">
        <f>NOT(ISBLANK(W111))</f>
        <v>0</v>
      </c>
      <c r="T121" s="64" t="b">
        <f>AND(NOT(S121),W121=TRUE)</f>
        <v>0</v>
      </c>
      <c r="U121" s="562"/>
      <c r="V121" s="562"/>
      <c r="W121" s="18"/>
      <c r="X121" s="787"/>
      <c r="Y121" s="562"/>
      <c r="Z121" s="562"/>
      <c r="AA121" s="562"/>
      <c r="AB121" s="562"/>
      <c r="AC121" s="562" t="b">
        <f>OR(AD121:AE121)</f>
        <v>0</v>
      </c>
      <c r="AD121" s="562" t="b">
        <f>T121</f>
        <v>0</v>
      </c>
      <c r="AE121" s="562"/>
      <c r="AF121" s="562"/>
      <c r="AG121" s="562"/>
      <c r="AH121" s="562"/>
      <c r="AI121" s="562"/>
      <c r="AJ121" s="562"/>
      <c r="AK121" s="562"/>
      <c r="AL121" s="562" t="str">
        <f>SUBSTITUTE(SUBSTITUTE(SUBSTITUTE("dpa"&amp;$B121&amp;$C121&amp;$D121&amp;$E121&amp;$F121,".","_"),"(","_"),")","")</f>
        <v>dpa503_5_3</v>
      </c>
      <c r="AM121" s="190">
        <f ca="1">M121</f>
        <v>0</v>
      </c>
      <c r="AN121" s="562" t="str">
        <f>SUBSTITUTE(SUBSTITUTE(SUBSTITUTE("dpc"&amp;$B121&amp;$C121&amp;$D121&amp;$E121&amp;$F121,".","_"),"(","_"),")","")</f>
        <v>dpc503_5_3</v>
      </c>
      <c r="AO121" s="190">
        <f ca="1">O121</f>
        <v>0</v>
      </c>
      <c r="AP121" s="562" t="str">
        <f>SUBSTITUTE(SUBSTITUTE(SUBSTITUTE("dch"&amp;$B121&amp;$C121&amp;$D121&amp;$E121&amp;$F121,".","_"),"(","_"),")","")</f>
        <v>dch503_5_3</v>
      </c>
      <c r="AQ121" s="190">
        <f>W121</f>
        <v>0</v>
      </c>
      <c r="AR121" s="562" t="str">
        <f>SUBSTITUTE(SUBSTITUTE(SUBSTITUTE("dnt"&amp;$B121&amp;$C121&amp;$D121&amp;$E121&amp;$F121,".","_"),"(","_"),")","")</f>
        <v>dnt503_5_3</v>
      </c>
      <c r="AS121" s="190">
        <f>X121</f>
        <v>0</v>
      </c>
      <c r="AT121" s="562"/>
      <c r="AU121" s="562"/>
      <c r="AV121" s="562"/>
    </row>
    <row r="122" spans="2:48" x14ac:dyDescent="0.2">
      <c r="B122" s="14" t="s">
        <v>2263</v>
      </c>
      <c r="C122" s="14"/>
      <c r="D122" s="14"/>
      <c r="E122" s="14" t="s">
        <v>2185</v>
      </c>
      <c r="F122" s="14"/>
      <c r="G122" s="14"/>
      <c r="H122" s="441"/>
      <c r="I122" s="60"/>
      <c r="J122" s="128"/>
      <c r="K122" s="128"/>
      <c r="L122" s="792"/>
      <c r="M122" s="804"/>
      <c r="N122" s="129"/>
      <c r="O122" s="794"/>
      <c r="P122" s="562"/>
      <c r="Q122" s="562"/>
      <c r="R122" s="562"/>
      <c r="S122" s="562"/>
      <c r="T122" s="562"/>
      <c r="U122" s="562"/>
      <c r="V122" s="562"/>
      <c r="W122" s="562"/>
      <c r="X122" s="787"/>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row>
    <row r="123" spans="2:48" x14ac:dyDescent="0.2">
      <c r="B123" s="14" t="s">
        <v>2263</v>
      </c>
      <c r="C123" s="14"/>
      <c r="D123" s="14"/>
      <c r="E123" s="14" t="s">
        <v>2192</v>
      </c>
      <c r="F123" s="14"/>
      <c r="G123" s="14"/>
      <c r="H123" s="441"/>
      <c r="I123" s="60"/>
      <c r="J123" s="61" t="s">
        <v>2192</v>
      </c>
      <c r="K123" s="71"/>
      <c r="L123" s="791" t="s">
        <v>2274</v>
      </c>
      <c r="M123" s="803">
        <f ca="1">2*IFERROR(INDEX({0.5,0.5,1},MATCH($W$111,INDIRECT($U$111),0)),0)</f>
        <v>0</v>
      </c>
      <c r="N123" s="64"/>
      <c r="O123" s="793">
        <f ca="1">M123*S123*W123</f>
        <v>0</v>
      </c>
      <c r="P123" s="562" t="b">
        <v>0</v>
      </c>
      <c r="Q123" s="562" t="b">
        <v>1</v>
      </c>
      <c r="R123" s="562" t="b">
        <v>0</v>
      </c>
      <c r="S123" s="562" t="b">
        <f>NOT(ISBLANK(W111))</f>
        <v>0</v>
      </c>
      <c r="T123" s="64" t="b">
        <f>AND(NOT(S123),W123=TRUE)</f>
        <v>0</v>
      </c>
      <c r="U123" s="562"/>
      <c r="V123" s="562"/>
      <c r="W123" s="18"/>
      <c r="X123" s="787"/>
      <c r="Y123" s="562"/>
      <c r="Z123" s="562"/>
      <c r="AA123" s="562"/>
      <c r="AB123" s="562"/>
      <c r="AC123" s="562" t="b">
        <f>OR(AD123:AE123)</f>
        <v>0</v>
      </c>
      <c r="AD123" s="562" t="b">
        <f>T123</f>
        <v>0</v>
      </c>
      <c r="AE123" s="562"/>
      <c r="AF123" s="562"/>
      <c r="AG123" s="562"/>
      <c r="AH123" s="562"/>
      <c r="AI123" s="562"/>
      <c r="AJ123" s="562"/>
      <c r="AK123" s="562"/>
      <c r="AL123" s="562" t="str">
        <f>SUBSTITUTE(SUBSTITUTE(SUBSTITUTE("dpa"&amp;$B123&amp;$C123&amp;$D123&amp;$E123&amp;$F123,".","_"),"(","_"),")","")</f>
        <v>dpa503_5_4</v>
      </c>
      <c r="AM123" s="190">
        <f ca="1">M123</f>
        <v>0</v>
      </c>
      <c r="AN123" s="562" t="str">
        <f>SUBSTITUTE(SUBSTITUTE(SUBSTITUTE("dpc"&amp;$B123&amp;$C123&amp;$D123&amp;$E123&amp;$F123,".","_"),"(","_"),")","")</f>
        <v>dpc503_5_4</v>
      </c>
      <c r="AO123" s="190">
        <f ca="1">O123</f>
        <v>0</v>
      </c>
      <c r="AP123" s="562" t="str">
        <f>SUBSTITUTE(SUBSTITUTE(SUBSTITUTE("dch"&amp;$B123&amp;$C123&amp;$D123&amp;$E123&amp;$F123,".","_"),"(","_"),")","")</f>
        <v>dch503_5_4</v>
      </c>
      <c r="AQ123" s="190">
        <f>W123</f>
        <v>0</v>
      </c>
      <c r="AR123" s="562" t="str">
        <f>SUBSTITUTE(SUBSTITUTE(SUBSTITUTE("dnt"&amp;$B123&amp;$C123&amp;$D123&amp;$E123&amp;$F123,".","_"),"(","_"),")","")</f>
        <v>dnt503_5_4</v>
      </c>
      <c r="AS123" s="190">
        <f>X123</f>
        <v>0</v>
      </c>
      <c r="AT123" s="562"/>
      <c r="AU123" s="562"/>
      <c r="AV123" s="562"/>
    </row>
    <row r="124" spans="2:48" x14ac:dyDescent="0.2">
      <c r="B124" s="14" t="s">
        <v>2263</v>
      </c>
      <c r="C124" s="14"/>
      <c r="D124" s="14"/>
      <c r="E124" s="14" t="s">
        <v>2192</v>
      </c>
      <c r="F124" s="14"/>
      <c r="G124" s="14"/>
      <c r="H124" s="441"/>
      <c r="I124" s="60"/>
      <c r="J124" s="128"/>
      <c r="K124" s="128"/>
      <c r="L124" s="792"/>
      <c r="M124" s="804"/>
      <c r="N124" s="129"/>
      <c r="O124" s="794"/>
      <c r="P124" s="562"/>
      <c r="Q124" s="562"/>
      <c r="R124" s="562"/>
      <c r="S124" s="562"/>
      <c r="T124" s="562"/>
      <c r="U124" s="562"/>
      <c r="V124" s="562"/>
      <c r="W124" s="562"/>
      <c r="X124" s="787"/>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row>
    <row r="125" spans="2:48" x14ac:dyDescent="0.2">
      <c r="B125" s="14" t="s">
        <v>2263</v>
      </c>
      <c r="C125" s="14"/>
      <c r="D125" s="14"/>
      <c r="E125" s="14" t="s">
        <v>2194</v>
      </c>
      <c r="F125" s="14"/>
      <c r="G125" s="14"/>
      <c r="H125" s="441"/>
      <c r="I125" s="60"/>
      <c r="J125" s="57" t="s">
        <v>2194</v>
      </c>
      <c r="K125" s="60"/>
      <c r="L125" s="53" t="s">
        <v>2275</v>
      </c>
      <c r="M125" s="263"/>
      <c r="N125" s="562"/>
      <c r="O125" s="609">
        <f ca="1">S125*IFERROR(INDEX(M126:M129,MATCH(W125,INDIRECT(U125))),0)</f>
        <v>0</v>
      </c>
      <c r="P125" s="562" t="b">
        <v>0</v>
      </c>
      <c r="Q125" s="562" t="b">
        <v>1</v>
      </c>
      <c r="R125" s="562" t="b">
        <v>0</v>
      </c>
      <c r="S125" s="562" t="b">
        <f>NOT(ISBLANK(W111))</f>
        <v>0</v>
      </c>
      <c r="T125" s="64" t="b">
        <f>AND(NOT(S125),LEN(W125)&gt;0)</f>
        <v>0</v>
      </c>
      <c r="U125" s="562" t="str">
        <f>SUBSTITUTE(SUBSTITUTE(SUBSTITUTE("dd"&amp;B125&amp;C125&amp;D125&amp;E125&amp;F125,".","_"),"(","_"),")","")</f>
        <v>dd503_5_5</v>
      </c>
      <c r="V125" s="562"/>
      <c r="W125" s="590"/>
      <c r="X125" s="787"/>
      <c r="Y125" s="562"/>
      <c r="Z125" s="562"/>
      <c r="AA125" s="562"/>
      <c r="AB125" s="562"/>
      <c r="AC125" s="562" t="b">
        <f>OR(AD125:AE125)</f>
        <v>0</v>
      </c>
      <c r="AD125" s="562" t="b">
        <f>T125</f>
        <v>0</v>
      </c>
      <c r="AE125" s="562"/>
      <c r="AF125" s="562"/>
      <c r="AG125" s="562"/>
      <c r="AH125" s="562"/>
      <c r="AI125" s="562"/>
      <c r="AJ125" s="562"/>
      <c r="AK125" s="562"/>
      <c r="AL125" s="562"/>
      <c r="AM125" s="562"/>
      <c r="AN125" s="562" t="str">
        <f>SUBSTITUTE(SUBSTITUTE(SUBSTITUTE("dpc"&amp;$B125&amp;$C125&amp;$D125&amp;$E125&amp;$F125,".","_"),"(","_"),")","")</f>
        <v>dpc503_5_5</v>
      </c>
      <c r="AO125" s="190">
        <f ca="1">O125</f>
        <v>0</v>
      </c>
      <c r="AP125" s="562" t="str">
        <f>SUBSTITUTE(SUBSTITUTE(SUBSTITUTE("dch"&amp;$B125&amp;$C125&amp;$D125&amp;$E125&amp;$F125,".","_"),"(","_"),")","")</f>
        <v>dch503_5_5</v>
      </c>
      <c r="AQ125" s="190">
        <f>W125</f>
        <v>0</v>
      </c>
      <c r="AR125" s="562" t="str">
        <f>SUBSTITUTE(SUBSTITUTE(SUBSTITUTE("dnt"&amp;$B125&amp;$C125&amp;$D125&amp;$E125&amp;$F125,".","_"),"(","_"),")","")</f>
        <v>dnt503_5_5</v>
      </c>
      <c r="AS125" s="190">
        <f>X125</f>
        <v>0</v>
      </c>
      <c r="AT125" s="562"/>
      <c r="AU125" s="562"/>
      <c r="AV125" s="562"/>
    </row>
    <row r="126" spans="2:48" x14ac:dyDescent="0.2">
      <c r="B126" s="14" t="s">
        <v>2263</v>
      </c>
      <c r="C126" s="14"/>
      <c r="D126" s="14"/>
      <c r="E126" s="14" t="s">
        <v>2194</v>
      </c>
      <c r="F126" s="14" t="s">
        <v>2196</v>
      </c>
      <c r="G126" s="14"/>
      <c r="H126" s="441"/>
      <c r="I126" s="60"/>
      <c r="J126" s="60"/>
      <c r="K126" s="57" t="s">
        <v>2196</v>
      </c>
      <c r="L126" s="53" t="s">
        <v>2276</v>
      </c>
      <c r="M126" s="263">
        <f ca="1">5*IFERROR(INDEX({0.5,0.5,1},MATCH($W$111,INDIRECT($U$111),0)),0)</f>
        <v>0</v>
      </c>
      <c r="N126" s="562"/>
      <c r="O126" s="609"/>
      <c r="P126" s="562"/>
      <c r="Q126" s="562"/>
      <c r="R126" s="562"/>
      <c r="S126" s="562"/>
      <c r="T126" s="562"/>
      <c r="U126" s="562"/>
      <c r="V126" s="562"/>
      <c r="W126" s="562"/>
      <c r="X126" s="787"/>
      <c r="Y126" s="562"/>
      <c r="Z126" s="562"/>
      <c r="AA126" s="562"/>
      <c r="AB126" s="562"/>
      <c r="AC126" s="562"/>
      <c r="AD126" s="562"/>
      <c r="AE126" s="562"/>
      <c r="AF126" s="562"/>
      <c r="AG126" s="562"/>
      <c r="AH126" s="562"/>
      <c r="AI126" s="562"/>
      <c r="AJ126" s="562"/>
      <c r="AK126" s="562"/>
      <c r="AL126" s="562" t="str">
        <f t="shared" ref="AL126:AL131" si="14">SUBSTITUTE(SUBSTITUTE(SUBSTITUTE("dpa"&amp;$B126&amp;$C126&amp;$D126&amp;$E126&amp;$F126,".","_"),"(","_"),")","")</f>
        <v>dpa503_5_5_a</v>
      </c>
      <c r="AM126" s="190">
        <f t="shared" ref="AM126:AM131" ca="1" si="15">M126</f>
        <v>0</v>
      </c>
      <c r="AN126" s="562"/>
      <c r="AO126" s="562"/>
      <c r="AP126" s="562"/>
      <c r="AQ126" s="562"/>
      <c r="AR126" s="562"/>
      <c r="AS126" s="562"/>
      <c r="AT126" s="562"/>
      <c r="AU126" s="562"/>
      <c r="AV126" s="562"/>
    </row>
    <row r="127" spans="2:48" x14ac:dyDescent="0.2">
      <c r="B127" s="14" t="s">
        <v>2263</v>
      </c>
      <c r="C127" s="14"/>
      <c r="D127" s="14"/>
      <c r="E127" s="14" t="s">
        <v>2194</v>
      </c>
      <c r="F127" s="14" t="s">
        <v>2198</v>
      </c>
      <c r="G127" s="14"/>
      <c r="H127" s="441"/>
      <c r="I127" s="60"/>
      <c r="J127" s="60"/>
      <c r="K127" s="57" t="s">
        <v>2198</v>
      </c>
      <c r="L127" s="53" t="s">
        <v>2277</v>
      </c>
      <c r="M127" s="263">
        <f ca="1">4*IFERROR(INDEX({0.5,0.5,1},MATCH($W$111,INDIRECT($U$111),0)),0)</f>
        <v>0</v>
      </c>
      <c r="N127" s="562"/>
      <c r="O127" s="609"/>
      <c r="P127" s="562"/>
      <c r="Q127" s="562"/>
      <c r="R127" s="562"/>
      <c r="S127" s="562"/>
      <c r="T127" s="562"/>
      <c r="U127" s="562"/>
      <c r="V127" s="562"/>
      <c r="W127" s="562"/>
      <c r="X127" s="787"/>
      <c r="Y127" s="562"/>
      <c r="Z127" s="562"/>
      <c r="AA127" s="562"/>
      <c r="AB127" s="562"/>
      <c r="AC127" s="562"/>
      <c r="AD127" s="562"/>
      <c r="AE127" s="562"/>
      <c r="AF127" s="562"/>
      <c r="AG127" s="562"/>
      <c r="AH127" s="562"/>
      <c r="AI127" s="562"/>
      <c r="AJ127" s="562"/>
      <c r="AK127" s="562"/>
      <c r="AL127" s="562" t="str">
        <f t="shared" si="14"/>
        <v>dpa503_5_5_b</v>
      </c>
      <c r="AM127" s="190">
        <f t="shared" ca="1" si="15"/>
        <v>0</v>
      </c>
      <c r="AN127" s="562"/>
      <c r="AO127" s="562"/>
      <c r="AP127" s="562"/>
      <c r="AQ127" s="562"/>
      <c r="AR127" s="562"/>
      <c r="AS127" s="562"/>
      <c r="AT127" s="562"/>
      <c r="AU127" s="562"/>
      <c r="AV127" s="562"/>
    </row>
    <row r="128" spans="2:48" x14ac:dyDescent="0.2">
      <c r="B128" s="14" t="s">
        <v>2263</v>
      </c>
      <c r="C128" s="14"/>
      <c r="D128" s="14"/>
      <c r="E128" s="14" t="s">
        <v>2194</v>
      </c>
      <c r="F128" s="14" t="s">
        <v>2200</v>
      </c>
      <c r="G128" s="14"/>
      <c r="H128" s="441"/>
      <c r="I128" s="60"/>
      <c r="J128" s="60"/>
      <c r="K128" s="59" t="s">
        <v>2200</v>
      </c>
      <c r="L128" s="53" t="s">
        <v>2278</v>
      </c>
      <c r="M128" s="263">
        <f ca="1">3*IFERROR(INDEX({0.5,0.5,1},MATCH($W$111,INDIRECT($U$111),0)),0)</f>
        <v>0</v>
      </c>
      <c r="N128" s="562"/>
      <c r="O128" s="609"/>
      <c r="P128" s="562"/>
      <c r="Q128" s="562"/>
      <c r="R128" s="562"/>
      <c r="S128" s="562"/>
      <c r="T128" s="562"/>
      <c r="U128" s="562"/>
      <c r="V128" s="562"/>
      <c r="W128" s="562"/>
      <c r="X128" s="787"/>
      <c r="Y128" s="562"/>
      <c r="Z128" s="562"/>
      <c r="AA128" s="562"/>
      <c r="AB128" s="562"/>
      <c r="AC128" s="562"/>
      <c r="AD128" s="562"/>
      <c r="AE128" s="562"/>
      <c r="AF128" s="562"/>
      <c r="AG128" s="562"/>
      <c r="AH128" s="562"/>
      <c r="AI128" s="562"/>
      <c r="AJ128" s="562"/>
      <c r="AK128" s="562"/>
      <c r="AL128" s="562" t="str">
        <f t="shared" si="14"/>
        <v>dpa503_5_5_c</v>
      </c>
      <c r="AM128" s="190">
        <f t="shared" ca="1" si="15"/>
        <v>0</v>
      </c>
      <c r="AN128" s="562"/>
      <c r="AO128" s="562"/>
      <c r="AP128" s="562"/>
      <c r="AQ128" s="562"/>
      <c r="AR128" s="562"/>
      <c r="AS128" s="562"/>
      <c r="AT128" s="562"/>
      <c r="AU128" s="562"/>
      <c r="AV128" s="562"/>
    </row>
    <row r="129" spans="2:48" x14ac:dyDescent="0.2">
      <c r="B129" s="14" t="s">
        <v>2263</v>
      </c>
      <c r="C129" s="14"/>
      <c r="D129" s="14"/>
      <c r="E129" s="14" t="s">
        <v>2194</v>
      </c>
      <c r="F129" s="14" t="s">
        <v>2247</v>
      </c>
      <c r="G129" s="14"/>
      <c r="H129" s="441"/>
      <c r="I129" s="60"/>
      <c r="J129" s="128"/>
      <c r="K129" s="130" t="s">
        <v>2247</v>
      </c>
      <c r="L129" s="126" t="s">
        <v>2279</v>
      </c>
      <c r="M129" s="612">
        <f ca="1">2*IFERROR(INDEX({0.5,0.5,1},MATCH($W$111,INDIRECT($U$111),0)),0)</f>
        <v>0</v>
      </c>
      <c r="N129" s="129"/>
      <c r="O129" s="608"/>
      <c r="P129" s="562"/>
      <c r="Q129" s="562"/>
      <c r="R129" s="562"/>
      <c r="S129" s="562"/>
      <c r="T129" s="562"/>
      <c r="U129" s="562"/>
      <c r="V129" s="562"/>
      <c r="W129" s="562"/>
      <c r="X129" s="787"/>
      <c r="Y129" s="562"/>
      <c r="Z129" s="562"/>
      <c r="AA129" s="562"/>
      <c r="AB129" s="562"/>
      <c r="AC129" s="562"/>
      <c r="AD129" s="562"/>
      <c r="AE129" s="562"/>
      <c r="AF129" s="562"/>
      <c r="AG129" s="562"/>
      <c r="AH129" s="562"/>
      <c r="AI129" s="562"/>
      <c r="AJ129" s="562"/>
      <c r="AK129" s="562"/>
      <c r="AL129" s="562" t="str">
        <f t="shared" si="14"/>
        <v>dpa503_5_5_d</v>
      </c>
      <c r="AM129" s="190">
        <f t="shared" ca="1" si="15"/>
        <v>0</v>
      </c>
      <c r="AN129" s="562"/>
      <c r="AO129" s="562"/>
      <c r="AP129" s="562"/>
      <c r="AQ129" s="562"/>
      <c r="AR129" s="562"/>
      <c r="AS129" s="562"/>
      <c r="AT129" s="562"/>
      <c r="AU129" s="562"/>
      <c r="AV129" s="562"/>
    </row>
    <row r="130" spans="2:48" x14ac:dyDescent="0.2">
      <c r="B130" s="14" t="s">
        <v>2263</v>
      </c>
      <c r="C130" s="14"/>
      <c r="D130" s="14"/>
      <c r="E130" s="14" t="s">
        <v>2221</v>
      </c>
      <c r="F130" s="14"/>
      <c r="G130" s="14"/>
      <c r="H130" s="441"/>
      <c r="I130" s="60"/>
      <c r="J130" s="125" t="s">
        <v>2221</v>
      </c>
      <c r="K130" s="128"/>
      <c r="L130" s="126" t="s">
        <v>2280</v>
      </c>
      <c r="M130" s="612">
        <f ca="1">5*IFERROR(INDEX({0.5,0.5,1},MATCH($W$111,INDIRECT($U$111),0)),0)</f>
        <v>0</v>
      </c>
      <c r="N130" s="129"/>
      <c r="O130" s="608">
        <f ca="1">M130*S130*W130</f>
        <v>0</v>
      </c>
      <c r="P130" s="562" t="b">
        <v>0</v>
      </c>
      <c r="Q130" s="562" t="b">
        <v>1</v>
      </c>
      <c r="R130" s="562" t="b">
        <v>0</v>
      </c>
      <c r="S130" s="562" t="b">
        <f>NOT(ISBLANK(W111))</f>
        <v>0</v>
      </c>
      <c r="T130" s="64" t="b">
        <f>AND(NOT(S130),W130=TRUE)</f>
        <v>0</v>
      </c>
      <c r="U130" s="562"/>
      <c r="V130" s="562"/>
      <c r="W130" s="18"/>
      <c r="X130" s="563"/>
      <c r="Y130" s="562"/>
      <c r="Z130" s="562"/>
      <c r="AA130" s="562"/>
      <c r="AB130" s="562"/>
      <c r="AC130" s="562" t="b">
        <f>OR(AD130:AE130)</f>
        <v>0</v>
      </c>
      <c r="AD130" s="562" t="b">
        <f>T130</f>
        <v>0</v>
      </c>
      <c r="AE130" s="562"/>
      <c r="AF130" s="562"/>
      <c r="AG130" s="562"/>
      <c r="AH130" s="562"/>
      <c r="AI130" s="562"/>
      <c r="AJ130" s="562"/>
      <c r="AK130" s="562"/>
      <c r="AL130" s="562" t="str">
        <f t="shared" si="14"/>
        <v>dpa503_5_6</v>
      </c>
      <c r="AM130" s="190">
        <f t="shared" ca="1" si="15"/>
        <v>0</v>
      </c>
      <c r="AN130" s="562" t="str">
        <f t="shared" ref="AN130:AN131" si="16">SUBSTITUTE(SUBSTITUTE(SUBSTITUTE("dpc"&amp;$B130&amp;$C130&amp;$D130&amp;$E130&amp;$F130,".","_"),"(","_"),")","")</f>
        <v>dpc503_5_6</v>
      </c>
      <c r="AO130" s="190">
        <f ca="1">O130</f>
        <v>0</v>
      </c>
      <c r="AP130" s="562" t="str">
        <f t="shared" ref="AP130:AP131" si="17">SUBSTITUTE(SUBSTITUTE(SUBSTITUTE("dch"&amp;$B130&amp;$C130&amp;$D130&amp;$E130&amp;$F130,".","_"),"(","_"),")","")</f>
        <v>dch503_5_6</v>
      </c>
      <c r="AQ130" s="190">
        <f>W130</f>
        <v>0</v>
      </c>
      <c r="AR130" s="562" t="str">
        <f>SUBSTITUTE(SUBSTITUTE(SUBSTITUTE("dnt"&amp;$B130&amp;$C130&amp;$D130&amp;$E130&amp;$F130,".","_"),"(","_"),")","")</f>
        <v>dnt503_5_6</v>
      </c>
      <c r="AS130" s="190">
        <f>X130</f>
        <v>0</v>
      </c>
      <c r="AT130" s="562"/>
      <c r="AU130" s="562"/>
      <c r="AV130" s="562"/>
    </row>
    <row r="131" spans="2:48" x14ac:dyDescent="0.2">
      <c r="B131" s="14" t="s">
        <v>2263</v>
      </c>
      <c r="C131" s="14"/>
      <c r="D131" s="14"/>
      <c r="E131" s="14" t="s">
        <v>2223</v>
      </c>
      <c r="F131" s="14"/>
      <c r="G131" s="14"/>
      <c r="H131" s="441"/>
      <c r="I131" s="60"/>
      <c r="J131" s="61" t="s">
        <v>2223</v>
      </c>
      <c r="K131" s="71"/>
      <c r="L131" s="791" t="s">
        <v>2281</v>
      </c>
      <c r="M131" s="803">
        <f ca="1">5*IFERROR(INDEX({0.5,0.5,1},MATCH($W$111,INDIRECT($U$111),0)),0)</f>
        <v>0</v>
      </c>
      <c r="N131" s="64"/>
      <c r="O131" s="793">
        <f ca="1">M131*S131*W131</f>
        <v>0</v>
      </c>
      <c r="P131" s="562" t="b">
        <v>0</v>
      </c>
      <c r="Q131" s="562" t="b">
        <v>1</v>
      </c>
      <c r="R131" s="562" t="b">
        <v>0</v>
      </c>
      <c r="S131" s="562" t="b">
        <f>NOT(ISBLANK(W111))</f>
        <v>0</v>
      </c>
      <c r="T131" s="64" t="b">
        <f>AND(NOT(S131),W131=TRUE)</f>
        <v>0</v>
      </c>
      <c r="U131" s="562"/>
      <c r="V131" s="562"/>
      <c r="W131" s="18"/>
      <c r="X131" s="787"/>
      <c r="Y131" s="562"/>
      <c r="Z131" s="562"/>
      <c r="AA131" s="562"/>
      <c r="AB131" s="562"/>
      <c r="AC131" s="562" t="b">
        <f>OR(AD131:AE131)</f>
        <v>0</v>
      </c>
      <c r="AD131" s="562" t="b">
        <f>T131</f>
        <v>0</v>
      </c>
      <c r="AE131" s="562"/>
      <c r="AF131" s="562"/>
      <c r="AG131" s="562"/>
      <c r="AH131" s="562"/>
      <c r="AI131" s="562"/>
      <c r="AJ131" s="562"/>
      <c r="AK131" s="562"/>
      <c r="AL131" s="562" t="str">
        <f t="shared" si="14"/>
        <v>dpa503_5_7</v>
      </c>
      <c r="AM131" s="190">
        <f t="shared" ca="1" si="15"/>
        <v>0</v>
      </c>
      <c r="AN131" s="562" t="str">
        <f t="shared" si="16"/>
        <v>dpc503_5_7</v>
      </c>
      <c r="AO131" s="190">
        <f ca="1">O131</f>
        <v>0</v>
      </c>
      <c r="AP131" s="562" t="str">
        <f t="shared" si="17"/>
        <v>dch503_5_7</v>
      </c>
      <c r="AQ131" s="190">
        <f>W131</f>
        <v>0</v>
      </c>
      <c r="AR131" s="562" t="str">
        <f>SUBSTITUTE(SUBSTITUTE(SUBSTITUTE("dnt"&amp;$B131&amp;$C131&amp;$D131&amp;$E131&amp;$F131,".","_"),"(","_"),")","")</f>
        <v>dnt503_5_7</v>
      </c>
      <c r="AS131" s="190">
        <f>X131</f>
        <v>0</v>
      </c>
      <c r="AT131" s="562"/>
      <c r="AU131" s="562"/>
      <c r="AV131" s="562"/>
    </row>
    <row r="132" spans="2:48" x14ac:dyDescent="0.2">
      <c r="B132" s="14" t="s">
        <v>2263</v>
      </c>
      <c r="C132" s="14"/>
      <c r="D132" s="14"/>
      <c r="E132" s="14" t="s">
        <v>2223</v>
      </c>
      <c r="F132" s="14"/>
      <c r="G132" s="14"/>
      <c r="H132" s="441"/>
      <c r="I132" s="60"/>
      <c r="J132" s="71"/>
      <c r="K132" s="71"/>
      <c r="L132" s="791"/>
      <c r="M132" s="803"/>
      <c r="N132" s="64"/>
      <c r="O132" s="793"/>
      <c r="P132" s="562"/>
      <c r="Q132" s="562"/>
      <c r="R132" s="562"/>
      <c r="S132" s="562"/>
      <c r="T132" s="562"/>
      <c r="U132" s="562"/>
      <c r="V132" s="562"/>
      <c r="W132" s="562"/>
      <c r="X132" s="787"/>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row>
    <row r="133" spans="2:48" x14ac:dyDescent="0.2">
      <c r="B133" s="14" t="s">
        <v>2263</v>
      </c>
      <c r="C133" s="14"/>
      <c r="D133" s="14"/>
      <c r="E133" s="14" t="s">
        <v>2223</v>
      </c>
      <c r="F133" s="14"/>
      <c r="G133" s="14"/>
      <c r="H133" s="441"/>
      <c r="I133" s="60"/>
      <c r="J133" s="71"/>
      <c r="K133" s="71"/>
      <c r="L133" s="791"/>
      <c r="M133" s="803"/>
      <c r="N133" s="64"/>
      <c r="O133" s="793"/>
      <c r="P133" s="562"/>
      <c r="Q133" s="562"/>
      <c r="R133" s="562"/>
      <c r="S133" s="562"/>
      <c r="T133" s="562"/>
      <c r="U133" s="562"/>
      <c r="V133" s="562"/>
      <c r="W133" s="562"/>
      <c r="X133" s="787"/>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c r="AT133" s="562"/>
      <c r="AU133" s="562"/>
      <c r="AV133" s="562"/>
    </row>
    <row r="134" spans="2:48" x14ac:dyDescent="0.2">
      <c r="B134" s="14" t="s">
        <v>2263</v>
      </c>
      <c r="C134" s="14"/>
      <c r="D134" s="14"/>
      <c r="E134" s="14" t="s">
        <v>2223</v>
      </c>
      <c r="F134" s="14"/>
      <c r="G134" s="14"/>
      <c r="H134" s="441"/>
      <c r="I134" s="60"/>
      <c r="J134" s="71"/>
      <c r="K134" s="71"/>
      <c r="L134" s="791"/>
      <c r="M134" s="803"/>
      <c r="N134" s="64"/>
      <c r="O134" s="793"/>
      <c r="P134" s="562"/>
      <c r="Q134" s="562"/>
      <c r="R134" s="562"/>
      <c r="S134" s="562"/>
      <c r="T134" s="562"/>
      <c r="U134" s="562"/>
      <c r="V134" s="562"/>
      <c r="W134" s="562"/>
      <c r="X134" s="787"/>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row>
    <row r="135" spans="2:48" x14ac:dyDescent="0.2">
      <c r="B135" s="14" t="s">
        <v>2263</v>
      </c>
      <c r="C135" s="14"/>
      <c r="D135" s="14"/>
      <c r="E135" s="14" t="s">
        <v>2223</v>
      </c>
      <c r="F135" s="14"/>
      <c r="G135" s="14"/>
      <c r="H135" s="441"/>
      <c r="I135" s="60"/>
      <c r="J135" s="128"/>
      <c r="K135" s="128"/>
      <c r="L135" s="792"/>
      <c r="M135" s="804"/>
      <c r="N135" s="129"/>
      <c r="O135" s="794"/>
      <c r="P135" s="562"/>
      <c r="Q135" s="562"/>
      <c r="R135" s="562"/>
      <c r="S135" s="562"/>
      <c r="T135" s="562"/>
      <c r="U135" s="562"/>
      <c r="V135" s="562"/>
      <c r="W135" s="562"/>
      <c r="X135" s="787"/>
      <c r="Y135" s="562"/>
      <c r="Z135" s="562"/>
      <c r="AA135" s="562"/>
      <c r="AB135" s="562"/>
      <c r="AC135" s="562"/>
      <c r="AD135" s="562"/>
      <c r="AE135" s="562"/>
      <c r="AF135" s="562"/>
      <c r="AG135" s="562"/>
      <c r="AH135" s="562"/>
      <c r="AI135" s="562"/>
      <c r="AJ135" s="562"/>
      <c r="AK135" s="562"/>
      <c r="AL135" s="562"/>
      <c r="AM135" s="562"/>
      <c r="AN135" s="562"/>
      <c r="AO135" s="562"/>
      <c r="AP135" s="562"/>
      <c r="AQ135" s="562"/>
      <c r="AR135" s="562"/>
      <c r="AS135" s="562"/>
      <c r="AT135" s="562"/>
      <c r="AU135" s="562"/>
      <c r="AV135" s="562"/>
    </row>
    <row r="136" spans="2:48" x14ac:dyDescent="0.2">
      <c r="B136" s="14" t="s">
        <v>2263</v>
      </c>
      <c r="C136" s="14"/>
      <c r="D136" s="14"/>
      <c r="E136" s="14" t="s">
        <v>2282</v>
      </c>
      <c r="F136" s="14"/>
      <c r="G136" s="14"/>
      <c r="H136" s="441"/>
      <c r="I136" s="60"/>
      <c r="J136" s="61" t="s">
        <v>2282</v>
      </c>
      <c r="K136" s="71"/>
      <c r="L136" s="791" t="s">
        <v>2283</v>
      </c>
      <c r="M136" s="803">
        <f ca="1">5*IFERROR(INDEX({0.5,0.5,1},MATCH($W$111,INDIRECT($U$111),0)),0)</f>
        <v>0</v>
      </c>
      <c r="N136" s="64"/>
      <c r="O136" s="793">
        <f ca="1">M136*S136*W136</f>
        <v>0</v>
      </c>
      <c r="P136" s="64" t="b">
        <v>0</v>
      </c>
      <c r="Q136" s="64" t="b">
        <v>1</v>
      </c>
      <c r="R136" s="562" t="b">
        <v>0</v>
      </c>
      <c r="S136" s="562" t="b">
        <f>NOT(ISBLANK(W111))</f>
        <v>0</v>
      </c>
      <c r="T136" s="64" t="b">
        <f>AND(NOT(S136),W136=TRUE)</f>
        <v>0</v>
      </c>
      <c r="U136" s="562"/>
      <c r="V136" s="562"/>
      <c r="W136" s="18"/>
      <c r="X136" s="787"/>
      <c r="Y136" s="562"/>
      <c r="Z136" s="562"/>
      <c r="AA136" s="562"/>
      <c r="AB136" s="562"/>
      <c r="AC136" s="562" t="b">
        <f>OR(AD136:AE136)</f>
        <v>0</v>
      </c>
      <c r="AD136" s="562" t="b">
        <f>T136</f>
        <v>0</v>
      </c>
      <c r="AE136" s="562"/>
      <c r="AF136" s="562"/>
      <c r="AG136" s="562"/>
      <c r="AH136" s="562"/>
      <c r="AI136" s="562"/>
      <c r="AJ136" s="562"/>
      <c r="AK136" s="562"/>
      <c r="AL136" s="562" t="str">
        <f>SUBSTITUTE(SUBSTITUTE(SUBSTITUTE("dpa"&amp;$B136&amp;$C136&amp;$D136&amp;$E136&amp;$F136,".","_"),"(","_"),")","")</f>
        <v>dpa503_5_8</v>
      </c>
      <c r="AM136" s="190">
        <f ca="1">M136</f>
        <v>0</v>
      </c>
      <c r="AN136" s="562" t="str">
        <f>SUBSTITUTE(SUBSTITUTE(SUBSTITUTE("dpc"&amp;$B136&amp;$C136&amp;$D136&amp;$E136&amp;$F136,".","_"),"(","_"),")","")</f>
        <v>dpc503_5_8</v>
      </c>
      <c r="AO136" s="190">
        <f ca="1">O136</f>
        <v>0</v>
      </c>
      <c r="AP136" s="562" t="str">
        <f>SUBSTITUTE(SUBSTITUTE(SUBSTITUTE("dch"&amp;$B136&amp;$C136&amp;$D136&amp;$E136&amp;$F136,".","_"),"(","_"),")","")</f>
        <v>dch503_5_8</v>
      </c>
      <c r="AQ136" s="190">
        <f>W136</f>
        <v>0</v>
      </c>
      <c r="AR136" s="562" t="str">
        <f>SUBSTITUTE(SUBSTITUTE(SUBSTITUTE("dnt"&amp;$B136&amp;$C136&amp;$D136&amp;$E136&amp;$F136,".","_"),"(","_"),")","")</f>
        <v>dnt503_5_8</v>
      </c>
      <c r="AS136" s="190">
        <f>X136</f>
        <v>0</v>
      </c>
      <c r="AT136" s="562"/>
      <c r="AU136" s="562"/>
      <c r="AV136" s="562"/>
    </row>
    <row r="137" spans="2:48" x14ac:dyDescent="0.2">
      <c r="B137" s="14" t="s">
        <v>2263</v>
      </c>
      <c r="C137" s="14"/>
      <c r="D137" s="14"/>
      <c r="E137" s="14" t="s">
        <v>2282</v>
      </c>
      <c r="F137" s="14"/>
      <c r="G137" s="14"/>
      <c r="H137" s="441"/>
      <c r="I137" s="60"/>
      <c r="J137" s="128"/>
      <c r="K137" s="128"/>
      <c r="L137" s="792"/>
      <c r="M137" s="804"/>
      <c r="N137" s="129"/>
      <c r="O137" s="794"/>
      <c r="P137" s="562"/>
      <c r="Q137" s="562"/>
      <c r="R137" s="562"/>
      <c r="S137" s="562"/>
      <c r="T137" s="562"/>
      <c r="U137" s="562"/>
      <c r="V137" s="562"/>
      <c r="W137" s="562"/>
      <c r="X137" s="787"/>
      <c r="Y137" s="562"/>
      <c r="Z137" s="562"/>
      <c r="AA137" s="562"/>
      <c r="AB137" s="562"/>
      <c r="AC137" s="562"/>
      <c r="AD137" s="562"/>
      <c r="AE137" s="562"/>
      <c r="AF137" s="562"/>
      <c r="AG137" s="562"/>
      <c r="AH137" s="562"/>
      <c r="AI137" s="562"/>
      <c r="AJ137" s="562"/>
      <c r="AK137" s="562"/>
      <c r="AL137" s="562"/>
      <c r="AM137" s="562"/>
      <c r="AN137" s="562"/>
      <c r="AO137" s="562"/>
      <c r="AP137" s="562"/>
      <c r="AQ137" s="562"/>
      <c r="AR137" s="562"/>
      <c r="AS137" s="562"/>
      <c r="AT137" s="562"/>
      <c r="AU137" s="562"/>
      <c r="AV137" s="562"/>
    </row>
    <row r="138" spans="2:48" x14ac:dyDescent="0.2">
      <c r="B138" s="14" t="s">
        <v>2263</v>
      </c>
      <c r="C138" s="14"/>
      <c r="D138" s="14"/>
      <c r="E138" s="14" t="s">
        <v>2284</v>
      </c>
      <c r="F138" s="14"/>
      <c r="G138" s="14"/>
      <c r="H138" s="441"/>
      <c r="I138" s="60"/>
      <c r="J138" s="61" t="s">
        <v>2284</v>
      </c>
      <c r="K138" s="71"/>
      <c r="L138" s="791" t="s">
        <v>2285</v>
      </c>
      <c r="M138" s="824">
        <v>3</v>
      </c>
      <c r="N138" s="64"/>
      <c r="O138" s="815">
        <f>M138*S138*W138</f>
        <v>0</v>
      </c>
      <c r="P138" s="64" t="b">
        <v>0</v>
      </c>
      <c r="Q138" s="64" t="b">
        <v>1</v>
      </c>
      <c r="R138" s="562" t="b">
        <v>0</v>
      </c>
      <c r="S138" s="562" t="b">
        <f>NOT(ISBLANK(W111))</f>
        <v>0</v>
      </c>
      <c r="T138" s="64" t="b">
        <f>AND(NOT(S138),W138=TRUE)</f>
        <v>0</v>
      </c>
      <c r="U138" s="562"/>
      <c r="V138" s="562"/>
      <c r="W138" s="18"/>
      <c r="X138" s="825"/>
      <c r="Y138" s="562"/>
      <c r="Z138" s="562"/>
      <c r="AA138" s="562"/>
      <c r="AB138" s="562"/>
      <c r="AC138" s="562" t="b">
        <f>OR(AD138:AE138)</f>
        <v>0</v>
      </c>
      <c r="AD138" s="562" t="b">
        <f>T138</f>
        <v>0</v>
      </c>
      <c r="AE138" s="562"/>
      <c r="AF138" s="562"/>
      <c r="AG138" s="562"/>
      <c r="AH138" s="562"/>
      <c r="AI138" s="562"/>
      <c r="AJ138" s="562"/>
      <c r="AK138" s="562"/>
      <c r="AL138" s="562" t="str">
        <f>SUBSTITUTE(SUBSTITUTE(SUBSTITUTE("dpa"&amp;$B138&amp;$C138&amp;$D138&amp;$E138&amp;$F138,".","_"),"(","_"),")","")</f>
        <v>dpa503_5_9</v>
      </c>
      <c r="AM138" s="190">
        <f>M138</f>
        <v>3</v>
      </c>
      <c r="AN138" s="562" t="str">
        <f>SUBSTITUTE(SUBSTITUTE(SUBSTITUTE("dpc"&amp;$B138&amp;$C138&amp;$D138&amp;$E138&amp;$F138,".","_"),"(","_"),")","")</f>
        <v>dpc503_5_9</v>
      </c>
      <c r="AO138" s="190">
        <f>O138</f>
        <v>0</v>
      </c>
      <c r="AP138" s="562" t="str">
        <f>SUBSTITUTE(SUBSTITUTE(SUBSTITUTE("dch"&amp;$B138&amp;$C138&amp;$D138&amp;$E138&amp;$F138,".","_"),"(","_"),")","")</f>
        <v>dch503_5_9</v>
      </c>
      <c r="AQ138" s="190">
        <f>W138</f>
        <v>0</v>
      </c>
      <c r="AR138" s="562" t="str">
        <f>SUBSTITUTE(SUBSTITUTE(SUBSTITUTE("dnt"&amp;$B138&amp;$C138&amp;$D138&amp;$E138&amp;$F138,".","_"),"(","_"),")","")</f>
        <v>dnt503_5_9</v>
      </c>
      <c r="AS138" s="190">
        <f>X138</f>
        <v>0</v>
      </c>
      <c r="AT138" s="562"/>
      <c r="AU138" s="562"/>
      <c r="AV138" s="562"/>
    </row>
    <row r="139" spans="2:48" x14ac:dyDescent="0.2">
      <c r="B139" s="14" t="s">
        <v>2263</v>
      </c>
      <c r="C139" s="14"/>
      <c r="D139" s="14"/>
      <c r="E139" s="14" t="s">
        <v>2284</v>
      </c>
      <c r="F139" s="14"/>
      <c r="G139" s="14"/>
      <c r="H139" s="441"/>
      <c r="I139" s="60"/>
      <c r="J139" s="71"/>
      <c r="K139" s="71"/>
      <c r="L139" s="791"/>
      <c r="M139" s="800"/>
      <c r="N139" s="64"/>
      <c r="O139" s="793"/>
      <c r="P139" s="562"/>
      <c r="Q139" s="562"/>
      <c r="R139" s="562"/>
      <c r="S139" s="562"/>
      <c r="T139" s="562"/>
      <c r="U139" s="562"/>
      <c r="V139" s="562"/>
      <c r="W139" s="562"/>
      <c r="X139" s="797"/>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c r="AT139" s="562"/>
      <c r="AU139" s="562"/>
      <c r="AV139" s="562"/>
    </row>
    <row r="140" spans="2:48" x14ac:dyDescent="0.2">
      <c r="B140" s="14" t="s">
        <v>2263</v>
      </c>
      <c r="C140" s="14"/>
      <c r="D140" s="14"/>
      <c r="E140" s="14" t="s">
        <v>2284</v>
      </c>
      <c r="F140" s="14"/>
      <c r="G140" s="14"/>
      <c r="H140" s="441"/>
      <c r="I140" s="60"/>
      <c r="J140" s="128"/>
      <c r="K140" s="128"/>
      <c r="L140" s="792"/>
      <c r="M140" s="801"/>
      <c r="N140" s="129"/>
      <c r="O140" s="794"/>
      <c r="P140" s="562"/>
      <c r="Q140" s="562"/>
      <c r="R140" s="562"/>
      <c r="S140" s="562"/>
      <c r="T140" s="562"/>
      <c r="U140" s="562"/>
      <c r="V140" s="562"/>
      <c r="W140" s="562"/>
      <c r="X140" s="786"/>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row>
    <row r="141" spans="2:48" x14ac:dyDescent="0.2">
      <c r="B141" s="14" t="s">
        <v>2263</v>
      </c>
      <c r="C141" s="14"/>
      <c r="D141" s="14"/>
      <c r="E141" s="14" t="s">
        <v>2286</v>
      </c>
      <c r="F141" s="14"/>
      <c r="G141" s="14"/>
      <c r="H141" s="441"/>
      <c r="I141" s="60"/>
      <c r="J141" s="61" t="s">
        <v>2286</v>
      </c>
      <c r="K141" s="71"/>
      <c r="L141" s="791" t="s">
        <v>2287</v>
      </c>
      <c r="M141" s="800">
        <v>4</v>
      </c>
      <c r="N141" s="64"/>
      <c r="O141" s="793">
        <f>M141*S141*W141</f>
        <v>0</v>
      </c>
      <c r="P141" s="64" t="b">
        <v>0</v>
      </c>
      <c r="Q141" s="64" t="b">
        <v>1</v>
      </c>
      <c r="R141" s="562" t="b">
        <v>0</v>
      </c>
      <c r="S141" s="562" t="b">
        <f>NOT(ISBLANK(W111))</f>
        <v>0</v>
      </c>
      <c r="T141" s="64" t="b">
        <f>AND(NOT(S141),W141=TRUE)</f>
        <v>0</v>
      </c>
      <c r="U141" s="562"/>
      <c r="V141" s="562"/>
      <c r="W141" s="18"/>
      <c r="X141" s="787"/>
      <c r="Y141" s="562"/>
      <c r="Z141" s="562"/>
      <c r="AA141" s="562"/>
      <c r="AB141" s="562"/>
      <c r="AC141" s="562" t="b">
        <f>OR(AD141:AE141)</f>
        <v>0</v>
      </c>
      <c r="AD141" s="562" t="b">
        <f>T141</f>
        <v>0</v>
      </c>
      <c r="AE141" s="562"/>
      <c r="AF141" s="562"/>
      <c r="AG141" s="562"/>
      <c r="AH141" s="562"/>
      <c r="AI141" s="562"/>
      <c r="AJ141" s="562"/>
      <c r="AK141" s="562"/>
      <c r="AL141" s="562" t="str">
        <f>SUBSTITUTE(SUBSTITUTE(SUBSTITUTE("dpa"&amp;$B141&amp;$C141&amp;$D141&amp;$E141&amp;$F141,".","_"),"(","_"),")","")</f>
        <v>dpa503_5_10</v>
      </c>
      <c r="AM141" s="190">
        <f>M141</f>
        <v>4</v>
      </c>
      <c r="AN141" s="562" t="str">
        <f>SUBSTITUTE(SUBSTITUTE(SUBSTITUTE("dpc"&amp;$B141&amp;$C141&amp;$D141&amp;$E141&amp;$F141,".","_"),"(","_"),")","")</f>
        <v>dpc503_5_10</v>
      </c>
      <c r="AO141" s="190">
        <f>O141</f>
        <v>0</v>
      </c>
      <c r="AP141" s="562" t="str">
        <f>SUBSTITUTE(SUBSTITUTE(SUBSTITUTE("dch"&amp;$B141&amp;$C141&amp;$D141&amp;$E141&amp;$F141,".","_"),"(","_"),")","")</f>
        <v>dch503_5_10</v>
      </c>
      <c r="AQ141" s="190">
        <f>W141</f>
        <v>0</v>
      </c>
      <c r="AR141" s="562" t="str">
        <f>SUBSTITUTE(SUBSTITUTE(SUBSTITUTE("dnt"&amp;$B141&amp;$C141&amp;$D141&amp;$E141&amp;$F141,".","_"),"(","_"),")","")</f>
        <v>dnt503_5_10</v>
      </c>
      <c r="AS141" s="190">
        <f>X141</f>
        <v>0</v>
      </c>
      <c r="AT141" s="562"/>
      <c r="AU141" s="562"/>
      <c r="AV141" s="562"/>
    </row>
    <row r="142" spans="2:48" x14ac:dyDescent="0.2">
      <c r="B142" s="14" t="s">
        <v>2263</v>
      </c>
      <c r="C142" s="14"/>
      <c r="D142" s="14"/>
      <c r="E142" s="14" t="s">
        <v>2286</v>
      </c>
      <c r="F142" s="14"/>
      <c r="G142" s="14"/>
      <c r="H142" s="441"/>
      <c r="I142" s="60"/>
      <c r="J142" s="128"/>
      <c r="K142" s="128"/>
      <c r="L142" s="792"/>
      <c r="M142" s="801"/>
      <c r="N142" s="129"/>
      <c r="O142" s="794"/>
      <c r="P142" s="562"/>
      <c r="Q142" s="562"/>
      <c r="R142" s="562"/>
      <c r="S142" s="562"/>
      <c r="T142" s="562"/>
      <c r="U142" s="562"/>
      <c r="V142" s="562"/>
      <c r="W142" s="562"/>
      <c r="X142" s="787"/>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row>
    <row r="143" spans="2:48" x14ac:dyDescent="0.2">
      <c r="B143" s="14" t="s">
        <v>2263</v>
      </c>
      <c r="C143" s="14"/>
      <c r="D143" s="14"/>
      <c r="E143" s="14" t="s">
        <v>2288</v>
      </c>
      <c r="F143" s="14"/>
      <c r="G143" s="14"/>
      <c r="H143" s="441"/>
      <c r="I143" s="60"/>
      <c r="J143" s="61" t="s">
        <v>2288</v>
      </c>
      <c r="K143" s="71"/>
      <c r="L143" s="791" t="s">
        <v>2289</v>
      </c>
      <c r="M143" s="800">
        <v>3</v>
      </c>
      <c r="N143" s="64"/>
      <c r="O143" s="793">
        <f>M143*S143*W143</f>
        <v>0</v>
      </c>
      <c r="P143" s="64" t="b">
        <v>0</v>
      </c>
      <c r="Q143" s="64" t="b">
        <v>1</v>
      </c>
      <c r="R143" s="562" t="b">
        <v>0</v>
      </c>
      <c r="S143" s="562" t="b">
        <f>NOT(ISBLANK(W111))</f>
        <v>0</v>
      </c>
      <c r="T143" s="64" t="b">
        <f>AND(NOT(S143),W143=TRUE)</f>
        <v>0</v>
      </c>
      <c r="U143" s="562"/>
      <c r="V143" s="562"/>
      <c r="W143" s="18"/>
      <c r="X143" s="787"/>
      <c r="Y143" s="562"/>
      <c r="Z143" s="562"/>
      <c r="AA143" s="562"/>
      <c r="AB143" s="562"/>
      <c r="AC143" s="562" t="b">
        <f>OR(AD143:AE143)</f>
        <v>0</v>
      </c>
      <c r="AD143" s="562" t="b">
        <f>T143</f>
        <v>0</v>
      </c>
      <c r="AE143" s="562"/>
      <c r="AF143" s="562"/>
      <c r="AG143" s="562"/>
      <c r="AH143" s="562"/>
      <c r="AI143" s="562"/>
      <c r="AJ143" s="562"/>
      <c r="AK143" s="562"/>
      <c r="AL143" s="562" t="str">
        <f>SUBSTITUTE(SUBSTITUTE(SUBSTITUTE("dpa"&amp;$B143&amp;$C143&amp;$D143&amp;$E143&amp;$F143,".","_"),"(","_"),")","")</f>
        <v>dpa503_5_11</v>
      </c>
      <c r="AM143" s="190">
        <f>M143</f>
        <v>3</v>
      </c>
      <c r="AN143" s="562" t="str">
        <f>SUBSTITUTE(SUBSTITUTE(SUBSTITUTE("dpc"&amp;$B143&amp;$C143&amp;$D143&amp;$E143&amp;$F143,".","_"),"(","_"),")","")</f>
        <v>dpc503_5_11</v>
      </c>
      <c r="AO143" s="190">
        <f>O143</f>
        <v>0</v>
      </c>
      <c r="AP143" s="562" t="str">
        <f>SUBSTITUTE(SUBSTITUTE(SUBSTITUTE("dch"&amp;$B143&amp;$C143&amp;$D143&amp;$E143&amp;$F143,".","_"),"(","_"),")","")</f>
        <v>dch503_5_11</v>
      </c>
      <c r="AQ143" s="190">
        <f>W143</f>
        <v>0</v>
      </c>
      <c r="AR143" s="562" t="str">
        <f>SUBSTITUTE(SUBSTITUTE(SUBSTITUTE("dnt"&amp;$B143&amp;$C143&amp;$D143&amp;$E143&amp;$F143,".","_"),"(","_"),")","")</f>
        <v>dnt503_5_11</v>
      </c>
      <c r="AS143" s="190">
        <f>X143</f>
        <v>0</v>
      </c>
      <c r="AT143" s="562"/>
      <c r="AU143" s="562"/>
      <c r="AV143" s="562"/>
    </row>
    <row r="144" spans="2:48" x14ac:dyDescent="0.2">
      <c r="B144" s="14" t="s">
        <v>2263</v>
      </c>
      <c r="C144" s="14"/>
      <c r="D144" s="14"/>
      <c r="E144" s="14" t="s">
        <v>2288</v>
      </c>
      <c r="F144" s="14"/>
      <c r="G144" s="14"/>
      <c r="H144" s="441"/>
      <c r="I144" s="60"/>
      <c r="J144" s="128"/>
      <c r="K144" s="128"/>
      <c r="L144" s="792"/>
      <c r="M144" s="801"/>
      <c r="N144" s="129"/>
      <c r="O144" s="794"/>
      <c r="P144" s="562"/>
      <c r="Q144" s="562"/>
      <c r="R144" s="562"/>
      <c r="S144" s="562"/>
      <c r="T144" s="562"/>
      <c r="U144" s="562"/>
      <c r="V144" s="562"/>
      <c r="W144" s="562"/>
      <c r="X144" s="787"/>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row>
    <row r="145" spans="1:51" x14ac:dyDescent="0.2">
      <c r="B145" s="14" t="s">
        <v>2263</v>
      </c>
      <c r="C145" s="14"/>
      <c r="D145" s="14"/>
      <c r="E145" s="14" t="s">
        <v>2290</v>
      </c>
      <c r="F145" s="14"/>
      <c r="G145" s="14"/>
      <c r="H145" s="441"/>
      <c r="I145" s="71"/>
      <c r="J145" s="61" t="s">
        <v>2290</v>
      </c>
      <c r="K145" s="71"/>
      <c r="L145" s="791" t="s">
        <v>2291</v>
      </c>
      <c r="M145" s="800">
        <v>6</v>
      </c>
      <c r="N145" s="64"/>
      <c r="O145" s="795">
        <f>M145*S145*W145</f>
        <v>0</v>
      </c>
      <c r="P145" s="64" t="b">
        <v>0</v>
      </c>
      <c r="Q145" s="64" t="b">
        <v>1</v>
      </c>
      <c r="R145" s="64" t="b">
        <v>0</v>
      </c>
      <c r="S145" s="562" t="b">
        <f>NOT(ISBLANK(W111))</f>
        <v>0</v>
      </c>
      <c r="T145" s="64" t="b">
        <f>AND(NOT(S145),W145=TRUE)</f>
        <v>0</v>
      </c>
      <c r="U145" s="64"/>
      <c r="V145" s="64"/>
      <c r="W145" s="18"/>
      <c r="X145" s="798"/>
      <c r="Y145" s="562"/>
      <c r="Z145" s="562"/>
      <c r="AA145" s="562"/>
      <c r="AB145" s="562"/>
      <c r="AC145" s="562" t="b">
        <f>OR(AD145:AE145)</f>
        <v>0</v>
      </c>
      <c r="AD145" s="562" t="b">
        <f>T145</f>
        <v>0</v>
      </c>
      <c r="AE145" s="562"/>
      <c r="AF145" s="562"/>
      <c r="AG145" s="562"/>
      <c r="AH145" s="562"/>
      <c r="AI145" s="562"/>
      <c r="AJ145" s="562"/>
      <c r="AK145" s="562"/>
      <c r="AL145" s="562" t="str">
        <f>SUBSTITUTE(SUBSTITUTE(SUBSTITUTE("dpa"&amp;$B145&amp;$C145&amp;$D145&amp;$E145&amp;$F145,".","_"),"(","_"),")","")</f>
        <v>dpa503_5_12</v>
      </c>
      <c r="AM145" s="190">
        <f>M145</f>
        <v>6</v>
      </c>
      <c r="AN145" s="562" t="str">
        <f>SUBSTITUTE(SUBSTITUTE(SUBSTITUTE("dpc"&amp;$B145&amp;$C145&amp;$D145&amp;$E145&amp;$F145,".","_"),"(","_"),")","")</f>
        <v>dpc503_5_12</v>
      </c>
      <c r="AO145" s="190">
        <f>O145</f>
        <v>0</v>
      </c>
      <c r="AP145" s="562" t="str">
        <f>SUBSTITUTE(SUBSTITUTE(SUBSTITUTE("dch"&amp;$B145&amp;$C145&amp;$D145&amp;$E145&amp;$F145,".","_"),"(","_"),")","")</f>
        <v>dch503_5_12</v>
      </c>
      <c r="AQ145" s="190">
        <f>W145</f>
        <v>0</v>
      </c>
      <c r="AR145" s="562" t="str">
        <f>SUBSTITUTE(SUBSTITUTE(SUBSTITUTE("dnt"&amp;$B145&amp;$C145&amp;$D145&amp;$E145&amp;$F145,".","_"),"(","_"),")","")</f>
        <v>dnt503_5_12</v>
      </c>
      <c r="AS145" s="190">
        <f>X145</f>
        <v>0</v>
      </c>
      <c r="AT145" s="562"/>
      <c r="AU145" s="562"/>
      <c r="AV145" s="562"/>
      <c r="AW145" s="562"/>
      <c r="AX145" s="562"/>
      <c r="AY145" s="562"/>
    </row>
    <row r="146" spans="1:51" ht="16" thickBot="1" x14ac:dyDescent="0.25">
      <c r="B146" s="14" t="s">
        <v>2263</v>
      </c>
      <c r="C146" s="14"/>
      <c r="D146" s="14"/>
      <c r="E146" s="14" t="s">
        <v>2290</v>
      </c>
      <c r="F146" s="14"/>
      <c r="G146" s="14"/>
      <c r="H146" s="441"/>
      <c r="I146" s="72"/>
      <c r="J146" s="72"/>
      <c r="K146" s="72"/>
      <c r="L146" s="818"/>
      <c r="M146" s="813"/>
      <c r="N146" s="68"/>
      <c r="O146" s="821"/>
      <c r="P146" s="68"/>
      <c r="Q146" s="68"/>
      <c r="R146" s="68"/>
      <c r="S146" s="68"/>
      <c r="T146" s="68"/>
      <c r="U146" s="68"/>
      <c r="V146" s="68"/>
      <c r="W146" s="68"/>
      <c r="X146" s="799"/>
      <c r="Y146" s="562"/>
      <c r="Z146" s="562"/>
      <c r="AA146" s="562"/>
      <c r="AB146" s="562"/>
      <c r="AC146" s="562"/>
      <c r="AD146" s="562"/>
      <c r="AE146" s="562"/>
      <c r="AF146" s="562"/>
      <c r="AG146" s="562"/>
      <c r="AH146" s="562"/>
      <c r="AI146" s="562"/>
      <c r="AJ146" s="562"/>
      <c r="AK146" s="562"/>
      <c r="AL146" s="562"/>
      <c r="AM146" s="562"/>
      <c r="AN146" s="562"/>
      <c r="AO146" s="562"/>
      <c r="AP146" s="562"/>
      <c r="AQ146" s="562"/>
      <c r="AR146" s="562"/>
      <c r="AS146" s="562"/>
      <c r="AT146" s="562"/>
      <c r="AU146" s="562"/>
      <c r="AV146" s="562"/>
      <c r="AW146" s="562"/>
      <c r="AX146" s="562"/>
      <c r="AY146" s="562"/>
    </row>
    <row r="147" spans="1:51" s="120" customFormat="1" ht="16" thickTop="1" x14ac:dyDescent="0.2">
      <c r="A147" s="13"/>
      <c r="B147" s="14" t="s">
        <v>2292</v>
      </c>
      <c r="C147" s="14"/>
      <c r="D147" s="14"/>
      <c r="E147" s="14"/>
      <c r="F147" s="14"/>
      <c r="G147" s="14"/>
      <c r="H147" s="441"/>
      <c r="I147" s="107" t="s">
        <v>2293</v>
      </c>
      <c r="J147" s="60"/>
      <c r="K147" s="60"/>
      <c r="L147" s="775" t="s">
        <v>2294</v>
      </c>
      <c r="M147" s="616"/>
      <c r="N147" s="562"/>
      <c r="O147" s="823">
        <f>IF((M149*W149+M150*W150+M151*W151+M153*W153)&gt;=6,(M149*W149+M150*W150+M151*W151+M153*W153),0)</f>
        <v>0</v>
      </c>
      <c r="P147" s="562"/>
      <c r="Q147" s="562"/>
      <c r="R147" s="562"/>
      <c r="S147" s="562"/>
      <c r="T147" s="562"/>
      <c r="U147" s="562"/>
      <c r="V147" s="562"/>
      <c r="W147" s="562"/>
      <c r="X147" s="802"/>
      <c r="Y147" s="562"/>
      <c r="Z147" s="562"/>
      <c r="AA147" s="562"/>
      <c r="AB147" s="562"/>
      <c r="AC147" s="562"/>
      <c r="AD147" s="562"/>
      <c r="AE147" s="562"/>
      <c r="AF147" s="562"/>
      <c r="AG147" s="562"/>
      <c r="AH147" s="562"/>
      <c r="AI147" s="562"/>
      <c r="AJ147" s="562"/>
      <c r="AK147" s="562"/>
      <c r="AL147" s="562"/>
      <c r="AM147" s="562"/>
      <c r="AN147" s="562"/>
      <c r="AO147" s="562"/>
      <c r="AP147" s="562"/>
      <c r="AQ147" s="562"/>
      <c r="AR147" s="562" t="str">
        <f>SUBSTITUTE(SUBSTITUTE(SUBSTITUTE("dnt"&amp;$B147&amp;$C147&amp;$D147&amp;$E147&amp;$F147,".","_"),"(","_"),")","")</f>
        <v>dnt503_6</v>
      </c>
      <c r="AS147" s="190">
        <f>X147</f>
        <v>0</v>
      </c>
      <c r="AT147" s="562"/>
      <c r="AU147" s="562"/>
      <c r="AV147" s="562"/>
      <c r="AW147" s="562"/>
      <c r="AX147" s="562"/>
      <c r="AY147" s="562"/>
    </row>
    <row r="148" spans="1:51" x14ac:dyDescent="0.2">
      <c r="B148" s="14" t="s">
        <v>2292</v>
      </c>
      <c r="C148" s="14"/>
      <c r="D148" s="14"/>
      <c r="E148" s="14"/>
      <c r="F148" s="14"/>
      <c r="G148" s="14"/>
      <c r="H148" s="441"/>
      <c r="I148" s="60"/>
      <c r="J148" s="60"/>
      <c r="K148" s="60"/>
      <c r="L148" s="775"/>
      <c r="M148" s="616"/>
      <c r="N148" s="562"/>
      <c r="O148" s="795"/>
      <c r="P148" s="562"/>
      <c r="Q148" s="562"/>
      <c r="R148" s="562"/>
      <c r="S148" s="562"/>
      <c r="T148" s="562"/>
      <c r="U148" s="562"/>
      <c r="V148" s="562"/>
      <c r="W148" s="562"/>
      <c r="X148" s="798"/>
      <c r="Y148" s="562"/>
      <c r="Z148" s="562"/>
      <c r="AA148" s="562"/>
      <c r="AB148" s="562"/>
      <c r="AC148" s="562"/>
      <c r="AD148" s="562"/>
      <c r="AE148" s="562"/>
      <c r="AF148" s="562"/>
      <c r="AG148" s="562"/>
      <c r="AH148" s="562"/>
      <c r="AI148" s="562"/>
      <c r="AJ148" s="562"/>
      <c r="AK148" s="562"/>
      <c r="AL148" s="562"/>
      <c r="AM148" s="562"/>
      <c r="AN148" s="562"/>
      <c r="AO148" s="562"/>
      <c r="AP148" s="562"/>
      <c r="AQ148" s="562"/>
      <c r="AR148" s="562"/>
      <c r="AS148" s="562"/>
      <c r="AT148" s="562"/>
      <c r="AU148" s="562"/>
      <c r="AV148" s="562"/>
      <c r="AW148" s="562"/>
      <c r="AX148" s="562"/>
      <c r="AY148" s="562"/>
    </row>
    <row r="149" spans="1:51" x14ac:dyDescent="0.2">
      <c r="B149" s="14" t="s">
        <v>2292</v>
      </c>
      <c r="C149" s="14"/>
      <c r="D149" s="14"/>
      <c r="E149" s="14" t="s">
        <v>2181</v>
      </c>
      <c r="F149" s="14"/>
      <c r="G149" s="14"/>
      <c r="H149" s="441"/>
      <c r="I149" s="60"/>
      <c r="J149" s="125" t="s">
        <v>2181</v>
      </c>
      <c r="K149" s="128"/>
      <c r="L149" s="126" t="s">
        <v>2295</v>
      </c>
      <c r="M149" s="611">
        <v>3</v>
      </c>
      <c r="N149" s="129"/>
      <c r="O149" s="608"/>
      <c r="P149" s="562" t="b">
        <v>0</v>
      </c>
      <c r="Q149" s="562" t="b">
        <v>1</v>
      </c>
      <c r="R149" s="562" t="b">
        <v>0</v>
      </c>
      <c r="S149" s="562" t="b">
        <v>1</v>
      </c>
      <c r="T149" s="562" t="b">
        <v>0</v>
      </c>
      <c r="U149" s="562"/>
      <c r="V149" s="562"/>
      <c r="W149" s="18"/>
      <c r="X149" s="798"/>
      <c r="Y149" s="562"/>
      <c r="Z149" s="562"/>
      <c r="AA149" s="562"/>
      <c r="AB149" s="562"/>
      <c r="AC149" s="562"/>
      <c r="AD149" s="562"/>
      <c r="AE149" s="562"/>
      <c r="AF149" s="562"/>
      <c r="AG149" s="562"/>
      <c r="AH149" s="562"/>
      <c r="AI149" s="562"/>
      <c r="AJ149" s="562"/>
      <c r="AK149" s="562"/>
      <c r="AL149" s="562" t="str">
        <f t="shared" ref="AL149:AL151" si="18">SUBSTITUTE(SUBSTITUTE(SUBSTITUTE("dpa"&amp;$B149&amp;$C149&amp;$D149&amp;$E149&amp;$F149,".","_"),"(","_"),")","")</f>
        <v>dpa503_6_1</v>
      </c>
      <c r="AM149" s="190">
        <f>M149</f>
        <v>3</v>
      </c>
      <c r="AN149" s="562" t="str">
        <f t="shared" ref="AN149:AN151" si="19">SUBSTITUTE(SUBSTITUTE(SUBSTITUTE("dpc"&amp;$B149&amp;$C149&amp;$D149&amp;$E149&amp;$F149,".","_"),"(","_"),")","")</f>
        <v>dpc503_6_1</v>
      </c>
      <c r="AO149" s="190">
        <f>O149</f>
        <v>0</v>
      </c>
      <c r="AP149" s="562" t="str">
        <f t="shared" ref="AP149:AP151" si="20">SUBSTITUTE(SUBSTITUTE(SUBSTITUTE("dch"&amp;$B149&amp;$C149&amp;$D149&amp;$E149&amp;$F149,".","_"),"(","_"),")","")</f>
        <v>dch503_6_1</v>
      </c>
      <c r="AQ149" s="190">
        <f>W149</f>
        <v>0</v>
      </c>
      <c r="AR149" s="562"/>
      <c r="AS149" s="562"/>
      <c r="AT149" s="562"/>
      <c r="AU149" s="562"/>
      <c r="AV149" s="562"/>
      <c r="AW149" s="562"/>
      <c r="AX149" s="562"/>
      <c r="AY149" s="562"/>
    </row>
    <row r="150" spans="1:51" x14ac:dyDescent="0.2">
      <c r="B150" s="14" t="s">
        <v>2292</v>
      </c>
      <c r="C150" s="14"/>
      <c r="D150" s="14"/>
      <c r="E150" s="14" t="s">
        <v>2183</v>
      </c>
      <c r="F150" s="14"/>
      <c r="G150" s="14"/>
      <c r="H150" s="441"/>
      <c r="I150" s="60"/>
      <c r="J150" s="125" t="s">
        <v>2183</v>
      </c>
      <c r="K150" s="128"/>
      <c r="L150" s="126" t="s">
        <v>2296</v>
      </c>
      <c r="M150" s="611">
        <v>3</v>
      </c>
      <c r="N150" s="129"/>
      <c r="O150" s="608"/>
      <c r="P150" s="562" t="b">
        <v>0</v>
      </c>
      <c r="Q150" s="562" t="b">
        <v>1</v>
      </c>
      <c r="R150" s="562" t="b">
        <v>0</v>
      </c>
      <c r="S150" s="562" t="b">
        <v>1</v>
      </c>
      <c r="T150" s="562" t="b">
        <v>0</v>
      </c>
      <c r="U150" s="562"/>
      <c r="V150" s="562"/>
      <c r="W150" s="18"/>
      <c r="X150" s="798"/>
      <c r="Y150" s="562"/>
      <c r="Z150" s="562"/>
      <c r="AA150" s="562"/>
      <c r="AB150" s="562"/>
      <c r="AC150" s="562"/>
      <c r="AD150" s="562"/>
      <c r="AE150" s="562"/>
      <c r="AF150" s="562"/>
      <c r="AG150" s="562"/>
      <c r="AH150" s="562"/>
      <c r="AI150" s="562"/>
      <c r="AJ150" s="562"/>
      <c r="AK150" s="562"/>
      <c r="AL150" s="562" t="str">
        <f t="shared" si="18"/>
        <v>dpa503_6_2</v>
      </c>
      <c r="AM150" s="190">
        <f>M150</f>
        <v>3</v>
      </c>
      <c r="AN150" s="562" t="str">
        <f t="shared" si="19"/>
        <v>dpc503_6_2</v>
      </c>
      <c r="AO150" s="190">
        <f>O150</f>
        <v>0</v>
      </c>
      <c r="AP150" s="562" t="str">
        <f t="shared" si="20"/>
        <v>dch503_6_2</v>
      </c>
      <c r="AQ150" s="190">
        <f>W150</f>
        <v>0</v>
      </c>
      <c r="AR150" s="562"/>
      <c r="AS150" s="562"/>
      <c r="AT150" s="562"/>
      <c r="AU150" s="562"/>
      <c r="AV150" s="562"/>
      <c r="AW150" s="562"/>
      <c r="AX150" s="562"/>
      <c r="AY150" s="562"/>
    </row>
    <row r="151" spans="1:51" x14ac:dyDescent="0.2">
      <c r="B151" s="14" t="s">
        <v>2292</v>
      </c>
      <c r="C151" s="14"/>
      <c r="D151" s="14"/>
      <c r="E151" s="14" t="s">
        <v>2185</v>
      </c>
      <c r="F151" s="14"/>
      <c r="G151" s="14"/>
      <c r="H151" s="441"/>
      <c r="I151" s="60"/>
      <c r="J151" s="61" t="s">
        <v>2185</v>
      </c>
      <c r="K151" s="71"/>
      <c r="L151" s="791" t="s">
        <v>2297</v>
      </c>
      <c r="M151" s="800">
        <v>3</v>
      </c>
      <c r="N151" s="64"/>
      <c r="O151" s="607"/>
      <c r="P151" s="562" t="b">
        <v>0</v>
      </c>
      <c r="Q151" s="562" t="b">
        <v>1</v>
      </c>
      <c r="R151" s="562" t="b">
        <v>0</v>
      </c>
      <c r="S151" s="562" t="b">
        <v>1</v>
      </c>
      <c r="T151" s="562" t="b">
        <v>0</v>
      </c>
      <c r="U151" s="562"/>
      <c r="V151" s="562"/>
      <c r="W151" s="18"/>
      <c r="X151" s="798"/>
      <c r="Y151" s="562"/>
      <c r="Z151" s="562"/>
      <c r="AA151" s="562"/>
      <c r="AB151" s="562"/>
      <c r="AC151" s="562"/>
      <c r="AD151" s="562"/>
      <c r="AE151" s="562"/>
      <c r="AF151" s="562"/>
      <c r="AG151" s="562"/>
      <c r="AH151" s="562"/>
      <c r="AI151" s="562"/>
      <c r="AJ151" s="562"/>
      <c r="AK151" s="562"/>
      <c r="AL151" s="562" t="str">
        <f t="shared" si="18"/>
        <v>dpa503_6_3</v>
      </c>
      <c r="AM151" s="190">
        <f>M151</f>
        <v>3</v>
      </c>
      <c r="AN151" s="562" t="str">
        <f t="shared" si="19"/>
        <v>dpc503_6_3</v>
      </c>
      <c r="AO151" s="190">
        <f>O151</f>
        <v>0</v>
      </c>
      <c r="AP151" s="562" t="str">
        <f t="shared" si="20"/>
        <v>dch503_6_3</v>
      </c>
      <c r="AQ151" s="190">
        <f>W151</f>
        <v>0</v>
      </c>
      <c r="AR151" s="562"/>
      <c r="AS151" s="562"/>
      <c r="AT151" s="562"/>
      <c r="AU151" s="562"/>
      <c r="AV151" s="562"/>
      <c r="AW151" s="562"/>
      <c r="AX151" s="562"/>
      <c r="AY151" s="562"/>
    </row>
    <row r="152" spans="1:51" x14ac:dyDescent="0.2">
      <c r="B152" s="14" t="s">
        <v>2292</v>
      </c>
      <c r="C152" s="14"/>
      <c r="D152" s="14"/>
      <c r="E152" s="14" t="s">
        <v>2185</v>
      </c>
      <c r="F152" s="14"/>
      <c r="G152" s="14"/>
      <c r="H152" s="441"/>
      <c r="I152" s="60"/>
      <c r="J152" s="128"/>
      <c r="K152" s="128"/>
      <c r="L152" s="792"/>
      <c r="M152" s="801"/>
      <c r="N152" s="129"/>
      <c r="O152" s="608"/>
      <c r="P152" s="562"/>
      <c r="Q152" s="562"/>
      <c r="R152" s="562"/>
      <c r="S152" s="562"/>
      <c r="T152" s="562"/>
      <c r="U152" s="562"/>
      <c r="V152" s="562"/>
      <c r="W152" s="562"/>
      <c r="X152" s="798"/>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c r="AT152" s="562"/>
      <c r="AU152" s="562"/>
      <c r="AV152" s="562"/>
      <c r="AW152" s="562"/>
      <c r="AX152" s="562"/>
      <c r="AY152" s="562"/>
    </row>
    <row r="153" spans="1:51" ht="16" thickBot="1" x14ac:dyDescent="0.25">
      <c r="B153" s="14" t="s">
        <v>2292</v>
      </c>
      <c r="C153" s="14"/>
      <c r="D153" s="14"/>
      <c r="E153" s="14" t="s">
        <v>2192</v>
      </c>
      <c r="F153" s="14"/>
      <c r="G153" s="14"/>
      <c r="H153" s="441"/>
      <c r="I153" s="72"/>
      <c r="J153" s="66" t="s">
        <v>2192</v>
      </c>
      <c r="K153" s="72"/>
      <c r="L153" s="67" t="s">
        <v>2298</v>
      </c>
      <c r="M153" s="615">
        <v>3</v>
      </c>
      <c r="N153" s="68"/>
      <c r="O153" s="622"/>
      <c r="P153" s="562" t="b">
        <v>0</v>
      </c>
      <c r="Q153" s="562" t="b">
        <v>1</v>
      </c>
      <c r="R153" s="68" t="b">
        <v>0</v>
      </c>
      <c r="S153" s="68" t="b">
        <v>1</v>
      </c>
      <c r="T153" s="68" t="b">
        <v>0</v>
      </c>
      <c r="U153" s="68"/>
      <c r="V153" s="68"/>
      <c r="W153" s="137"/>
      <c r="X153" s="799"/>
      <c r="Y153" s="562"/>
      <c r="Z153" s="562"/>
      <c r="AA153" s="562"/>
      <c r="AB153" s="562"/>
      <c r="AC153" s="562"/>
      <c r="AD153" s="562"/>
      <c r="AE153" s="562"/>
      <c r="AF153" s="562"/>
      <c r="AG153" s="562"/>
      <c r="AH153" s="562"/>
      <c r="AI153" s="562"/>
      <c r="AJ153" s="562"/>
      <c r="AK153" s="562"/>
      <c r="AL153" s="562" t="str">
        <f>SUBSTITUTE(SUBSTITUTE(SUBSTITUTE("dpa"&amp;$B153&amp;$C153&amp;$D153&amp;$E153&amp;$F153,".","_"),"(","_"),")","")</f>
        <v>dpa503_6_4</v>
      </c>
      <c r="AM153" s="190">
        <f>M153</f>
        <v>3</v>
      </c>
      <c r="AN153" s="562" t="str">
        <f>SUBSTITUTE(SUBSTITUTE(SUBSTITUTE("dpc"&amp;$B153&amp;$C153&amp;$D153&amp;$E153&amp;$F153,".","_"),"(","_"),")","")</f>
        <v>dpc503_6_4</v>
      </c>
      <c r="AO153" s="190">
        <f>O153</f>
        <v>0</v>
      </c>
      <c r="AP153" s="562" t="str">
        <f>SUBSTITUTE(SUBSTITUTE(SUBSTITUTE("dch"&amp;$B153&amp;$C153&amp;$D153&amp;$E153&amp;$F153,".","_"),"(","_"),")","")</f>
        <v>dch503_6_4</v>
      </c>
      <c r="AQ153" s="190">
        <f>W153</f>
        <v>0</v>
      </c>
      <c r="AR153" s="562"/>
      <c r="AS153" s="562"/>
      <c r="AT153" s="562"/>
      <c r="AU153" s="562"/>
      <c r="AV153" s="562"/>
      <c r="AW153" s="562"/>
      <c r="AX153" s="562"/>
      <c r="AY153" s="562"/>
    </row>
    <row r="154" spans="1:51" ht="16" thickTop="1" x14ac:dyDescent="0.2">
      <c r="B154" s="14" t="s">
        <v>2299</v>
      </c>
      <c r="C154" s="14"/>
      <c r="D154" s="14"/>
      <c r="E154" s="14"/>
      <c r="F154" s="14"/>
      <c r="G154" s="14"/>
      <c r="H154" s="441"/>
      <c r="I154" s="107" t="s">
        <v>2300</v>
      </c>
      <c r="J154" s="60"/>
      <c r="K154" s="60"/>
      <c r="L154" s="775" t="s">
        <v>2301</v>
      </c>
      <c r="M154" s="616"/>
      <c r="N154" s="562"/>
      <c r="O154" s="609"/>
      <c r="P154" s="562"/>
      <c r="Q154" s="562"/>
      <c r="R154" s="562"/>
      <c r="S154" s="562"/>
      <c r="T154" s="562"/>
      <c r="U154" s="562"/>
      <c r="V154" s="562"/>
      <c r="W154" s="136"/>
      <c r="X154" s="786"/>
      <c r="Y154" s="562"/>
      <c r="Z154" s="562"/>
      <c r="AA154" s="562"/>
      <c r="AB154" s="562"/>
      <c r="AC154" s="562"/>
      <c r="AD154" s="562"/>
      <c r="AE154" s="562"/>
      <c r="AF154" s="562"/>
      <c r="AG154" s="562"/>
      <c r="AH154" s="562"/>
      <c r="AI154" s="562"/>
      <c r="AJ154" s="562"/>
      <c r="AK154" s="562"/>
      <c r="AL154" s="562"/>
      <c r="AM154" s="562"/>
      <c r="AN154" s="562"/>
      <c r="AO154" s="562"/>
      <c r="AP154" s="562"/>
      <c r="AQ154" s="562"/>
      <c r="AR154" s="562" t="str">
        <f>SUBSTITUTE(SUBSTITUTE(SUBSTITUTE("dnt"&amp;$B154&amp;$C154&amp;$D154&amp;$E154&amp;$F154,".","_"),"(","_"),")","")</f>
        <v>dnt503_7</v>
      </c>
      <c r="AS154" s="190">
        <f>X154</f>
        <v>0</v>
      </c>
      <c r="AT154" s="562"/>
      <c r="AU154" s="562"/>
      <c r="AV154" s="562"/>
      <c r="AW154" s="562"/>
      <c r="AX154" s="562"/>
      <c r="AY154" s="562"/>
    </row>
    <row r="155" spans="1:51" x14ac:dyDescent="0.2">
      <c r="B155" s="14" t="s">
        <v>2299</v>
      </c>
      <c r="C155" s="14"/>
      <c r="D155" s="14"/>
      <c r="E155" s="14"/>
      <c r="F155" s="14"/>
      <c r="G155" s="14"/>
      <c r="H155" s="441"/>
      <c r="I155" s="60"/>
      <c r="J155" s="60"/>
      <c r="K155" s="60"/>
      <c r="L155" s="775"/>
      <c r="M155" s="616"/>
      <c r="N155" s="562"/>
      <c r="O155" s="609"/>
      <c r="P155" s="562"/>
      <c r="Q155" s="562"/>
      <c r="R155" s="562"/>
      <c r="S155" s="562"/>
      <c r="T155" s="562"/>
      <c r="U155" s="562"/>
      <c r="V155" s="562"/>
      <c r="W155" s="562"/>
      <c r="X155" s="798"/>
      <c r="Y155" s="562"/>
      <c r="Z155" s="562"/>
      <c r="AA155" s="562"/>
      <c r="AB155" s="562"/>
      <c r="AC155" s="562"/>
      <c r="AD155" s="562"/>
      <c r="AE155" s="562"/>
      <c r="AF155" s="562"/>
      <c r="AG155" s="562"/>
      <c r="AH155" s="562"/>
      <c r="AI155" s="562"/>
      <c r="AJ155" s="562"/>
      <c r="AK155" s="562"/>
      <c r="AL155" s="562"/>
      <c r="AM155" s="562"/>
      <c r="AN155" s="562"/>
      <c r="AO155" s="562"/>
      <c r="AP155" s="562"/>
      <c r="AQ155" s="562"/>
      <c r="AR155" s="562"/>
      <c r="AS155" s="562"/>
      <c r="AT155" s="562"/>
      <c r="AU155" s="562"/>
      <c r="AV155" s="562"/>
      <c r="AW155" s="562"/>
      <c r="AX155" s="562"/>
      <c r="AY155" s="562"/>
    </row>
    <row r="156" spans="1:51" x14ac:dyDescent="0.2">
      <c r="B156" s="14" t="s">
        <v>2299</v>
      </c>
      <c r="C156" s="14"/>
      <c r="D156" s="14"/>
      <c r="E156" s="14" t="s">
        <v>2181</v>
      </c>
      <c r="F156" s="14"/>
      <c r="G156" s="14"/>
      <c r="H156" s="441"/>
      <c r="I156" s="60"/>
      <c r="J156" s="61" t="s">
        <v>2181</v>
      </c>
      <c r="K156" s="71"/>
      <c r="L156" s="791" t="s">
        <v>2302</v>
      </c>
      <c r="M156" s="800">
        <v>4</v>
      </c>
      <c r="N156" s="64"/>
      <c r="O156" s="793">
        <f>M156*W156</f>
        <v>0</v>
      </c>
      <c r="P156" s="562" t="b">
        <v>1</v>
      </c>
      <c r="Q156" s="562" t="b">
        <v>1</v>
      </c>
      <c r="R156" s="562" t="b">
        <v>0</v>
      </c>
      <c r="S156" s="562" t="b">
        <v>1</v>
      </c>
      <c r="T156" s="562" t="b">
        <v>0</v>
      </c>
      <c r="U156" s="562"/>
      <c r="V156" s="562"/>
      <c r="W156" s="18"/>
      <c r="X156" s="798"/>
      <c r="Y156" s="562"/>
      <c r="Z156" s="562"/>
      <c r="AA156" s="562"/>
      <c r="AB156" s="562"/>
      <c r="AC156" s="562"/>
      <c r="AD156" s="562"/>
      <c r="AE156" s="562"/>
      <c r="AF156" s="562"/>
      <c r="AG156" s="562"/>
      <c r="AH156" s="562"/>
      <c r="AI156" s="562"/>
      <c r="AJ156" s="562"/>
      <c r="AK156" s="562"/>
      <c r="AL156" s="562" t="str">
        <f>SUBSTITUTE(SUBSTITUTE(SUBSTITUTE("dpa"&amp;$B156&amp;$C156&amp;$D156&amp;$E156&amp;$F156,".","_"),"(","_"),")","")</f>
        <v>dpa503_7_1</v>
      </c>
      <c r="AM156" s="190">
        <f>M156</f>
        <v>4</v>
      </c>
      <c r="AN156" s="562" t="str">
        <f>SUBSTITUTE(SUBSTITUTE(SUBSTITUTE("dpc"&amp;$B156&amp;$C156&amp;$D156&amp;$E156&amp;$F156,".","_"),"(","_"),")","")</f>
        <v>dpc503_7_1</v>
      </c>
      <c r="AO156" s="190">
        <f>O156</f>
        <v>0</v>
      </c>
      <c r="AP156" s="562" t="str">
        <f>SUBSTITUTE(SUBSTITUTE(SUBSTITUTE("dch"&amp;$B156&amp;$C156&amp;$D156&amp;$E156&amp;$F156,".","_"),"(","_"),")","")</f>
        <v>dch503_7_1</v>
      </c>
      <c r="AQ156" s="190">
        <f>W156</f>
        <v>0</v>
      </c>
      <c r="AR156" s="562"/>
      <c r="AS156" s="562"/>
      <c r="AT156" s="562"/>
      <c r="AU156" s="562"/>
      <c r="AV156" s="562"/>
      <c r="AW156" s="562"/>
      <c r="AX156" s="562"/>
      <c r="AY156" s="562"/>
    </row>
    <row r="157" spans="1:51" x14ac:dyDescent="0.2">
      <c r="B157" s="14" t="s">
        <v>2299</v>
      </c>
      <c r="C157" s="14"/>
      <c r="D157" s="14"/>
      <c r="E157" s="14" t="s">
        <v>2181</v>
      </c>
      <c r="F157" s="14"/>
      <c r="G157" s="14"/>
      <c r="H157" s="441"/>
      <c r="I157" s="60"/>
      <c r="J157" s="125"/>
      <c r="K157" s="128"/>
      <c r="L157" s="792"/>
      <c r="M157" s="801"/>
      <c r="N157" s="129"/>
      <c r="O157" s="794"/>
      <c r="P157" s="562"/>
      <c r="Q157" s="562"/>
      <c r="R157" s="562"/>
      <c r="S157" s="562"/>
      <c r="T157" s="562"/>
      <c r="U157" s="562"/>
      <c r="V157" s="562"/>
      <c r="W157" s="562"/>
      <c r="X157" s="798"/>
      <c r="Y157" s="562"/>
      <c r="Z157" s="562"/>
      <c r="AA157" s="562"/>
      <c r="AB157" s="562"/>
      <c r="AC157" s="562"/>
      <c r="AD157" s="562"/>
      <c r="AE157" s="562"/>
      <c r="AF157" s="562"/>
      <c r="AG157" s="562"/>
      <c r="AH157" s="562"/>
      <c r="AI157" s="562"/>
      <c r="AJ157" s="562"/>
      <c r="AK157" s="562"/>
      <c r="AL157" s="562"/>
      <c r="AM157" s="562"/>
      <c r="AN157" s="562"/>
      <c r="AO157" s="562"/>
      <c r="AP157" s="562"/>
      <c r="AQ157" s="562"/>
      <c r="AR157" s="562"/>
      <c r="AS157" s="562"/>
      <c r="AT157" s="562"/>
      <c r="AU157" s="562"/>
      <c r="AV157" s="562"/>
      <c r="AW157" s="562"/>
      <c r="AX157" s="562"/>
      <c r="AY157" s="562"/>
    </row>
    <row r="158" spans="1:51" x14ac:dyDescent="0.2">
      <c r="B158" s="14" t="s">
        <v>2299</v>
      </c>
      <c r="C158" s="14"/>
      <c r="D158" s="14"/>
      <c r="E158" s="14" t="s">
        <v>2183</v>
      </c>
      <c r="F158" s="14"/>
      <c r="G158" s="14"/>
      <c r="H158" s="441"/>
      <c r="I158" s="71"/>
      <c r="J158" s="61" t="s">
        <v>2183</v>
      </c>
      <c r="K158" s="71"/>
      <c r="L158" s="791" t="s">
        <v>2303</v>
      </c>
      <c r="M158" s="800">
        <v>4</v>
      </c>
      <c r="N158" s="64"/>
      <c r="O158" s="795">
        <f>M158*W158</f>
        <v>0</v>
      </c>
      <c r="P158" s="562" t="b">
        <v>1</v>
      </c>
      <c r="Q158" s="562" t="b">
        <v>1</v>
      </c>
      <c r="R158" s="64" t="b">
        <v>0</v>
      </c>
      <c r="S158" s="64" t="b">
        <v>1</v>
      </c>
      <c r="T158" s="64" t="b">
        <v>0</v>
      </c>
      <c r="U158" s="64"/>
      <c r="V158" s="64"/>
      <c r="W158" s="18"/>
      <c r="X158" s="798"/>
      <c r="Y158" s="562"/>
      <c r="Z158" s="562"/>
      <c r="AA158" s="562"/>
      <c r="AB158" s="562"/>
      <c r="AC158" s="562"/>
      <c r="AD158" s="562"/>
      <c r="AE158" s="562"/>
      <c r="AF158" s="562"/>
      <c r="AG158" s="562"/>
      <c r="AH158" s="562"/>
      <c r="AI158" s="562"/>
      <c r="AJ158" s="562"/>
      <c r="AK158" s="562"/>
      <c r="AL158" s="562" t="str">
        <f>SUBSTITUTE(SUBSTITUTE(SUBSTITUTE("dpa"&amp;$B158&amp;$C158&amp;$D158&amp;$E158&amp;$F158,".","_"),"(","_"),")","")</f>
        <v>dpa503_7_2</v>
      </c>
      <c r="AM158" s="190">
        <f>M158</f>
        <v>4</v>
      </c>
      <c r="AN158" s="562" t="str">
        <f>SUBSTITUTE(SUBSTITUTE(SUBSTITUTE("dpc"&amp;$B158&amp;$C158&amp;$D158&amp;$E158&amp;$F158,".","_"),"(","_"),")","")</f>
        <v>dpc503_7_2</v>
      </c>
      <c r="AO158" s="190">
        <f>O158</f>
        <v>0</v>
      </c>
      <c r="AP158" s="562" t="str">
        <f>SUBSTITUTE(SUBSTITUTE(SUBSTITUTE("dch"&amp;$B158&amp;$C158&amp;$D158&amp;$E158&amp;$F158,".","_"),"(","_"),")","")</f>
        <v>dch503_7_2</v>
      </c>
      <c r="AQ158" s="190">
        <f>W158</f>
        <v>0</v>
      </c>
      <c r="AR158" s="562"/>
      <c r="AS158" s="562"/>
      <c r="AT158" s="562"/>
      <c r="AU158" s="562"/>
      <c r="AV158" s="562"/>
      <c r="AW158" s="562"/>
      <c r="AX158" s="562"/>
      <c r="AY158" s="562"/>
    </row>
    <row r="159" spans="1:51" ht="16" thickBot="1" x14ac:dyDescent="0.25">
      <c r="B159" s="14" t="s">
        <v>2299</v>
      </c>
      <c r="C159" s="14"/>
      <c r="D159" s="14"/>
      <c r="E159" s="14" t="s">
        <v>2183</v>
      </c>
      <c r="F159" s="14"/>
      <c r="G159" s="14"/>
      <c r="H159" s="441"/>
      <c r="I159" s="72"/>
      <c r="J159" s="72"/>
      <c r="K159" s="72"/>
      <c r="L159" s="818"/>
      <c r="M159" s="813"/>
      <c r="N159" s="68"/>
      <c r="O159" s="821"/>
      <c r="P159" s="68"/>
      <c r="Q159" s="68"/>
      <c r="R159" s="68"/>
      <c r="S159" s="68"/>
      <c r="T159" s="68"/>
      <c r="U159" s="68"/>
      <c r="V159" s="68"/>
      <c r="W159" s="68"/>
      <c r="X159" s="799"/>
      <c r="Y159" s="562"/>
      <c r="Z159" s="562"/>
      <c r="AA159" s="562"/>
      <c r="AB159" s="562"/>
      <c r="AC159" s="562"/>
      <c r="AD159" s="562"/>
      <c r="AE159" s="562"/>
      <c r="AF159" s="562"/>
      <c r="AG159" s="562"/>
      <c r="AH159" s="562"/>
      <c r="AI159" s="562"/>
      <c r="AJ159" s="562"/>
      <c r="AK159" s="562"/>
      <c r="AL159" s="562"/>
      <c r="AM159" s="562"/>
      <c r="AN159" s="562"/>
      <c r="AO159" s="562"/>
      <c r="AP159" s="562"/>
      <c r="AQ159" s="562"/>
      <c r="AR159" s="562"/>
      <c r="AS159" s="562"/>
      <c r="AT159" s="562"/>
      <c r="AU159" s="562"/>
      <c r="AV159" s="562"/>
      <c r="AW159" s="562"/>
      <c r="AX159" s="562"/>
      <c r="AY159" s="562"/>
    </row>
    <row r="160" spans="1:51" ht="20" thickTop="1" x14ac:dyDescent="0.25">
      <c r="B160" s="14" t="s">
        <v>2304</v>
      </c>
      <c r="C160" s="14"/>
      <c r="D160" s="14"/>
      <c r="E160" s="14"/>
      <c r="F160" s="14"/>
      <c r="G160" s="14"/>
      <c r="H160" s="441"/>
      <c r="I160" s="58" t="s">
        <v>2305</v>
      </c>
      <c r="J160" s="58"/>
      <c r="K160" s="58"/>
      <c r="L160" s="54"/>
      <c r="M160" s="225"/>
      <c r="N160" s="16"/>
      <c r="O160" s="264"/>
      <c r="P160" s="16"/>
      <c r="Q160" s="16"/>
      <c r="R160" s="16"/>
      <c r="S160" s="16"/>
      <c r="T160" s="16"/>
      <c r="U160" s="16"/>
      <c r="V160" s="16"/>
      <c r="W160" s="16"/>
      <c r="X160" s="16"/>
      <c r="Y160" s="562"/>
      <c r="Z160" s="562"/>
      <c r="AA160" s="562"/>
      <c r="AB160" s="562"/>
      <c r="AC160" s="562"/>
      <c r="AD160" s="562"/>
      <c r="AE160" s="562"/>
      <c r="AF160" s="562"/>
      <c r="AG160" s="562"/>
      <c r="AH160" s="562"/>
      <c r="AI160" s="562"/>
      <c r="AJ160" s="562"/>
      <c r="AK160" s="562"/>
      <c r="AL160" s="562"/>
      <c r="AM160" s="562"/>
      <c r="AN160" s="562"/>
      <c r="AO160" s="562"/>
      <c r="AP160" s="562"/>
      <c r="AQ160" s="562"/>
      <c r="AR160" s="562"/>
      <c r="AS160" s="562"/>
      <c r="AT160" s="562"/>
      <c r="AU160" s="562"/>
      <c r="AV160" s="562"/>
      <c r="AW160" s="562"/>
      <c r="AX160" s="562"/>
      <c r="AY160" s="562"/>
    </row>
    <row r="161" spans="1:51" x14ac:dyDescent="0.2">
      <c r="B161" s="14" t="s">
        <v>2304</v>
      </c>
      <c r="C161" s="14"/>
      <c r="D161" s="14"/>
      <c r="E161" s="14"/>
      <c r="F161" s="14"/>
      <c r="G161" s="14"/>
      <c r="H161" s="441"/>
      <c r="I161" s="61" t="s">
        <v>2306</v>
      </c>
      <c r="J161" s="71"/>
      <c r="K161" s="71"/>
      <c r="L161" s="820" t="s">
        <v>2307</v>
      </c>
      <c r="M161" s="610"/>
      <c r="N161" s="64"/>
      <c r="O161" s="607"/>
      <c r="P161" s="64"/>
      <c r="Q161" s="64"/>
      <c r="R161" s="64"/>
      <c r="S161" s="64"/>
      <c r="T161" s="64"/>
      <c r="U161" s="64"/>
      <c r="V161" s="64"/>
      <c r="W161" s="64"/>
      <c r="X161" s="82"/>
      <c r="Y161" s="562"/>
      <c r="Z161" s="562"/>
      <c r="AA161" s="562"/>
      <c r="AB161" s="562"/>
      <c r="AC161" s="562"/>
      <c r="AD161" s="562"/>
      <c r="AE161" s="562"/>
      <c r="AF161" s="562"/>
      <c r="AG161" s="562"/>
      <c r="AH161" s="562"/>
      <c r="AI161" s="562"/>
      <c r="AJ161" s="562"/>
      <c r="AK161" s="562"/>
      <c r="AL161" s="562"/>
      <c r="AM161" s="562"/>
      <c r="AN161" s="562"/>
      <c r="AO161" s="562"/>
      <c r="AP161" s="562"/>
      <c r="AQ161" s="562"/>
      <c r="AR161" s="562"/>
      <c r="AS161" s="562"/>
      <c r="AT161" s="562"/>
      <c r="AU161" s="562"/>
      <c r="AV161" s="562"/>
      <c r="AW161" s="562"/>
      <c r="AX161" s="562"/>
      <c r="AY161" s="562"/>
    </row>
    <row r="162" spans="1:51" ht="16" thickBot="1" x14ac:dyDescent="0.25">
      <c r="B162" s="14" t="s">
        <v>2304</v>
      </c>
      <c r="C162" s="14"/>
      <c r="D162" s="14"/>
      <c r="E162" s="14"/>
      <c r="F162" s="14"/>
      <c r="G162" s="14"/>
      <c r="H162" s="441"/>
      <c r="I162" s="72"/>
      <c r="J162" s="72"/>
      <c r="K162" s="72"/>
      <c r="L162" s="822"/>
      <c r="M162" s="615"/>
      <c r="N162" s="68"/>
      <c r="O162" s="622"/>
      <c r="P162" s="68"/>
      <c r="Q162" s="68"/>
      <c r="R162" s="68"/>
      <c r="S162" s="68"/>
      <c r="T162" s="68"/>
      <c r="U162" s="68"/>
      <c r="V162" s="68"/>
      <c r="W162" s="68"/>
      <c r="X162" s="81"/>
      <c r="Y162" s="562"/>
      <c r="Z162" s="562"/>
      <c r="AA162" s="562"/>
      <c r="AB162" s="562"/>
      <c r="AC162" s="562"/>
      <c r="AD162" s="562"/>
      <c r="AE162" s="562"/>
      <c r="AF162" s="562"/>
      <c r="AG162" s="562"/>
      <c r="AH162" s="562"/>
      <c r="AI162" s="562"/>
      <c r="AJ162" s="562"/>
      <c r="AK162" s="562"/>
      <c r="AL162" s="562"/>
      <c r="AM162" s="562"/>
      <c r="AN162" s="562"/>
      <c r="AO162" s="562"/>
      <c r="AP162" s="562"/>
      <c r="AQ162" s="562"/>
      <c r="AR162" s="562"/>
      <c r="AS162" s="562"/>
      <c r="AT162" s="562"/>
      <c r="AU162" s="562"/>
      <c r="AV162" s="562"/>
      <c r="AW162" s="562"/>
      <c r="AX162" s="562"/>
      <c r="AY162" s="562"/>
    </row>
    <row r="163" spans="1:51" ht="16" thickTop="1" x14ac:dyDescent="0.2">
      <c r="B163" s="14" t="s">
        <v>2308</v>
      </c>
      <c r="C163" s="14"/>
      <c r="D163" s="14"/>
      <c r="E163" s="14"/>
      <c r="F163" s="14"/>
      <c r="G163" s="14"/>
      <c r="H163" s="441"/>
      <c r="I163" s="83" t="s">
        <v>2309</v>
      </c>
      <c r="J163" s="76"/>
      <c r="K163" s="76"/>
      <c r="L163" s="819" t="s">
        <v>2310</v>
      </c>
      <c r="M163" s="827">
        <v>4</v>
      </c>
      <c r="N163" s="74"/>
      <c r="O163" s="823">
        <f>M163*W163*S163</f>
        <v>0</v>
      </c>
      <c r="P163" s="562" t="b">
        <v>1</v>
      </c>
      <c r="Q163" s="562" t="b">
        <v>1</v>
      </c>
      <c r="R163" s="74" t="b">
        <v>0</v>
      </c>
      <c r="S163" s="74" t="b">
        <f>IF((O77+O79+O86)&gt;0,TRUE,FALSE)</f>
        <v>0</v>
      </c>
      <c r="T163" s="64" t="b">
        <f>AND(NOT(S163),W163=TRUE)</f>
        <v>0</v>
      </c>
      <c r="U163" s="74"/>
      <c r="V163" s="74"/>
      <c r="W163" s="18"/>
      <c r="X163" s="802"/>
      <c r="Y163" s="562"/>
      <c r="Z163" s="562"/>
      <c r="AA163" s="562"/>
      <c r="AB163" s="562"/>
      <c r="AC163" s="562" t="b">
        <f>OR(AD163:AE163)</f>
        <v>0</v>
      </c>
      <c r="AD163" s="562" t="b">
        <f>T163</f>
        <v>0</v>
      </c>
      <c r="AE163" s="562"/>
      <c r="AF163" s="562"/>
      <c r="AG163" s="562"/>
      <c r="AH163" s="562"/>
      <c r="AI163" s="562"/>
      <c r="AJ163" s="562"/>
      <c r="AK163" s="562"/>
      <c r="AL163" s="562" t="str">
        <f>SUBSTITUTE(SUBSTITUTE(SUBSTITUTE("dpa"&amp;$B163&amp;$C163&amp;$D163&amp;$E163&amp;$F163,".","_"),"(","_"),")","")</f>
        <v>dpa504_1</v>
      </c>
      <c r="AM163" s="190">
        <f>M163</f>
        <v>4</v>
      </c>
      <c r="AN163" s="562" t="str">
        <f>SUBSTITUTE(SUBSTITUTE(SUBSTITUTE("dpc"&amp;$B163&amp;$C163&amp;$D163&amp;$E163&amp;$F163,".","_"),"(","_"),")","")</f>
        <v>dpc504_1</v>
      </c>
      <c r="AO163" s="190">
        <f>O163</f>
        <v>0</v>
      </c>
      <c r="AP163" s="562" t="str">
        <f>SUBSTITUTE(SUBSTITUTE(SUBSTITUTE("dch"&amp;$B163&amp;$C163&amp;$D163&amp;$E163&amp;$F163,".","_"),"(","_"),")","")</f>
        <v>dch504_1</v>
      </c>
      <c r="AQ163" s="190">
        <f>W163</f>
        <v>0</v>
      </c>
      <c r="AR163" s="562" t="str">
        <f>SUBSTITUTE(SUBSTITUTE(SUBSTITUTE("dnt"&amp;$B163&amp;$C163&amp;$D163&amp;$E163&amp;$F163,".","_"),"(","_"),")","")</f>
        <v>dnt504_1</v>
      </c>
      <c r="AS163" s="190">
        <f>X163</f>
        <v>0</v>
      </c>
      <c r="AT163" s="562"/>
      <c r="AU163" s="562"/>
      <c r="AV163" s="562"/>
      <c r="AW163" s="562"/>
      <c r="AX163" s="562"/>
      <c r="AY163" s="562"/>
    </row>
    <row r="164" spans="1:51" x14ac:dyDescent="0.2">
      <c r="B164" s="14" t="s">
        <v>2308</v>
      </c>
      <c r="C164" s="14"/>
      <c r="D164" s="14"/>
      <c r="E164" s="14"/>
      <c r="F164" s="14"/>
      <c r="G164" s="14"/>
      <c r="H164" s="441"/>
      <c r="I164" s="71"/>
      <c r="J164" s="71"/>
      <c r="K164" s="71"/>
      <c r="L164" s="820"/>
      <c r="M164" s="800"/>
      <c r="N164" s="64"/>
      <c r="O164" s="793"/>
      <c r="P164" s="64"/>
      <c r="Q164" s="64"/>
      <c r="R164" s="64"/>
      <c r="S164" s="64"/>
      <c r="T164" s="64"/>
      <c r="U164" s="64"/>
      <c r="V164" s="64"/>
      <c r="W164" s="64"/>
      <c r="X164" s="798"/>
      <c r="Y164" s="562"/>
      <c r="Z164" s="562"/>
      <c r="AA164" s="562"/>
      <c r="AB164" s="562"/>
      <c r="AC164" s="562"/>
      <c r="AD164" s="562"/>
      <c r="AE164" s="562"/>
      <c r="AF164" s="562"/>
      <c r="AG164" s="562"/>
      <c r="AH164" s="562"/>
      <c r="AI164" s="562"/>
      <c r="AJ164" s="562"/>
      <c r="AK164" s="562"/>
      <c r="AL164" s="562"/>
      <c r="AM164" s="562"/>
      <c r="AN164" s="562"/>
      <c r="AO164" s="562"/>
      <c r="AP164" s="562"/>
      <c r="AQ164" s="562"/>
      <c r="AR164" s="562"/>
      <c r="AS164" s="562"/>
      <c r="AT164" s="562"/>
      <c r="AU164" s="562"/>
      <c r="AV164" s="562"/>
      <c r="AW164" s="562"/>
      <c r="AX164" s="562"/>
      <c r="AY164" s="562"/>
    </row>
    <row r="165" spans="1:51" x14ac:dyDescent="0.2">
      <c r="B165" s="14" t="s">
        <v>2308</v>
      </c>
      <c r="C165" s="14"/>
      <c r="D165" s="14"/>
      <c r="E165" s="14"/>
      <c r="F165" s="14"/>
      <c r="G165" s="14"/>
      <c r="H165" s="441"/>
      <c r="I165" s="71"/>
      <c r="J165" s="71"/>
      <c r="K165" s="71"/>
      <c r="L165" s="820"/>
      <c r="M165" s="800"/>
      <c r="N165" s="64"/>
      <c r="O165" s="793"/>
      <c r="P165" s="64"/>
      <c r="Q165" s="64"/>
      <c r="R165" s="64"/>
      <c r="S165" s="64"/>
      <c r="T165" s="64"/>
      <c r="U165" s="64"/>
      <c r="V165" s="64"/>
      <c r="W165" s="64"/>
      <c r="X165" s="798"/>
      <c r="Y165" s="562"/>
      <c r="Z165" s="562"/>
      <c r="AA165" s="562"/>
      <c r="AB165" s="562"/>
      <c r="AC165" s="562"/>
      <c r="AD165" s="562"/>
      <c r="AE165" s="562"/>
      <c r="AF165" s="562"/>
      <c r="AG165" s="562"/>
      <c r="AH165" s="562"/>
      <c r="AI165" s="562"/>
      <c r="AJ165" s="562"/>
      <c r="AK165" s="562"/>
      <c r="AL165" s="562"/>
      <c r="AM165" s="562"/>
      <c r="AN165" s="562"/>
      <c r="AO165" s="562"/>
      <c r="AP165" s="562"/>
      <c r="AQ165" s="562"/>
      <c r="AR165" s="562"/>
      <c r="AS165" s="562"/>
      <c r="AT165" s="562"/>
      <c r="AU165" s="562"/>
      <c r="AV165" s="562"/>
      <c r="AW165" s="562"/>
      <c r="AX165" s="562"/>
      <c r="AY165" s="562"/>
    </row>
    <row r="166" spans="1:51" x14ac:dyDescent="0.2">
      <c r="B166" s="14" t="s">
        <v>2308</v>
      </c>
      <c r="C166" s="14"/>
      <c r="D166" s="14"/>
      <c r="E166" s="14"/>
      <c r="F166" s="14"/>
      <c r="G166" s="14"/>
      <c r="H166" s="441"/>
      <c r="I166" s="71"/>
      <c r="J166" s="71"/>
      <c r="K166" s="71"/>
      <c r="L166" s="820"/>
      <c r="M166" s="800"/>
      <c r="N166" s="64"/>
      <c r="O166" s="793"/>
      <c r="P166" s="64"/>
      <c r="Q166" s="64"/>
      <c r="R166" s="64"/>
      <c r="S166" s="64"/>
      <c r="T166" s="64"/>
      <c r="U166" s="64"/>
      <c r="V166" s="64"/>
      <c r="W166" s="64"/>
      <c r="X166" s="798"/>
      <c r="Y166" s="562"/>
      <c r="Z166" s="562"/>
      <c r="AA166" s="562"/>
      <c r="AB166" s="562"/>
      <c r="AC166" s="562"/>
      <c r="AD166" s="562"/>
      <c r="AE166" s="562"/>
      <c r="AF166" s="562"/>
      <c r="AG166" s="562"/>
      <c r="AH166" s="562"/>
      <c r="AI166" s="562"/>
      <c r="AJ166" s="562"/>
      <c r="AK166" s="562"/>
      <c r="AL166" s="562"/>
      <c r="AM166" s="562"/>
      <c r="AN166" s="562"/>
      <c r="AO166" s="562"/>
      <c r="AP166" s="562"/>
      <c r="AQ166" s="562"/>
      <c r="AR166" s="562"/>
      <c r="AS166" s="562"/>
      <c r="AT166" s="562"/>
      <c r="AU166" s="562"/>
      <c r="AV166" s="562"/>
      <c r="AW166" s="562"/>
      <c r="AX166" s="562"/>
      <c r="AY166" s="562"/>
    </row>
    <row r="167" spans="1:51" ht="16" thickBot="1" x14ac:dyDescent="0.25">
      <c r="B167" s="14" t="s">
        <v>2308</v>
      </c>
      <c r="C167" s="14"/>
      <c r="D167" s="14"/>
      <c r="E167" s="14"/>
      <c r="F167" s="14"/>
      <c r="G167" s="14"/>
      <c r="H167" s="441"/>
      <c r="I167" s="72"/>
      <c r="J167" s="72"/>
      <c r="K167" s="72"/>
      <c r="L167" s="449" t="s">
        <v>2311</v>
      </c>
      <c r="M167" s="813"/>
      <c r="N167" s="68"/>
      <c r="O167" s="821"/>
      <c r="P167" s="68"/>
      <c r="Q167" s="68"/>
      <c r="R167" s="68"/>
      <c r="S167" s="68"/>
      <c r="T167" s="68"/>
      <c r="U167" s="68"/>
      <c r="V167" s="68"/>
      <c r="W167" s="68"/>
      <c r="X167" s="799"/>
      <c r="Y167" s="562"/>
      <c r="Z167" s="562"/>
      <c r="AA167" s="562"/>
      <c r="AB167" s="562"/>
      <c r="AC167" s="562"/>
      <c r="AD167" s="562"/>
      <c r="AE167" s="562"/>
      <c r="AF167" s="562"/>
      <c r="AG167" s="562"/>
      <c r="AH167" s="562"/>
      <c r="AI167" s="562"/>
      <c r="AJ167" s="562"/>
      <c r="AK167" s="562"/>
      <c r="AL167" s="562"/>
      <c r="AM167" s="562"/>
      <c r="AN167" s="562"/>
      <c r="AO167" s="562"/>
      <c r="AP167" s="562"/>
      <c r="AQ167" s="562"/>
      <c r="AR167" s="562"/>
      <c r="AS167" s="562"/>
      <c r="AT167" s="562"/>
      <c r="AU167" s="562"/>
      <c r="AV167" s="562"/>
      <c r="AW167" s="562"/>
      <c r="AX167" s="562"/>
      <c r="AY167" s="562"/>
    </row>
    <row r="168" spans="1:51" ht="16" thickTop="1" x14ac:dyDescent="0.2">
      <c r="B168" s="14" t="s">
        <v>2312</v>
      </c>
      <c r="C168" s="14"/>
      <c r="D168" s="14"/>
      <c r="E168" s="14"/>
      <c r="F168" s="14"/>
      <c r="G168" s="14"/>
      <c r="H168" s="441"/>
      <c r="I168" s="57" t="s">
        <v>2313</v>
      </c>
      <c r="J168" s="60"/>
      <c r="K168" s="60"/>
      <c r="L168" s="775" t="s">
        <v>2314</v>
      </c>
      <c r="M168" s="616"/>
      <c r="N168" s="562"/>
      <c r="O168" s="609"/>
      <c r="P168" s="562"/>
      <c r="Q168" s="562"/>
      <c r="R168" s="562"/>
      <c r="S168" s="562"/>
      <c r="T168" s="562"/>
      <c r="U168" s="562"/>
      <c r="V168" s="562"/>
      <c r="W168" s="562"/>
      <c r="X168" s="786"/>
      <c r="Y168" s="562"/>
      <c r="Z168" s="562"/>
      <c r="AA168" s="562"/>
      <c r="AB168" s="562"/>
      <c r="AC168" s="562"/>
      <c r="AD168" s="562"/>
      <c r="AE168" s="562"/>
      <c r="AF168" s="562"/>
      <c r="AG168" s="562"/>
      <c r="AH168" s="562"/>
      <c r="AI168" s="562"/>
      <c r="AJ168" s="562"/>
      <c r="AK168" s="562"/>
      <c r="AL168" s="562"/>
      <c r="AM168" s="562"/>
      <c r="AN168" s="562"/>
      <c r="AO168" s="562"/>
      <c r="AP168" s="562"/>
      <c r="AQ168" s="562"/>
      <c r="AR168" s="562" t="str">
        <f>SUBSTITUTE(SUBSTITUTE(SUBSTITUTE("dnt"&amp;$B168&amp;$C168&amp;$D168&amp;$E168&amp;$F168,".","_"),"(","_"),")","")</f>
        <v>dnt504_2</v>
      </c>
      <c r="AS168" s="190">
        <f>X168</f>
        <v>0</v>
      </c>
      <c r="AT168" s="562"/>
      <c r="AU168" s="562"/>
      <c r="AV168" s="562"/>
      <c r="AW168" s="562"/>
      <c r="AX168" s="562"/>
      <c r="AY168" s="562"/>
    </row>
    <row r="169" spans="1:51" x14ac:dyDescent="0.2">
      <c r="B169" s="14" t="s">
        <v>2312</v>
      </c>
      <c r="C169" s="14"/>
      <c r="D169" s="14"/>
      <c r="E169" s="14"/>
      <c r="F169" s="14"/>
      <c r="G169" s="14"/>
      <c r="H169" s="441"/>
      <c r="I169" s="60"/>
      <c r="J169" s="60"/>
      <c r="K169" s="60"/>
      <c r="L169" s="775"/>
      <c r="M169" s="616"/>
      <c r="N169" s="562"/>
      <c r="O169" s="609"/>
      <c r="P169" s="562"/>
      <c r="Q169" s="562"/>
      <c r="R169" s="562"/>
      <c r="S169" s="562"/>
      <c r="T169" s="562"/>
      <c r="U169" s="562"/>
      <c r="V169" s="562"/>
      <c r="W169" s="562"/>
      <c r="X169" s="798"/>
      <c r="Y169" s="562"/>
      <c r="Z169" s="562"/>
      <c r="AA169" s="562"/>
      <c r="AB169" s="562"/>
      <c r="AC169" s="562"/>
      <c r="AD169" s="562"/>
      <c r="AE169" s="562"/>
      <c r="AF169" s="562"/>
      <c r="AG169" s="562"/>
      <c r="AH169" s="562"/>
      <c r="AI169" s="562"/>
      <c r="AJ169" s="562"/>
      <c r="AK169" s="562"/>
      <c r="AL169" s="562"/>
      <c r="AM169" s="562"/>
      <c r="AN169" s="562"/>
      <c r="AO169" s="562"/>
      <c r="AP169" s="562"/>
      <c r="AQ169" s="562"/>
      <c r="AR169" s="562"/>
      <c r="AS169" s="562"/>
      <c r="AT169" s="562"/>
      <c r="AU169" s="562"/>
      <c r="AV169" s="562"/>
      <c r="AW169" s="562"/>
      <c r="AX169" s="562"/>
      <c r="AY169" s="562"/>
    </row>
    <row r="170" spans="1:51" ht="15.75" customHeight="1" x14ac:dyDescent="0.2">
      <c r="B170" s="14" t="s">
        <v>2312</v>
      </c>
      <c r="C170" s="14"/>
      <c r="D170" s="14"/>
      <c r="E170" s="14" t="s">
        <v>2181</v>
      </c>
      <c r="F170" s="14"/>
      <c r="G170" s="14"/>
      <c r="H170" s="441"/>
      <c r="I170" s="60"/>
      <c r="J170" s="125" t="s">
        <v>2181</v>
      </c>
      <c r="K170" s="128"/>
      <c r="L170" s="126" t="s">
        <v>2315</v>
      </c>
      <c r="M170" s="611">
        <v>3</v>
      </c>
      <c r="N170" s="129"/>
      <c r="O170" s="608">
        <f>M170*W170</f>
        <v>0</v>
      </c>
      <c r="P170" s="562" t="b">
        <v>1</v>
      </c>
      <c r="Q170" s="562" t="b">
        <v>0</v>
      </c>
      <c r="R170" s="562" t="b">
        <v>0</v>
      </c>
      <c r="S170" s="562" t="b">
        <v>1</v>
      </c>
      <c r="T170" s="562" t="b">
        <v>0</v>
      </c>
      <c r="U170" s="562"/>
      <c r="V170" s="562"/>
      <c r="W170" s="18"/>
      <c r="X170" s="798"/>
      <c r="Y170" s="562"/>
      <c r="Z170" s="562"/>
      <c r="AA170" s="562"/>
      <c r="AB170" s="562"/>
      <c r="AC170" s="562"/>
      <c r="AD170" s="562"/>
      <c r="AE170" s="562"/>
      <c r="AF170" s="562"/>
      <c r="AG170" s="562"/>
      <c r="AH170" s="562"/>
      <c r="AI170" s="562"/>
      <c r="AJ170" s="562"/>
      <c r="AK170" s="562"/>
      <c r="AL170" s="562" t="str">
        <f t="shared" ref="AL170:AL171" si="21">SUBSTITUTE(SUBSTITUTE(SUBSTITUTE("dpa"&amp;$B170&amp;$C170&amp;$D170&amp;$E170&amp;$F170,".","_"),"(","_"),")","")</f>
        <v>dpa504_2_1</v>
      </c>
      <c r="AM170" s="190">
        <f>M170</f>
        <v>3</v>
      </c>
      <c r="AN170" s="562" t="str">
        <f t="shared" ref="AN170:AN171" si="22">SUBSTITUTE(SUBSTITUTE(SUBSTITUTE("dpc"&amp;$B170&amp;$C170&amp;$D170&amp;$E170&amp;$F170,".","_"),"(","_"),")","")</f>
        <v>dpc504_2_1</v>
      </c>
      <c r="AO170" s="190">
        <f>O170</f>
        <v>0</v>
      </c>
      <c r="AP170" s="562" t="str">
        <f t="shared" ref="AP170:AP171" si="23">SUBSTITUTE(SUBSTITUTE(SUBSTITUTE("dch"&amp;$B170&amp;$C170&amp;$D170&amp;$E170&amp;$F170,".","_"),"(","_"),")","")</f>
        <v>dch504_2_1</v>
      </c>
      <c r="AQ170" s="190">
        <f>W170</f>
        <v>0</v>
      </c>
      <c r="AR170" s="562"/>
      <c r="AS170" s="562"/>
      <c r="AT170" s="562"/>
      <c r="AU170" s="562"/>
      <c r="AV170" s="562"/>
      <c r="AW170" s="562"/>
      <c r="AX170" s="562"/>
      <c r="AY170" s="562"/>
    </row>
    <row r="171" spans="1:51" x14ac:dyDescent="0.2">
      <c r="B171" s="14" t="s">
        <v>2312</v>
      </c>
      <c r="C171" s="14"/>
      <c r="D171" s="14"/>
      <c r="E171" s="14" t="s">
        <v>2183</v>
      </c>
      <c r="F171" s="14"/>
      <c r="G171" s="14"/>
      <c r="H171" s="441"/>
      <c r="I171" s="60"/>
      <c r="J171" s="61" t="s">
        <v>2183</v>
      </c>
      <c r="K171" s="71"/>
      <c r="L171" s="791" t="s">
        <v>2316</v>
      </c>
      <c r="M171" s="800">
        <v>5</v>
      </c>
      <c r="N171" s="64"/>
      <c r="O171" s="793">
        <f>M171*W171</f>
        <v>0</v>
      </c>
      <c r="P171" s="562" t="b">
        <v>1</v>
      </c>
      <c r="Q171" s="562" t="b">
        <v>0</v>
      </c>
      <c r="R171" s="562" t="b">
        <v>0</v>
      </c>
      <c r="S171" s="562" t="b">
        <v>1</v>
      </c>
      <c r="T171" s="562" t="b">
        <v>0</v>
      </c>
      <c r="U171" s="562"/>
      <c r="V171" s="562"/>
      <c r="W171" s="18"/>
      <c r="X171" s="798"/>
      <c r="Y171" s="562"/>
      <c r="Z171" s="562"/>
      <c r="AA171" s="562"/>
      <c r="AB171" s="562"/>
      <c r="AC171" s="562"/>
      <c r="AD171" s="562"/>
      <c r="AE171" s="562"/>
      <c r="AF171" s="562"/>
      <c r="AG171" s="562"/>
      <c r="AH171" s="562"/>
      <c r="AI171" s="562"/>
      <c r="AJ171" s="562"/>
      <c r="AK171" s="562"/>
      <c r="AL171" s="562" t="str">
        <f t="shared" si="21"/>
        <v>dpa504_2_2</v>
      </c>
      <c r="AM171" s="190">
        <f>M171</f>
        <v>5</v>
      </c>
      <c r="AN171" s="562" t="str">
        <f t="shared" si="22"/>
        <v>dpc504_2_2</v>
      </c>
      <c r="AO171" s="190">
        <f>O171</f>
        <v>0</v>
      </c>
      <c r="AP171" s="562" t="str">
        <f t="shared" si="23"/>
        <v>dch504_2_2</v>
      </c>
      <c r="AQ171" s="190">
        <f>W171</f>
        <v>0</v>
      </c>
      <c r="AR171" s="562"/>
      <c r="AS171" s="562"/>
      <c r="AT171" s="562"/>
      <c r="AU171" s="562"/>
      <c r="AV171" s="562"/>
      <c r="AW171" s="562"/>
      <c r="AX171" s="562"/>
      <c r="AY171" s="562"/>
    </row>
    <row r="172" spans="1:51" x14ac:dyDescent="0.2">
      <c r="B172" s="14" t="s">
        <v>2312</v>
      </c>
      <c r="C172" s="14"/>
      <c r="D172" s="14"/>
      <c r="E172" s="14" t="s">
        <v>2183</v>
      </c>
      <c r="F172" s="14"/>
      <c r="G172" s="14"/>
      <c r="H172" s="441"/>
      <c r="I172" s="60"/>
      <c r="J172" s="125"/>
      <c r="K172" s="128"/>
      <c r="L172" s="792"/>
      <c r="M172" s="801"/>
      <c r="N172" s="129"/>
      <c r="O172" s="794"/>
      <c r="P172" s="562"/>
      <c r="Q172" s="562"/>
      <c r="R172" s="562"/>
      <c r="S172" s="562"/>
      <c r="T172" s="562"/>
      <c r="U172" s="562"/>
      <c r="V172" s="562"/>
      <c r="W172" s="562"/>
      <c r="X172" s="798"/>
      <c r="Y172" s="562"/>
      <c r="Z172" s="562"/>
      <c r="AA172" s="562"/>
      <c r="AB172" s="562"/>
      <c r="AC172" s="562"/>
      <c r="AD172" s="562"/>
      <c r="AE172" s="562"/>
      <c r="AF172" s="562"/>
      <c r="AG172" s="562"/>
      <c r="AH172" s="562"/>
      <c r="AI172" s="562"/>
      <c r="AJ172" s="562"/>
      <c r="AK172" s="562"/>
      <c r="AL172" s="562"/>
      <c r="AM172" s="562"/>
      <c r="AN172" s="562"/>
      <c r="AO172" s="562"/>
      <c r="AP172" s="562"/>
      <c r="AQ172" s="562"/>
      <c r="AR172" s="562"/>
      <c r="AS172" s="562"/>
      <c r="AT172" s="562"/>
      <c r="AU172" s="562"/>
      <c r="AV172" s="562"/>
      <c r="AW172" s="562"/>
      <c r="AX172" s="562"/>
      <c r="AY172" s="562"/>
    </row>
    <row r="173" spans="1:51" s="94" customFormat="1" x14ac:dyDescent="0.2">
      <c r="A173" s="13"/>
      <c r="B173" s="14" t="s">
        <v>2312</v>
      </c>
      <c r="C173" s="14"/>
      <c r="D173" s="14"/>
      <c r="E173" s="14" t="s">
        <v>2185</v>
      </c>
      <c r="F173" s="14"/>
      <c r="G173" s="14"/>
      <c r="H173" s="441"/>
      <c r="I173" s="71"/>
      <c r="J173" s="61" t="s">
        <v>2185</v>
      </c>
      <c r="K173" s="71"/>
      <c r="L173" s="791" t="s">
        <v>2317</v>
      </c>
      <c r="M173" s="800">
        <v>4</v>
      </c>
      <c r="N173" s="64"/>
      <c r="O173" s="795">
        <f>M173*W173</f>
        <v>0</v>
      </c>
      <c r="P173" s="562" t="b">
        <v>1</v>
      </c>
      <c r="Q173" s="562" t="b">
        <v>0</v>
      </c>
      <c r="R173" s="64" t="b">
        <v>0</v>
      </c>
      <c r="S173" s="64" t="b">
        <v>1</v>
      </c>
      <c r="T173" s="64" t="b">
        <v>0</v>
      </c>
      <c r="U173" s="64"/>
      <c r="V173" s="64"/>
      <c r="W173" s="18"/>
      <c r="X173" s="798"/>
      <c r="Y173" s="562"/>
      <c r="Z173" s="562"/>
      <c r="AA173" s="562"/>
      <c r="AB173" s="562"/>
      <c r="AC173" s="562"/>
      <c r="AD173" s="562"/>
      <c r="AE173" s="562"/>
      <c r="AF173" s="562"/>
      <c r="AG173" s="562"/>
      <c r="AH173" s="562"/>
      <c r="AI173" s="562"/>
      <c r="AJ173" s="562"/>
      <c r="AK173" s="562"/>
      <c r="AL173" s="562" t="str">
        <f>SUBSTITUTE(SUBSTITUTE(SUBSTITUTE("dpa"&amp;$B173&amp;$C173&amp;$D173&amp;$E173&amp;$F173,".","_"),"(","_"),")","")</f>
        <v>dpa504_2_3</v>
      </c>
      <c r="AM173" s="190">
        <f>M173</f>
        <v>4</v>
      </c>
      <c r="AN173" s="562" t="str">
        <f>SUBSTITUTE(SUBSTITUTE(SUBSTITUTE("dpc"&amp;$B173&amp;$C173&amp;$D173&amp;$E173&amp;$F173,".","_"),"(","_"),")","")</f>
        <v>dpc504_2_3</v>
      </c>
      <c r="AO173" s="190">
        <f>O173</f>
        <v>0</v>
      </c>
      <c r="AP173" s="562" t="str">
        <f>SUBSTITUTE(SUBSTITUTE(SUBSTITUTE("dch"&amp;$B173&amp;$C173&amp;$D173&amp;$E173&amp;$F173,".","_"),"(","_"),")","")</f>
        <v>dch504_2_3</v>
      </c>
      <c r="AQ173" s="190">
        <f>W173</f>
        <v>0</v>
      </c>
      <c r="AR173" s="562"/>
      <c r="AS173" s="562"/>
      <c r="AT173" s="562"/>
      <c r="AU173" s="562"/>
      <c r="AV173" s="562"/>
      <c r="AW173" s="562"/>
      <c r="AX173" s="562"/>
      <c r="AY173" s="562"/>
    </row>
    <row r="174" spans="1:51" ht="16" thickBot="1" x14ac:dyDescent="0.25">
      <c r="B174" s="14" t="s">
        <v>2312</v>
      </c>
      <c r="C174" s="14"/>
      <c r="D174" s="14"/>
      <c r="E174" s="14" t="s">
        <v>2185</v>
      </c>
      <c r="F174" s="14"/>
      <c r="G174" s="14"/>
      <c r="H174" s="441"/>
      <c r="I174" s="72"/>
      <c r="J174" s="72"/>
      <c r="K174" s="72"/>
      <c r="L174" s="818"/>
      <c r="M174" s="813"/>
      <c r="N174" s="68"/>
      <c r="O174" s="821"/>
      <c r="P174" s="68"/>
      <c r="Q174" s="68"/>
      <c r="R174" s="68"/>
      <c r="S174" s="68"/>
      <c r="T174" s="68"/>
      <c r="U174" s="68"/>
      <c r="V174" s="68"/>
      <c r="W174" s="68"/>
      <c r="X174" s="799"/>
      <c r="Y174" s="562"/>
      <c r="Z174" s="562"/>
      <c r="AA174" s="562"/>
      <c r="AB174" s="562"/>
      <c r="AC174" s="562"/>
      <c r="AD174" s="562"/>
      <c r="AE174" s="562"/>
      <c r="AF174" s="562"/>
      <c r="AG174" s="562"/>
      <c r="AH174" s="562"/>
      <c r="AI174" s="562"/>
      <c r="AJ174" s="562"/>
      <c r="AK174" s="562"/>
      <c r="AL174" s="562"/>
      <c r="AM174" s="562"/>
      <c r="AN174" s="562"/>
      <c r="AO174" s="562"/>
      <c r="AP174" s="562"/>
      <c r="AQ174" s="562"/>
      <c r="AR174" s="562"/>
      <c r="AS174" s="562"/>
      <c r="AT174" s="562"/>
      <c r="AU174" s="562"/>
      <c r="AV174" s="562"/>
      <c r="AW174" s="562"/>
      <c r="AX174" s="562"/>
      <c r="AY174" s="562"/>
    </row>
    <row r="175" spans="1:51" ht="16" thickTop="1" x14ac:dyDescent="0.2">
      <c r="B175" s="14" t="s">
        <v>2318</v>
      </c>
      <c r="C175" s="14"/>
      <c r="D175" s="14"/>
      <c r="E175" s="14"/>
      <c r="F175" s="14"/>
      <c r="G175" s="14"/>
      <c r="H175" s="441"/>
      <c r="I175" s="57" t="s">
        <v>2319</v>
      </c>
      <c r="J175" s="60"/>
      <c r="K175" s="60"/>
      <c r="L175" s="775" t="s">
        <v>2320</v>
      </c>
      <c r="M175" s="616"/>
      <c r="N175" s="562"/>
      <c r="O175" s="609"/>
      <c r="P175" s="562"/>
      <c r="Q175" s="562"/>
      <c r="R175" s="562"/>
      <c r="S175" s="562"/>
      <c r="T175" s="562"/>
      <c r="U175" s="562"/>
      <c r="V175" s="562"/>
      <c r="W175" s="562"/>
      <c r="X175" s="786"/>
      <c r="Y175" s="562"/>
      <c r="Z175" s="562"/>
      <c r="AA175" s="562"/>
      <c r="AB175" s="562"/>
      <c r="AC175" s="562"/>
      <c r="AD175" s="562"/>
      <c r="AE175" s="562"/>
      <c r="AF175" s="562"/>
      <c r="AG175" s="562"/>
      <c r="AH175" s="562"/>
      <c r="AI175" s="562"/>
      <c r="AJ175" s="562"/>
      <c r="AK175" s="562"/>
      <c r="AL175" s="562"/>
      <c r="AM175" s="562"/>
      <c r="AN175" s="562"/>
      <c r="AO175" s="562"/>
      <c r="AP175" s="562"/>
      <c r="AQ175" s="562"/>
      <c r="AR175" s="562" t="str">
        <f>SUBSTITUTE(SUBSTITUTE(SUBSTITUTE("dnt"&amp;$B175&amp;$C175&amp;$D175&amp;$E175&amp;$F175,".","_"),"(","_"),")","")</f>
        <v>dnt504_3</v>
      </c>
      <c r="AS175" s="190">
        <f>X175</f>
        <v>0</v>
      </c>
      <c r="AT175" s="562"/>
      <c r="AU175" s="562"/>
      <c r="AV175" s="562"/>
      <c r="AW175" s="562"/>
      <c r="AX175" s="562"/>
      <c r="AY175" s="562"/>
    </row>
    <row r="176" spans="1:51" x14ac:dyDescent="0.2">
      <c r="B176" s="14" t="s">
        <v>2318</v>
      </c>
      <c r="C176" s="14"/>
      <c r="D176" s="14"/>
      <c r="E176" s="14"/>
      <c r="F176" s="14"/>
      <c r="G176" s="14"/>
      <c r="H176" s="441"/>
      <c r="I176" s="60"/>
      <c r="J176" s="60"/>
      <c r="K176" s="60"/>
      <c r="L176" s="775"/>
      <c r="M176" s="616"/>
      <c r="N176" s="562"/>
      <c r="O176" s="609"/>
      <c r="P176" s="562"/>
      <c r="Q176" s="562"/>
      <c r="R176" s="562"/>
      <c r="S176" s="562"/>
      <c r="T176" s="562"/>
      <c r="U176" s="562"/>
      <c r="V176" s="562"/>
      <c r="W176" s="562"/>
      <c r="X176" s="787"/>
      <c r="Y176" s="562"/>
      <c r="Z176" s="562"/>
      <c r="AA176" s="562"/>
      <c r="AB176" s="562"/>
      <c r="AC176" s="562"/>
      <c r="AD176" s="562"/>
      <c r="AE176" s="562"/>
      <c r="AF176" s="562"/>
      <c r="AG176" s="562"/>
      <c r="AH176" s="562"/>
      <c r="AI176" s="562"/>
      <c r="AJ176" s="562"/>
      <c r="AK176" s="562"/>
      <c r="AL176" s="562"/>
      <c r="AM176" s="562"/>
      <c r="AN176" s="562"/>
      <c r="AO176" s="562"/>
      <c r="AP176" s="562"/>
      <c r="AQ176" s="562"/>
      <c r="AR176" s="562"/>
      <c r="AS176" s="562"/>
      <c r="AT176" s="562"/>
      <c r="AU176" s="562"/>
      <c r="AV176" s="562"/>
      <c r="AW176" s="562"/>
      <c r="AX176" s="562"/>
      <c r="AY176" s="562"/>
    </row>
    <row r="177" spans="2:45" x14ac:dyDescent="0.2">
      <c r="B177" s="14" t="s">
        <v>2318</v>
      </c>
      <c r="C177" s="14"/>
      <c r="D177" s="14"/>
      <c r="E177" s="14"/>
      <c r="F177" s="14"/>
      <c r="G177" s="14"/>
      <c r="H177" s="441"/>
      <c r="I177" s="60"/>
      <c r="J177" s="60"/>
      <c r="K177" s="60"/>
      <c r="L177" s="775"/>
      <c r="M177" s="616"/>
      <c r="N177" s="562"/>
      <c r="O177" s="609"/>
      <c r="P177" s="562"/>
      <c r="Q177" s="562"/>
      <c r="R177" s="562"/>
      <c r="S177" s="562"/>
      <c r="T177" s="562"/>
      <c r="U177" s="562"/>
      <c r="V177" s="562"/>
      <c r="W177" s="562"/>
      <c r="X177" s="787"/>
      <c r="Y177" s="562"/>
      <c r="Z177" s="562"/>
      <c r="AA177" s="562"/>
      <c r="AB177" s="562"/>
      <c r="AC177" s="562"/>
      <c r="AD177" s="562"/>
      <c r="AE177" s="562"/>
      <c r="AF177" s="562"/>
      <c r="AG177" s="562"/>
      <c r="AH177" s="562"/>
      <c r="AI177" s="562"/>
      <c r="AJ177" s="562"/>
      <c r="AK177" s="562"/>
      <c r="AL177" s="562"/>
      <c r="AM177" s="562"/>
      <c r="AN177" s="562"/>
      <c r="AO177" s="562"/>
      <c r="AP177" s="562"/>
      <c r="AQ177" s="562"/>
      <c r="AR177" s="562"/>
      <c r="AS177" s="562"/>
    </row>
    <row r="178" spans="2:45" x14ac:dyDescent="0.2">
      <c r="B178" s="14" t="s">
        <v>2318</v>
      </c>
      <c r="C178" s="14"/>
      <c r="D178" s="14"/>
      <c r="E178" s="14" t="s">
        <v>2181</v>
      </c>
      <c r="F178" s="14"/>
      <c r="G178" s="14"/>
      <c r="H178" s="441"/>
      <c r="I178" s="60"/>
      <c r="J178" s="61" t="s">
        <v>2181</v>
      </c>
      <c r="K178" s="71"/>
      <c r="L178" s="791" t="s">
        <v>2321</v>
      </c>
      <c r="M178" s="800">
        <v>5</v>
      </c>
      <c r="N178" s="64"/>
      <c r="O178" s="793">
        <f>M178*W178</f>
        <v>0</v>
      </c>
      <c r="P178" s="562" t="b">
        <v>1</v>
      </c>
      <c r="Q178" s="562" t="b">
        <v>0</v>
      </c>
      <c r="R178" s="562" t="b">
        <v>0</v>
      </c>
      <c r="S178" s="562" t="b">
        <v>1</v>
      </c>
      <c r="T178" s="562" t="b">
        <v>0</v>
      </c>
      <c r="U178" s="562"/>
      <c r="V178" s="562"/>
      <c r="W178" s="18"/>
      <c r="X178" s="787"/>
      <c r="Y178" s="562"/>
      <c r="Z178" s="562"/>
      <c r="AA178" s="562"/>
      <c r="AB178" s="562"/>
      <c r="AC178" s="562"/>
      <c r="AD178" s="562"/>
      <c r="AE178" s="562"/>
      <c r="AF178" s="562"/>
      <c r="AG178" s="562"/>
      <c r="AH178" s="562"/>
      <c r="AI178" s="562"/>
      <c r="AJ178" s="562"/>
      <c r="AK178" s="562"/>
      <c r="AL178" s="562" t="str">
        <f>SUBSTITUTE(SUBSTITUTE(SUBSTITUTE("dpa"&amp;$B178&amp;$C178&amp;$D178&amp;$E178&amp;$F178,".","_"),"(","_"),")","")</f>
        <v>dpa504_3_1</v>
      </c>
      <c r="AM178" s="190">
        <f>M178</f>
        <v>5</v>
      </c>
      <c r="AN178" s="562" t="str">
        <f>SUBSTITUTE(SUBSTITUTE(SUBSTITUTE("dpc"&amp;$B178&amp;$C178&amp;$D178&amp;$E178&amp;$F178,".","_"),"(","_"),")","")</f>
        <v>dpc504_3_1</v>
      </c>
      <c r="AO178" s="190">
        <f>O178</f>
        <v>0</v>
      </c>
      <c r="AP178" s="562" t="str">
        <f>SUBSTITUTE(SUBSTITUTE(SUBSTITUTE("dch"&amp;$B178&amp;$C178&amp;$D178&amp;$E178&amp;$F178,".","_"),"(","_"),")","")</f>
        <v>dch504_3_1</v>
      </c>
      <c r="AQ178" s="190">
        <f>W178</f>
        <v>0</v>
      </c>
      <c r="AR178" s="562" t="str">
        <f>SUBSTITUTE(SUBSTITUTE(SUBSTITUTE("dnt"&amp;$B178&amp;$C178&amp;$D178&amp;$E178&amp;$F178,".","_"),"(","_"),")","")</f>
        <v>dnt504_3_1</v>
      </c>
      <c r="AS178" s="190">
        <f>X178</f>
        <v>0</v>
      </c>
    </row>
    <row r="179" spans="2:45" x14ac:dyDescent="0.2">
      <c r="B179" s="14" t="s">
        <v>2318</v>
      </c>
      <c r="C179" s="14"/>
      <c r="D179" s="14"/>
      <c r="E179" s="14" t="s">
        <v>2181</v>
      </c>
      <c r="F179" s="14"/>
      <c r="G179" s="14"/>
      <c r="H179" s="441"/>
      <c r="I179" s="60"/>
      <c r="J179" s="125"/>
      <c r="K179" s="128"/>
      <c r="L179" s="792"/>
      <c r="M179" s="801"/>
      <c r="N179" s="129"/>
      <c r="O179" s="794"/>
      <c r="P179" s="562"/>
      <c r="Q179" s="562"/>
      <c r="R179" s="562"/>
      <c r="S179" s="562"/>
      <c r="T179" s="562"/>
      <c r="U179" s="562"/>
      <c r="V179" s="562"/>
      <c r="W179" s="562"/>
      <c r="X179" s="787"/>
      <c r="Y179" s="562"/>
      <c r="Z179" s="562"/>
      <c r="AA179" s="562"/>
      <c r="AB179" s="562"/>
      <c r="AC179" s="562"/>
      <c r="AD179" s="562"/>
      <c r="AE179" s="562"/>
      <c r="AF179" s="562"/>
      <c r="AG179" s="562"/>
      <c r="AH179" s="562"/>
      <c r="AI179" s="562"/>
      <c r="AJ179" s="562"/>
      <c r="AK179" s="562"/>
      <c r="AL179" s="562"/>
      <c r="AM179" s="562"/>
      <c r="AN179" s="562"/>
      <c r="AO179" s="562"/>
      <c r="AP179" s="562"/>
      <c r="AQ179" s="562"/>
      <c r="AR179" s="562"/>
      <c r="AS179" s="562"/>
    </row>
    <row r="180" spans="2:45" x14ac:dyDescent="0.2">
      <c r="B180" s="14" t="s">
        <v>2318</v>
      </c>
      <c r="C180" s="14"/>
      <c r="D180" s="14"/>
      <c r="E180" s="14" t="s">
        <v>2183</v>
      </c>
      <c r="F180" s="14"/>
      <c r="G180" s="14"/>
      <c r="H180" s="441"/>
      <c r="I180" s="60"/>
      <c r="J180" s="125" t="s">
        <v>2183</v>
      </c>
      <c r="K180" s="128"/>
      <c r="L180" s="126" t="s">
        <v>2322</v>
      </c>
      <c r="M180" s="611">
        <v>5</v>
      </c>
      <c r="N180" s="129"/>
      <c r="O180" s="608">
        <f>M180*W180</f>
        <v>0</v>
      </c>
      <c r="P180" s="562" t="b">
        <v>1</v>
      </c>
      <c r="Q180" s="562" t="b">
        <v>0</v>
      </c>
      <c r="R180" s="562" t="b">
        <v>0</v>
      </c>
      <c r="S180" s="562" t="b">
        <v>1</v>
      </c>
      <c r="T180" s="562" t="b">
        <v>0</v>
      </c>
      <c r="U180" s="562"/>
      <c r="V180" s="562"/>
      <c r="W180" s="18"/>
      <c r="X180" s="563"/>
      <c r="Y180" s="562"/>
      <c r="Z180" s="562"/>
      <c r="AA180" s="562"/>
      <c r="AB180" s="562"/>
      <c r="AC180" s="562"/>
      <c r="AD180" s="562"/>
      <c r="AE180" s="562"/>
      <c r="AF180" s="562"/>
      <c r="AG180" s="562"/>
      <c r="AH180" s="562"/>
      <c r="AI180" s="562"/>
      <c r="AJ180" s="562"/>
      <c r="AK180" s="562"/>
      <c r="AL180" s="562" t="str">
        <f t="shared" ref="AL180:AL181" si="24">SUBSTITUTE(SUBSTITUTE(SUBSTITUTE("dpa"&amp;$B180&amp;$C180&amp;$D180&amp;$E180&amp;$F180,".","_"),"(","_"),")","")</f>
        <v>dpa504_3_2</v>
      </c>
      <c r="AM180" s="190">
        <f>M180</f>
        <v>5</v>
      </c>
      <c r="AN180" s="562" t="str">
        <f t="shared" ref="AN180:AN181" si="25">SUBSTITUTE(SUBSTITUTE(SUBSTITUTE("dpc"&amp;$B180&amp;$C180&amp;$D180&amp;$E180&amp;$F180,".","_"),"(","_"),")","")</f>
        <v>dpc504_3_2</v>
      </c>
      <c r="AO180" s="190">
        <f>O180</f>
        <v>0</v>
      </c>
      <c r="AP180" s="562" t="str">
        <f t="shared" ref="AP180:AP181" si="26">SUBSTITUTE(SUBSTITUTE(SUBSTITUTE("dch"&amp;$B180&amp;$C180&amp;$D180&amp;$E180&amp;$F180,".","_"),"(","_"),")","")</f>
        <v>dch504_3_2</v>
      </c>
      <c r="AQ180" s="190">
        <f>W180</f>
        <v>0</v>
      </c>
      <c r="AR180" s="562" t="str">
        <f>SUBSTITUTE(SUBSTITUTE(SUBSTITUTE("dnt"&amp;$B180&amp;$C180&amp;$D180&amp;$E180&amp;$F180,".","_"),"(","_"),")","")</f>
        <v>dnt504_3_2</v>
      </c>
      <c r="AS180" s="190">
        <f>X180</f>
        <v>0</v>
      </c>
    </row>
    <row r="181" spans="2:45" x14ac:dyDescent="0.2">
      <c r="B181" s="14" t="s">
        <v>2318</v>
      </c>
      <c r="C181" s="14"/>
      <c r="D181" s="14"/>
      <c r="E181" s="14" t="s">
        <v>2185</v>
      </c>
      <c r="F181" s="14"/>
      <c r="G181" s="14"/>
      <c r="H181" s="441"/>
      <c r="I181" s="60"/>
      <c r="J181" s="61" t="s">
        <v>2185</v>
      </c>
      <c r="K181" s="71"/>
      <c r="L181" s="791" t="s">
        <v>2323</v>
      </c>
      <c r="M181" s="800">
        <v>5</v>
      </c>
      <c r="N181" s="64"/>
      <c r="O181" s="793">
        <f>M181*W181</f>
        <v>0</v>
      </c>
      <c r="P181" s="562" t="b">
        <v>1</v>
      </c>
      <c r="Q181" s="562" t="b">
        <v>0</v>
      </c>
      <c r="R181" s="562" t="b">
        <v>0</v>
      </c>
      <c r="S181" s="562" t="b">
        <v>1</v>
      </c>
      <c r="T181" s="562" t="b">
        <v>0</v>
      </c>
      <c r="U181" s="562"/>
      <c r="V181" s="562"/>
      <c r="W181" s="18"/>
      <c r="X181" s="787"/>
      <c r="Y181" s="562"/>
      <c r="Z181" s="562"/>
      <c r="AA181" s="562"/>
      <c r="AB181" s="562"/>
      <c r="AC181" s="562"/>
      <c r="AD181" s="562"/>
      <c r="AE181" s="562"/>
      <c r="AF181" s="562"/>
      <c r="AG181" s="562"/>
      <c r="AH181" s="562"/>
      <c r="AI181" s="562"/>
      <c r="AJ181" s="562"/>
      <c r="AK181" s="562"/>
      <c r="AL181" s="562" t="str">
        <f t="shared" si="24"/>
        <v>dpa504_3_3</v>
      </c>
      <c r="AM181" s="190">
        <f>M181</f>
        <v>5</v>
      </c>
      <c r="AN181" s="562" t="str">
        <f t="shared" si="25"/>
        <v>dpc504_3_3</v>
      </c>
      <c r="AO181" s="190">
        <f>O181</f>
        <v>0</v>
      </c>
      <c r="AP181" s="562" t="str">
        <f t="shared" si="26"/>
        <v>dch504_3_3</v>
      </c>
      <c r="AQ181" s="190">
        <f>W181</f>
        <v>0</v>
      </c>
      <c r="AR181" s="562" t="str">
        <f>SUBSTITUTE(SUBSTITUTE(SUBSTITUTE("dnt"&amp;$B181&amp;$C181&amp;$D181&amp;$E181&amp;$F181,".","_"),"(","_"),")","")</f>
        <v>dnt504_3_3</v>
      </c>
      <c r="AS181" s="190">
        <f>X181</f>
        <v>0</v>
      </c>
    </row>
    <row r="182" spans="2:45" x14ac:dyDescent="0.2">
      <c r="B182" s="14" t="s">
        <v>2318</v>
      </c>
      <c r="C182" s="14"/>
      <c r="D182" s="14"/>
      <c r="E182" s="14" t="s">
        <v>2185</v>
      </c>
      <c r="F182" s="14"/>
      <c r="G182" s="14"/>
      <c r="H182" s="441"/>
      <c r="I182" s="60"/>
      <c r="J182" s="128"/>
      <c r="K182" s="128"/>
      <c r="L182" s="792"/>
      <c r="M182" s="801"/>
      <c r="N182" s="129"/>
      <c r="O182" s="794"/>
      <c r="P182" s="562"/>
      <c r="Q182" s="562"/>
      <c r="R182" s="562"/>
      <c r="S182" s="562"/>
      <c r="T182" s="562"/>
      <c r="U182" s="562"/>
      <c r="V182" s="562"/>
      <c r="W182" s="562"/>
      <c r="X182" s="787"/>
      <c r="Y182" s="562"/>
      <c r="Z182" s="562"/>
      <c r="AA182" s="562"/>
      <c r="AB182" s="562"/>
      <c r="AC182" s="562"/>
      <c r="AD182" s="562"/>
      <c r="AE182" s="562"/>
      <c r="AF182" s="562"/>
      <c r="AG182" s="562"/>
      <c r="AH182" s="562"/>
      <c r="AI182" s="562"/>
      <c r="AJ182" s="562"/>
      <c r="AK182" s="562"/>
      <c r="AL182" s="562"/>
      <c r="AM182" s="562"/>
      <c r="AN182" s="562"/>
      <c r="AO182" s="562"/>
      <c r="AP182" s="562"/>
      <c r="AQ182" s="562"/>
      <c r="AR182" s="562"/>
      <c r="AS182" s="562"/>
    </row>
    <row r="183" spans="2:45" x14ac:dyDescent="0.2">
      <c r="B183" s="14" t="s">
        <v>2318</v>
      </c>
      <c r="C183" s="14"/>
      <c r="D183" s="14"/>
      <c r="E183" s="14" t="s">
        <v>2192</v>
      </c>
      <c r="F183" s="14"/>
      <c r="G183" s="14"/>
      <c r="H183" s="441"/>
      <c r="I183" s="60"/>
      <c r="J183" s="61" t="s">
        <v>2192</v>
      </c>
      <c r="K183" s="71"/>
      <c r="L183" s="791" t="s">
        <v>2324</v>
      </c>
      <c r="M183" s="800">
        <v>5</v>
      </c>
      <c r="N183" s="64"/>
      <c r="O183" s="793">
        <f>M183*W183</f>
        <v>0</v>
      </c>
      <c r="P183" s="562" t="b">
        <v>1</v>
      </c>
      <c r="Q183" s="562" t="b">
        <v>0</v>
      </c>
      <c r="R183" s="562" t="b">
        <v>0</v>
      </c>
      <c r="S183" s="562" t="b">
        <v>1</v>
      </c>
      <c r="T183" s="562" t="b">
        <v>0</v>
      </c>
      <c r="U183" s="562"/>
      <c r="V183" s="562"/>
      <c r="W183" s="18"/>
      <c r="X183" s="787"/>
      <c r="Y183" s="562"/>
      <c r="Z183" s="562"/>
      <c r="AA183" s="562"/>
      <c r="AB183" s="562"/>
      <c r="AC183" s="562"/>
      <c r="AD183" s="562"/>
      <c r="AE183" s="562"/>
      <c r="AF183" s="562"/>
      <c r="AG183" s="562"/>
      <c r="AH183" s="562"/>
      <c r="AI183" s="562"/>
      <c r="AJ183" s="562"/>
      <c r="AK183" s="562"/>
      <c r="AL183" s="562" t="str">
        <f>SUBSTITUTE(SUBSTITUTE(SUBSTITUTE("dpa"&amp;$B183&amp;$C183&amp;$D183&amp;$E183&amp;$F183,".","_"),"(","_"),")","")</f>
        <v>dpa504_3_4</v>
      </c>
      <c r="AM183" s="190">
        <f>M183</f>
        <v>5</v>
      </c>
      <c r="AN183" s="562" t="str">
        <f>SUBSTITUTE(SUBSTITUTE(SUBSTITUTE("dpc"&amp;$B183&amp;$C183&amp;$D183&amp;$E183&amp;$F183,".","_"),"(","_"),")","")</f>
        <v>dpc504_3_4</v>
      </c>
      <c r="AO183" s="190">
        <f>O183</f>
        <v>0</v>
      </c>
      <c r="AP183" s="562" t="str">
        <f>SUBSTITUTE(SUBSTITUTE(SUBSTITUTE("dch"&amp;$B183&amp;$C183&amp;$D183&amp;$E183&amp;$F183,".","_"),"(","_"),")","")</f>
        <v>dch504_3_4</v>
      </c>
      <c r="AQ183" s="190">
        <f>W183</f>
        <v>0</v>
      </c>
      <c r="AR183" s="562" t="str">
        <f>SUBSTITUTE(SUBSTITUTE(SUBSTITUTE("dnt"&amp;$B183&amp;$C183&amp;$D183&amp;$E183&amp;$F183,".","_"),"(","_"),")","")</f>
        <v>dnt504_3_4</v>
      </c>
      <c r="AS183" s="190">
        <f>X183</f>
        <v>0</v>
      </c>
    </row>
    <row r="184" spans="2:45" x14ac:dyDescent="0.2">
      <c r="B184" s="14" t="s">
        <v>2318</v>
      </c>
      <c r="C184" s="14"/>
      <c r="D184" s="14"/>
      <c r="E184" s="14" t="s">
        <v>2192</v>
      </c>
      <c r="F184" s="14"/>
      <c r="G184" s="14"/>
      <c r="H184" s="441"/>
      <c r="I184" s="60"/>
      <c r="J184" s="128"/>
      <c r="K184" s="128"/>
      <c r="L184" s="792"/>
      <c r="M184" s="801"/>
      <c r="N184" s="129"/>
      <c r="O184" s="794"/>
      <c r="P184" s="562"/>
      <c r="Q184" s="562"/>
      <c r="R184" s="562"/>
      <c r="S184" s="562"/>
      <c r="T184" s="562"/>
      <c r="U184" s="562"/>
      <c r="V184" s="562"/>
      <c r="W184" s="562"/>
      <c r="X184" s="787"/>
      <c r="Y184" s="562"/>
      <c r="Z184" s="562"/>
      <c r="AA184" s="562"/>
      <c r="AB184" s="562"/>
      <c r="AC184" s="562"/>
      <c r="AD184" s="562"/>
      <c r="AE184" s="562"/>
      <c r="AF184" s="562"/>
      <c r="AG184" s="562"/>
      <c r="AH184" s="562"/>
      <c r="AI184" s="562"/>
      <c r="AJ184" s="562"/>
      <c r="AK184" s="562"/>
      <c r="AL184" s="562"/>
      <c r="AM184" s="562"/>
      <c r="AN184" s="562"/>
      <c r="AO184" s="562"/>
      <c r="AP184" s="562"/>
      <c r="AQ184" s="562"/>
      <c r="AR184" s="562"/>
      <c r="AS184" s="562"/>
    </row>
    <row r="185" spans="2:45" x14ac:dyDescent="0.2">
      <c r="B185" s="14" t="s">
        <v>2318</v>
      </c>
      <c r="C185" s="14"/>
      <c r="D185" s="14"/>
      <c r="E185" s="14" t="s">
        <v>2194</v>
      </c>
      <c r="F185" s="14"/>
      <c r="G185" s="14"/>
      <c r="H185" s="441"/>
      <c r="I185" s="60"/>
      <c r="J185" s="61" t="s">
        <v>2194</v>
      </c>
      <c r="K185" s="71"/>
      <c r="L185" s="791" t="s">
        <v>2325</v>
      </c>
      <c r="M185" s="800">
        <v>4</v>
      </c>
      <c r="N185" s="64"/>
      <c r="O185" s="793">
        <f>M185*W185</f>
        <v>0</v>
      </c>
      <c r="P185" s="562" t="b">
        <v>1</v>
      </c>
      <c r="Q185" s="562" t="b">
        <v>0</v>
      </c>
      <c r="R185" s="562" t="b">
        <v>0</v>
      </c>
      <c r="S185" s="562" t="b">
        <v>1</v>
      </c>
      <c r="T185" s="562" t="b">
        <v>0</v>
      </c>
      <c r="U185" s="562"/>
      <c r="V185" s="562"/>
      <c r="W185" s="18"/>
      <c r="X185" s="787"/>
      <c r="Y185" s="562"/>
      <c r="Z185" s="562"/>
      <c r="AA185" s="562"/>
      <c r="AB185" s="562"/>
      <c r="AC185" s="562"/>
      <c r="AD185" s="562"/>
      <c r="AE185" s="562"/>
      <c r="AF185" s="562"/>
      <c r="AG185" s="562"/>
      <c r="AH185" s="562"/>
      <c r="AI185" s="562"/>
      <c r="AJ185" s="562"/>
      <c r="AK185" s="562"/>
      <c r="AL185" s="562" t="str">
        <f>SUBSTITUTE(SUBSTITUTE(SUBSTITUTE("dpa"&amp;$B185&amp;$C185&amp;$D185&amp;$E185&amp;$F185,".","_"),"(","_"),")","")</f>
        <v>dpa504_3_5</v>
      </c>
      <c r="AM185" s="190">
        <f>M185</f>
        <v>4</v>
      </c>
      <c r="AN185" s="562" t="str">
        <f>SUBSTITUTE(SUBSTITUTE(SUBSTITUTE("dpc"&amp;$B185&amp;$C185&amp;$D185&amp;$E185&amp;$F185,".","_"),"(","_"),")","")</f>
        <v>dpc504_3_5</v>
      </c>
      <c r="AO185" s="190">
        <f>O185</f>
        <v>0</v>
      </c>
      <c r="AP185" s="562" t="str">
        <f>SUBSTITUTE(SUBSTITUTE(SUBSTITUTE("dch"&amp;$B185&amp;$C185&amp;$D185&amp;$E185&amp;$F185,".","_"),"(","_"),")","")</f>
        <v>dch504_3_5</v>
      </c>
      <c r="AQ185" s="190">
        <f>W185</f>
        <v>0</v>
      </c>
      <c r="AR185" s="562" t="str">
        <f>SUBSTITUTE(SUBSTITUTE(SUBSTITUTE("dnt"&amp;$B185&amp;$C185&amp;$D185&amp;$E185&amp;$F185,".","_"),"(","_"),")","")</f>
        <v>dnt504_3_5</v>
      </c>
      <c r="AS185" s="190">
        <f>X185</f>
        <v>0</v>
      </c>
    </row>
    <row r="186" spans="2:45" x14ac:dyDescent="0.2">
      <c r="B186" s="14" t="s">
        <v>2318</v>
      </c>
      <c r="C186" s="14"/>
      <c r="D186" s="14"/>
      <c r="E186" s="14" t="s">
        <v>2194</v>
      </c>
      <c r="F186" s="14"/>
      <c r="G186" s="14"/>
      <c r="H186" s="441"/>
      <c r="I186" s="60"/>
      <c r="J186" s="71"/>
      <c r="K186" s="71"/>
      <c r="L186" s="791"/>
      <c r="M186" s="800"/>
      <c r="N186" s="64"/>
      <c r="O186" s="793"/>
      <c r="P186" s="562"/>
      <c r="Q186" s="562"/>
      <c r="R186" s="562"/>
      <c r="S186" s="562"/>
      <c r="T186" s="562"/>
      <c r="U186" s="562"/>
      <c r="V186" s="562"/>
      <c r="W186" s="562"/>
      <c r="X186" s="787"/>
      <c r="Y186" s="562"/>
      <c r="Z186" s="562"/>
      <c r="AA186" s="562"/>
      <c r="AB186" s="562"/>
      <c r="AC186" s="562"/>
      <c r="AD186" s="562"/>
      <c r="AE186" s="562"/>
      <c r="AF186" s="562"/>
      <c r="AG186" s="562"/>
      <c r="AH186" s="562"/>
      <c r="AI186" s="562"/>
      <c r="AJ186" s="562"/>
      <c r="AK186" s="562"/>
      <c r="AL186" s="562"/>
      <c r="AM186" s="562"/>
      <c r="AN186" s="562"/>
      <c r="AO186" s="562"/>
      <c r="AP186" s="562"/>
      <c r="AQ186" s="562"/>
      <c r="AR186" s="562"/>
      <c r="AS186" s="562"/>
    </row>
    <row r="187" spans="2:45" x14ac:dyDescent="0.2">
      <c r="B187" s="14" t="s">
        <v>2318</v>
      </c>
      <c r="C187" s="14"/>
      <c r="D187" s="14"/>
      <c r="E187" s="14" t="s">
        <v>2194</v>
      </c>
      <c r="F187" s="14"/>
      <c r="G187" s="14"/>
      <c r="H187" s="441"/>
      <c r="I187" s="60"/>
      <c r="J187" s="71"/>
      <c r="K187" s="71"/>
      <c r="L187" s="791"/>
      <c r="M187" s="800"/>
      <c r="N187" s="64"/>
      <c r="O187" s="793"/>
      <c r="P187" s="562"/>
      <c r="Q187" s="562"/>
      <c r="R187" s="562"/>
      <c r="S187" s="562"/>
      <c r="T187" s="562"/>
      <c r="U187" s="562"/>
      <c r="V187" s="562"/>
      <c r="W187" s="562"/>
      <c r="X187" s="787"/>
      <c r="Y187" s="562"/>
      <c r="Z187" s="562"/>
      <c r="AA187" s="562"/>
      <c r="AB187" s="562"/>
      <c r="AC187" s="562"/>
      <c r="AD187" s="562"/>
      <c r="AE187" s="562"/>
      <c r="AF187" s="562"/>
      <c r="AG187" s="562"/>
      <c r="AH187" s="562"/>
      <c r="AI187" s="562"/>
      <c r="AJ187" s="562"/>
      <c r="AK187" s="562"/>
      <c r="AL187" s="562"/>
      <c r="AM187" s="562"/>
      <c r="AN187" s="562"/>
      <c r="AO187" s="562"/>
      <c r="AP187" s="562"/>
      <c r="AQ187" s="562"/>
      <c r="AR187" s="562"/>
      <c r="AS187" s="562"/>
    </row>
    <row r="188" spans="2:45" x14ac:dyDescent="0.2">
      <c r="B188" s="14" t="s">
        <v>2318</v>
      </c>
      <c r="C188" s="14"/>
      <c r="D188" s="14"/>
      <c r="E188" s="14" t="s">
        <v>2194</v>
      </c>
      <c r="F188" s="14"/>
      <c r="G188" s="14"/>
      <c r="H188" s="441"/>
      <c r="I188" s="60"/>
      <c r="J188" s="128"/>
      <c r="K188" s="128"/>
      <c r="L188" s="792"/>
      <c r="M188" s="801"/>
      <c r="N188" s="129"/>
      <c r="O188" s="794"/>
      <c r="P188" s="562"/>
      <c r="Q188" s="562"/>
      <c r="R188" s="562"/>
      <c r="S188" s="562"/>
      <c r="T188" s="562"/>
      <c r="U188" s="562"/>
      <c r="V188" s="562"/>
      <c r="W188" s="562"/>
      <c r="X188" s="787"/>
      <c r="Y188" s="562"/>
      <c r="Z188" s="562"/>
      <c r="AA188" s="562"/>
      <c r="AB188" s="562"/>
      <c r="AC188" s="562"/>
      <c r="AD188" s="562"/>
      <c r="AE188" s="562"/>
      <c r="AF188" s="562"/>
      <c r="AG188" s="562"/>
      <c r="AH188" s="562"/>
      <c r="AI188" s="562"/>
      <c r="AJ188" s="562"/>
      <c r="AK188" s="562"/>
      <c r="AL188" s="562"/>
      <c r="AM188" s="562"/>
      <c r="AN188" s="562"/>
      <c r="AO188" s="562"/>
      <c r="AP188" s="562"/>
      <c r="AQ188" s="562"/>
      <c r="AR188" s="562"/>
      <c r="AS188" s="562"/>
    </row>
    <row r="189" spans="2:45" x14ac:dyDescent="0.2">
      <c r="B189" s="14" t="s">
        <v>2318</v>
      </c>
      <c r="C189" s="14"/>
      <c r="D189" s="14"/>
      <c r="E189" s="14" t="s">
        <v>2221</v>
      </c>
      <c r="F189" s="14"/>
      <c r="G189" s="14"/>
      <c r="H189" s="441"/>
      <c r="I189" s="60"/>
      <c r="J189" s="61" t="s">
        <v>2221</v>
      </c>
      <c r="K189" s="71"/>
      <c r="L189" s="791" t="s">
        <v>2326</v>
      </c>
      <c r="M189" s="800">
        <v>3</v>
      </c>
      <c r="N189" s="64"/>
      <c r="O189" s="793">
        <f>M189*W189</f>
        <v>0</v>
      </c>
      <c r="P189" s="562" t="b">
        <v>1</v>
      </c>
      <c r="Q189" s="562" t="b">
        <v>0</v>
      </c>
      <c r="R189" s="562" t="b">
        <v>0</v>
      </c>
      <c r="S189" s="562" t="b">
        <v>1</v>
      </c>
      <c r="T189" s="562" t="b">
        <v>0</v>
      </c>
      <c r="U189" s="562"/>
      <c r="V189" s="562"/>
      <c r="W189" s="18"/>
      <c r="X189" s="787"/>
      <c r="Y189" s="562"/>
      <c r="Z189" s="562"/>
      <c r="AA189" s="562"/>
      <c r="AB189" s="562"/>
      <c r="AC189" s="562"/>
      <c r="AD189" s="562"/>
      <c r="AE189" s="562"/>
      <c r="AF189" s="562"/>
      <c r="AG189" s="562"/>
      <c r="AH189" s="562"/>
      <c r="AI189" s="562"/>
      <c r="AJ189" s="562"/>
      <c r="AK189" s="562"/>
      <c r="AL189" s="562" t="str">
        <f>SUBSTITUTE(SUBSTITUTE(SUBSTITUTE("dpa"&amp;$B189&amp;$C189&amp;$D189&amp;$E189&amp;$F189,".","_"),"(","_"),")","")</f>
        <v>dpa504_3_6</v>
      </c>
      <c r="AM189" s="190">
        <f>M189</f>
        <v>3</v>
      </c>
      <c r="AN189" s="562" t="str">
        <f>SUBSTITUTE(SUBSTITUTE(SUBSTITUTE("dpc"&amp;$B189&amp;$C189&amp;$D189&amp;$E189&amp;$F189,".","_"),"(","_"),")","")</f>
        <v>dpc504_3_6</v>
      </c>
      <c r="AO189" s="190">
        <f>O189</f>
        <v>0</v>
      </c>
      <c r="AP189" s="562" t="str">
        <f>SUBSTITUTE(SUBSTITUTE(SUBSTITUTE("dch"&amp;$B189&amp;$C189&amp;$D189&amp;$E189&amp;$F189,".","_"),"(","_"),")","")</f>
        <v>dch504_3_6</v>
      </c>
      <c r="AQ189" s="190">
        <f>W189</f>
        <v>0</v>
      </c>
      <c r="AR189" s="562" t="str">
        <f>SUBSTITUTE(SUBSTITUTE(SUBSTITUTE("dnt"&amp;$B189&amp;$C189&amp;$D189&amp;$E189&amp;$F189,".","_"),"(","_"),")","")</f>
        <v>dnt504_3_6</v>
      </c>
      <c r="AS189" s="190">
        <f>X189</f>
        <v>0</v>
      </c>
    </row>
    <row r="190" spans="2:45" x14ac:dyDescent="0.2">
      <c r="B190" s="14" t="s">
        <v>2318</v>
      </c>
      <c r="C190" s="14"/>
      <c r="D190" s="14"/>
      <c r="E190" s="14" t="s">
        <v>2221</v>
      </c>
      <c r="F190" s="14"/>
      <c r="G190" s="14"/>
      <c r="H190" s="441"/>
      <c r="I190" s="60"/>
      <c r="J190" s="71"/>
      <c r="K190" s="71"/>
      <c r="L190" s="791"/>
      <c r="M190" s="800"/>
      <c r="N190" s="64"/>
      <c r="O190" s="793"/>
      <c r="P190" s="562"/>
      <c r="Q190" s="562"/>
      <c r="R190" s="562"/>
      <c r="S190" s="562"/>
      <c r="T190" s="562"/>
      <c r="U190" s="562"/>
      <c r="V190" s="562"/>
      <c r="W190" s="562"/>
      <c r="X190" s="787"/>
      <c r="Y190" s="562"/>
      <c r="Z190" s="562"/>
      <c r="AA190" s="562"/>
      <c r="AB190" s="562"/>
      <c r="AC190" s="562"/>
      <c r="AD190" s="562"/>
      <c r="AE190" s="562"/>
      <c r="AF190" s="562"/>
      <c r="AG190" s="562"/>
      <c r="AH190" s="562"/>
      <c r="AI190" s="562"/>
      <c r="AJ190" s="562"/>
      <c r="AK190" s="562"/>
      <c r="AL190" s="562"/>
      <c r="AM190" s="562"/>
      <c r="AN190" s="562"/>
      <c r="AO190" s="562"/>
      <c r="AP190" s="562"/>
      <c r="AQ190" s="562"/>
      <c r="AR190" s="562"/>
      <c r="AS190" s="562"/>
    </row>
    <row r="191" spans="2:45" x14ac:dyDescent="0.2">
      <c r="B191" s="14" t="s">
        <v>2318</v>
      </c>
      <c r="C191" s="14"/>
      <c r="D191" s="14"/>
      <c r="E191" s="14" t="s">
        <v>2221</v>
      </c>
      <c r="F191" s="14"/>
      <c r="G191" s="14"/>
      <c r="H191" s="441"/>
      <c r="I191" s="60"/>
      <c r="J191" s="128"/>
      <c r="K191" s="128"/>
      <c r="L191" s="792"/>
      <c r="M191" s="801"/>
      <c r="N191" s="129"/>
      <c r="O191" s="794"/>
      <c r="P191" s="562"/>
      <c r="Q191" s="562"/>
      <c r="R191" s="562"/>
      <c r="S191" s="562"/>
      <c r="T191" s="562"/>
      <c r="U191" s="562"/>
      <c r="V191" s="562"/>
      <c r="W191" s="562"/>
      <c r="X191" s="787"/>
      <c r="Y191" s="562"/>
      <c r="Z191" s="562"/>
      <c r="AA191" s="562"/>
      <c r="AB191" s="562"/>
      <c r="AC191" s="562"/>
      <c r="AD191" s="562"/>
      <c r="AE191" s="562"/>
      <c r="AF191" s="562"/>
      <c r="AG191" s="562"/>
      <c r="AH191" s="562"/>
      <c r="AI191" s="562"/>
      <c r="AJ191" s="562"/>
      <c r="AK191" s="562"/>
      <c r="AL191" s="562"/>
      <c r="AM191" s="562"/>
      <c r="AN191" s="562"/>
      <c r="AO191" s="562"/>
      <c r="AP191" s="562"/>
      <c r="AQ191" s="562"/>
      <c r="AR191" s="562"/>
      <c r="AS191" s="562"/>
    </row>
    <row r="192" spans="2:45" x14ac:dyDescent="0.2">
      <c r="B192" s="14" t="s">
        <v>2318</v>
      </c>
      <c r="C192" s="14"/>
      <c r="D192" s="14"/>
      <c r="E192" s="14" t="s">
        <v>2223</v>
      </c>
      <c r="F192" s="14"/>
      <c r="G192" s="14"/>
      <c r="H192" s="441"/>
      <c r="I192" s="60"/>
      <c r="J192" s="125" t="s">
        <v>2223</v>
      </c>
      <c r="K192" s="128"/>
      <c r="L192" s="126" t="s">
        <v>2327</v>
      </c>
      <c r="M192" s="611">
        <v>3</v>
      </c>
      <c r="N192" s="129"/>
      <c r="O192" s="608">
        <f>M192*W192</f>
        <v>0</v>
      </c>
      <c r="P192" s="562" t="b">
        <v>1</v>
      </c>
      <c r="Q192" s="562" t="b">
        <v>1</v>
      </c>
      <c r="R192" s="562" t="b">
        <v>0</v>
      </c>
      <c r="S192" s="562" t="b">
        <v>1</v>
      </c>
      <c r="T192" s="562" t="b">
        <v>0</v>
      </c>
      <c r="U192" s="562"/>
      <c r="V192" s="562"/>
      <c r="W192" s="18"/>
      <c r="X192" s="563"/>
      <c r="Y192" s="562"/>
      <c r="Z192" s="562"/>
      <c r="AA192" s="562"/>
      <c r="AB192" s="562"/>
      <c r="AC192" s="562"/>
      <c r="AD192" s="562"/>
      <c r="AE192" s="562"/>
      <c r="AF192" s="562"/>
      <c r="AG192" s="562"/>
      <c r="AH192" s="562"/>
      <c r="AI192" s="562"/>
      <c r="AJ192" s="562"/>
      <c r="AK192" s="562"/>
      <c r="AL192" s="562" t="str">
        <f t="shared" ref="AL192:AL193" si="27">SUBSTITUTE(SUBSTITUTE(SUBSTITUTE("dpa"&amp;$B192&amp;$C192&amp;$D192&amp;$E192&amp;$F192,".","_"),"(","_"),")","")</f>
        <v>dpa504_3_7</v>
      </c>
      <c r="AM192" s="190">
        <f>M192</f>
        <v>3</v>
      </c>
      <c r="AN192" s="562" t="str">
        <f t="shared" ref="AN192:AN193" si="28">SUBSTITUTE(SUBSTITUTE(SUBSTITUTE("dpc"&amp;$B192&amp;$C192&amp;$D192&amp;$E192&amp;$F192,".","_"),"(","_"),")","")</f>
        <v>dpc504_3_7</v>
      </c>
      <c r="AO192" s="190">
        <f>O192</f>
        <v>0</v>
      </c>
      <c r="AP192" s="562" t="str">
        <f>SUBSTITUTE(SUBSTITUTE(SUBSTITUTE("dch"&amp;$B192&amp;$C192&amp;$D192&amp;$E192&amp;$F192,".","_"),"(","_"),")","")</f>
        <v>dch504_3_7</v>
      </c>
      <c r="AQ192" s="190">
        <f>W192</f>
        <v>0</v>
      </c>
      <c r="AR192" s="562" t="str">
        <f>SUBSTITUTE(SUBSTITUTE(SUBSTITUTE("dnt"&amp;$B192&amp;$C192&amp;$D192&amp;$E192&amp;$F192,".","_"),"(","_"),")","")</f>
        <v>dnt504_3_7</v>
      </c>
      <c r="AS192" s="190">
        <f>X192</f>
        <v>0</v>
      </c>
    </row>
    <row r="193" spans="1:51" x14ac:dyDescent="0.2">
      <c r="B193" s="14" t="s">
        <v>2318</v>
      </c>
      <c r="C193" s="14"/>
      <c r="D193" s="14"/>
      <c r="E193" s="14" t="s">
        <v>2282</v>
      </c>
      <c r="F193" s="14"/>
      <c r="G193" s="14"/>
      <c r="H193" s="441"/>
      <c r="I193" s="60"/>
      <c r="J193" s="61" t="s">
        <v>2282</v>
      </c>
      <c r="K193" s="71"/>
      <c r="L193" s="605" t="s">
        <v>2328</v>
      </c>
      <c r="M193" s="800">
        <v>5</v>
      </c>
      <c r="N193" s="64"/>
      <c r="O193" s="793">
        <f>M193*MIN(1,(W194+W195+W196+W197+W198+W199))</f>
        <v>0</v>
      </c>
      <c r="P193" s="562"/>
      <c r="Q193" s="562"/>
      <c r="R193" s="562"/>
      <c r="S193" s="562"/>
      <c r="T193" s="562"/>
      <c r="U193" s="562"/>
      <c r="V193" s="562"/>
      <c r="W193" s="562"/>
      <c r="X193" s="787"/>
      <c r="Y193" s="562"/>
      <c r="Z193" s="562"/>
      <c r="AA193" s="562"/>
      <c r="AB193" s="562"/>
      <c r="AC193" s="562" t="b">
        <f>OR(AD193:AE193)</f>
        <v>0</v>
      </c>
      <c r="AD193" s="562" t="b">
        <v>0</v>
      </c>
      <c r="AE193" s="562" t="b">
        <f>AND(W193=TRUE,LEN(X193)=0)</f>
        <v>0</v>
      </c>
      <c r="AF193" s="562"/>
      <c r="AG193" s="562"/>
      <c r="AH193" s="562"/>
      <c r="AI193" s="562"/>
      <c r="AJ193" s="562"/>
      <c r="AK193" s="562"/>
      <c r="AL193" s="562" t="str">
        <f t="shared" si="27"/>
        <v>dpa504_3_8</v>
      </c>
      <c r="AM193" s="190">
        <f>M193</f>
        <v>5</v>
      </c>
      <c r="AN193" s="562" t="str">
        <f t="shared" si="28"/>
        <v>dpc504_3_8</v>
      </c>
      <c r="AO193" s="190">
        <f>O193</f>
        <v>0</v>
      </c>
      <c r="AP193" s="190"/>
      <c r="AQ193" s="190"/>
      <c r="AR193" s="562" t="str">
        <f>SUBSTITUTE(SUBSTITUTE(SUBSTITUTE("dnt"&amp;$B193&amp;$C193&amp;$D193&amp;$E193&amp;$F193,".","_"),"(","_"),")","")</f>
        <v>dnt504_3_8</v>
      </c>
      <c r="AS193" s="190">
        <f>X193</f>
        <v>0</v>
      </c>
      <c r="AT193" s="562"/>
      <c r="AU193" s="562"/>
      <c r="AV193" s="562"/>
      <c r="AW193" s="562"/>
      <c r="AX193" s="562"/>
      <c r="AY193" s="562"/>
    </row>
    <row r="194" spans="1:51" x14ac:dyDescent="0.2">
      <c r="B194" s="14" t="s">
        <v>2318</v>
      </c>
      <c r="C194" s="14"/>
      <c r="D194" s="14"/>
      <c r="E194" s="14" t="s">
        <v>2282</v>
      </c>
      <c r="F194" s="14" t="s">
        <v>2329</v>
      </c>
      <c r="G194" s="14"/>
      <c r="H194" s="441"/>
      <c r="I194" s="60"/>
      <c r="J194" s="71"/>
      <c r="K194" s="71"/>
      <c r="L194" s="605" t="s">
        <v>2330</v>
      </c>
      <c r="M194" s="800"/>
      <c r="N194" s="64"/>
      <c r="O194" s="793"/>
      <c r="P194" s="562" t="b">
        <v>1</v>
      </c>
      <c r="Q194" s="562" t="b">
        <v>1</v>
      </c>
      <c r="R194" s="562" t="b">
        <v>0</v>
      </c>
      <c r="S194" s="562" t="b">
        <v>1</v>
      </c>
      <c r="T194" s="562" t="b">
        <v>0</v>
      </c>
      <c r="U194" s="562"/>
      <c r="V194" s="562"/>
      <c r="W194" s="18"/>
      <c r="X194" s="787"/>
      <c r="Y194" s="562"/>
      <c r="Z194" s="562"/>
      <c r="AA194" s="562"/>
      <c r="AB194" s="562"/>
      <c r="AC194" s="562"/>
      <c r="AD194" s="562"/>
      <c r="AE194" s="562"/>
      <c r="AF194" s="562"/>
      <c r="AG194" s="562"/>
      <c r="AH194" s="562"/>
      <c r="AI194" s="562"/>
      <c r="AJ194" s="562"/>
      <c r="AK194" s="562"/>
      <c r="AL194" s="562"/>
      <c r="AM194" s="562"/>
      <c r="AN194" s="562"/>
      <c r="AO194" s="562"/>
      <c r="AP194" s="562" t="str">
        <f t="shared" ref="AP194:AP199" si="29">SUBSTITUTE(SUBSTITUTE(SUBSTITUTE("dch"&amp;$B194&amp;$C194&amp;$D194&amp;$E194&amp;$F194,".","_"),"(","_"),")","")</f>
        <v>dch504_3_8a</v>
      </c>
      <c r="AQ194" s="190">
        <f t="shared" ref="AQ194:AQ199" si="30">W194</f>
        <v>0</v>
      </c>
      <c r="AR194" s="562"/>
      <c r="AS194" s="562"/>
      <c r="AT194" s="562"/>
      <c r="AU194" s="562"/>
      <c r="AV194" s="562"/>
      <c r="AW194" s="562"/>
      <c r="AX194" s="562"/>
      <c r="AY194" s="562"/>
    </row>
    <row r="195" spans="1:51" x14ac:dyDescent="0.2">
      <c r="B195" s="14" t="s">
        <v>2318</v>
      </c>
      <c r="C195" s="14"/>
      <c r="D195" s="14"/>
      <c r="E195" s="14" t="s">
        <v>2282</v>
      </c>
      <c r="F195" s="14" t="s">
        <v>2331</v>
      </c>
      <c r="G195" s="14"/>
      <c r="H195" s="441"/>
      <c r="I195" s="60"/>
      <c r="J195" s="71"/>
      <c r="K195" s="71"/>
      <c r="L195" s="605" t="s">
        <v>2332</v>
      </c>
      <c r="M195" s="800"/>
      <c r="N195" s="64"/>
      <c r="O195" s="793"/>
      <c r="P195" s="562" t="b">
        <v>1</v>
      </c>
      <c r="Q195" s="562" t="b">
        <v>1</v>
      </c>
      <c r="R195" s="562" t="b">
        <v>0</v>
      </c>
      <c r="S195" s="562" t="b">
        <v>1</v>
      </c>
      <c r="T195" s="562" t="b">
        <v>0</v>
      </c>
      <c r="U195" s="562"/>
      <c r="V195" s="562"/>
      <c r="W195" s="18"/>
      <c r="X195" s="787"/>
      <c r="Y195" s="562"/>
      <c r="Z195" s="562"/>
      <c r="AA195" s="562"/>
      <c r="AB195" s="562"/>
      <c r="AC195" s="562"/>
      <c r="AD195" s="562"/>
      <c r="AE195" s="562"/>
      <c r="AF195" s="562"/>
      <c r="AG195" s="562"/>
      <c r="AH195" s="562"/>
      <c r="AI195" s="562"/>
      <c r="AJ195" s="562"/>
      <c r="AK195" s="562"/>
      <c r="AL195" s="562"/>
      <c r="AM195" s="562"/>
      <c r="AN195" s="562"/>
      <c r="AO195" s="562"/>
      <c r="AP195" s="562" t="str">
        <f t="shared" si="29"/>
        <v>dch504_3_8b</v>
      </c>
      <c r="AQ195" s="190">
        <f t="shared" si="30"/>
        <v>0</v>
      </c>
      <c r="AR195" s="562"/>
      <c r="AS195" s="562"/>
      <c r="AT195" s="562"/>
      <c r="AU195" s="562"/>
      <c r="AV195" s="562"/>
      <c r="AW195" s="562"/>
      <c r="AX195" s="562"/>
      <c r="AY195" s="562"/>
    </row>
    <row r="196" spans="1:51" x14ac:dyDescent="0.2">
      <c r="B196" s="14" t="s">
        <v>2318</v>
      </c>
      <c r="C196" s="14"/>
      <c r="D196" s="14"/>
      <c r="E196" s="14" t="s">
        <v>2282</v>
      </c>
      <c r="F196" s="14" t="s">
        <v>2333</v>
      </c>
      <c r="G196" s="14"/>
      <c r="H196" s="441"/>
      <c r="I196" s="60"/>
      <c r="J196" s="71"/>
      <c r="K196" s="71"/>
      <c r="L196" s="605" t="s">
        <v>2334</v>
      </c>
      <c r="M196" s="800"/>
      <c r="N196" s="64"/>
      <c r="O196" s="793"/>
      <c r="P196" s="562" t="b">
        <v>1</v>
      </c>
      <c r="Q196" s="562" t="b">
        <v>1</v>
      </c>
      <c r="R196" s="562" t="b">
        <v>0</v>
      </c>
      <c r="S196" s="562" t="b">
        <v>1</v>
      </c>
      <c r="T196" s="562" t="b">
        <v>0</v>
      </c>
      <c r="U196" s="562"/>
      <c r="V196" s="562"/>
      <c r="W196" s="18"/>
      <c r="X196" s="787"/>
      <c r="Y196" s="562"/>
      <c r="Z196" s="562"/>
      <c r="AA196" s="562"/>
      <c r="AB196" s="562"/>
      <c r="AC196" s="562"/>
      <c r="AD196" s="562"/>
      <c r="AE196" s="562"/>
      <c r="AF196" s="562"/>
      <c r="AG196" s="562"/>
      <c r="AH196" s="562"/>
      <c r="AI196" s="562"/>
      <c r="AJ196" s="562"/>
      <c r="AK196" s="562"/>
      <c r="AL196" s="562"/>
      <c r="AM196" s="562"/>
      <c r="AN196" s="562"/>
      <c r="AO196" s="562"/>
      <c r="AP196" s="562" t="str">
        <f t="shared" si="29"/>
        <v>dch504_3_8c</v>
      </c>
      <c r="AQ196" s="190">
        <f t="shared" si="30"/>
        <v>0</v>
      </c>
      <c r="AR196" s="562"/>
      <c r="AS196" s="562"/>
      <c r="AT196" s="562"/>
      <c r="AU196" s="562"/>
      <c r="AV196" s="562"/>
      <c r="AW196" s="562"/>
      <c r="AX196" s="562"/>
      <c r="AY196" s="562"/>
    </row>
    <row r="197" spans="1:51" x14ac:dyDescent="0.2">
      <c r="B197" s="14" t="s">
        <v>2318</v>
      </c>
      <c r="C197" s="14"/>
      <c r="D197" s="14"/>
      <c r="E197" s="14" t="s">
        <v>2282</v>
      </c>
      <c r="F197" s="14" t="s">
        <v>2335</v>
      </c>
      <c r="G197" s="14"/>
      <c r="H197" s="441"/>
      <c r="I197" s="60"/>
      <c r="J197" s="71"/>
      <c r="K197" s="71"/>
      <c r="L197" s="605" t="s">
        <v>2336</v>
      </c>
      <c r="M197" s="800"/>
      <c r="N197" s="64"/>
      <c r="O197" s="793"/>
      <c r="P197" s="562" t="b">
        <v>1</v>
      </c>
      <c r="Q197" s="562" t="b">
        <v>1</v>
      </c>
      <c r="R197" s="562" t="b">
        <v>0</v>
      </c>
      <c r="S197" s="562" t="b">
        <v>1</v>
      </c>
      <c r="T197" s="562" t="b">
        <v>0</v>
      </c>
      <c r="U197" s="562"/>
      <c r="V197" s="562"/>
      <c r="W197" s="18"/>
      <c r="X197" s="787"/>
      <c r="Y197" s="562"/>
      <c r="Z197" s="562"/>
      <c r="AA197" s="562"/>
      <c r="AB197" s="562"/>
      <c r="AC197" s="562"/>
      <c r="AD197" s="562"/>
      <c r="AE197" s="562"/>
      <c r="AF197" s="562"/>
      <c r="AG197" s="562"/>
      <c r="AH197" s="562"/>
      <c r="AI197" s="562"/>
      <c r="AJ197" s="562"/>
      <c r="AK197" s="562"/>
      <c r="AL197" s="562"/>
      <c r="AM197" s="562"/>
      <c r="AN197" s="562"/>
      <c r="AO197" s="562"/>
      <c r="AP197" s="562" t="str">
        <f t="shared" si="29"/>
        <v>dch504_3_8d</v>
      </c>
      <c r="AQ197" s="190">
        <f t="shared" si="30"/>
        <v>0</v>
      </c>
      <c r="AR197" s="562"/>
      <c r="AS197" s="562"/>
      <c r="AT197" s="562"/>
      <c r="AU197" s="562"/>
      <c r="AV197" s="562"/>
      <c r="AW197" s="562"/>
      <c r="AX197" s="562"/>
      <c r="AY197" s="562"/>
    </row>
    <row r="198" spans="1:51" x14ac:dyDescent="0.2">
      <c r="B198" s="14" t="s">
        <v>2318</v>
      </c>
      <c r="C198" s="14"/>
      <c r="D198" s="14"/>
      <c r="E198" s="14" t="s">
        <v>2282</v>
      </c>
      <c r="F198" s="14" t="s">
        <v>2337</v>
      </c>
      <c r="G198" s="14"/>
      <c r="H198" s="441"/>
      <c r="I198" s="60"/>
      <c r="J198" s="71"/>
      <c r="K198" s="71"/>
      <c r="L198" s="605" t="s">
        <v>2338</v>
      </c>
      <c r="M198" s="800"/>
      <c r="N198" s="64"/>
      <c r="O198" s="793"/>
      <c r="P198" s="562" t="b">
        <v>1</v>
      </c>
      <c r="Q198" s="562" t="b">
        <v>1</v>
      </c>
      <c r="R198" s="562" t="b">
        <v>0</v>
      </c>
      <c r="S198" s="562" t="b">
        <v>1</v>
      </c>
      <c r="T198" s="562" t="b">
        <v>0</v>
      </c>
      <c r="U198" s="562"/>
      <c r="V198" s="562"/>
      <c r="W198" s="18"/>
      <c r="X198" s="787"/>
      <c r="Y198" s="562"/>
      <c r="Z198" s="562"/>
      <c r="AA198" s="562"/>
      <c r="AB198" s="562"/>
      <c r="AC198" s="562"/>
      <c r="AD198" s="562"/>
      <c r="AE198" s="562"/>
      <c r="AF198" s="562"/>
      <c r="AG198" s="562"/>
      <c r="AH198" s="562"/>
      <c r="AI198" s="562"/>
      <c r="AJ198" s="562"/>
      <c r="AK198" s="562"/>
      <c r="AL198" s="562"/>
      <c r="AM198" s="562"/>
      <c r="AN198" s="562"/>
      <c r="AO198" s="562"/>
      <c r="AP198" s="562" t="str">
        <f t="shared" si="29"/>
        <v>dch504_3_8e</v>
      </c>
      <c r="AQ198" s="190">
        <f t="shared" si="30"/>
        <v>0</v>
      </c>
      <c r="AR198" s="562"/>
      <c r="AS198" s="562"/>
      <c r="AT198" s="562"/>
      <c r="AU198" s="562"/>
      <c r="AV198" s="562"/>
      <c r="AW198" s="562"/>
      <c r="AX198" s="562"/>
      <c r="AY198" s="562"/>
    </row>
    <row r="199" spans="1:51" x14ac:dyDescent="0.2">
      <c r="B199" s="14" t="s">
        <v>2318</v>
      </c>
      <c r="C199" s="14"/>
      <c r="D199" s="14"/>
      <c r="E199" s="14" t="s">
        <v>2282</v>
      </c>
      <c r="F199" s="14" t="s">
        <v>2339</v>
      </c>
      <c r="G199" s="14"/>
      <c r="H199" s="441"/>
      <c r="I199" s="60"/>
      <c r="J199" s="71"/>
      <c r="K199" s="71"/>
      <c r="L199" s="605" t="s">
        <v>2340</v>
      </c>
      <c r="M199" s="800"/>
      <c r="N199" s="64"/>
      <c r="O199" s="793"/>
      <c r="P199" s="562" t="b">
        <v>1</v>
      </c>
      <c r="Q199" s="562" t="b">
        <v>1</v>
      </c>
      <c r="R199" s="562" t="b">
        <v>0</v>
      </c>
      <c r="S199" s="562" t="b">
        <v>1</v>
      </c>
      <c r="T199" s="562" t="b">
        <v>0</v>
      </c>
      <c r="U199" s="562"/>
      <c r="V199" s="562"/>
      <c r="W199" s="18"/>
      <c r="X199" s="787"/>
      <c r="Y199" s="562"/>
      <c r="Z199" s="562"/>
      <c r="AA199" s="562"/>
      <c r="AB199" s="562"/>
      <c r="AC199" s="562" t="b">
        <f>OR(AD199:AE199)</f>
        <v>0</v>
      </c>
      <c r="AD199" s="562" t="b">
        <v>0</v>
      </c>
      <c r="AE199" s="562" t="b">
        <f>AND(W199=TRUE,LEN(X193)=0)</f>
        <v>0</v>
      </c>
      <c r="AF199" s="562"/>
      <c r="AG199" s="562"/>
      <c r="AH199" s="562"/>
      <c r="AI199" s="562"/>
      <c r="AJ199" s="562"/>
      <c r="AK199" s="562"/>
      <c r="AL199" s="562"/>
      <c r="AM199" s="562"/>
      <c r="AN199" s="562"/>
      <c r="AO199" s="562"/>
      <c r="AP199" s="562" t="str">
        <f t="shared" si="29"/>
        <v>dch504_3_8f</v>
      </c>
      <c r="AQ199" s="190">
        <f t="shared" si="30"/>
        <v>0</v>
      </c>
      <c r="AR199" s="562"/>
      <c r="AS199" s="562"/>
      <c r="AT199" s="562"/>
      <c r="AU199" s="562"/>
      <c r="AV199" s="562"/>
      <c r="AW199" s="562"/>
      <c r="AX199" s="562"/>
      <c r="AY199" s="562"/>
    </row>
    <row r="200" spans="1:51" ht="15" customHeight="1" x14ac:dyDescent="0.2">
      <c r="B200" s="14" t="s">
        <v>2318</v>
      </c>
      <c r="C200" s="14"/>
      <c r="D200" s="14"/>
      <c r="E200" s="14" t="s">
        <v>2282</v>
      </c>
      <c r="F200" s="14"/>
      <c r="G200" s="14"/>
      <c r="H200" s="441"/>
      <c r="I200" s="60"/>
      <c r="J200" s="128"/>
      <c r="K200" s="128"/>
      <c r="L200" s="571" t="s">
        <v>2341</v>
      </c>
      <c r="M200" s="801"/>
      <c r="N200" s="129"/>
      <c r="O200" s="794"/>
      <c r="P200" s="562"/>
      <c r="Q200" s="562"/>
      <c r="R200" s="562"/>
      <c r="S200" s="562"/>
      <c r="T200" s="562"/>
      <c r="U200" s="562"/>
      <c r="V200" s="562"/>
      <c r="W200" s="562"/>
      <c r="X200" s="787"/>
      <c r="Y200" s="562"/>
      <c r="Z200" s="562"/>
      <c r="AA200" s="562"/>
      <c r="AB200" s="562"/>
      <c r="AC200" s="562"/>
      <c r="AD200" s="562"/>
      <c r="AE200" s="562"/>
      <c r="AF200" s="562"/>
      <c r="AG200" s="562"/>
      <c r="AH200" s="562"/>
      <c r="AI200" s="562"/>
      <c r="AJ200" s="562"/>
      <c r="AK200" s="562"/>
      <c r="AL200" s="562"/>
      <c r="AM200" s="562"/>
      <c r="AN200" s="562"/>
      <c r="AO200" s="562"/>
      <c r="AP200" s="562"/>
      <c r="AQ200" s="562"/>
      <c r="AR200" s="562"/>
      <c r="AS200" s="562"/>
      <c r="AT200" s="562"/>
      <c r="AU200" s="562"/>
      <c r="AV200" s="562"/>
      <c r="AW200" s="562"/>
      <c r="AX200" s="562"/>
      <c r="AY200" s="562"/>
    </row>
    <row r="201" spans="1:51" s="103" customFormat="1" ht="19" x14ac:dyDescent="0.25">
      <c r="A201" s="13"/>
      <c r="B201" s="14" t="s">
        <v>2342</v>
      </c>
      <c r="C201" s="14"/>
      <c r="D201" s="14"/>
      <c r="E201" s="14"/>
      <c r="F201" s="14"/>
      <c r="G201" s="14"/>
      <c r="H201" s="441"/>
      <c r="I201" s="45" t="s">
        <v>2343</v>
      </c>
      <c r="J201" s="45"/>
      <c r="K201" s="45"/>
      <c r="L201" s="54"/>
      <c r="M201" s="225"/>
      <c r="N201" s="16"/>
      <c r="O201" s="264"/>
      <c r="P201" s="16"/>
      <c r="Q201" s="16"/>
      <c r="R201" s="16"/>
      <c r="S201" s="16"/>
      <c r="T201" s="16"/>
      <c r="U201" s="16"/>
      <c r="V201" s="16"/>
      <c r="W201" s="16"/>
      <c r="X201" s="16"/>
      <c r="Y201" s="562"/>
      <c r="Z201" s="562"/>
      <c r="AA201" s="562"/>
      <c r="AB201" s="562"/>
      <c r="AC201" s="562"/>
      <c r="AD201" s="562"/>
      <c r="AE201" s="562"/>
      <c r="AF201" s="562"/>
      <c r="AG201" s="562"/>
      <c r="AH201" s="562"/>
      <c r="AI201" s="562"/>
      <c r="AJ201" s="562"/>
      <c r="AK201" s="562"/>
      <c r="AL201" s="562"/>
      <c r="AM201" s="562"/>
      <c r="AN201" s="562"/>
      <c r="AO201" s="562"/>
      <c r="AP201" s="562"/>
      <c r="AQ201" s="562"/>
      <c r="AR201" s="562"/>
      <c r="AS201" s="562"/>
      <c r="AT201" s="562"/>
      <c r="AU201" s="562"/>
      <c r="AV201" s="562"/>
      <c r="AW201" s="562"/>
      <c r="AX201" s="562"/>
      <c r="AY201" s="562"/>
    </row>
    <row r="202" spans="1:51" s="103" customFormat="1" x14ac:dyDescent="0.2">
      <c r="A202" s="13"/>
      <c r="B202" s="14" t="s">
        <v>2344</v>
      </c>
      <c r="C202" s="14"/>
      <c r="D202" s="14"/>
      <c r="E202" s="14"/>
      <c r="F202" s="14"/>
      <c r="G202" s="14"/>
      <c r="H202" s="441"/>
      <c r="I202" s="61" t="s">
        <v>2345</v>
      </c>
      <c r="J202" s="71"/>
      <c r="K202" s="71"/>
      <c r="L202" s="820" t="s">
        <v>2346</v>
      </c>
      <c r="M202" s="610"/>
      <c r="N202" s="64"/>
      <c r="O202" s="607"/>
      <c r="P202" s="64"/>
      <c r="Q202" s="64"/>
      <c r="R202" s="64"/>
      <c r="S202" s="64"/>
      <c r="T202" s="64"/>
      <c r="U202" s="64"/>
      <c r="V202" s="64"/>
      <c r="W202" s="64"/>
      <c r="X202" s="82"/>
      <c r="Y202" s="562"/>
      <c r="Z202" s="562"/>
      <c r="AA202" s="562"/>
      <c r="AB202" s="562"/>
      <c r="AC202" s="562"/>
      <c r="AD202" s="562"/>
      <c r="AE202" s="562"/>
      <c r="AF202" s="562"/>
      <c r="AG202" s="562"/>
      <c r="AH202" s="562"/>
      <c r="AI202" s="562"/>
      <c r="AJ202" s="562"/>
      <c r="AK202" s="562"/>
      <c r="AL202" s="562"/>
      <c r="AM202" s="562"/>
      <c r="AN202" s="562"/>
      <c r="AO202" s="562"/>
      <c r="AP202" s="562"/>
      <c r="AQ202" s="562"/>
      <c r="AR202" s="562"/>
      <c r="AS202" s="562"/>
      <c r="AT202" s="562"/>
      <c r="AU202" s="562"/>
      <c r="AV202" s="562"/>
      <c r="AW202" s="562"/>
      <c r="AX202" s="562"/>
      <c r="AY202" s="562"/>
    </row>
    <row r="203" spans="1:51" s="103" customFormat="1" x14ac:dyDescent="0.2">
      <c r="A203" s="13"/>
      <c r="B203" s="14" t="s">
        <v>2344</v>
      </c>
      <c r="C203" s="14"/>
      <c r="D203" s="14"/>
      <c r="E203" s="14"/>
      <c r="F203" s="14"/>
      <c r="G203" s="14"/>
      <c r="H203" s="441"/>
      <c r="I203" s="71"/>
      <c r="J203" s="71"/>
      <c r="K203" s="71"/>
      <c r="L203" s="820"/>
      <c r="M203" s="610"/>
      <c r="N203" s="64"/>
      <c r="O203" s="607"/>
      <c r="P203" s="64"/>
      <c r="Q203" s="64"/>
      <c r="R203" s="64"/>
      <c r="S203" s="64"/>
      <c r="T203" s="64"/>
      <c r="U203" s="64"/>
      <c r="V203" s="64"/>
      <c r="W203" s="64"/>
      <c r="X203" s="82"/>
      <c r="Y203" s="562"/>
      <c r="Z203" s="562"/>
      <c r="AA203" s="562"/>
      <c r="AB203" s="562"/>
      <c r="AC203" s="562"/>
      <c r="AD203" s="562"/>
      <c r="AE203" s="562"/>
      <c r="AF203" s="562"/>
      <c r="AG203" s="562"/>
      <c r="AH203" s="562"/>
      <c r="AI203" s="562"/>
      <c r="AJ203" s="562"/>
      <c r="AK203" s="562"/>
      <c r="AL203" s="562"/>
      <c r="AM203" s="562"/>
      <c r="AN203" s="562"/>
      <c r="AO203" s="562"/>
      <c r="AP203" s="562"/>
      <c r="AQ203" s="562"/>
      <c r="AR203" s="562"/>
      <c r="AS203" s="562"/>
      <c r="AT203" s="562"/>
      <c r="AU203" s="562"/>
      <c r="AV203" s="562"/>
      <c r="AW203" s="562"/>
      <c r="AX203" s="562"/>
      <c r="AY203" s="562"/>
    </row>
    <row r="204" spans="1:51" s="103" customFormat="1" ht="16" thickBot="1" x14ac:dyDescent="0.25">
      <c r="A204" s="13"/>
      <c r="B204" s="14" t="s">
        <v>2344</v>
      </c>
      <c r="C204" s="14"/>
      <c r="D204" s="14"/>
      <c r="E204" s="14"/>
      <c r="F204" s="14"/>
      <c r="G204" s="14"/>
      <c r="H204" s="441"/>
      <c r="I204" s="72"/>
      <c r="J204" s="72"/>
      <c r="K204" s="72"/>
      <c r="L204" s="822"/>
      <c r="M204" s="615"/>
      <c r="N204" s="68"/>
      <c r="O204" s="622"/>
      <c r="P204" s="68"/>
      <c r="Q204" s="68"/>
      <c r="R204" s="68"/>
      <c r="S204" s="68"/>
      <c r="T204" s="68"/>
      <c r="U204" s="68"/>
      <c r="V204" s="68"/>
      <c r="W204" s="68"/>
      <c r="X204" s="81"/>
      <c r="Y204" s="562"/>
      <c r="Z204" s="562"/>
      <c r="AA204" s="562"/>
      <c r="AB204" s="562"/>
      <c r="AC204" s="562"/>
      <c r="AD204" s="562"/>
      <c r="AE204" s="562"/>
      <c r="AF204" s="562"/>
      <c r="AG204" s="562"/>
      <c r="AH204" s="562"/>
      <c r="AI204" s="562"/>
      <c r="AJ204" s="562"/>
      <c r="AK204" s="562"/>
      <c r="AL204" s="562"/>
      <c r="AM204" s="562"/>
      <c r="AN204" s="562"/>
      <c r="AO204" s="562"/>
      <c r="AP204" s="562"/>
      <c r="AQ204" s="562"/>
      <c r="AR204" s="562"/>
      <c r="AS204" s="562"/>
      <c r="AT204" s="562"/>
      <c r="AU204" s="562"/>
      <c r="AV204" s="562"/>
      <c r="AW204" s="562"/>
      <c r="AX204" s="562"/>
      <c r="AY204" s="562"/>
    </row>
    <row r="205" spans="1:51" s="103" customFormat="1" ht="16" thickTop="1" x14ac:dyDescent="0.2">
      <c r="A205" s="13"/>
      <c r="B205" s="14" t="s">
        <v>2347</v>
      </c>
      <c r="C205" s="14"/>
      <c r="D205" s="14"/>
      <c r="E205" s="14"/>
      <c r="F205" s="14"/>
      <c r="G205" s="14"/>
      <c r="H205" s="441"/>
      <c r="I205" s="57" t="s">
        <v>2348</v>
      </c>
      <c r="J205" s="60"/>
      <c r="K205" s="60"/>
      <c r="L205" s="775" t="s">
        <v>2349</v>
      </c>
      <c r="M205" s="616"/>
      <c r="N205" s="562"/>
      <c r="O205" s="609"/>
      <c r="P205" s="562"/>
      <c r="Q205" s="562"/>
      <c r="R205" s="562"/>
      <c r="S205" s="562"/>
      <c r="T205" s="562"/>
      <c r="U205" s="562"/>
      <c r="V205" s="562"/>
      <c r="W205" s="562"/>
      <c r="X205" s="562"/>
      <c r="Y205" s="562"/>
      <c r="Z205" s="562"/>
      <c r="AA205" s="562"/>
      <c r="AB205" s="562"/>
      <c r="AC205" s="562"/>
      <c r="AD205" s="562"/>
      <c r="AE205" s="562"/>
      <c r="AF205" s="562"/>
      <c r="AG205" s="562"/>
      <c r="AH205" s="562"/>
      <c r="AI205" s="562"/>
      <c r="AJ205" s="562"/>
      <c r="AK205" s="562"/>
      <c r="AL205" s="562"/>
      <c r="AM205" s="562"/>
      <c r="AN205" s="562"/>
      <c r="AO205" s="562"/>
      <c r="AP205" s="562"/>
      <c r="AQ205" s="562"/>
      <c r="AR205" s="190"/>
      <c r="AS205" s="190"/>
      <c r="AT205" s="562"/>
      <c r="AU205" s="562"/>
      <c r="AV205" s="562"/>
      <c r="AW205" s="562"/>
      <c r="AX205" s="562"/>
      <c r="AY205" s="562"/>
    </row>
    <row r="206" spans="1:51" x14ac:dyDescent="0.2">
      <c r="B206" s="14" t="s">
        <v>2347</v>
      </c>
      <c r="C206" s="14"/>
      <c r="D206" s="14"/>
      <c r="E206" s="14"/>
      <c r="F206" s="14"/>
      <c r="G206" s="14"/>
      <c r="H206" s="441"/>
      <c r="I206" s="60"/>
      <c r="J206" s="60"/>
      <c r="K206" s="60"/>
      <c r="L206" s="775"/>
      <c r="M206" s="616"/>
      <c r="N206" s="562"/>
      <c r="O206" s="609"/>
      <c r="P206" s="562"/>
      <c r="Q206" s="562"/>
      <c r="R206" s="562"/>
      <c r="S206" s="562"/>
      <c r="T206" s="562"/>
      <c r="U206" s="562"/>
      <c r="V206" s="562"/>
      <c r="W206" s="562"/>
      <c r="X206" s="562"/>
      <c r="Y206" s="562"/>
      <c r="Z206" s="562"/>
      <c r="AA206" s="562"/>
      <c r="AB206" s="562"/>
      <c r="AC206" s="562"/>
      <c r="AD206" s="562"/>
      <c r="AE206" s="562"/>
      <c r="AF206" s="562"/>
      <c r="AG206" s="562"/>
      <c r="AH206" s="562"/>
      <c r="AI206" s="562"/>
      <c r="AJ206" s="562"/>
      <c r="AK206" s="562"/>
      <c r="AL206" s="562"/>
      <c r="AM206" s="562"/>
      <c r="AN206" s="562"/>
      <c r="AO206" s="562"/>
      <c r="AP206" s="562"/>
      <c r="AQ206" s="562"/>
      <c r="AR206" s="562"/>
      <c r="AS206" s="562"/>
      <c r="AT206" s="562"/>
      <c r="AU206" s="562"/>
      <c r="AV206" s="562"/>
      <c r="AW206" s="562"/>
      <c r="AX206" s="562"/>
      <c r="AY206" s="562"/>
    </row>
    <row r="207" spans="1:51" x14ac:dyDescent="0.2">
      <c r="B207" s="14" t="s">
        <v>2347</v>
      </c>
      <c r="C207" s="14"/>
      <c r="D207" s="14"/>
      <c r="E207" s="14" t="s">
        <v>2181</v>
      </c>
      <c r="F207" s="14"/>
      <c r="G207" s="14"/>
      <c r="H207" s="441"/>
      <c r="I207" s="60"/>
      <c r="J207" s="61" t="s">
        <v>2181</v>
      </c>
      <c r="K207" s="71"/>
      <c r="L207" s="791" t="s">
        <v>2350</v>
      </c>
      <c r="M207" s="800">
        <v>5</v>
      </c>
      <c r="N207" s="64"/>
      <c r="O207" s="793">
        <f>M207*S207*W207</f>
        <v>0</v>
      </c>
      <c r="P207" s="562" t="b">
        <v>0</v>
      </c>
      <c r="Q207" s="562" t="b">
        <v>1</v>
      </c>
      <c r="R207" s="562" t="b">
        <v>0</v>
      </c>
      <c r="S207" s="562" t="b">
        <v>1</v>
      </c>
      <c r="T207" s="562" t="b">
        <v>0</v>
      </c>
      <c r="U207" s="562"/>
      <c r="V207" s="562"/>
      <c r="W207" s="18"/>
      <c r="X207" s="825"/>
      <c r="Y207" s="562"/>
      <c r="Z207" s="562"/>
      <c r="AA207" s="562"/>
      <c r="AB207" s="562"/>
      <c r="AC207" s="562"/>
      <c r="AD207" s="562"/>
      <c r="AE207" s="562"/>
      <c r="AF207" s="562"/>
      <c r="AG207" s="562"/>
      <c r="AH207" s="562"/>
      <c r="AI207" s="562"/>
      <c r="AJ207" s="562"/>
      <c r="AK207" s="562"/>
      <c r="AL207" s="562" t="str">
        <f>SUBSTITUTE(SUBSTITUTE(SUBSTITUTE("dpa"&amp;$B207&amp;$C207&amp;$D207&amp;$E207&amp;$F207,".","_"),"(","_"),")","")</f>
        <v>dpa505_1_1</v>
      </c>
      <c r="AM207" s="190">
        <f>M207</f>
        <v>5</v>
      </c>
      <c r="AN207" s="562" t="str">
        <f>SUBSTITUTE(SUBSTITUTE(SUBSTITUTE("dpc"&amp;$B207&amp;$C207&amp;$D207&amp;$E207&amp;$F207,".","_"),"(","_"),")","")</f>
        <v>dpc505_1_1</v>
      </c>
      <c r="AO207" s="190">
        <f>O207</f>
        <v>0</v>
      </c>
      <c r="AP207" s="562" t="str">
        <f>SUBSTITUTE(SUBSTITUTE(SUBSTITUTE("dch"&amp;$B207&amp;$C207&amp;$D207&amp;$E207&amp;$F207,".","_"),"(","_"),")","")</f>
        <v>dch505_1_1</v>
      </c>
      <c r="AQ207" s="190">
        <f>W207</f>
        <v>0</v>
      </c>
      <c r="AR207" s="562" t="str">
        <f>SUBSTITUTE(SUBSTITUTE(SUBSTITUTE("dnt"&amp;$B207&amp;$C207&amp;$D207&amp;$E207&amp;$F207,".","_"),"(","_"),")","")</f>
        <v>dnt505_1_1</v>
      </c>
      <c r="AS207" s="190">
        <f>X207</f>
        <v>0</v>
      </c>
      <c r="AT207" s="562"/>
      <c r="AU207" s="562"/>
      <c r="AV207" s="562"/>
      <c r="AW207" s="562"/>
      <c r="AX207" s="562"/>
      <c r="AY207" s="562"/>
    </row>
    <row r="208" spans="1:51" x14ac:dyDescent="0.2">
      <c r="B208" s="14" t="s">
        <v>2347</v>
      </c>
      <c r="C208" s="14"/>
      <c r="D208" s="14"/>
      <c r="E208" s="14" t="s">
        <v>2181</v>
      </c>
      <c r="F208" s="14"/>
      <c r="G208" s="14"/>
      <c r="H208" s="441"/>
      <c r="I208" s="60"/>
      <c r="J208" s="125"/>
      <c r="K208" s="128"/>
      <c r="L208" s="792"/>
      <c r="M208" s="801"/>
      <c r="N208" s="129"/>
      <c r="O208" s="794"/>
      <c r="P208" s="562"/>
      <c r="Q208" s="562"/>
      <c r="R208" s="562"/>
      <c r="S208" s="562"/>
      <c r="T208" s="562"/>
      <c r="U208" s="562"/>
      <c r="V208" s="562"/>
      <c r="W208" s="562"/>
      <c r="X208" s="786"/>
      <c r="Y208" s="562"/>
      <c r="Z208" s="562"/>
      <c r="AA208" s="562"/>
      <c r="AB208" s="562"/>
      <c r="AC208" s="562"/>
      <c r="AD208" s="562"/>
      <c r="AE208" s="562"/>
      <c r="AF208" s="562"/>
      <c r="AG208" s="562"/>
      <c r="AH208" s="562"/>
      <c r="AI208" s="562"/>
      <c r="AJ208" s="562"/>
      <c r="AK208" s="562"/>
      <c r="AL208" s="562"/>
      <c r="AM208" s="562"/>
      <c r="AN208" s="562"/>
      <c r="AO208" s="562"/>
      <c r="AP208" s="562"/>
      <c r="AQ208" s="562"/>
      <c r="AR208" s="562"/>
      <c r="AS208" s="562"/>
      <c r="AT208" s="562"/>
      <c r="AU208" s="562"/>
      <c r="AV208" s="562"/>
      <c r="AW208" s="562"/>
      <c r="AX208" s="562"/>
      <c r="AY208" s="562"/>
    </row>
    <row r="209" spans="2:45" x14ac:dyDescent="0.2">
      <c r="B209" s="14" t="s">
        <v>2347</v>
      </c>
      <c r="C209" s="14"/>
      <c r="D209" s="14"/>
      <c r="E209" s="14" t="s">
        <v>2183</v>
      </c>
      <c r="F209" s="14"/>
      <c r="G209" s="14"/>
      <c r="H209" s="441"/>
      <c r="I209" s="60"/>
      <c r="J209" s="125" t="s">
        <v>2183</v>
      </c>
      <c r="K209" s="128"/>
      <c r="L209" s="126" t="s">
        <v>2351</v>
      </c>
      <c r="M209" s="611">
        <v>5</v>
      </c>
      <c r="N209" s="129"/>
      <c r="O209" s="608">
        <f ca="1">M209*S209*W209</f>
        <v>0</v>
      </c>
      <c r="P209" s="562" t="b">
        <v>0</v>
      </c>
      <c r="Q209" s="562" t="b">
        <v>1</v>
      </c>
      <c r="R209" s="562" t="b">
        <v>0</v>
      </c>
      <c r="S209" s="562" t="b">
        <f ca="1">IF($AY$19=INDEX(INDIRECT("ddSingleOrMulti"),2),TRUE,FALSE)</f>
        <v>0</v>
      </c>
      <c r="T209" s="64" t="b">
        <f ca="1">AND(NOT(S209),W209=TRUE)</f>
        <v>0</v>
      </c>
      <c r="U209" s="562"/>
      <c r="V209" s="562"/>
      <c r="W209" s="18"/>
      <c r="X209" s="564"/>
      <c r="Y209" s="562"/>
      <c r="Z209" s="562"/>
      <c r="AA209" s="562"/>
      <c r="AB209" s="562"/>
      <c r="AC209" s="562" t="b">
        <f ca="1">OR(AD209:AE209)</f>
        <v>0</v>
      </c>
      <c r="AD209" s="562" t="b">
        <f ca="1">T209</f>
        <v>0</v>
      </c>
      <c r="AE209" s="562"/>
      <c r="AF209" s="562"/>
      <c r="AG209" s="562"/>
      <c r="AH209" s="562"/>
      <c r="AI209" s="562"/>
      <c r="AJ209" s="562"/>
      <c r="AK209" s="562"/>
      <c r="AL209" s="562" t="str">
        <f>SUBSTITUTE(SUBSTITUTE(SUBSTITUTE("dpa"&amp;$B209&amp;$C209&amp;$D209&amp;$E209&amp;$F209,".","_"),"(","_"),")","")</f>
        <v>dpa505_1_2</v>
      </c>
      <c r="AM209" s="190">
        <f>M209</f>
        <v>5</v>
      </c>
      <c r="AN209" s="562" t="str">
        <f t="shared" ref="AN209:AN210" si="31">SUBSTITUTE(SUBSTITUTE(SUBSTITUTE("dpc"&amp;$B209&amp;$C209&amp;$D209&amp;$E209&amp;$F209,".","_"),"(","_"),")","")</f>
        <v>dpc505_1_2</v>
      </c>
      <c r="AO209" s="190">
        <f ca="1">O209</f>
        <v>0</v>
      </c>
      <c r="AP209" s="562" t="str">
        <f t="shared" ref="AP209:AP210" si="32">SUBSTITUTE(SUBSTITUTE(SUBSTITUTE("dch"&amp;$B209&amp;$C209&amp;$D209&amp;$E209&amp;$F209,".","_"),"(","_"),")","")</f>
        <v>dch505_1_2</v>
      </c>
      <c r="AQ209" s="190">
        <f>W209</f>
        <v>0</v>
      </c>
      <c r="AR209" s="562" t="str">
        <f>SUBSTITUTE(SUBSTITUTE(SUBSTITUTE("dnt"&amp;$B209&amp;$C209&amp;$D209&amp;$E209&amp;$F209,".","_"),"(","_"),")","")</f>
        <v>dnt505_1_2</v>
      </c>
      <c r="AS209" s="190">
        <f>X209</f>
        <v>0</v>
      </c>
    </row>
    <row r="210" spans="2:45" x14ac:dyDescent="0.2">
      <c r="B210" s="14" t="s">
        <v>2347</v>
      </c>
      <c r="C210" s="14"/>
      <c r="D210" s="14"/>
      <c r="E210" s="14" t="s">
        <v>2185</v>
      </c>
      <c r="F210" s="14"/>
      <c r="G210" s="14"/>
      <c r="H210" s="441"/>
      <c r="I210" s="60"/>
      <c r="J210" s="57" t="s">
        <v>2185</v>
      </c>
      <c r="K210" s="60"/>
      <c r="L210" s="53" t="s">
        <v>2352</v>
      </c>
      <c r="M210" s="616"/>
      <c r="N210" s="562"/>
      <c r="O210" s="609">
        <f ca="1">S210*IFERROR(INDEX({4,5,6},MATCH(W210,INDIRECT(U210),0)),0)</f>
        <v>0</v>
      </c>
      <c r="P210" s="562" t="b">
        <v>0</v>
      </c>
      <c r="Q210" s="562" t="b">
        <v>1</v>
      </c>
      <c r="R210" s="562" t="b">
        <v>0</v>
      </c>
      <c r="S210" s="562" t="b">
        <v>1</v>
      </c>
      <c r="T210" s="562" t="b">
        <v>0</v>
      </c>
      <c r="U210" s="562" t="str">
        <f>SUBSTITUTE(SUBSTITUTE(SUBSTITUTE("dd"&amp;B210&amp;C210&amp;D210&amp;E210&amp;F210,".","_"),"(","_"),")","")</f>
        <v>dd505_1_3</v>
      </c>
      <c r="V210" s="562"/>
      <c r="W210" s="6"/>
      <c r="X210" s="825"/>
      <c r="Y210" s="562"/>
      <c r="Z210" s="562"/>
      <c r="AA210" s="562"/>
      <c r="AB210" s="562"/>
      <c r="AC210" s="562"/>
      <c r="AD210" s="562"/>
      <c r="AE210" s="562"/>
      <c r="AF210" s="562"/>
      <c r="AG210" s="562"/>
      <c r="AH210" s="562"/>
      <c r="AI210" s="562"/>
      <c r="AJ210" s="562"/>
      <c r="AK210" s="562"/>
      <c r="AL210" s="562"/>
      <c r="AM210" s="562"/>
      <c r="AN210" s="562" t="str">
        <f t="shared" si="31"/>
        <v>dpc505_1_3</v>
      </c>
      <c r="AO210" s="190">
        <f ca="1">O210</f>
        <v>0</v>
      </c>
      <c r="AP210" s="562" t="str">
        <f t="shared" si="32"/>
        <v>dch505_1_3</v>
      </c>
      <c r="AQ210" s="190">
        <f>W210</f>
        <v>0</v>
      </c>
      <c r="AR210" s="562" t="str">
        <f>SUBSTITUTE(SUBSTITUTE(SUBSTITUTE("dnt"&amp;$B210&amp;$C210&amp;$D210&amp;$E210&amp;$F210,".","_"),"(","_"),")","")</f>
        <v>dnt505_1_3</v>
      </c>
      <c r="AS210" s="190">
        <f>X210</f>
        <v>0</v>
      </c>
    </row>
    <row r="211" spans="2:45" x14ac:dyDescent="0.2">
      <c r="B211" s="14" t="s">
        <v>2347</v>
      </c>
      <c r="C211" s="14"/>
      <c r="D211" s="14"/>
      <c r="E211" s="14" t="s">
        <v>2185</v>
      </c>
      <c r="F211" s="13" t="s">
        <v>2196</v>
      </c>
      <c r="H211" s="443"/>
      <c r="I211" s="56"/>
      <c r="J211" s="60"/>
      <c r="K211" s="57" t="s">
        <v>2196</v>
      </c>
      <c r="L211" s="53" t="s">
        <v>2353</v>
      </c>
      <c r="M211" s="616">
        <v>4</v>
      </c>
      <c r="N211" s="562"/>
      <c r="O211" s="609"/>
      <c r="P211" s="562"/>
      <c r="Q211" s="562"/>
      <c r="R211" s="562" t="b">
        <v>0</v>
      </c>
      <c r="S211" s="562" t="b">
        <v>1</v>
      </c>
      <c r="T211" s="562" t="b">
        <v>0</v>
      </c>
      <c r="U211" s="562"/>
      <c r="V211" s="562"/>
      <c r="W211" s="562"/>
      <c r="X211" s="797"/>
      <c r="Y211" s="562"/>
      <c r="Z211" s="562"/>
      <c r="AA211" s="562"/>
      <c r="AB211" s="562"/>
      <c r="AC211" s="562"/>
      <c r="AD211" s="562"/>
      <c r="AE211" s="562"/>
      <c r="AF211" s="562"/>
      <c r="AG211" s="562"/>
      <c r="AH211" s="562"/>
      <c r="AI211" s="562"/>
      <c r="AJ211" s="562"/>
      <c r="AK211" s="562"/>
      <c r="AL211" s="562" t="str">
        <f t="shared" ref="AL211:AL213" si="33">SUBSTITUTE(SUBSTITUTE(SUBSTITUTE("dpa"&amp;$B211&amp;$C211&amp;$D211&amp;$E211&amp;$F211,".","_"),"(","_"),")","")</f>
        <v>dpa505_1_3_a</v>
      </c>
      <c r="AM211" s="190">
        <f>M211</f>
        <v>4</v>
      </c>
      <c r="AN211" s="562"/>
      <c r="AO211" s="562"/>
      <c r="AP211" s="562"/>
      <c r="AQ211" s="562"/>
      <c r="AR211" s="562"/>
      <c r="AS211" s="562"/>
    </row>
    <row r="212" spans="2:45" x14ac:dyDescent="0.2">
      <c r="B212" s="14" t="s">
        <v>2347</v>
      </c>
      <c r="C212" s="14"/>
      <c r="D212" s="14"/>
      <c r="E212" s="14" t="s">
        <v>2185</v>
      </c>
      <c r="F212" s="13" t="s">
        <v>2198</v>
      </c>
      <c r="H212" s="443"/>
      <c r="I212" s="56"/>
      <c r="J212" s="60"/>
      <c r="K212" s="57" t="s">
        <v>2198</v>
      </c>
      <c r="L212" s="53" t="s">
        <v>2354</v>
      </c>
      <c r="M212" s="616">
        <v>5</v>
      </c>
      <c r="N212" s="562"/>
      <c r="O212" s="609"/>
      <c r="P212" s="562"/>
      <c r="Q212" s="562"/>
      <c r="R212" s="562" t="b">
        <v>0</v>
      </c>
      <c r="S212" s="562" t="b">
        <v>1</v>
      </c>
      <c r="T212" s="562" t="b">
        <v>0</v>
      </c>
      <c r="U212" s="562"/>
      <c r="V212" s="562"/>
      <c r="W212" s="562"/>
      <c r="X212" s="797"/>
      <c r="Y212" s="562"/>
      <c r="Z212" s="562"/>
      <c r="AA212" s="562"/>
      <c r="AB212" s="562"/>
      <c r="AC212" s="562"/>
      <c r="AD212" s="562"/>
      <c r="AE212" s="562"/>
      <c r="AF212" s="562"/>
      <c r="AG212" s="562"/>
      <c r="AH212" s="562"/>
      <c r="AI212" s="562"/>
      <c r="AJ212" s="562"/>
      <c r="AK212" s="562"/>
      <c r="AL212" s="562" t="str">
        <f t="shared" si="33"/>
        <v>dpa505_1_3_b</v>
      </c>
      <c r="AM212" s="190">
        <f>M212</f>
        <v>5</v>
      </c>
      <c r="AN212" s="562"/>
      <c r="AO212" s="562"/>
      <c r="AP212" s="562"/>
      <c r="AQ212" s="562"/>
      <c r="AR212" s="562"/>
      <c r="AS212" s="562"/>
    </row>
    <row r="213" spans="2:45" x14ac:dyDescent="0.2">
      <c r="B213" s="14" t="s">
        <v>2347</v>
      </c>
      <c r="C213" s="14"/>
      <c r="D213" s="14"/>
      <c r="E213" s="14" t="s">
        <v>2185</v>
      </c>
      <c r="F213" s="13" t="s">
        <v>2200</v>
      </c>
      <c r="H213" s="443"/>
      <c r="I213" s="56"/>
      <c r="J213" s="128"/>
      <c r="K213" s="130" t="s">
        <v>2200</v>
      </c>
      <c r="L213" s="126" t="s">
        <v>2235</v>
      </c>
      <c r="M213" s="611">
        <v>6</v>
      </c>
      <c r="N213" s="129"/>
      <c r="O213" s="608"/>
      <c r="P213" s="562"/>
      <c r="Q213" s="562"/>
      <c r="R213" s="562" t="b">
        <v>0</v>
      </c>
      <c r="S213" s="562" t="b">
        <v>1</v>
      </c>
      <c r="T213" s="562" t="b">
        <v>0</v>
      </c>
      <c r="U213" s="562"/>
      <c r="V213" s="562"/>
      <c r="W213" s="562"/>
      <c r="X213" s="786"/>
      <c r="Y213" s="562"/>
      <c r="Z213" s="562"/>
      <c r="AA213" s="562"/>
      <c r="AB213" s="562"/>
      <c r="AC213" s="562"/>
      <c r="AD213" s="562"/>
      <c r="AE213" s="562"/>
      <c r="AF213" s="562"/>
      <c r="AG213" s="562"/>
      <c r="AH213" s="562"/>
      <c r="AI213" s="562"/>
      <c r="AJ213" s="562"/>
      <c r="AK213" s="562"/>
      <c r="AL213" s="562" t="str">
        <f t="shared" si="33"/>
        <v>dpa505_1_3_c</v>
      </c>
      <c r="AM213" s="190">
        <f>M213</f>
        <v>6</v>
      </c>
      <c r="AN213" s="562"/>
      <c r="AO213" s="562"/>
      <c r="AP213" s="562"/>
      <c r="AQ213" s="562"/>
      <c r="AR213" s="562"/>
      <c r="AS213" s="562"/>
    </row>
    <row r="214" spans="2:45" x14ac:dyDescent="0.2">
      <c r="B214" s="14" t="s">
        <v>2347</v>
      </c>
      <c r="C214" s="14"/>
      <c r="D214" s="14"/>
      <c r="E214" s="14" t="s">
        <v>2192</v>
      </c>
      <c r="F214" s="14"/>
      <c r="G214" s="14"/>
      <c r="H214" s="441"/>
      <c r="I214" s="60"/>
      <c r="J214" s="57" t="s">
        <v>2192</v>
      </c>
      <c r="K214" s="60"/>
      <c r="L214" s="817" t="s">
        <v>2355</v>
      </c>
      <c r="M214" s="616"/>
      <c r="N214" s="562"/>
      <c r="O214" s="795">
        <f ca="1">S214*IFERROR(INDEX({1,2,3},MATCH(W214,INDIRECT(U214),0)),0)</f>
        <v>0</v>
      </c>
      <c r="P214" s="562" t="b">
        <v>0</v>
      </c>
      <c r="Q214" s="562" t="b">
        <v>1</v>
      </c>
      <c r="R214" s="562" t="b">
        <v>0</v>
      </c>
      <c r="S214" s="562" t="b">
        <v>1</v>
      </c>
      <c r="T214" s="562" t="b">
        <v>0</v>
      </c>
      <c r="U214" s="562" t="str">
        <f>SUBSTITUTE(SUBSTITUTE(SUBSTITUTE("dd"&amp;B214&amp;C214&amp;D214&amp;E214&amp;F214,".","_"),"(","_"),")","")</f>
        <v>dd505_1_4</v>
      </c>
      <c r="V214" s="562"/>
      <c r="W214" s="6"/>
      <c r="X214" s="825"/>
      <c r="Y214" s="562"/>
      <c r="Z214" s="562"/>
      <c r="AA214" s="562"/>
      <c r="AB214" s="562"/>
      <c r="AC214" s="562"/>
      <c r="AD214" s="562"/>
      <c r="AE214" s="562"/>
      <c r="AF214" s="562"/>
      <c r="AG214" s="562"/>
      <c r="AH214" s="562"/>
      <c r="AI214" s="562"/>
      <c r="AJ214" s="562"/>
      <c r="AK214" s="562"/>
      <c r="AL214" s="562"/>
      <c r="AM214" s="562"/>
      <c r="AN214" s="562" t="str">
        <f>SUBSTITUTE(SUBSTITUTE(SUBSTITUTE("dpc"&amp;$B214&amp;$C214&amp;$D214&amp;$E214&amp;$F214,".","_"),"(","_"),")","")</f>
        <v>dpc505_1_4</v>
      </c>
      <c r="AO214" s="190">
        <f ca="1">O214</f>
        <v>0</v>
      </c>
      <c r="AP214" s="562" t="str">
        <f>SUBSTITUTE(SUBSTITUTE(SUBSTITUTE("dch"&amp;$B214&amp;$C214&amp;$D214&amp;$E214&amp;$F214,".","_"),"(","_"),")","")</f>
        <v>dch505_1_4</v>
      </c>
      <c r="AQ214" s="190">
        <f>W214</f>
        <v>0</v>
      </c>
      <c r="AR214" s="562" t="str">
        <f>SUBSTITUTE(SUBSTITUTE(SUBSTITUTE("dnt"&amp;$B214&amp;$C214&amp;$D214&amp;$E214&amp;$F214,".","_"),"(","_"),")","")</f>
        <v>dnt505_1_4</v>
      </c>
      <c r="AS214" s="190">
        <f>X214</f>
        <v>0</v>
      </c>
    </row>
    <row r="215" spans="2:45" x14ac:dyDescent="0.2">
      <c r="B215" s="14" t="s">
        <v>2347</v>
      </c>
      <c r="C215" s="14"/>
      <c r="D215" s="14"/>
      <c r="E215" s="14" t="s">
        <v>2192</v>
      </c>
      <c r="F215" s="14"/>
      <c r="G215" s="14"/>
      <c r="H215" s="441"/>
      <c r="I215" s="60"/>
      <c r="J215" s="60"/>
      <c r="K215" s="60"/>
      <c r="L215" s="817"/>
      <c r="M215" s="616"/>
      <c r="N215" s="562"/>
      <c r="O215" s="795"/>
      <c r="P215" s="562"/>
      <c r="Q215" s="562"/>
      <c r="R215" s="562"/>
      <c r="S215" s="562"/>
      <c r="T215" s="562"/>
      <c r="U215" s="562"/>
      <c r="V215" s="562"/>
      <c r="W215" s="562"/>
      <c r="X215" s="797"/>
      <c r="Y215" s="562"/>
      <c r="Z215" s="562"/>
      <c r="AA215" s="562"/>
      <c r="AB215" s="562"/>
      <c r="AC215" s="562"/>
      <c r="AD215" s="562"/>
      <c r="AE215" s="562"/>
      <c r="AF215" s="562"/>
      <c r="AG215" s="562"/>
      <c r="AH215" s="562"/>
      <c r="AI215" s="562"/>
      <c r="AJ215" s="562"/>
      <c r="AK215" s="562"/>
      <c r="AL215" s="562"/>
      <c r="AM215" s="562"/>
      <c r="AN215" s="562"/>
      <c r="AO215" s="562"/>
      <c r="AP215" s="562"/>
      <c r="AQ215" s="562"/>
      <c r="AR215" s="562"/>
      <c r="AS215" s="562"/>
    </row>
    <row r="216" spans="2:45" x14ac:dyDescent="0.2">
      <c r="B216" s="14" t="s">
        <v>2347</v>
      </c>
      <c r="C216" s="14"/>
      <c r="D216" s="14"/>
      <c r="E216" s="14" t="s">
        <v>2192</v>
      </c>
      <c r="F216" s="13" t="s">
        <v>2196</v>
      </c>
      <c r="H216" s="443"/>
      <c r="I216" s="56"/>
      <c r="J216" s="60"/>
      <c r="K216" s="57" t="s">
        <v>2196</v>
      </c>
      <c r="L216" s="53" t="s">
        <v>2356</v>
      </c>
      <c r="M216" s="616">
        <v>1</v>
      </c>
      <c r="N216" s="562"/>
      <c r="O216" s="609"/>
      <c r="P216" s="562"/>
      <c r="Q216" s="562"/>
      <c r="R216" s="562" t="b">
        <v>0</v>
      </c>
      <c r="S216" s="562" t="b">
        <v>1</v>
      </c>
      <c r="T216" s="562" t="b">
        <v>0</v>
      </c>
      <c r="U216" s="562"/>
      <c r="V216" s="562"/>
      <c r="W216" s="562"/>
      <c r="X216" s="797"/>
      <c r="Y216" s="562"/>
      <c r="Z216" s="562"/>
      <c r="AA216" s="562"/>
      <c r="AB216" s="562"/>
      <c r="AC216" s="562"/>
      <c r="AD216" s="562"/>
      <c r="AE216" s="562"/>
      <c r="AF216" s="562"/>
      <c r="AG216" s="562"/>
      <c r="AH216" s="562"/>
      <c r="AI216" s="562"/>
      <c r="AJ216" s="562"/>
      <c r="AK216" s="562"/>
      <c r="AL216" s="562" t="str">
        <f t="shared" ref="AL216:AL218" si="34">SUBSTITUTE(SUBSTITUTE(SUBSTITUTE("dpa"&amp;$B216&amp;$C216&amp;$D216&amp;$E216&amp;$F216,".","_"),"(","_"),")","")</f>
        <v>dpa505_1_4_a</v>
      </c>
      <c r="AM216" s="190">
        <f>M216</f>
        <v>1</v>
      </c>
      <c r="AN216" s="562"/>
      <c r="AO216" s="562"/>
      <c r="AP216" s="562"/>
      <c r="AQ216" s="562"/>
      <c r="AR216" s="562"/>
      <c r="AS216" s="562"/>
    </row>
    <row r="217" spans="2:45" x14ac:dyDescent="0.2">
      <c r="B217" s="14" t="s">
        <v>2347</v>
      </c>
      <c r="C217" s="14"/>
      <c r="D217" s="14"/>
      <c r="E217" s="14" t="s">
        <v>2192</v>
      </c>
      <c r="F217" s="13" t="s">
        <v>2198</v>
      </c>
      <c r="H217" s="443"/>
      <c r="I217" s="56"/>
      <c r="J217" s="60"/>
      <c r="K217" s="57" t="s">
        <v>2198</v>
      </c>
      <c r="L217" s="53" t="s">
        <v>2234</v>
      </c>
      <c r="M217" s="616">
        <v>2</v>
      </c>
      <c r="N217" s="562"/>
      <c r="O217" s="609"/>
      <c r="P217" s="562"/>
      <c r="Q217" s="562"/>
      <c r="R217" s="562" t="b">
        <v>0</v>
      </c>
      <c r="S217" s="562" t="b">
        <v>1</v>
      </c>
      <c r="T217" s="562" t="b">
        <v>0</v>
      </c>
      <c r="U217" s="562"/>
      <c r="V217" s="562"/>
      <c r="W217" s="562"/>
      <c r="X217" s="797"/>
      <c r="Y217" s="562"/>
      <c r="Z217" s="562"/>
      <c r="AA217" s="562"/>
      <c r="AB217" s="562"/>
      <c r="AC217" s="562"/>
      <c r="AD217" s="562"/>
      <c r="AE217" s="562"/>
      <c r="AF217" s="562"/>
      <c r="AG217" s="562"/>
      <c r="AH217" s="562"/>
      <c r="AI217" s="562"/>
      <c r="AJ217" s="562"/>
      <c r="AK217" s="562"/>
      <c r="AL217" s="562" t="str">
        <f t="shared" si="34"/>
        <v>dpa505_1_4_b</v>
      </c>
      <c r="AM217" s="190">
        <f>M217</f>
        <v>2</v>
      </c>
      <c r="AN217" s="562"/>
      <c r="AO217" s="562"/>
      <c r="AP217" s="562"/>
      <c r="AQ217" s="562"/>
      <c r="AR217" s="562"/>
      <c r="AS217" s="562"/>
    </row>
    <row r="218" spans="2:45" ht="16" thickBot="1" x14ac:dyDescent="0.25">
      <c r="B218" s="14" t="s">
        <v>2347</v>
      </c>
      <c r="C218" s="14"/>
      <c r="D218" s="14"/>
      <c r="E218" s="14" t="s">
        <v>2192</v>
      </c>
      <c r="F218" s="13" t="s">
        <v>2200</v>
      </c>
      <c r="H218" s="443"/>
      <c r="I218" s="84"/>
      <c r="J218" s="72"/>
      <c r="K218" s="80" t="s">
        <v>2200</v>
      </c>
      <c r="L218" s="67" t="s">
        <v>2235</v>
      </c>
      <c r="M218" s="615">
        <v>3</v>
      </c>
      <c r="N218" s="68"/>
      <c r="O218" s="622"/>
      <c r="P218" s="68"/>
      <c r="Q218" s="68"/>
      <c r="R218" s="68" t="b">
        <v>0</v>
      </c>
      <c r="S218" s="68" t="b">
        <v>1</v>
      </c>
      <c r="T218" s="68" t="b">
        <v>0</v>
      </c>
      <c r="U218" s="68"/>
      <c r="V218" s="68"/>
      <c r="W218" s="68"/>
      <c r="X218" s="826"/>
      <c r="Y218" s="562"/>
      <c r="Z218" s="562"/>
      <c r="AA218" s="562"/>
      <c r="AB218" s="562"/>
      <c r="AC218" s="562"/>
      <c r="AD218" s="562"/>
      <c r="AE218" s="562"/>
      <c r="AF218" s="562"/>
      <c r="AG218" s="562"/>
      <c r="AH218" s="562"/>
      <c r="AI218" s="562"/>
      <c r="AJ218" s="562"/>
      <c r="AK218" s="562"/>
      <c r="AL218" s="562" t="str">
        <f t="shared" si="34"/>
        <v>dpa505_1_4_c</v>
      </c>
      <c r="AM218" s="190">
        <f>M218</f>
        <v>3</v>
      </c>
      <c r="AN218" s="562"/>
      <c r="AO218" s="562"/>
      <c r="AP218" s="562"/>
      <c r="AQ218" s="562"/>
      <c r="AR218" s="562"/>
      <c r="AS218" s="562"/>
    </row>
    <row r="219" spans="2:45" ht="16" thickTop="1" x14ac:dyDescent="0.2">
      <c r="B219" s="14" t="s">
        <v>2357</v>
      </c>
      <c r="C219" s="14"/>
      <c r="D219" s="14"/>
      <c r="E219" s="14"/>
      <c r="F219" s="14"/>
      <c r="G219" s="14"/>
      <c r="H219" s="441"/>
      <c r="I219" s="57" t="s">
        <v>2358</v>
      </c>
      <c r="J219" s="60"/>
      <c r="K219" s="60"/>
      <c r="L219" s="55" t="s">
        <v>2359</v>
      </c>
      <c r="M219" s="616"/>
      <c r="N219" s="562"/>
      <c r="O219" s="609"/>
      <c r="P219" s="562"/>
      <c r="Q219" s="562"/>
      <c r="R219" s="562"/>
      <c r="S219" s="562"/>
      <c r="T219" s="562"/>
      <c r="U219" s="562"/>
      <c r="V219" s="562"/>
      <c r="W219" s="562"/>
      <c r="X219" s="562"/>
      <c r="Y219" s="562"/>
      <c r="Z219" s="562"/>
      <c r="AA219" s="562"/>
      <c r="AB219" s="562"/>
      <c r="AC219" s="562"/>
      <c r="AD219" s="562"/>
      <c r="AE219" s="562"/>
      <c r="AF219" s="562"/>
      <c r="AG219" s="562"/>
      <c r="AH219" s="562"/>
      <c r="AI219" s="562"/>
      <c r="AJ219" s="562"/>
      <c r="AK219" s="562"/>
      <c r="AL219" s="562"/>
      <c r="AM219" s="562"/>
      <c r="AN219" s="562"/>
      <c r="AO219" s="562"/>
      <c r="AP219" s="562"/>
      <c r="AQ219" s="562"/>
      <c r="AR219" s="190"/>
      <c r="AS219" s="190"/>
    </row>
    <row r="220" spans="2:45" x14ac:dyDescent="0.2">
      <c r="B220" s="14" t="s">
        <v>2357</v>
      </c>
      <c r="C220" s="14"/>
      <c r="D220" s="14"/>
      <c r="E220" s="14" t="s">
        <v>2181</v>
      </c>
      <c r="F220" s="14"/>
      <c r="G220" s="14"/>
      <c r="H220" s="441"/>
      <c r="I220" s="60"/>
      <c r="J220" s="57" t="s">
        <v>2181</v>
      </c>
      <c r="K220" s="60"/>
      <c r="L220" s="817" t="s">
        <v>2360</v>
      </c>
      <c r="M220" s="814">
        <v>5</v>
      </c>
      <c r="N220" s="562"/>
      <c r="O220" s="795">
        <f>M220*MIN(1,W222+W225+W229)</f>
        <v>0</v>
      </c>
      <c r="P220" s="562"/>
      <c r="Q220" s="562"/>
      <c r="R220" s="562" t="b">
        <v>0</v>
      </c>
      <c r="S220" s="562" t="b">
        <v>1</v>
      </c>
      <c r="T220" s="562" t="b">
        <v>0</v>
      </c>
      <c r="U220" s="562"/>
      <c r="V220" s="562"/>
      <c r="W220" s="562"/>
      <c r="X220" s="825"/>
      <c r="Y220" s="562"/>
      <c r="Z220" s="562"/>
      <c r="AA220" s="562"/>
      <c r="AB220" s="562"/>
      <c r="AC220" s="562"/>
      <c r="AD220" s="562"/>
      <c r="AE220" s="562"/>
      <c r="AF220" s="562"/>
      <c r="AG220" s="562"/>
      <c r="AH220" s="562"/>
      <c r="AI220" s="562"/>
      <c r="AJ220" s="562"/>
      <c r="AK220" s="562"/>
      <c r="AL220" s="562" t="str">
        <f>SUBSTITUTE(SUBSTITUTE(SUBSTITUTE("dpa"&amp;$B220&amp;$C220&amp;$D220&amp;$E220&amp;$F220,".","_"),"(","_"),")","")</f>
        <v>dpa505_2_1</v>
      </c>
      <c r="AM220" s="190">
        <f>M220</f>
        <v>5</v>
      </c>
      <c r="AN220" s="562" t="str">
        <f>SUBSTITUTE(SUBSTITUTE(SUBSTITUTE("dpc"&amp;$B220&amp;$C220&amp;$D220&amp;$E220&amp;$F220,".","_"),"(","_"),")","")</f>
        <v>dpc505_2_1</v>
      </c>
      <c r="AO220" s="190">
        <f>O220</f>
        <v>0</v>
      </c>
      <c r="AP220" s="562"/>
      <c r="AQ220" s="562"/>
      <c r="AR220" s="562" t="str">
        <f>SUBSTITUTE(SUBSTITUTE(SUBSTITUTE("dnt"&amp;$B220&amp;$C220&amp;$D220&amp;$E220&amp;$F220,".","_"),"(","_"),")","")</f>
        <v>dnt505_2_1</v>
      </c>
      <c r="AS220" s="190">
        <f>X220</f>
        <v>0</v>
      </c>
    </row>
    <row r="221" spans="2:45" x14ac:dyDescent="0.2">
      <c r="B221" s="14" t="s">
        <v>2357</v>
      </c>
      <c r="C221" s="14"/>
      <c r="D221" s="14"/>
      <c r="E221" s="14" t="s">
        <v>2181</v>
      </c>
      <c r="F221" s="14"/>
      <c r="G221" s="14"/>
      <c r="H221" s="441"/>
      <c r="I221" s="60"/>
      <c r="J221" s="60"/>
      <c r="K221" s="60"/>
      <c r="L221" s="817"/>
      <c r="M221" s="814"/>
      <c r="N221" s="562"/>
      <c r="O221" s="795"/>
      <c r="P221" s="562"/>
      <c r="Q221" s="562"/>
      <c r="R221" s="562"/>
      <c r="S221" s="562"/>
      <c r="T221" s="562"/>
      <c r="U221" s="562"/>
      <c r="V221" s="562"/>
      <c r="W221" s="562"/>
      <c r="X221" s="797"/>
      <c r="Y221" s="562"/>
      <c r="Z221" s="562"/>
      <c r="AA221" s="562"/>
      <c r="AB221" s="562"/>
      <c r="AC221" s="562"/>
      <c r="AD221" s="562"/>
      <c r="AE221" s="562"/>
      <c r="AF221" s="562"/>
      <c r="AG221" s="562"/>
      <c r="AH221" s="562"/>
      <c r="AI221" s="562"/>
      <c r="AJ221" s="562"/>
      <c r="AK221" s="562"/>
      <c r="AL221" s="562"/>
      <c r="AM221" s="562"/>
      <c r="AN221" s="562"/>
      <c r="AO221" s="562"/>
      <c r="AP221" s="562"/>
      <c r="AQ221" s="562"/>
      <c r="AR221" s="562"/>
      <c r="AS221" s="562"/>
    </row>
    <row r="222" spans="2:45" x14ac:dyDescent="0.2">
      <c r="B222" s="14" t="s">
        <v>2357</v>
      </c>
      <c r="C222" s="14"/>
      <c r="D222" s="14"/>
      <c r="E222" s="14" t="s">
        <v>2181</v>
      </c>
      <c r="F222" s="13" t="s">
        <v>2196</v>
      </c>
      <c r="H222" s="443"/>
      <c r="I222" s="56"/>
      <c r="J222" s="60"/>
      <c r="K222" s="57" t="s">
        <v>2196</v>
      </c>
      <c r="L222" s="817" t="s">
        <v>2361</v>
      </c>
      <c r="M222" s="616"/>
      <c r="N222" s="562"/>
      <c r="O222" s="609"/>
      <c r="P222" s="562" t="b">
        <v>0</v>
      </c>
      <c r="Q222" s="562" t="b">
        <v>1</v>
      </c>
      <c r="R222" s="562" t="b">
        <v>0</v>
      </c>
      <c r="S222" s="562" t="b">
        <v>1</v>
      </c>
      <c r="T222" s="562" t="b">
        <v>0</v>
      </c>
      <c r="U222" s="562"/>
      <c r="V222" s="562"/>
      <c r="W222" s="18"/>
      <c r="X222" s="797"/>
      <c r="Y222" s="562"/>
      <c r="Z222" s="562"/>
      <c r="AA222" s="562"/>
      <c r="AB222" s="562"/>
      <c r="AC222" s="562"/>
      <c r="AD222" s="562"/>
      <c r="AE222" s="562"/>
      <c r="AF222" s="562"/>
      <c r="AG222" s="562"/>
      <c r="AH222" s="562"/>
      <c r="AI222" s="562"/>
      <c r="AJ222" s="562"/>
      <c r="AK222" s="562"/>
      <c r="AL222" s="562"/>
      <c r="AM222" s="562"/>
      <c r="AN222" s="562"/>
      <c r="AO222" s="562"/>
      <c r="AP222" s="562" t="str">
        <f>SUBSTITUTE(SUBSTITUTE(SUBSTITUTE("dch"&amp;$B222&amp;$C222&amp;$D222&amp;$E222&amp;$F222,".","_"),"(","_"),")","")</f>
        <v>dch505_2_1_a</v>
      </c>
      <c r="AQ222" s="190">
        <f>W222</f>
        <v>0</v>
      </c>
      <c r="AR222" s="562"/>
      <c r="AS222" s="562"/>
    </row>
    <row r="223" spans="2:45" x14ac:dyDescent="0.2">
      <c r="B223" s="14" t="s">
        <v>2357</v>
      </c>
      <c r="C223" s="14"/>
      <c r="D223" s="14"/>
      <c r="E223" s="14" t="s">
        <v>2181</v>
      </c>
      <c r="F223" s="13" t="s">
        <v>2196</v>
      </c>
      <c r="H223" s="443"/>
      <c r="I223" s="56"/>
      <c r="J223" s="60"/>
      <c r="K223" s="60"/>
      <c r="L223" s="817"/>
      <c r="M223" s="616"/>
      <c r="N223" s="562"/>
      <c r="O223" s="609"/>
      <c r="P223" s="562"/>
      <c r="Q223" s="562"/>
      <c r="R223" s="562"/>
      <c r="S223" s="562"/>
      <c r="T223" s="562"/>
      <c r="U223" s="562"/>
      <c r="V223" s="562"/>
      <c r="W223" s="562"/>
      <c r="X223" s="797"/>
      <c r="Y223" s="562"/>
      <c r="Z223" s="562"/>
      <c r="AA223" s="562"/>
      <c r="AB223" s="562"/>
      <c r="AC223" s="562"/>
      <c r="AD223" s="562"/>
      <c r="AE223" s="562"/>
      <c r="AF223" s="562"/>
      <c r="AG223" s="562"/>
      <c r="AH223" s="562"/>
      <c r="AI223" s="562"/>
      <c r="AJ223" s="562"/>
      <c r="AK223" s="562"/>
      <c r="AL223" s="562"/>
      <c r="AM223" s="562"/>
      <c r="AN223" s="562"/>
      <c r="AO223" s="562"/>
      <c r="AP223" s="562"/>
      <c r="AQ223" s="562"/>
      <c r="AR223" s="562"/>
      <c r="AS223" s="562"/>
    </row>
    <row r="224" spans="2:45" x14ac:dyDescent="0.2">
      <c r="B224" s="14" t="s">
        <v>2357</v>
      </c>
      <c r="C224" s="14"/>
      <c r="D224" s="14"/>
      <c r="E224" s="14" t="s">
        <v>2181</v>
      </c>
      <c r="F224" s="13" t="s">
        <v>2196</v>
      </c>
      <c r="H224" s="443"/>
      <c r="I224" s="56"/>
      <c r="J224" s="60"/>
      <c r="K224" s="60"/>
      <c r="L224" s="817"/>
      <c r="M224" s="616"/>
      <c r="N224" s="562"/>
      <c r="O224" s="609"/>
      <c r="P224" s="562"/>
      <c r="Q224" s="562"/>
      <c r="R224" s="562"/>
      <c r="S224" s="562"/>
      <c r="T224" s="562"/>
      <c r="U224" s="562"/>
      <c r="V224" s="562"/>
      <c r="W224" s="562"/>
      <c r="X224" s="797"/>
      <c r="Y224" s="562"/>
      <c r="Z224" s="562"/>
      <c r="AA224" s="562"/>
      <c r="AB224" s="562"/>
      <c r="AC224" s="562"/>
      <c r="AD224" s="562"/>
      <c r="AE224" s="562"/>
      <c r="AF224" s="562"/>
      <c r="AG224" s="562"/>
      <c r="AH224" s="562"/>
      <c r="AI224" s="562"/>
      <c r="AJ224" s="562"/>
      <c r="AK224" s="562"/>
      <c r="AL224" s="562"/>
      <c r="AM224" s="562"/>
      <c r="AN224" s="562"/>
      <c r="AO224" s="562"/>
      <c r="AP224" s="562"/>
      <c r="AQ224" s="562"/>
      <c r="AR224" s="562"/>
      <c r="AS224" s="562"/>
    </row>
    <row r="225" spans="2:45" x14ac:dyDescent="0.2">
      <c r="B225" s="14" t="s">
        <v>2357</v>
      </c>
      <c r="C225" s="14"/>
      <c r="D225" s="14"/>
      <c r="E225" s="14" t="s">
        <v>2181</v>
      </c>
      <c r="F225" s="13" t="s">
        <v>2198</v>
      </c>
      <c r="H225" s="443"/>
      <c r="I225" s="56"/>
      <c r="J225" s="60"/>
      <c r="K225" s="57" t="s">
        <v>2198</v>
      </c>
      <c r="L225" s="817" t="s">
        <v>2362</v>
      </c>
      <c r="M225" s="616"/>
      <c r="N225" s="562"/>
      <c r="O225" s="609"/>
      <c r="P225" s="562" t="b">
        <v>0</v>
      </c>
      <c r="Q225" s="562" t="b">
        <v>1</v>
      </c>
      <c r="R225" s="562" t="b">
        <v>0</v>
      </c>
      <c r="S225" s="562" t="b">
        <v>1</v>
      </c>
      <c r="T225" s="562" t="b">
        <v>0</v>
      </c>
      <c r="U225" s="562"/>
      <c r="V225" s="562"/>
      <c r="W225" s="18"/>
      <c r="X225" s="797"/>
      <c r="Y225" s="562"/>
      <c r="Z225" s="562"/>
      <c r="AA225" s="562"/>
      <c r="AB225" s="562"/>
      <c r="AC225" s="562"/>
      <c r="AD225" s="562"/>
      <c r="AE225" s="562"/>
      <c r="AF225" s="562"/>
      <c r="AG225" s="562"/>
      <c r="AH225" s="562"/>
      <c r="AI225" s="562"/>
      <c r="AJ225" s="562"/>
      <c r="AK225" s="562"/>
      <c r="AL225" s="562"/>
      <c r="AM225" s="562"/>
      <c r="AN225" s="562"/>
      <c r="AO225" s="562"/>
      <c r="AP225" s="562" t="str">
        <f>SUBSTITUTE(SUBSTITUTE(SUBSTITUTE("dch"&amp;$B225&amp;$C225&amp;$D225&amp;$E225&amp;$F225,".","_"),"(","_"),")","")</f>
        <v>dch505_2_1_b</v>
      </c>
      <c r="AQ225" s="190">
        <f>W225</f>
        <v>0</v>
      </c>
      <c r="AR225" s="562"/>
      <c r="AS225" s="562"/>
    </row>
    <row r="226" spans="2:45" x14ac:dyDescent="0.2">
      <c r="B226" s="14" t="s">
        <v>2357</v>
      </c>
      <c r="C226" s="14"/>
      <c r="D226" s="14"/>
      <c r="E226" s="14" t="s">
        <v>2181</v>
      </c>
      <c r="F226" s="13" t="s">
        <v>2198</v>
      </c>
      <c r="H226" s="443"/>
      <c r="I226" s="56"/>
      <c r="J226" s="60"/>
      <c r="K226" s="60"/>
      <c r="L226" s="817"/>
      <c r="M226" s="616"/>
      <c r="N226" s="562"/>
      <c r="O226" s="609"/>
      <c r="P226" s="562"/>
      <c r="Q226" s="562"/>
      <c r="R226" s="562"/>
      <c r="S226" s="562"/>
      <c r="T226" s="562"/>
      <c r="U226" s="562"/>
      <c r="V226" s="562"/>
      <c r="W226" s="562"/>
      <c r="X226" s="797"/>
      <c r="Y226" s="562"/>
      <c r="Z226" s="562"/>
      <c r="AA226" s="562"/>
      <c r="AB226" s="562"/>
      <c r="AC226" s="562"/>
      <c r="AD226" s="562"/>
      <c r="AE226" s="562"/>
      <c r="AF226" s="562"/>
      <c r="AG226" s="562"/>
      <c r="AH226" s="562"/>
      <c r="AI226" s="562"/>
      <c r="AJ226" s="562"/>
      <c r="AK226" s="562"/>
      <c r="AL226" s="562"/>
      <c r="AM226" s="562"/>
      <c r="AN226" s="562"/>
      <c r="AO226" s="562"/>
      <c r="AP226" s="562"/>
      <c r="AQ226" s="562"/>
      <c r="AR226" s="562"/>
      <c r="AS226" s="562"/>
    </row>
    <row r="227" spans="2:45" x14ac:dyDescent="0.2">
      <c r="B227" s="14" t="s">
        <v>2357</v>
      </c>
      <c r="C227" s="14"/>
      <c r="D227" s="14"/>
      <c r="E227" s="14" t="s">
        <v>2181</v>
      </c>
      <c r="F227" s="13" t="s">
        <v>2198</v>
      </c>
      <c r="H227" s="443"/>
      <c r="I227" s="56"/>
      <c r="J227" s="60"/>
      <c r="K227" s="60"/>
      <c r="L227" s="817"/>
      <c r="M227" s="616"/>
      <c r="N227" s="562"/>
      <c r="O227" s="609"/>
      <c r="P227" s="562"/>
      <c r="Q227" s="562"/>
      <c r="R227" s="562"/>
      <c r="S227" s="562"/>
      <c r="T227" s="562"/>
      <c r="U227" s="562"/>
      <c r="V227" s="562"/>
      <c r="W227" s="562"/>
      <c r="X227" s="797"/>
      <c r="Y227" s="562"/>
      <c r="Z227" s="562"/>
      <c r="AA227" s="562"/>
      <c r="AB227" s="562"/>
      <c r="AC227" s="562"/>
      <c r="AD227" s="562"/>
      <c r="AE227" s="562"/>
      <c r="AF227" s="562"/>
      <c r="AG227" s="562"/>
      <c r="AH227" s="562"/>
      <c r="AI227" s="562"/>
      <c r="AJ227" s="562"/>
      <c r="AK227" s="562"/>
      <c r="AL227" s="562"/>
      <c r="AM227" s="562"/>
      <c r="AN227" s="562"/>
      <c r="AO227" s="562"/>
      <c r="AP227" s="562"/>
      <c r="AQ227" s="562"/>
      <c r="AR227" s="562"/>
      <c r="AS227" s="562"/>
    </row>
    <row r="228" spans="2:45" x14ac:dyDescent="0.2">
      <c r="B228" s="14" t="s">
        <v>2357</v>
      </c>
      <c r="C228" s="14"/>
      <c r="D228" s="14"/>
      <c r="E228" s="14" t="s">
        <v>2181</v>
      </c>
      <c r="F228" s="13" t="s">
        <v>2198</v>
      </c>
      <c r="H228" s="443"/>
      <c r="I228" s="56"/>
      <c r="J228" s="60"/>
      <c r="K228" s="60"/>
      <c r="L228" s="817"/>
      <c r="M228" s="616"/>
      <c r="N228" s="562"/>
      <c r="O228" s="609"/>
      <c r="P228" s="562"/>
      <c r="Q228" s="562"/>
      <c r="R228" s="562"/>
      <c r="S228" s="562"/>
      <c r="T228" s="562"/>
      <c r="U228" s="562"/>
      <c r="V228" s="562"/>
      <c r="W228" s="562"/>
      <c r="X228" s="797"/>
      <c r="Y228" s="562"/>
      <c r="Z228" s="562"/>
      <c r="AA228" s="562"/>
      <c r="AB228" s="562"/>
      <c r="AC228" s="562"/>
      <c r="AD228" s="562"/>
      <c r="AE228" s="562"/>
      <c r="AF228" s="562"/>
      <c r="AG228" s="562"/>
      <c r="AH228" s="562"/>
      <c r="AI228" s="562"/>
      <c r="AJ228" s="562"/>
      <c r="AK228" s="562"/>
      <c r="AL228" s="562"/>
      <c r="AM228" s="562"/>
      <c r="AN228" s="562"/>
      <c r="AO228" s="562"/>
      <c r="AP228" s="562"/>
      <c r="AQ228" s="562"/>
      <c r="AR228" s="562"/>
      <c r="AS228" s="562"/>
    </row>
    <row r="229" spans="2:45" x14ac:dyDescent="0.2">
      <c r="B229" s="14" t="s">
        <v>2357</v>
      </c>
      <c r="C229" s="14"/>
      <c r="D229" s="14"/>
      <c r="E229" s="14" t="s">
        <v>2181</v>
      </c>
      <c r="F229" s="13" t="s">
        <v>2200</v>
      </c>
      <c r="H229" s="443"/>
      <c r="I229" s="56"/>
      <c r="J229" s="128"/>
      <c r="K229" s="130" t="s">
        <v>2200</v>
      </c>
      <c r="L229" s="126" t="s">
        <v>2363</v>
      </c>
      <c r="M229" s="611"/>
      <c r="N229" s="129"/>
      <c r="O229" s="608"/>
      <c r="P229" s="562" t="b">
        <v>0</v>
      </c>
      <c r="Q229" s="562" t="b">
        <v>1</v>
      </c>
      <c r="R229" s="562" t="b">
        <v>0</v>
      </c>
      <c r="S229" s="562" t="b">
        <v>1</v>
      </c>
      <c r="T229" s="562" t="b">
        <v>0</v>
      </c>
      <c r="U229" s="562"/>
      <c r="V229" s="562"/>
      <c r="W229" s="18"/>
      <c r="X229" s="786"/>
      <c r="Y229" s="562"/>
      <c r="Z229" s="562"/>
      <c r="AA229" s="562"/>
      <c r="AB229" s="562"/>
      <c r="AC229" s="562"/>
      <c r="AD229" s="562"/>
      <c r="AE229" s="562"/>
      <c r="AF229" s="562"/>
      <c r="AG229" s="562"/>
      <c r="AH229" s="562"/>
      <c r="AI229" s="562"/>
      <c r="AJ229" s="562"/>
      <c r="AK229" s="562"/>
      <c r="AL229" s="562"/>
      <c r="AM229" s="562"/>
      <c r="AN229" s="562"/>
      <c r="AO229" s="562"/>
      <c r="AP229" s="562" t="str">
        <f t="shared" ref="AP229:AP230" si="35">SUBSTITUTE(SUBSTITUTE(SUBSTITUTE("dch"&amp;$B229&amp;$C229&amp;$D229&amp;$E229&amp;$F229,".","_"),"(","_"),")","")</f>
        <v>dch505_2_1_c</v>
      </c>
      <c r="AQ229" s="190">
        <f>W229</f>
        <v>0</v>
      </c>
      <c r="AR229" s="562"/>
      <c r="AS229" s="562"/>
    </row>
    <row r="230" spans="2:45" x14ac:dyDescent="0.2">
      <c r="B230" s="14" t="s">
        <v>2357</v>
      </c>
      <c r="C230" s="14"/>
      <c r="D230" s="14"/>
      <c r="E230" s="14" t="s">
        <v>2183</v>
      </c>
      <c r="F230" s="14"/>
      <c r="G230" s="14"/>
      <c r="H230" s="441"/>
      <c r="I230" s="71"/>
      <c r="J230" s="61" t="s">
        <v>2183</v>
      </c>
      <c r="K230" s="71"/>
      <c r="L230" s="791" t="s">
        <v>2364</v>
      </c>
      <c r="M230" s="800">
        <v>5</v>
      </c>
      <c r="N230" s="64"/>
      <c r="O230" s="793">
        <f>M230*W230</f>
        <v>0</v>
      </c>
      <c r="P230" s="562" t="b">
        <v>0</v>
      </c>
      <c r="Q230" s="562" t="b">
        <v>1</v>
      </c>
      <c r="R230" s="64" t="b">
        <v>0</v>
      </c>
      <c r="S230" s="64" t="b">
        <v>1</v>
      </c>
      <c r="T230" s="64" t="b">
        <v>0</v>
      </c>
      <c r="U230" s="64"/>
      <c r="V230" s="64"/>
      <c r="W230" s="18"/>
      <c r="X230" s="825"/>
      <c r="Y230" s="562"/>
      <c r="Z230" s="562"/>
      <c r="AA230" s="562"/>
      <c r="AB230" s="562"/>
      <c r="AC230" s="562"/>
      <c r="AD230" s="562"/>
      <c r="AE230" s="562"/>
      <c r="AF230" s="562"/>
      <c r="AG230" s="562"/>
      <c r="AH230" s="562"/>
      <c r="AI230" s="562"/>
      <c r="AJ230" s="562"/>
      <c r="AK230" s="562"/>
      <c r="AL230" s="562" t="str">
        <f>SUBSTITUTE(SUBSTITUTE(SUBSTITUTE("dpa"&amp;$B230&amp;$C230&amp;$D230&amp;$E230&amp;$F230,".","_"),"(","_"),")","")</f>
        <v>dpa505_2_2</v>
      </c>
      <c r="AM230" s="190">
        <f>M230</f>
        <v>5</v>
      </c>
      <c r="AN230" s="562" t="str">
        <f>SUBSTITUTE(SUBSTITUTE(SUBSTITUTE("dpc"&amp;$B230&amp;$C230&amp;$D230&amp;$E230&amp;$F230,".","_"),"(","_"),")","")</f>
        <v>dpc505_2_2</v>
      </c>
      <c r="AO230" s="190">
        <f>O230</f>
        <v>0</v>
      </c>
      <c r="AP230" s="562" t="str">
        <f t="shared" si="35"/>
        <v>dch505_2_2</v>
      </c>
      <c r="AQ230" s="190">
        <f>W230</f>
        <v>0</v>
      </c>
      <c r="AR230" s="562" t="str">
        <f>SUBSTITUTE(SUBSTITUTE(SUBSTITUTE("dnt"&amp;$B230&amp;$C230&amp;$D230&amp;$E230&amp;$F230,".","_"),"(","_"),")","")</f>
        <v>dnt505_2_2</v>
      </c>
      <c r="AS230" s="190">
        <f>X230</f>
        <v>0</v>
      </c>
    </row>
    <row r="231" spans="2:45" x14ac:dyDescent="0.2">
      <c r="B231" s="14" t="s">
        <v>2357</v>
      </c>
      <c r="C231" s="14"/>
      <c r="D231" s="14"/>
      <c r="E231" s="14" t="s">
        <v>2183</v>
      </c>
      <c r="F231" s="14"/>
      <c r="G231" s="14"/>
      <c r="H231" s="441"/>
      <c r="I231" s="71"/>
      <c r="J231" s="71"/>
      <c r="K231" s="71"/>
      <c r="L231" s="791"/>
      <c r="M231" s="800"/>
      <c r="N231" s="64"/>
      <c r="O231" s="793"/>
      <c r="P231" s="64"/>
      <c r="Q231" s="64"/>
      <c r="R231" s="64"/>
      <c r="S231" s="64"/>
      <c r="T231" s="64"/>
      <c r="U231" s="64"/>
      <c r="V231" s="64"/>
      <c r="W231" s="64"/>
      <c r="X231" s="797"/>
      <c r="Y231" s="562"/>
      <c r="Z231" s="562"/>
      <c r="AA231" s="562"/>
      <c r="AB231" s="562"/>
      <c r="AC231" s="562"/>
      <c r="AD231" s="562"/>
      <c r="AE231" s="562"/>
      <c r="AF231" s="562"/>
      <c r="AG231" s="562"/>
      <c r="AH231" s="562"/>
      <c r="AI231" s="562"/>
      <c r="AJ231" s="562"/>
      <c r="AK231" s="562"/>
      <c r="AL231" s="562"/>
      <c r="AM231" s="562"/>
      <c r="AN231" s="562"/>
      <c r="AO231" s="562"/>
      <c r="AP231" s="562"/>
      <c r="AQ231" s="562"/>
      <c r="AR231" s="562"/>
      <c r="AS231" s="562"/>
    </row>
    <row r="232" spans="2:45" ht="16" thickBot="1" x14ac:dyDescent="0.25">
      <c r="B232" s="14" t="s">
        <v>2357</v>
      </c>
      <c r="C232" s="14"/>
      <c r="D232" s="14"/>
      <c r="E232" s="14" t="s">
        <v>2183</v>
      </c>
      <c r="F232" s="14"/>
      <c r="G232" s="14"/>
      <c r="H232" s="441"/>
      <c r="I232" s="72"/>
      <c r="J232" s="72"/>
      <c r="K232" s="72"/>
      <c r="L232" s="818"/>
      <c r="M232" s="813"/>
      <c r="N232" s="68"/>
      <c r="O232" s="821"/>
      <c r="P232" s="68"/>
      <c r="Q232" s="68"/>
      <c r="R232" s="68"/>
      <c r="S232" s="68"/>
      <c r="T232" s="68"/>
      <c r="U232" s="68"/>
      <c r="V232" s="68"/>
      <c r="W232" s="68"/>
      <c r="X232" s="826"/>
      <c r="Y232" s="562"/>
      <c r="Z232" s="562"/>
      <c r="AA232" s="562"/>
      <c r="AB232" s="562"/>
      <c r="AC232" s="562"/>
      <c r="AD232" s="562"/>
      <c r="AE232" s="562"/>
      <c r="AF232" s="562"/>
      <c r="AG232" s="562"/>
      <c r="AH232" s="562"/>
      <c r="AI232" s="562"/>
      <c r="AJ232" s="562"/>
      <c r="AK232" s="562"/>
      <c r="AL232" s="562"/>
      <c r="AM232" s="562"/>
      <c r="AN232" s="562"/>
      <c r="AO232" s="562"/>
      <c r="AP232" s="562"/>
      <c r="AQ232" s="562"/>
      <c r="AR232" s="562"/>
      <c r="AS232" s="562"/>
    </row>
    <row r="233" spans="2:45" ht="16" thickTop="1" x14ac:dyDescent="0.2">
      <c r="B233" s="14" t="s">
        <v>2365</v>
      </c>
      <c r="C233" s="14"/>
      <c r="D233" s="14"/>
      <c r="E233" s="14"/>
      <c r="F233" s="14"/>
      <c r="G233" s="14"/>
      <c r="H233" s="441"/>
      <c r="I233" s="57" t="s">
        <v>2366</v>
      </c>
      <c r="J233" s="60"/>
      <c r="K233" s="60"/>
      <c r="L233" s="55" t="s">
        <v>2367</v>
      </c>
      <c r="M233" s="616"/>
      <c r="N233" s="562"/>
      <c r="O233" s="609">
        <f ca="1">S233*IFERROR(INDEX({4,5,6,7,8},MATCH(W233,INDIRECT(U233),0)),0)</f>
        <v>0</v>
      </c>
      <c r="P233" s="562" t="b">
        <v>1</v>
      </c>
      <c r="Q233" s="562" t="b">
        <v>1</v>
      </c>
      <c r="R233" s="562" t="b">
        <v>0</v>
      </c>
      <c r="S233" s="562" t="b">
        <v>1</v>
      </c>
      <c r="T233" s="562" t="b">
        <v>0</v>
      </c>
      <c r="U233" s="562" t="str">
        <f>SUBSTITUTE(SUBSTITUTE(SUBSTITUTE("dd"&amp;B233&amp;C233&amp;D233&amp;E233&amp;F233,".","_"),"(","_"),")","")</f>
        <v>dd505_3</v>
      </c>
      <c r="V233" s="562"/>
      <c r="W233" s="6"/>
      <c r="X233" s="802"/>
      <c r="Y233" s="562"/>
      <c r="Z233" s="562"/>
      <c r="AA233" s="562"/>
      <c r="AB233" s="562"/>
      <c r="AC233" s="562"/>
      <c r="AD233" s="562"/>
      <c r="AE233" s="562"/>
      <c r="AF233" s="562"/>
      <c r="AG233" s="562"/>
      <c r="AH233" s="562"/>
      <c r="AI233" s="562"/>
      <c r="AJ233" s="562"/>
      <c r="AK233" s="562"/>
      <c r="AL233" s="562"/>
      <c r="AM233" s="562"/>
      <c r="AN233" s="562" t="str">
        <f>SUBSTITUTE(SUBSTITUTE(SUBSTITUTE("dpc"&amp;$B233&amp;$C233&amp;$D233&amp;$E233&amp;$F233,".","_"),"(","_"),")","")</f>
        <v>dpc505_3</v>
      </c>
      <c r="AO233" s="190">
        <f ca="1">O233</f>
        <v>0</v>
      </c>
      <c r="AP233" s="562" t="str">
        <f>SUBSTITUTE(SUBSTITUTE(SUBSTITUTE("dch"&amp;$B233&amp;$C233&amp;$D233&amp;$E233&amp;$F233,".","_"),"(","_"),")","")</f>
        <v>dch505_3</v>
      </c>
      <c r="AQ233" s="190">
        <f>W233</f>
        <v>0</v>
      </c>
      <c r="AR233" s="562" t="str">
        <f>SUBSTITUTE(SUBSTITUTE(SUBSTITUTE("dnt"&amp;$B233&amp;$C233&amp;$D233&amp;$E233&amp;$F233,".","_"),"(","_"),")","")</f>
        <v>dnt505_3</v>
      </c>
      <c r="AS233" s="190">
        <f>X233</f>
        <v>0</v>
      </c>
    </row>
    <row r="234" spans="2:45" ht="16" x14ac:dyDescent="0.2">
      <c r="B234" s="14" t="s">
        <v>2365</v>
      </c>
      <c r="C234" s="14"/>
      <c r="D234" s="14"/>
      <c r="E234" s="14" t="s">
        <v>2181</v>
      </c>
      <c r="F234" s="14"/>
      <c r="G234" s="14"/>
      <c r="H234" s="441"/>
      <c r="I234" s="60"/>
      <c r="J234" s="125" t="s">
        <v>2181</v>
      </c>
      <c r="K234" s="128"/>
      <c r="L234" s="126" t="s">
        <v>2368</v>
      </c>
      <c r="M234" s="611">
        <v>4</v>
      </c>
      <c r="N234" s="562"/>
      <c r="O234" s="609"/>
      <c r="P234" s="562"/>
      <c r="Q234" s="562"/>
      <c r="R234" s="562"/>
      <c r="S234" s="562"/>
      <c r="T234" s="562"/>
      <c r="U234" s="562"/>
      <c r="V234" s="562"/>
      <c r="W234" s="562"/>
      <c r="X234" s="798"/>
      <c r="Y234" s="562"/>
      <c r="Z234" s="562"/>
      <c r="AA234" s="562"/>
      <c r="AB234" s="562"/>
      <c r="AC234" s="562"/>
      <c r="AD234" s="562"/>
      <c r="AE234" s="562"/>
      <c r="AF234" s="562"/>
      <c r="AG234" s="562"/>
      <c r="AH234" s="562"/>
      <c r="AI234" s="562"/>
      <c r="AJ234" s="562"/>
      <c r="AK234" s="562"/>
      <c r="AL234" s="562" t="str">
        <f t="shared" ref="AL234:AL240" si="36">SUBSTITUTE(SUBSTITUTE(SUBSTITUTE("dpa"&amp;$B234&amp;$C234&amp;$D234&amp;$E234&amp;$F234,".","_"),"(","_"),")","")</f>
        <v>dpa505_3_1</v>
      </c>
      <c r="AM234" s="190">
        <f t="shared" ref="AM234:AM240" si="37">M234</f>
        <v>4</v>
      </c>
      <c r="AN234" s="562"/>
      <c r="AO234" s="562"/>
      <c r="AP234" s="562"/>
      <c r="AQ234" s="562"/>
      <c r="AR234" s="562"/>
      <c r="AS234" s="562"/>
    </row>
    <row r="235" spans="2:45" ht="16" x14ac:dyDescent="0.2">
      <c r="B235" s="14" t="s">
        <v>2365</v>
      </c>
      <c r="C235" s="14"/>
      <c r="D235" s="14"/>
      <c r="E235" s="14" t="s">
        <v>2183</v>
      </c>
      <c r="F235" s="14"/>
      <c r="G235" s="14"/>
      <c r="H235" s="441"/>
      <c r="I235" s="60"/>
      <c r="J235" s="125" t="s">
        <v>2183</v>
      </c>
      <c r="K235" s="128"/>
      <c r="L235" s="126" t="s">
        <v>2369</v>
      </c>
      <c r="M235" s="611">
        <v>5</v>
      </c>
      <c r="N235" s="562"/>
      <c r="O235" s="609"/>
      <c r="P235" s="562"/>
      <c r="Q235" s="562"/>
      <c r="R235" s="562"/>
      <c r="S235" s="562"/>
      <c r="T235" s="562"/>
      <c r="U235" s="562"/>
      <c r="V235" s="562"/>
      <c r="W235" s="562"/>
      <c r="X235" s="798"/>
      <c r="Y235" s="562"/>
      <c r="Z235" s="562"/>
      <c r="AA235" s="562"/>
      <c r="AB235" s="562"/>
      <c r="AC235" s="562"/>
      <c r="AD235" s="562"/>
      <c r="AE235" s="562"/>
      <c r="AF235" s="562"/>
      <c r="AG235" s="562"/>
      <c r="AH235" s="562"/>
      <c r="AI235" s="562"/>
      <c r="AJ235" s="562"/>
      <c r="AK235" s="562"/>
      <c r="AL235" s="562" t="str">
        <f t="shared" si="36"/>
        <v>dpa505_3_2</v>
      </c>
      <c r="AM235" s="190">
        <f t="shared" si="37"/>
        <v>5</v>
      </c>
      <c r="AN235" s="562"/>
      <c r="AO235" s="562"/>
      <c r="AP235" s="562"/>
      <c r="AQ235" s="562"/>
      <c r="AR235" s="562"/>
      <c r="AS235" s="562"/>
    </row>
    <row r="236" spans="2:45" ht="16" x14ac:dyDescent="0.2">
      <c r="B236" s="14" t="s">
        <v>2365</v>
      </c>
      <c r="C236" s="14"/>
      <c r="D236" s="14"/>
      <c r="E236" s="14" t="s">
        <v>2185</v>
      </c>
      <c r="F236" s="14"/>
      <c r="G236" s="14"/>
      <c r="H236" s="441"/>
      <c r="I236" s="60"/>
      <c r="J236" s="125" t="s">
        <v>2185</v>
      </c>
      <c r="K236" s="128"/>
      <c r="L236" s="126" t="s">
        <v>2370</v>
      </c>
      <c r="M236" s="611">
        <v>6</v>
      </c>
      <c r="N236" s="562"/>
      <c r="O236" s="609"/>
      <c r="P236" s="562"/>
      <c r="Q236" s="562"/>
      <c r="R236" s="562"/>
      <c r="S236" s="562"/>
      <c r="T236" s="562"/>
      <c r="U236" s="562"/>
      <c r="V236" s="562"/>
      <c r="W236" s="562"/>
      <c r="X236" s="798"/>
      <c r="Y236" s="562"/>
      <c r="Z236" s="562"/>
      <c r="AA236" s="562"/>
      <c r="AB236" s="562"/>
      <c r="AC236" s="562"/>
      <c r="AD236" s="562"/>
      <c r="AE236" s="562"/>
      <c r="AF236" s="562"/>
      <c r="AG236" s="562"/>
      <c r="AH236" s="562"/>
      <c r="AI236" s="562"/>
      <c r="AJ236" s="562"/>
      <c r="AK236" s="562"/>
      <c r="AL236" s="562" t="str">
        <f t="shared" si="36"/>
        <v>dpa505_3_3</v>
      </c>
      <c r="AM236" s="190">
        <f t="shared" si="37"/>
        <v>6</v>
      </c>
      <c r="AN236" s="562"/>
      <c r="AO236" s="562"/>
      <c r="AP236" s="562"/>
      <c r="AQ236" s="562"/>
      <c r="AR236" s="562"/>
      <c r="AS236" s="562"/>
    </row>
    <row r="237" spans="2:45" ht="16" x14ac:dyDescent="0.2">
      <c r="B237" s="14" t="s">
        <v>2365</v>
      </c>
      <c r="C237" s="14"/>
      <c r="D237" s="14"/>
      <c r="E237" s="14" t="s">
        <v>2192</v>
      </c>
      <c r="F237" s="14"/>
      <c r="G237" s="14"/>
      <c r="H237" s="441"/>
      <c r="I237" s="60"/>
      <c r="J237" s="125" t="s">
        <v>2192</v>
      </c>
      <c r="K237" s="128"/>
      <c r="L237" s="126" t="s">
        <v>2371</v>
      </c>
      <c r="M237" s="611">
        <v>7</v>
      </c>
      <c r="N237" s="562"/>
      <c r="O237" s="609"/>
      <c r="P237" s="562"/>
      <c r="Q237" s="562"/>
      <c r="R237" s="562"/>
      <c r="S237" s="562"/>
      <c r="T237" s="562"/>
      <c r="U237" s="562"/>
      <c r="V237" s="562"/>
      <c r="W237" s="562"/>
      <c r="X237" s="798"/>
      <c r="Y237" s="562"/>
      <c r="Z237" s="562"/>
      <c r="AA237" s="562"/>
      <c r="AB237" s="562"/>
      <c r="AC237" s="562"/>
      <c r="AD237" s="562"/>
      <c r="AE237" s="562"/>
      <c r="AF237" s="562"/>
      <c r="AG237" s="562"/>
      <c r="AH237" s="562"/>
      <c r="AI237" s="562"/>
      <c r="AJ237" s="562"/>
      <c r="AK237" s="562"/>
      <c r="AL237" s="562" t="str">
        <f t="shared" si="36"/>
        <v>dpa505_3_4</v>
      </c>
      <c r="AM237" s="190">
        <f t="shared" si="37"/>
        <v>7</v>
      </c>
      <c r="AN237" s="562"/>
      <c r="AO237" s="562"/>
      <c r="AP237" s="562"/>
      <c r="AQ237" s="562"/>
      <c r="AR237" s="562"/>
      <c r="AS237" s="562"/>
    </row>
    <row r="238" spans="2:45" ht="17" thickBot="1" x14ac:dyDescent="0.25">
      <c r="B238" s="14" t="s">
        <v>2365</v>
      </c>
      <c r="C238" s="14"/>
      <c r="D238" s="14"/>
      <c r="E238" s="14" t="s">
        <v>2194</v>
      </c>
      <c r="F238" s="14"/>
      <c r="G238" s="14"/>
      <c r="H238" s="441"/>
      <c r="I238" s="72"/>
      <c r="J238" s="66" t="s">
        <v>2194</v>
      </c>
      <c r="K238" s="72"/>
      <c r="L238" s="67" t="s">
        <v>2372</v>
      </c>
      <c r="M238" s="615">
        <v>8</v>
      </c>
      <c r="N238" s="68"/>
      <c r="O238" s="622"/>
      <c r="P238" s="68"/>
      <c r="Q238" s="68"/>
      <c r="R238" s="68"/>
      <c r="S238" s="68"/>
      <c r="T238" s="68"/>
      <c r="U238" s="68"/>
      <c r="V238" s="68"/>
      <c r="W238" s="68"/>
      <c r="X238" s="799"/>
      <c r="Y238" s="562"/>
      <c r="Z238" s="562"/>
      <c r="AA238" s="562"/>
      <c r="AB238" s="562"/>
      <c r="AC238" s="562"/>
      <c r="AD238" s="562"/>
      <c r="AE238" s="562"/>
      <c r="AF238" s="562"/>
      <c r="AG238" s="562"/>
      <c r="AH238" s="562"/>
      <c r="AI238" s="562"/>
      <c r="AJ238" s="562"/>
      <c r="AK238" s="562"/>
      <c r="AL238" s="562" t="str">
        <f t="shared" si="36"/>
        <v>dpa505_3_5</v>
      </c>
      <c r="AM238" s="190">
        <f t="shared" si="37"/>
        <v>8</v>
      </c>
      <c r="AN238" s="562"/>
      <c r="AO238" s="562"/>
      <c r="AP238" s="562"/>
      <c r="AQ238" s="562"/>
      <c r="AR238" s="562"/>
      <c r="AS238" s="562"/>
    </row>
    <row r="239" spans="2:45" ht="17" thickTop="1" thickBot="1" x14ac:dyDescent="0.25">
      <c r="B239" s="14" t="s">
        <v>2373</v>
      </c>
      <c r="C239" s="14"/>
      <c r="D239" s="14"/>
      <c r="E239" s="14"/>
      <c r="F239" s="14"/>
      <c r="G239" s="14"/>
      <c r="H239" s="441"/>
      <c r="I239" s="85" t="s">
        <v>2374</v>
      </c>
      <c r="J239" s="86"/>
      <c r="K239" s="86"/>
      <c r="L239" s="87" t="s">
        <v>2375</v>
      </c>
      <c r="M239" s="220">
        <v>8</v>
      </c>
      <c r="N239" s="89"/>
      <c r="O239" s="265">
        <f ca="1">M239*S239*W239</f>
        <v>0</v>
      </c>
      <c r="P239" s="89" t="b">
        <v>1</v>
      </c>
      <c r="Q239" s="89" t="b">
        <v>1</v>
      </c>
      <c r="R239" s="89" t="b">
        <v>0</v>
      </c>
      <c r="S239" s="562" t="b">
        <f ca="1">IF($AY$19=INDEX(INDIRECT("ddSingleOrMulti"),2),TRUE,FALSE)</f>
        <v>0</v>
      </c>
      <c r="T239" s="64" t="b">
        <f ca="1">AND(NOT(S239),W239=TRUE)</f>
        <v>0</v>
      </c>
      <c r="U239" s="89"/>
      <c r="V239" s="89"/>
      <c r="W239" s="92"/>
      <c r="X239" s="97"/>
      <c r="Y239" s="562"/>
      <c r="Z239" s="562"/>
      <c r="AA239" s="562"/>
      <c r="AB239" s="562"/>
      <c r="AC239" s="562" t="b">
        <f ca="1">OR(AD239:AE239)</f>
        <v>0</v>
      </c>
      <c r="AD239" s="562" t="b">
        <f ca="1">T239</f>
        <v>0</v>
      </c>
      <c r="AE239" s="562"/>
      <c r="AF239" s="562"/>
      <c r="AG239" s="562"/>
      <c r="AH239" s="562"/>
      <c r="AI239" s="562"/>
      <c r="AJ239" s="562"/>
      <c r="AK239" s="562"/>
      <c r="AL239" s="562" t="str">
        <f t="shared" si="36"/>
        <v>dpa505_4</v>
      </c>
      <c r="AM239" s="190">
        <f t="shared" si="37"/>
        <v>8</v>
      </c>
      <c r="AN239" s="562" t="str">
        <f t="shared" ref="AN239:AN240" si="38">SUBSTITUTE(SUBSTITUTE(SUBSTITUTE("dpc"&amp;$B239&amp;$C239&amp;$D239&amp;$E239&amp;$F239,".","_"),"(","_"),")","")</f>
        <v>dpc505_4</v>
      </c>
      <c r="AO239" s="190">
        <f ca="1">O239</f>
        <v>0</v>
      </c>
      <c r="AP239" s="562" t="str">
        <f t="shared" ref="AP239:AP240" si="39">SUBSTITUTE(SUBSTITUTE(SUBSTITUTE("dch"&amp;$B239&amp;$C239&amp;$D239&amp;$E239&amp;$F239,".","_"),"(","_"),")","")</f>
        <v>dch505_4</v>
      </c>
      <c r="AQ239" s="190">
        <f>W239</f>
        <v>0</v>
      </c>
      <c r="AR239" s="562" t="str">
        <f>SUBSTITUTE(SUBSTITUTE(SUBSTITUTE("dnt"&amp;$B239&amp;$C239&amp;$D239&amp;$E239&amp;$F239,".","_"),"(","_"),")","")</f>
        <v>dnt505_4</v>
      </c>
      <c r="AS239" s="190">
        <f>X239</f>
        <v>0</v>
      </c>
    </row>
    <row r="240" spans="2:45" ht="16" thickTop="1" x14ac:dyDescent="0.2">
      <c r="B240" s="14" t="s">
        <v>2376</v>
      </c>
      <c r="C240" s="14"/>
      <c r="D240" s="14"/>
      <c r="E240" s="14"/>
      <c r="F240" s="14"/>
      <c r="G240" s="14"/>
      <c r="H240" s="441"/>
      <c r="I240" s="83" t="s">
        <v>2377</v>
      </c>
      <c r="J240" s="76"/>
      <c r="K240" s="76"/>
      <c r="L240" s="819" t="s">
        <v>2378</v>
      </c>
      <c r="M240" s="827">
        <v>3</v>
      </c>
      <c r="N240" s="74"/>
      <c r="O240" s="823">
        <f>M240*S240*W240</f>
        <v>0</v>
      </c>
      <c r="P240" s="562" t="b">
        <v>1</v>
      </c>
      <c r="Q240" s="562" t="b">
        <v>1</v>
      </c>
      <c r="R240" s="74" t="b">
        <v>0</v>
      </c>
      <c r="S240" s="74" t="b">
        <v>1</v>
      </c>
      <c r="T240" s="74" t="b">
        <v>0</v>
      </c>
      <c r="U240" s="74"/>
      <c r="V240" s="74"/>
      <c r="W240" s="91"/>
      <c r="X240" s="802"/>
      <c r="Y240" s="562"/>
      <c r="Z240" s="562"/>
      <c r="AA240" s="562"/>
      <c r="AB240" s="562"/>
      <c r="AC240" s="562"/>
      <c r="AD240" s="562"/>
      <c r="AE240" s="562"/>
      <c r="AF240" s="562"/>
      <c r="AG240" s="562"/>
      <c r="AH240" s="562"/>
      <c r="AI240" s="562"/>
      <c r="AJ240" s="562"/>
      <c r="AK240" s="562"/>
      <c r="AL240" s="562" t="str">
        <f t="shared" si="36"/>
        <v>dpa505_5</v>
      </c>
      <c r="AM240" s="190">
        <f t="shared" si="37"/>
        <v>3</v>
      </c>
      <c r="AN240" s="562" t="str">
        <f t="shared" si="38"/>
        <v>dpc505_5</v>
      </c>
      <c r="AO240" s="190">
        <f>O240</f>
        <v>0</v>
      </c>
      <c r="AP240" s="562" t="str">
        <f t="shared" si="39"/>
        <v>dch505_5</v>
      </c>
      <c r="AQ240" s="190">
        <f>W240</f>
        <v>0</v>
      </c>
      <c r="AR240" s="562" t="str">
        <f>SUBSTITUTE(SUBSTITUTE(SUBSTITUTE("dnt"&amp;$B240&amp;$C240&amp;$D240&amp;$E240&amp;$F240,".","_"),"(","_"),")","")</f>
        <v>dnt505_5</v>
      </c>
      <c r="AS240" s="190">
        <f>X240</f>
        <v>0</v>
      </c>
    </row>
    <row r="241" spans="1:45" s="498" customFormat="1" x14ac:dyDescent="0.2">
      <c r="A241" s="13"/>
      <c r="B241" s="14" t="s">
        <v>2376</v>
      </c>
      <c r="C241" s="14"/>
      <c r="D241" s="14"/>
      <c r="E241" s="14"/>
      <c r="F241" s="14"/>
      <c r="G241" s="14"/>
      <c r="H241" s="441"/>
      <c r="I241" s="61"/>
      <c r="J241" s="71"/>
      <c r="K241" s="71"/>
      <c r="L241" s="820"/>
      <c r="M241" s="800"/>
      <c r="N241" s="64"/>
      <c r="O241" s="793"/>
      <c r="P241" s="562"/>
      <c r="Q241" s="562"/>
      <c r="R241" s="64"/>
      <c r="S241" s="64"/>
      <c r="T241" s="64"/>
      <c r="U241" s="64"/>
      <c r="V241" s="64"/>
      <c r="W241" s="562"/>
      <c r="X241" s="797"/>
      <c r="Y241" s="562"/>
      <c r="Z241" s="562"/>
      <c r="AA241" s="562"/>
      <c r="AB241" s="562"/>
      <c r="AC241" s="562"/>
      <c r="AD241" s="562"/>
      <c r="AE241" s="562"/>
      <c r="AF241" s="562"/>
      <c r="AG241" s="562"/>
      <c r="AH241" s="562"/>
      <c r="AI241" s="562"/>
      <c r="AJ241" s="562"/>
      <c r="AK241" s="562"/>
      <c r="AL241" s="562"/>
      <c r="AM241" s="190"/>
      <c r="AN241" s="562"/>
      <c r="AO241" s="190"/>
      <c r="AP241" s="562"/>
      <c r="AQ241" s="190"/>
      <c r="AR241" s="562"/>
      <c r="AS241" s="190"/>
    </row>
    <row r="242" spans="1:45" ht="16" thickBot="1" x14ac:dyDescent="0.25">
      <c r="B242" s="14" t="s">
        <v>2376</v>
      </c>
      <c r="C242" s="14"/>
      <c r="D242" s="14"/>
      <c r="E242" s="14"/>
      <c r="F242" s="14"/>
      <c r="G242" s="14"/>
      <c r="H242" s="441"/>
      <c r="I242" s="72"/>
      <c r="J242" s="72"/>
      <c r="K242" s="72"/>
      <c r="L242" s="822"/>
      <c r="M242" s="813"/>
      <c r="N242" s="68"/>
      <c r="O242" s="821"/>
      <c r="P242" s="68"/>
      <c r="Q242" s="68"/>
      <c r="R242" s="68"/>
      <c r="S242" s="68"/>
      <c r="T242" s="68"/>
      <c r="U242" s="68"/>
      <c r="V242" s="68"/>
      <c r="W242" s="68"/>
      <c r="X242" s="799"/>
      <c r="Y242" s="562"/>
      <c r="Z242" s="562"/>
      <c r="AA242" s="562"/>
      <c r="AB242" s="562"/>
      <c r="AC242" s="562"/>
      <c r="AD242" s="562"/>
      <c r="AE242" s="562"/>
      <c r="AF242" s="562"/>
      <c r="AG242" s="562"/>
      <c r="AH242" s="562"/>
      <c r="AI242" s="562"/>
      <c r="AJ242" s="562"/>
      <c r="AK242" s="562"/>
      <c r="AL242" s="562"/>
      <c r="AM242" s="562"/>
      <c r="AN242" s="562"/>
      <c r="AO242" s="562"/>
      <c r="AP242" s="562"/>
      <c r="AQ242" s="562"/>
      <c r="AR242" s="562"/>
      <c r="AS242" s="562"/>
    </row>
    <row r="243" spans="1:45" ht="16" thickTop="1" x14ac:dyDescent="0.2">
      <c r="B243" s="14" t="s">
        <v>2379</v>
      </c>
      <c r="C243" s="14"/>
      <c r="D243" s="14"/>
      <c r="E243" s="14"/>
      <c r="F243" s="14"/>
      <c r="G243" s="14"/>
      <c r="H243" s="441"/>
      <c r="I243" s="83" t="s">
        <v>2380</v>
      </c>
      <c r="J243" s="76"/>
      <c r="K243" s="76"/>
      <c r="L243" s="819" t="s">
        <v>2381</v>
      </c>
      <c r="M243" s="827">
        <v>4</v>
      </c>
      <c r="N243" s="74"/>
      <c r="O243" s="623">
        <f ca="1">M243*S243*W243</f>
        <v>0</v>
      </c>
      <c r="P243" s="562" t="b">
        <v>0</v>
      </c>
      <c r="Q243" s="562" t="b">
        <v>1</v>
      </c>
      <c r="R243" s="74" t="b">
        <v>0</v>
      </c>
      <c r="S243" s="562" t="b">
        <f ca="1">IF($AY$19=INDEX(INDIRECT("ddSingleOrMulti"),2),TRUE,FALSE)</f>
        <v>0</v>
      </c>
      <c r="T243" s="64" t="b">
        <f ca="1">AND(NOT(S243),W243=TRUE)</f>
        <v>0</v>
      </c>
      <c r="U243" s="74"/>
      <c r="V243" s="74"/>
      <c r="W243" s="18"/>
      <c r="X243" s="802"/>
      <c r="Y243" s="562"/>
      <c r="Z243" s="562"/>
      <c r="AA243" s="562"/>
      <c r="AB243" s="562"/>
      <c r="AC243" s="562" t="b">
        <f ca="1">OR(AD243:AE243)</f>
        <v>0</v>
      </c>
      <c r="AD243" s="562" t="b">
        <f ca="1">T243</f>
        <v>0</v>
      </c>
      <c r="AE243" s="562"/>
      <c r="AF243" s="562"/>
      <c r="AG243" s="562"/>
      <c r="AH243" s="562"/>
      <c r="AI243" s="562"/>
      <c r="AJ243" s="562"/>
      <c r="AK243" s="562"/>
      <c r="AL243" s="562" t="str">
        <f>SUBSTITUTE(SUBSTITUTE(SUBSTITUTE("dpa"&amp;$B243&amp;$C243&amp;$D243&amp;$E243&amp;$F243,".","_"),"(","_"),")","")</f>
        <v>dpa505_6</v>
      </c>
      <c r="AM243" s="190">
        <f>M243</f>
        <v>4</v>
      </c>
      <c r="AN243" s="562" t="str">
        <f>SUBSTITUTE(SUBSTITUTE(SUBSTITUTE("dpc"&amp;$B243&amp;$C243&amp;$D243&amp;$E243&amp;$F243,".","_"),"(","_"),")","")</f>
        <v>dpc505_6</v>
      </c>
      <c r="AO243" s="190">
        <f ca="1">O243</f>
        <v>0</v>
      </c>
      <c r="AP243" s="562" t="str">
        <f>SUBSTITUTE(SUBSTITUTE(SUBSTITUTE("dch"&amp;$B243&amp;$C243&amp;$D243&amp;$E243&amp;$F243,".","_"),"(","_"),")","")</f>
        <v>dch505_6</v>
      </c>
      <c r="AQ243" s="190">
        <f>W243</f>
        <v>0</v>
      </c>
      <c r="AR243" s="562" t="str">
        <f>SUBSTITUTE(SUBSTITUTE(SUBSTITUTE("dnt"&amp;$B243&amp;$C243&amp;$D243&amp;$E243&amp;$F243,".","_"),"(","_"),")","")</f>
        <v>dnt505_6</v>
      </c>
      <c r="AS243" s="190">
        <f>X243</f>
        <v>0</v>
      </c>
    </row>
    <row r="244" spans="1:45" x14ac:dyDescent="0.2">
      <c r="B244" s="14" t="s">
        <v>2379</v>
      </c>
      <c r="C244" s="14"/>
      <c r="D244" s="14"/>
      <c r="E244" s="14"/>
      <c r="F244" s="14"/>
      <c r="G244" s="14"/>
      <c r="H244" s="441"/>
      <c r="I244" s="71"/>
      <c r="J244" s="71"/>
      <c r="K244" s="71"/>
      <c r="L244" s="820"/>
      <c r="M244" s="800"/>
      <c r="N244" s="64"/>
      <c r="O244" s="668"/>
      <c r="P244" s="64"/>
      <c r="Q244" s="64"/>
      <c r="R244" s="64"/>
      <c r="S244" s="64"/>
      <c r="T244" s="64"/>
      <c r="U244" s="64"/>
      <c r="V244" s="64"/>
      <c r="W244" s="64"/>
      <c r="X244" s="798"/>
      <c r="Y244" s="562"/>
      <c r="Z244" s="562"/>
      <c r="AA244" s="562"/>
      <c r="AB244" s="562"/>
      <c r="AC244" s="562"/>
      <c r="AD244" s="562"/>
      <c r="AE244" s="562"/>
      <c r="AF244" s="562"/>
      <c r="AG244" s="562"/>
      <c r="AH244" s="562"/>
      <c r="AI244" s="562"/>
      <c r="AJ244" s="562"/>
      <c r="AK244" s="562"/>
      <c r="AL244" s="562"/>
      <c r="AM244" s="562"/>
      <c r="AN244" s="562"/>
      <c r="AO244" s="562"/>
      <c r="AP244" s="562"/>
      <c r="AQ244" s="562"/>
      <c r="AR244" s="562"/>
      <c r="AS244" s="562"/>
    </row>
    <row r="245" spans="1:45" x14ac:dyDescent="0.2">
      <c r="B245" s="14" t="s">
        <v>2379</v>
      </c>
      <c r="C245" s="14"/>
      <c r="D245" s="14"/>
      <c r="E245" s="14"/>
      <c r="F245" s="14"/>
      <c r="G245" s="14"/>
      <c r="H245" s="441"/>
      <c r="I245" s="71"/>
      <c r="J245" s="71"/>
      <c r="K245" s="71"/>
      <c r="L245" s="820"/>
      <c r="M245" s="800"/>
      <c r="N245" s="64"/>
      <c r="O245" s="668"/>
      <c r="P245" s="64"/>
      <c r="Q245" s="64"/>
      <c r="R245" s="64"/>
      <c r="S245" s="64"/>
      <c r="T245" s="64"/>
      <c r="U245" s="64"/>
      <c r="V245" s="64"/>
      <c r="W245" s="64"/>
      <c r="X245" s="798"/>
      <c r="Y245" s="562"/>
      <c r="Z245" s="562"/>
      <c r="AA245" s="562"/>
      <c r="AB245" s="562"/>
      <c r="AC245" s="562"/>
      <c r="AD245" s="562"/>
      <c r="AE245" s="562"/>
      <c r="AF245" s="562"/>
      <c r="AG245" s="562"/>
      <c r="AH245" s="562"/>
      <c r="AI245" s="562"/>
      <c r="AJ245" s="562"/>
      <c r="AK245" s="562"/>
      <c r="AL245" s="562"/>
      <c r="AM245" s="562"/>
      <c r="AN245" s="562"/>
      <c r="AO245" s="562"/>
      <c r="AP245" s="562"/>
      <c r="AQ245" s="562"/>
      <c r="AR245" s="562"/>
      <c r="AS245" s="562"/>
    </row>
    <row r="246" spans="1:45" x14ac:dyDescent="0.2">
      <c r="B246" s="14" t="s">
        <v>2379</v>
      </c>
      <c r="C246" s="14"/>
      <c r="D246" s="14"/>
      <c r="E246" s="14"/>
      <c r="F246" s="14"/>
      <c r="G246" s="14"/>
      <c r="H246" s="441"/>
      <c r="I246" s="71"/>
      <c r="J246" s="71"/>
      <c r="K246" s="71"/>
      <c r="L246" s="820"/>
      <c r="M246" s="800"/>
      <c r="N246" s="64"/>
      <c r="O246" s="668"/>
      <c r="P246" s="64"/>
      <c r="Q246" s="64"/>
      <c r="R246" s="64"/>
      <c r="S246" s="64"/>
      <c r="T246" s="64"/>
      <c r="U246" s="64"/>
      <c r="V246" s="64"/>
      <c r="W246" s="64"/>
      <c r="X246" s="798"/>
      <c r="Y246" s="562"/>
      <c r="Z246" s="562"/>
      <c r="AA246" s="562"/>
      <c r="AB246" s="562"/>
      <c r="AC246" s="562"/>
      <c r="AD246" s="562"/>
      <c r="AE246" s="562"/>
      <c r="AF246" s="562"/>
      <c r="AG246" s="562"/>
      <c r="AH246" s="562"/>
      <c r="AI246" s="562"/>
      <c r="AJ246" s="562"/>
      <c r="AK246" s="562"/>
      <c r="AL246" s="562"/>
      <c r="AM246" s="562"/>
      <c r="AN246" s="562"/>
      <c r="AO246" s="562"/>
      <c r="AP246" s="562"/>
      <c r="AQ246" s="562"/>
      <c r="AR246" s="562"/>
      <c r="AS246" s="562"/>
    </row>
    <row r="247" spans="1:45" x14ac:dyDescent="0.2">
      <c r="B247" s="14" t="s">
        <v>2379</v>
      </c>
      <c r="C247" s="14"/>
      <c r="D247" s="14"/>
      <c r="E247" s="14"/>
      <c r="F247" s="14"/>
      <c r="G247" s="14"/>
      <c r="H247" s="441"/>
      <c r="I247" s="71"/>
      <c r="J247" s="71"/>
      <c r="K247" s="71"/>
      <c r="L247" s="820"/>
      <c r="M247" s="800"/>
      <c r="N247" s="64"/>
      <c r="O247" s="668"/>
      <c r="P247" s="64"/>
      <c r="Q247" s="64"/>
      <c r="R247" s="64"/>
      <c r="S247" s="64"/>
      <c r="T247" s="64"/>
      <c r="U247" s="64"/>
      <c r="V247" s="64"/>
      <c r="W247" s="64"/>
      <c r="X247" s="798"/>
      <c r="Y247" s="562"/>
      <c r="Z247" s="562"/>
      <c r="AA247" s="562"/>
      <c r="AB247" s="562"/>
      <c r="AC247" s="562"/>
      <c r="AD247" s="562"/>
      <c r="AE247" s="562"/>
      <c r="AF247" s="562"/>
      <c r="AG247" s="562"/>
      <c r="AH247" s="562"/>
      <c r="AI247" s="562"/>
      <c r="AJ247" s="562"/>
      <c r="AK247" s="562"/>
      <c r="AL247" s="562"/>
      <c r="AM247" s="562"/>
      <c r="AN247" s="562"/>
      <c r="AO247" s="562"/>
      <c r="AP247" s="562"/>
      <c r="AQ247" s="562"/>
      <c r="AR247" s="562"/>
      <c r="AS247" s="562"/>
    </row>
    <row r="248" spans="1:45" ht="16" thickBot="1" x14ac:dyDescent="0.25">
      <c r="B248" s="14" t="s">
        <v>2379</v>
      </c>
      <c r="C248" s="14"/>
      <c r="D248" s="14"/>
      <c r="E248" s="14"/>
      <c r="F248" s="14"/>
      <c r="G248" s="14"/>
      <c r="H248" s="441"/>
      <c r="I248" s="72"/>
      <c r="J248" s="72"/>
      <c r="K248" s="72"/>
      <c r="L248" s="822"/>
      <c r="M248" s="813"/>
      <c r="N248" s="68"/>
      <c r="O248" s="674"/>
      <c r="P248" s="68"/>
      <c r="Q248" s="68"/>
      <c r="R248" s="68"/>
      <c r="S248" s="68"/>
      <c r="T248" s="68"/>
      <c r="U248" s="68"/>
      <c r="V248" s="68"/>
      <c r="W248" s="68"/>
      <c r="X248" s="799"/>
      <c r="Y248" s="562"/>
      <c r="Z248" s="562"/>
      <c r="AA248" s="562"/>
      <c r="AB248" s="562"/>
      <c r="AC248" s="562"/>
      <c r="AD248" s="562"/>
      <c r="AE248" s="562"/>
      <c r="AF248" s="562"/>
      <c r="AG248" s="562"/>
      <c r="AH248" s="562"/>
      <c r="AI248" s="562"/>
      <c r="AJ248" s="562"/>
      <c r="AK248" s="562"/>
      <c r="AL248" s="562"/>
      <c r="AM248" s="562"/>
      <c r="AN248" s="562"/>
      <c r="AO248" s="562"/>
      <c r="AP248" s="562"/>
      <c r="AQ248" s="562"/>
      <c r="AR248" s="562"/>
      <c r="AS248" s="562"/>
    </row>
    <row r="249" spans="1:45" ht="17" thickTop="1" thickBot="1" x14ac:dyDescent="0.25">
      <c r="I249" s="154" t="s">
        <v>2382</v>
      </c>
      <c r="J249" s="155"/>
      <c r="K249" s="155"/>
      <c r="L249" s="155"/>
      <c r="M249" s="156"/>
      <c r="N249" s="155"/>
      <c r="O249" s="157"/>
      <c r="P249" s="155"/>
      <c r="Q249" s="155"/>
      <c r="R249" s="155"/>
      <c r="S249" s="155"/>
      <c r="T249" s="155"/>
      <c r="U249" s="155"/>
      <c r="V249" s="155"/>
      <c r="W249" s="155"/>
      <c r="X249" s="194" t="s">
        <v>2383</v>
      </c>
      <c r="Y249" s="562"/>
      <c r="Z249" s="562"/>
      <c r="AA249" s="562"/>
      <c r="AB249" s="562"/>
      <c r="AC249" s="562"/>
      <c r="AD249" s="562"/>
      <c r="AE249" s="562"/>
      <c r="AF249" s="562"/>
      <c r="AG249" s="562"/>
      <c r="AH249" s="562"/>
      <c r="AI249" s="562"/>
      <c r="AJ249" s="562"/>
      <c r="AK249" s="562"/>
      <c r="AL249" s="562"/>
      <c r="AM249" s="562"/>
      <c r="AN249" s="562"/>
      <c r="AO249" s="562"/>
      <c r="AP249" s="562"/>
      <c r="AQ249" s="562"/>
      <c r="AR249" s="562"/>
      <c r="AS249" s="562"/>
    </row>
    <row r="250" spans="1:45" ht="16" thickTop="1" x14ac:dyDescent="0.2">
      <c r="I250" s="562"/>
      <c r="J250" s="562"/>
      <c r="K250" s="562"/>
      <c r="L250" s="562"/>
      <c r="N250" s="562"/>
      <c r="O250" s="648"/>
      <c r="P250" s="562"/>
      <c r="Q250" s="562"/>
      <c r="R250" s="562"/>
      <c r="S250" s="562"/>
      <c r="T250" s="562"/>
      <c r="U250" s="562"/>
      <c r="V250" s="562"/>
      <c r="W250" s="562"/>
      <c r="X250" s="562"/>
      <c r="Y250" s="562"/>
      <c r="Z250" s="562"/>
      <c r="AA250" s="562"/>
      <c r="AB250" s="562"/>
      <c r="AC250" s="562"/>
      <c r="AD250" s="562"/>
      <c r="AE250" s="562"/>
      <c r="AF250" s="562"/>
      <c r="AG250" s="562"/>
      <c r="AH250" s="562"/>
      <c r="AI250" s="562"/>
      <c r="AJ250" s="562"/>
      <c r="AK250" s="562"/>
      <c r="AL250" s="562"/>
      <c r="AM250" s="562"/>
      <c r="AN250" s="562"/>
      <c r="AO250" s="562"/>
      <c r="AP250" s="562"/>
      <c r="AQ250" s="562"/>
      <c r="AR250" s="562"/>
      <c r="AS250" s="562"/>
    </row>
  </sheetData>
  <sheetProtection algorithmName="SHA-512" hashValue="nP67eL5zKBXzYyYac4Iip5ZMGDGFkR1wG3kn4XcKH9qbDYzb52pG8Jt/X/GIP+Y4aMvqoUQwHAo20me79IKL7w==" saltValue="REVWDGOFs8QUtNAM/yNsOg==" spinCount="100000" sheet="1" objects="1" scenarios="1" selectLockedCells="1"/>
  <mergeCells count="219">
    <mergeCell ref="X230:X232"/>
    <mergeCell ref="L38:L41"/>
    <mergeCell ref="L43:L46"/>
    <mergeCell ref="X243:X248"/>
    <mergeCell ref="M183:M184"/>
    <mergeCell ref="M163:M167"/>
    <mergeCell ref="O240:O242"/>
    <mergeCell ref="O220:O221"/>
    <mergeCell ref="O230:O232"/>
    <mergeCell ref="O193:O200"/>
    <mergeCell ref="O163:O167"/>
    <mergeCell ref="O171:O172"/>
    <mergeCell ref="O173:O174"/>
    <mergeCell ref="O178:O179"/>
    <mergeCell ref="O181:O182"/>
    <mergeCell ref="O183:O184"/>
    <mergeCell ref="O185:O188"/>
    <mergeCell ref="O189:O191"/>
    <mergeCell ref="X233:X238"/>
    <mergeCell ref="X240:X242"/>
    <mergeCell ref="M240:M242"/>
    <mergeCell ref="M243:M248"/>
    <mergeCell ref="M185:M188"/>
    <mergeCell ref="L173:L174"/>
    <mergeCell ref="L175:L177"/>
    <mergeCell ref="L178:L179"/>
    <mergeCell ref="L158:L159"/>
    <mergeCell ref="L161:L162"/>
    <mergeCell ref="M57:M58"/>
    <mergeCell ref="M59:M60"/>
    <mergeCell ref="L163:L166"/>
    <mergeCell ref="L136:L137"/>
    <mergeCell ref="M131:M135"/>
    <mergeCell ref="M71:M72"/>
    <mergeCell ref="M64:M65"/>
    <mergeCell ref="M94:M96"/>
    <mergeCell ref="M79:M85"/>
    <mergeCell ref="X136:X137"/>
    <mergeCell ref="M151:M152"/>
    <mergeCell ref="M136:M137"/>
    <mergeCell ref="M141:M142"/>
    <mergeCell ref="M143:M144"/>
    <mergeCell ref="M145:M146"/>
    <mergeCell ref="O136:O137"/>
    <mergeCell ref="O131:O135"/>
    <mergeCell ref="X220:X229"/>
    <mergeCell ref="X210:X213"/>
    <mergeCell ref="X193:X200"/>
    <mergeCell ref="X189:X191"/>
    <mergeCell ref="X183:X184"/>
    <mergeCell ref="X181:X182"/>
    <mergeCell ref="X178:X179"/>
    <mergeCell ref="X185:X188"/>
    <mergeCell ref="X207:X208"/>
    <mergeCell ref="X138:X140"/>
    <mergeCell ref="X214:X218"/>
    <mergeCell ref="M193:M200"/>
    <mergeCell ref="O214:O215"/>
    <mergeCell ref="X121:X122"/>
    <mergeCell ref="X61:X73"/>
    <mergeCell ref="L171:L172"/>
    <mergeCell ref="L168:L169"/>
    <mergeCell ref="O141:O142"/>
    <mergeCell ref="O143:O144"/>
    <mergeCell ref="O145:O146"/>
    <mergeCell ref="O156:O157"/>
    <mergeCell ref="O158:O159"/>
    <mergeCell ref="O147:O148"/>
    <mergeCell ref="L141:L142"/>
    <mergeCell ref="L143:L144"/>
    <mergeCell ref="L145:L146"/>
    <mergeCell ref="L147:L148"/>
    <mergeCell ref="L151:L152"/>
    <mergeCell ref="L154:L155"/>
    <mergeCell ref="L156:L157"/>
    <mergeCell ref="X147:X153"/>
    <mergeCell ref="X141:X142"/>
    <mergeCell ref="X143:X144"/>
    <mergeCell ref="X145:X146"/>
    <mergeCell ref="X131:X135"/>
    <mergeCell ref="M138:M140"/>
    <mergeCell ref="L131:L135"/>
    <mergeCell ref="X32:X36"/>
    <mergeCell ref="L32:L33"/>
    <mergeCell ref="M20:M28"/>
    <mergeCell ref="X38:X41"/>
    <mergeCell ref="X43:X47"/>
    <mergeCell ref="X48:X60"/>
    <mergeCell ref="M207:M208"/>
    <mergeCell ref="M171:M172"/>
    <mergeCell ref="M156:M157"/>
    <mergeCell ref="M158:M159"/>
    <mergeCell ref="X168:X174"/>
    <mergeCell ref="X163:X167"/>
    <mergeCell ref="X123:X124"/>
    <mergeCell ref="X125:X129"/>
    <mergeCell ref="M38:M41"/>
    <mergeCell ref="M51:M52"/>
    <mergeCell ref="M53:M54"/>
    <mergeCell ref="M181:M182"/>
    <mergeCell ref="O138:O140"/>
    <mergeCell ref="X154:X159"/>
    <mergeCell ref="M173:M174"/>
    <mergeCell ref="M178:M179"/>
    <mergeCell ref="X175:X177"/>
    <mergeCell ref="M189:M191"/>
    <mergeCell ref="X29:X31"/>
    <mergeCell ref="M29:M31"/>
    <mergeCell ref="M18:M19"/>
    <mergeCell ref="L18:L19"/>
    <mergeCell ref="X18:X19"/>
    <mergeCell ref="X20:X28"/>
    <mergeCell ref="L29:L31"/>
    <mergeCell ref="L20:L23"/>
    <mergeCell ref="O29:O31"/>
    <mergeCell ref="O18:O19"/>
    <mergeCell ref="O20:O28"/>
    <mergeCell ref="L243:L248"/>
    <mergeCell ref="L202:L204"/>
    <mergeCell ref="L205:L206"/>
    <mergeCell ref="L207:L208"/>
    <mergeCell ref="L214:L215"/>
    <mergeCell ref="L220:L221"/>
    <mergeCell ref="L181:L182"/>
    <mergeCell ref="L183:L184"/>
    <mergeCell ref="L185:L188"/>
    <mergeCell ref="L189:L191"/>
    <mergeCell ref="L225:L228"/>
    <mergeCell ref="L230:L232"/>
    <mergeCell ref="L240:L242"/>
    <mergeCell ref="L222:L224"/>
    <mergeCell ref="M230:M232"/>
    <mergeCell ref="M220:M221"/>
    <mergeCell ref="O207:O208"/>
    <mergeCell ref="O79:O85"/>
    <mergeCell ref="L138:L140"/>
    <mergeCell ref="L111:L112"/>
    <mergeCell ref="L113:L114"/>
    <mergeCell ref="L59:L60"/>
    <mergeCell ref="L87:L90"/>
    <mergeCell ref="L91:L93"/>
    <mergeCell ref="L97:L100"/>
    <mergeCell ref="L104:L105"/>
    <mergeCell ref="L64:L65"/>
    <mergeCell ref="L109:L110"/>
    <mergeCell ref="L123:L124"/>
    <mergeCell ref="L66:L67"/>
    <mergeCell ref="L71:L72"/>
    <mergeCell ref="L94:L96"/>
    <mergeCell ref="L74:L75"/>
    <mergeCell ref="L77:L78"/>
    <mergeCell ref="L79:L80"/>
    <mergeCell ref="L82:L83"/>
    <mergeCell ref="L119:L120"/>
    <mergeCell ref="O59:O60"/>
    <mergeCell ref="H1:H7"/>
    <mergeCell ref="O38:O41"/>
    <mergeCell ref="M1:W5"/>
    <mergeCell ref="O123:O124"/>
    <mergeCell ref="O104:O105"/>
    <mergeCell ref="O113:O114"/>
    <mergeCell ref="O119:O120"/>
    <mergeCell ref="O64:O65"/>
    <mergeCell ref="O71:O72"/>
    <mergeCell ref="L121:L122"/>
    <mergeCell ref="O14:O15"/>
    <mergeCell ref="O16:O17"/>
    <mergeCell ref="N6:N7"/>
    <mergeCell ref="P6:P7"/>
    <mergeCell ref="V6:V7"/>
    <mergeCell ref="W6:W7"/>
    <mergeCell ref="Q6:Q7"/>
    <mergeCell ref="O32:O33"/>
    <mergeCell ref="M32:M33"/>
    <mergeCell ref="M121:M122"/>
    <mergeCell ref="M123:M124"/>
    <mergeCell ref="O121:O122"/>
    <mergeCell ref="L48:L49"/>
    <mergeCell ref="X113:X118"/>
    <mergeCell ref="X119:X120"/>
    <mergeCell ref="L57:L58"/>
    <mergeCell ref="O51:O52"/>
    <mergeCell ref="O53:O54"/>
    <mergeCell ref="O94:O96"/>
    <mergeCell ref="O97:O100"/>
    <mergeCell ref="O57:O58"/>
    <mergeCell ref="X87:X93"/>
    <mergeCell ref="X94:X96"/>
    <mergeCell ref="X97:X103"/>
    <mergeCell ref="X104:X108"/>
    <mergeCell ref="X109:X112"/>
    <mergeCell ref="M77:M78"/>
    <mergeCell ref="X74:X86"/>
    <mergeCell ref="O77:O78"/>
    <mergeCell ref="O66:O67"/>
    <mergeCell ref="L51:L52"/>
    <mergeCell ref="L53:L54"/>
    <mergeCell ref="M119:M120"/>
    <mergeCell ref="X4:X5"/>
    <mergeCell ref="I1:L1"/>
    <mergeCell ref="I2:L2"/>
    <mergeCell ref="I3:L3"/>
    <mergeCell ref="X6:X7"/>
    <mergeCell ref="M14:M15"/>
    <mergeCell ref="M16:M17"/>
    <mergeCell ref="L14:L15"/>
    <mergeCell ref="L16:L17"/>
    <mergeCell ref="I4:L4"/>
    <mergeCell ref="I5:L5"/>
    <mergeCell ref="R6:R7"/>
    <mergeCell ref="S6:S7"/>
    <mergeCell ref="T6:T7"/>
    <mergeCell ref="U6:U7"/>
    <mergeCell ref="X14:X15"/>
    <mergeCell ref="X16:X17"/>
    <mergeCell ref="I6:K7"/>
    <mergeCell ref="L6:L7"/>
    <mergeCell ref="M6:M7"/>
    <mergeCell ref="L10:L12"/>
  </mergeCells>
  <conditionalFormatting sqref="X2">
    <cfRule type="expression" dxfId="3255" priority="821">
      <formula>$AG$3</formula>
    </cfRule>
  </conditionalFormatting>
  <conditionalFormatting sqref="I1">
    <cfRule type="expression" dxfId="3254" priority="823">
      <formula>$AG$1="Gold"</formula>
    </cfRule>
    <cfRule type="expression" dxfId="3253" priority="824">
      <formula>$AG$1="Silver"</formula>
    </cfRule>
    <cfRule type="expression" dxfId="3252" priority="825">
      <formula>$AG$1="Bronze"</formula>
    </cfRule>
    <cfRule type="expression" dxfId="3251" priority="826">
      <formula>$AG$1="Emerald"</formula>
    </cfRule>
  </conditionalFormatting>
  <conditionalFormatting sqref="X3">
    <cfRule type="expression" dxfId="3250" priority="827">
      <formula>$AI$3</formula>
    </cfRule>
  </conditionalFormatting>
  <conditionalFormatting sqref="W32">
    <cfRule type="expression" dxfId="3249" priority="679">
      <formula>OR($T$32 = TRUE, AND(LEN(TRIM($W$32))&gt;0, $S$32 = FALSE))</formula>
    </cfRule>
    <cfRule type="expression" dxfId="3248" priority="680">
      <formula>$S$32 = FALSE</formula>
    </cfRule>
    <cfRule type="expression" dxfId="3247" priority="681">
      <formula>AND(IF($R$32,$W$32,TRUE),LEN(TRIM($W$32))&gt;0)</formula>
    </cfRule>
    <cfRule type="expression" dxfId="3246" priority="682">
      <formula>AND($R$32,$S$32)</formula>
    </cfRule>
  </conditionalFormatting>
  <conditionalFormatting sqref="W62">
    <cfRule type="notContainsBlanks" dxfId="3245" priority="828">
      <formula>LEN(TRIM(W62))&gt;0</formula>
    </cfRule>
  </conditionalFormatting>
  <conditionalFormatting sqref="W233">
    <cfRule type="expression" dxfId="3244" priority="418">
      <formula>AND($R$233,$S$233)</formula>
    </cfRule>
  </conditionalFormatting>
  <conditionalFormatting sqref="W233">
    <cfRule type="expression" dxfId="3243" priority="417">
      <formula>AND(IF($R$233,$W$233,TRUE),LEN(TRIM($W$233))&gt;0)</formula>
    </cfRule>
  </conditionalFormatting>
  <conditionalFormatting sqref="W233">
    <cfRule type="expression" dxfId="3242" priority="416">
      <formula>$S$233 = FALSE</formula>
    </cfRule>
  </conditionalFormatting>
  <conditionalFormatting sqref="W233">
    <cfRule type="expression" dxfId="3241" priority="415">
      <formula>OR($T$233 = TRUE, AND(LEN(TRIM($W$233))&gt;0, $S$233 = FALSE))</formula>
    </cfRule>
  </conditionalFormatting>
  <conditionalFormatting sqref="W214">
    <cfRule type="expression" dxfId="3240" priority="414">
      <formula>AND($R$214,$S$214)</formula>
    </cfRule>
  </conditionalFormatting>
  <conditionalFormatting sqref="W214">
    <cfRule type="expression" dxfId="3239" priority="413">
      <formula>AND(IF($R$214,$W$214,TRUE),LEN(TRIM($W$214))&gt;0)</formula>
    </cfRule>
  </conditionalFormatting>
  <conditionalFormatting sqref="W214">
    <cfRule type="expression" dxfId="3238" priority="412">
      <formula>$S$214 = FALSE</formula>
    </cfRule>
  </conditionalFormatting>
  <conditionalFormatting sqref="W214">
    <cfRule type="expression" dxfId="3237" priority="411">
      <formula>OR($T$214 = TRUE, AND(LEN(TRIM($W$214))&gt;0, $S$214 = FALSE))</formula>
    </cfRule>
  </conditionalFormatting>
  <conditionalFormatting sqref="W210">
    <cfRule type="expression" dxfId="3236" priority="410">
      <formula>AND($R$210,$S$210)</formula>
    </cfRule>
  </conditionalFormatting>
  <conditionalFormatting sqref="W210">
    <cfRule type="expression" dxfId="3235" priority="409">
      <formula>AND(IF($R$210,$W$210,TRUE),LEN(TRIM($W$210))&gt;0)</formula>
    </cfRule>
  </conditionalFormatting>
  <conditionalFormatting sqref="W210">
    <cfRule type="expression" dxfId="3234" priority="408">
      <formula>$S$210 = FALSE</formula>
    </cfRule>
  </conditionalFormatting>
  <conditionalFormatting sqref="W210">
    <cfRule type="expression" dxfId="3233" priority="407">
      <formula>OR($T$210 = TRUE, AND(LEN(TRIM($W$210))&gt;0, $S$210 = FALSE))</formula>
    </cfRule>
  </conditionalFormatting>
  <conditionalFormatting sqref="W125">
    <cfRule type="expression" dxfId="3232" priority="398">
      <formula>AND($R$125,$S$125)</formula>
    </cfRule>
  </conditionalFormatting>
  <conditionalFormatting sqref="W125">
    <cfRule type="expression" dxfId="3231" priority="397">
      <formula>AND(IF($R$125,$W$125,TRUE),LEN(TRIM($W$125))&gt;0)</formula>
    </cfRule>
  </conditionalFormatting>
  <conditionalFormatting sqref="W125">
    <cfRule type="expression" dxfId="3230" priority="396">
      <formula>$S$125 = FALSE</formula>
    </cfRule>
  </conditionalFormatting>
  <conditionalFormatting sqref="W125">
    <cfRule type="expression" dxfId="3229" priority="395">
      <formula>OR($T$125 = TRUE, AND(LEN(TRIM($W$125))&gt;0, $S$125 = FALSE))</formula>
    </cfRule>
  </conditionalFormatting>
  <conditionalFormatting sqref="W113">
    <cfRule type="expression" dxfId="3228" priority="394">
      <formula>AND($R$113,$S$113)</formula>
    </cfRule>
  </conditionalFormatting>
  <conditionalFormatting sqref="W113">
    <cfRule type="expression" dxfId="3227" priority="393">
      <formula>AND(IF($R$113,$W$113,TRUE),LEN(TRIM($W$113))&gt;0)</formula>
    </cfRule>
  </conditionalFormatting>
  <conditionalFormatting sqref="W113">
    <cfRule type="expression" dxfId="3226" priority="392">
      <formula>$S$113 = FALSE</formula>
    </cfRule>
  </conditionalFormatting>
  <conditionalFormatting sqref="W113">
    <cfRule type="expression" dxfId="3225" priority="391">
      <formula>OR($T$113 = TRUE, AND(LEN(TRIM($W$113))&gt;0, $S$113 = FALSE))</formula>
    </cfRule>
  </conditionalFormatting>
  <conditionalFormatting sqref="W111">
    <cfRule type="expression" dxfId="3224" priority="387">
      <formula>OR($T$111 = TRUE, AND(LEN(TRIM($W$111))&gt;0, $S$111 = FALSE))</formula>
    </cfRule>
    <cfRule type="expression" dxfId="3223" priority="388">
      <formula>$S$111 = FALSE</formula>
    </cfRule>
    <cfRule type="expression" dxfId="3222" priority="389">
      <formula>AND(IF($R$111,$W$111,TRUE),LEN(TRIM($W$111))&gt;0)</formula>
    </cfRule>
    <cfRule type="expression" dxfId="3221" priority="390">
      <formula>AND($R$111,$S$111)</formula>
    </cfRule>
  </conditionalFormatting>
  <conditionalFormatting sqref="X20:X28">
    <cfRule type="expression" dxfId="3220" priority="378">
      <formula>$W$20=TRUE</formula>
    </cfRule>
  </conditionalFormatting>
  <conditionalFormatting sqref="X193:X200">
    <cfRule type="expression" dxfId="3219" priority="377">
      <formula>$W$199=TRUE</formula>
    </cfRule>
  </conditionalFormatting>
  <conditionalFormatting sqref="W16">
    <cfRule type="expression" dxfId="3218" priority="293">
      <formula>OR($T$16 = TRUE, AND($W$16 = TRUE, $S$16 = FALSE))</formula>
    </cfRule>
    <cfRule type="expression" dxfId="3217" priority="294">
      <formula>$S$16 = FALSE</formula>
    </cfRule>
    <cfRule type="expression" dxfId="3216" priority="295">
      <formula>AND(IF($R$16,$W$16,TRUE),LEN(TRIM($W$16))&gt;0)</formula>
    </cfRule>
    <cfRule type="expression" dxfId="3215" priority="296">
      <formula>AND($R$16,$S$16)</formula>
    </cfRule>
  </conditionalFormatting>
  <conditionalFormatting sqref="W18">
    <cfRule type="expression" dxfId="3214" priority="289">
      <formula>OR($T$18 = TRUE, AND($W$18 = TRUE, $S$18 = FALSE))</formula>
    </cfRule>
    <cfRule type="expression" dxfId="3213" priority="290">
      <formula>$S$18 = FALSE</formula>
    </cfRule>
    <cfRule type="expression" dxfId="3212" priority="291">
      <formula>AND(IF($R$18,$W$18,TRUE),LEN(TRIM($W$18))&gt;0)</formula>
    </cfRule>
    <cfRule type="expression" dxfId="3211" priority="292">
      <formula>AND($R$18,$S$18)</formula>
    </cfRule>
  </conditionalFormatting>
  <conditionalFormatting sqref="W20">
    <cfRule type="expression" dxfId="3210" priority="281">
      <formula>OR($T$20 = TRUE, AND($W$20 = TRUE, $S$20 = FALSE))</formula>
    </cfRule>
    <cfRule type="expression" dxfId="3209" priority="282">
      <formula>$S$20 = FALSE</formula>
    </cfRule>
    <cfRule type="expression" dxfId="3208" priority="283">
      <formula>AND(IF($R$20,$W$20,TRUE),LEN(TRIM($W$20))&gt;0)</formula>
    </cfRule>
    <cfRule type="expression" dxfId="3207" priority="284">
      <formula>AND($R$20,$S$20)</formula>
    </cfRule>
  </conditionalFormatting>
  <conditionalFormatting sqref="W29">
    <cfRule type="expression" dxfId="3206" priority="277">
      <formula>OR($T$29 = TRUE, AND($W$29 = TRUE, $S$29 = FALSE))</formula>
    </cfRule>
    <cfRule type="expression" dxfId="3205" priority="278">
      <formula>$S$29 = FALSE</formula>
    </cfRule>
    <cfRule type="expression" dxfId="3204" priority="279">
      <formula>AND(IF($R$29,$W$29,TRUE),LEN(TRIM($W$29))&gt;0)</formula>
    </cfRule>
    <cfRule type="expression" dxfId="3203" priority="280">
      <formula>AND($R$29,$S$29)</formula>
    </cfRule>
  </conditionalFormatting>
  <conditionalFormatting sqref="W38">
    <cfRule type="expression" dxfId="3202" priority="273">
      <formula>OR($T$38 = TRUE, AND($W$38 = TRUE, $S$38 = FALSE))</formula>
    </cfRule>
    <cfRule type="expression" dxfId="3201" priority="274">
      <formula>$S$38 = FALSE</formula>
    </cfRule>
    <cfRule type="expression" dxfId="3200" priority="275">
      <formula>AND(IF($R$38,$W$38,TRUE),LEN(TRIM($W$38))&gt;0)</formula>
    </cfRule>
    <cfRule type="expression" dxfId="3199" priority="276">
      <formula>AND($R$38,$S$38)</formula>
    </cfRule>
  </conditionalFormatting>
  <conditionalFormatting sqref="W50">
    <cfRule type="expression" dxfId="3198" priority="269">
      <formula>OR($T$50 = TRUE, AND($W$50 = TRUE, $S$50 = FALSE))</formula>
    </cfRule>
    <cfRule type="expression" dxfId="3197" priority="270">
      <formula>$S$50 = FALSE</formula>
    </cfRule>
    <cfRule type="expression" dxfId="3196" priority="271">
      <formula>AND(IF($R$50,$W$50,TRUE),LEN(TRIM($W$50))&gt;0)</formula>
    </cfRule>
    <cfRule type="expression" dxfId="3195" priority="272">
      <formula>AND($R$50,$S$50)</formula>
    </cfRule>
  </conditionalFormatting>
  <conditionalFormatting sqref="W51">
    <cfRule type="expression" dxfId="3194" priority="265">
      <formula>OR($T$51 = TRUE, AND($W$51 = TRUE, $S$51 = FALSE))</formula>
    </cfRule>
    <cfRule type="expression" dxfId="3193" priority="266">
      <formula>$S$51 = FALSE</formula>
    </cfRule>
    <cfRule type="expression" dxfId="3192" priority="267">
      <formula>AND(IF($R$51,$W$51,TRUE),LEN(TRIM($W$51))&gt;0)</formula>
    </cfRule>
    <cfRule type="expression" dxfId="3191" priority="268">
      <formula>AND($R$51,$S$51)</formula>
    </cfRule>
  </conditionalFormatting>
  <conditionalFormatting sqref="W53">
    <cfRule type="expression" dxfId="3190" priority="261">
      <formula>OR($T$53 = TRUE, AND($W$53 = TRUE, $S$53 = FALSE))</formula>
    </cfRule>
    <cfRule type="expression" dxfId="3189" priority="262">
      <formula>$S$53 = FALSE</formula>
    </cfRule>
    <cfRule type="expression" dxfId="3188" priority="263">
      <formula>AND(IF($R$53,$W$53,TRUE),LEN(TRIM($W$53))&gt;0)</formula>
    </cfRule>
    <cfRule type="expression" dxfId="3187" priority="264">
      <formula>AND($R$53,$S$53)</formula>
    </cfRule>
  </conditionalFormatting>
  <conditionalFormatting sqref="W55">
    <cfRule type="expression" dxfId="3186" priority="260">
      <formula>AND($R$55,$S$55)</formula>
    </cfRule>
  </conditionalFormatting>
  <conditionalFormatting sqref="W55">
    <cfRule type="expression" dxfId="3185" priority="259">
      <formula>AND(IF($R$55,$W$55,TRUE),LEN(TRIM($W$55))&gt;0)</formula>
    </cfRule>
  </conditionalFormatting>
  <conditionalFormatting sqref="W55">
    <cfRule type="expression" dxfId="3184" priority="258">
      <formula>$S$55 = FALSE</formula>
    </cfRule>
  </conditionalFormatting>
  <conditionalFormatting sqref="W55">
    <cfRule type="expression" dxfId="3183" priority="257">
      <formula>OR($T$55 = TRUE, AND($W$55 = TRUE, $S$55 = FALSE))</formula>
    </cfRule>
  </conditionalFormatting>
  <conditionalFormatting sqref="W56">
    <cfRule type="expression" dxfId="3182" priority="256">
      <formula>AND($R$56,$S$56)</formula>
    </cfRule>
  </conditionalFormatting>
  <conditionalFormatting sqref="W56">
    <cfRule type="expression" dxfId="3181" priority="255">
      <formula>AND(IF($R$56,$W$56,TRUE),LEN(TRIM($W$56))&gt;0)</formula>
    </cfRule>
  </conditionalFormatting>
  <conditionalFormatting sqref="W56">
    <cfRule type="expression" dxfId="3180" priority="254">
      <formula>$S$56 = FALSE</formula>
    </cfRule>
  </conditionalFormatting>
  <conditionalFormatting sqref="W56">
    <cfRule type="expression" dxfId="3179" priority="253">
      <formula>OR($T$56 = TRUE, AND($W$56 = TRUE, $S$56 = FALSE))</formula>
    </cfRule>
  </conditionalFormatting>
  <conditionalFormatting sqref="W57">
    <cfRule type="expression" dxfId="3178" priority="252">
      <formula>AND($R$57,$S$57)</formula>
    </cfRule>
  </conditionalFormatting>
  <conditionalFormatting sqref="W57">
    <cfRule type="expression" dxfId="3177" priority="251">
      <formula>AND(IF($R$57,$W$57,TRUE),LEN(TRIM($W$57))&gt;0)</formula>
    </cfRule>
  </conditionalFormatting>
  <conditionalFormatting sqref="W57">
    <cfRule type="expression" dxfId="3176" priority="250">
      <formula>$S$57 = FALSE</formula>
    </cfRule>
  </conditionalFormatting>
  <conditionalFormatting sqref="W57">
    <cfRule type="expression" dxfId="3175" priority="249">
      <formula>OR($T$57 = TRUE, AND($W$57 = TRUE, $S$57 = FALSE))</formula>
    </cfRule>
  </conditionalFormatting>
  <conditionalFormatting sqref="W59">
    <cfRule type="expression" dxfId="3174" priority="248">
      <formula>AND($R$59,$S$59)</formula>
    </cfRule>
  </conditionalFormatting>
  <conditionalFormatting sqref="W59">
    <cfRule type="expression" dxfId="3173" priority="247">
      <formula>AND(IF($R$59,$W$59,TRUE),LEN(TRIM($W$59))&gt;0)</formula>
    </cfRule>
  </conditionalFormatting>
  <conditionalFormatting sqref="W59">
    <cfRule type="expression" dxfId="3172" priority="246">
      <formula>$S$59 = FALSE</formula>
    </cfRule>
  </conditionalFormatting>
  <conditionalFormatting sqref="W59">
    <cfRule type="expression" dxfId="3171" priority="245">
      <formula>OR($T$59 = TRUE, AND($W$59 = TRUE, $S$59 = FALSE))</formula>
    </cfRule>
  </conditionalFormatting>
  <conditionalFormatting sqref="W63">
    <cfRule type="expression" dxfId="3170" priority="244">
      <formula>AND($R$63,$S$63)</formula>
    </cfRule>
  </conditionalFormatting>
  <conditionalFormatting sqref="W63">
    <cfRule type="expression" dxfId="3169" priority="243">
      <formula>AND(IF($R$63,$W$63,TRUE),LEN(TRIM($W$63))&gt;0)</formula>
    </cfRule>
  </conditionalFormatting>
  <conditionalFormatting sqref="W63">
    <cfRule type="expression" dxfId="3168" priority="242">
      <formula>$S$63 = FALSE</formula>
    </cfRule>
  </conditionalFormatting>
  <conditionalFormatting sqref="W63">
    <cfRule type="expression" dxfId="3167" priority="241">
      <formula>OR($T$63 = TRUE, AND($W$63 = TRUE, $S$63 = FALSE))</formula>
    </cfRule>
  </conditionalFormatting>
  <conditionalFormatting sqref="W64">
    <cfRule type="expression" dxfId="3166" priority="240">
      <formula>AND($R$64,$S$64)</formula>
    </cfRule>
  </conditionalFormatting>
  <conditionalFormatting sqref="W64">
    <cfRule type="expression" dxfId="3165" priority="239">
      <formula>AND(IF($R$64,$W$64,TRUE),LEN(TRIM($W$64))&gt;0)</formula>
    </cfRule>
  </conditionalFormatting>
  <conditionalFormatting sqref="W64">
    <cfRule type="expression" dxfId="3164" priority="238">
      <formula>$S$64 = FALSE</formula>
    </cfRule>
  </conditionalFormatting>
  <conditionalFormatting sqref="W64">
    <cfRule type="expression" dxfId="3163" priority="237">
      <formula>OR($T$64 = TRUE, AND($W$64 = TRUE, $S$64 = FALSE))</formula>
    </cfRule>
  </conditionalFormatting>
  <conditionalFormatting sqref="W66">
    <cfRule type="expression" dxfId="3162" priority="232">
      <formula>AND($R$66,$S$66)</formula>
    </cfRule>
  </conditionalFormatting>
  <conditionalFormatting sqref="W66">
    <cfRule type="expression" dxfId="3161" priority="231">
      <formula>AND($W$66&lt;&gt;"Not Met",LEN(TRIM($W$66))&gt;0)</formula>
    </cfRule>
  </conditionalFormatting>
  <conditionalFormatting sqref="W66">
    <cfRule type="expression" dxfId="3160" priority="230">
      <formula>$S$66 = FALSE</formula>
    </cfRule>
  </conditionalFormatting>
  <conditionalFormatting sqref="W66">
    <cfRule type="expression" dxfId="3159" priority="229">
      <formula>OR($T$66 = TRUE, AND(LEN(TRIM($W$66))&gt;0, $S$66 = FALSE))</formula>
    </cfRule>
  </conditionalFormatting>
  <conditionalFormatting sqref="W71">
    <cfRule type="expression" dxfId="3158" priority="228">
      <formula>AND($R$71,$S$71)</formula>
    </cfRule>
  </conditionalFormatting>
  <conditionalFormatting sqref="W71">
    <cfRule type="expression" dxfId="3157" priority="227">
      <formula>AND(IF($R$71,$W$71,TRUE),LEN(TRIM($W$71))&gt;0)</formula>
    </cfRule>
  </conditionalFormatting>
  <conditionalFormatting sqref="W71">
    <cfRule type="expression" dxfId="3156" priority="226">
      <formula>$S$71 = FALSE</formula>
    </cfRule>
  </conditionalFormatting>
  <conditionalFormatting sqref="W71">
    <cfRule type="expression" dxfId="3155" priority="225">
      <formula>OR($T$71 = TRUE, AND($W$71 = TRUE, $S$71 = FALSE))</formula>
    </cfRule>
  </conditionalFormatting>
  <conditionalFormatting sqref="W73">
    <cfRule type="expression" dxfId="3154" priority="224">
      <formula>AND($R$73,$S$73)</formula>
    </cfRule>
  </conditionalFormatting>
  <conditionalFormatting sqref="W73">
    <cfRule type="expression" dxfId="3153" priority="223">
      <formula>AND(IF($R$73,$W$73,TRUE),LEN(TRIM($W$73))&gt;0)</formula>
    </cfRule>
  </conditionalFormatting>
  <conditionalFormatting sqref="W73">
    <cfRule type="expression" dxfId="3152" priority="222">
      <formula>$S$73 = FALSE</formula>
    </cfRule>
  </conditionalFormatting>
  <conditionalFormatting sqref="W73">
    <cfRule type="expression" dxfId="3151" priority="221">
      <formula>OR($T$73 = TRUE, AND($W$73 = TRUE, $S$73 = FALSE))</formula>
    </cfRule>
  </conditionalFormatting>
  <conditionalFormatting sqref="W77">
    <cfRule type="expression" dxfId="3150" priority="220">
      <formula>AND($R$77,$S$77)</formula>
    </cfRule>
  </conditionalFormatting>
  <conditionalFormatting sqref="W77">
    <cfRule type="expression" dxfId="3149" priority="219">
      <formula>AND(IF($R$77,$W$77,TRUE),LEN(TRIM($W$77))&gt;0)</formula>
    </cfRule>
  </conditionalFormatting>
  <conditionalFormatting sqref="W77">
    <cfRule type="expression" dxfId="3148" priority="218">
      <formula>$S$77 = FALSE</formula>
    </cfRule>
  </conditionalFormatting>
  <conditionalFormatting sqref="W77">
    <cfRule type="expression" dxfId="3147" priority="217">
      <formula>OR($T$77 = TRUE, AND($W$77 = TRUE, $S$77 = FALSE))</formula>
    </cfRule>
  </conditionalFormatting>
  <conditionalFormatting sqref="W81">
    <cfRule type="expression" dxfId="3146" priority="216">
      <formula>AND($R$81,$S$81)</formula>
    </cfRule>
  </conditionalFormatting>
  <conditionalFormatting sqref="W81">
    <cfRule type="expression" dxfId="3145" priority="215">
      <formula>AND(IF($R$81,$W$81,TRUE),LEN(TRIM($W$81))&gt;0)</formula>
    </cfRule>
  </conditionalFormatting>
  <conditionalFormatting sqref="W81">
    <cfRule type="expression" dxfId="3144" priority="214">
      <formula>$S$81 = FALSE</formula>
    </cfRule>
  </conditionalFormatting>
  <conditionalFormatting sqref="W81">
    <cfRule type="expression" dxfId="3143" priority="213">
      <formula>OR($T$81 = TRUE, AND($W$81 = TRUE, $S$81 = FALSE))</formula>
    </cfRule>
  </conditionalFormatting>
  <conditionalFormatting sqref="W82">
    <cfRule type="expression" dxfId="3142" priority="212">
      <formula>AND($R$82,$S$82)</formula>
    </cfRule>
  </conditionalFormatting>
  <conditionalFormatting sqref="W82">
    <cfRule type="expression" dxfId="3141" priority="211">
      <formula>AND(IF($R$82,$W$82,TRUE),LEN(TRIM($W$82))&gt;0)</formula>
    </cfRule>
  </conditionalFormatting>
  <conditionalFormatting sqref="W82">
    <cfRule type="expression" dxfId="3140" priority="210">
      <formula>$S$82 = FALSE</formula>
    </cfRule>
  </conditionalFormatting>
  <conditionalFormatting sqref="W82">
    <cfRule type="expression" dxfId="3139" priority="209">
      <formula>OR($T$82 = TRUE, AND($W$82 = TRUE, $S$82 = FALSE))</formula>
    </cfRule>
  </conditionalFormatting>
  <conditionalFormatting sqref="W84">
    <cfRule type="expression" dxfId="3138" priority="208">
      <formula>AND($R$84,$S$84)</formula>
    </cfRule>
  </conditionalFormatting>
  <conditionalFormatting sqref="W84">
    <cfRule type="expression" dxfId="3137" priority="207">
      <formula>AND(IF($R$84,$W$84,TRUE),LEN(TRIM($W$84))&gt;0)</formula>
    </cfRule>
  </conditionalFormatting>
  <conditionalFormatting sqref="W84">
    <cfRule type="expression" dxfId="3136" priority="206">
      <formula>$S$84 = FALSE</formula>
    </cfRule>
  </conditionalFormatting>
  <conditionalFormatting sqref="W84">
    <cfRule type="expression" dxfId="3135" priority="205">
      <formula>OR($T$84 = TRUE, AND($W$84 = TRUE, $S$84 = FALSE))</formula>
    </cfRule>
  </conditionalFormatting>
  <conditionalFormatting sqref="W85">
    <cfRule type="expression" dxfId="3134" priority="204">
      <formula>AND($R$85,$S$85)</formula>
    </cfRule>
  </conditionalFormatting>
  <conditionalFormatting sqref="W85">
    <cfRule type="expression" dxfId="3133" priority="203">
      <formula>AND(IF($R$85,$W$85,TRUE),LEN(TRIM($W$85))&gt;0)</formula>
    </cfRule>
  </conditionalFormatting>
  <conditionalFormatting sqref="W85">
    <cfRule type="expression" dxfId="3132" priority="202">
      <formula>$S$85 = FALSE</formula>
    </cfRule>
  </conditionalFormatting>
  <conditionalFormatting sqref="W85">
    <cfRule type="expression" dxfId="3131" priority="201">
      <formula>OR($T$85 = TRUE, AND($W$85 = TRUE, $S$85 = FALSE))</formula>
    </cfRule>
  </conditionalFormatting>
  <conditionalFormatting sqref="W86">
    <cfRule type="expression" dxfId="3130" priority="200">
      <formula>AND($R$86,$S$86)</formula>
    </cfRule>
  </conditionalFormatting>
  <conditionalFormatting sqref="W86">
    <cfRule type="expression" dxfId="3129" priority="199">
      <formula>AND(IF($R$86,$W$86,TRUE),LEN(TRIM($W$86))&gt;0)</formula>
    </cfRule>
  </conditionalFormatting>
  <conditionalFormatting sqref="W86">
    <cfRule type="expression" dxfId="3128" priority="198">
      <formula>$S$86 = FALSE</formula>
    </cfRule>
  </conditionalFormatting>
  <conditionalFormatting sqref="W86">
    <cfRule type="expression" dxfId="3127" priority="197">
      <formula>OR($T$86 = TRUE, AND($W$86 = TRUE, $S$86 = FALSE))</formula>
    </cfRule>
  </conditionalFormatting>
  <conditionalFormatting sqref="W94">
    <cfRule type="expression" dxfId="3126" priority="196">
      <formula>AND($R$94,$S$94)</formula>
    </cfRule>
  </conditionalFormatting>
  <conditionalFormatting sqref="W94">
    <cfRule type="expression" dxfId="3125" priority="195">
      <formula>AND(IF($R$94,$W$94,TRUE),LEN(TRIM($W$94))&gt;0)</formula>
    </cfRule>
  </conditionalFormatting>
  <conditionalFormatting sqref="W94">
    <cfRule type="expression" dxfId="3124" priority="194">
      <formula>$S$94 = FALSE</formula>
    </cfRule>
  </conditionalFormatting>
  <conditionalFormatting sqref="W94">
    <cfRule type="expression" dxfId="3123" priority="193">
      <formula>OR($T$94 = TRUE, AND($W$94 = TRUE, $S$94 = FALSE))</formula>
    </cfRule>
  </conditionalFormatting>
  <conditionalFormatting sqref="W119">
    <cfRule type="expression" dxfId="3122" priority="180">
      <formula>AND($R$119,$S$119)</formula>
    </cfRule>
  </conditionalFormatting>
  <conditionalFormatting sqref="W119">
    <cfRule type="expression" dxfId="3121" priority="179">
      <formula>AND(IF($R$119,$W$119,TRUE),LEN(TRIM($W$119))&gt;0)</formula>
    </cfRule>
  </conditionalFormatting>
  <conditionalFormatting sqref="W119">
    <cfRule type="expression" dxfId="3120" priority="178">
      <formula>$S$119 = FALSE</formula>
    </cfRule>
  </conditionalFormatting>
  <conditionalFormatting sqref="W119">
    <cfRule type="expression" dxfId="3119" priority="177">
      <formula>OR($T$119 = TRUE, AND($W$119 = TRUE, $S$119 = FALSE))</formula>
    </cfRule>
  </conditionalFormatting>
  <conditionalFormatting sqref="W121">
    <cfRule type="expression" dxfId="3118" priority="176">
      <formula>AND($R$121,$S$121)</formula>
    </cfRule>
  </conditionalFormatting>
  <conditionalFormatting sqref="W121">
    <cfRule type="expression" dxfId="3117" priority="175">
      <formula>AND(IF($R$121,$W$121,TRUE),LEN(TRIM($W$121))&gt;0)</formula>
    </cfRule>
  </conditionalFormatting>
  <conditionalFormatting sqref="W121">
    <cfRule type="expression" dxfId="3116" priority="174">
      <formula>$S$121 = FALSE</formula>
    </cfRule>
  </conditionalFormatting>
  <conditionalFormatting sqref="W121">
    <cfRule type="expression" dxfId="3115" priority="173">
      <formula>OR($T$121 = TRUE, AND($W$121 = TRUE, $S$121 = FALSE))</formula>
    </cfRule>
  </conditionalFormatting>
  <conditionalFormatting sqref="W123">
    <cfRule type="expression" dxfId="3114" priority="172">
      <formula>AND($R$123,$S$123)</formula>
    </cfRule>
  </conditionalFormatting>
  <conditionalFormatting sqref="W123">
    <cfRule type="expression" dxfId="3113" priority="171">
      <formula>AND(IF($R$123,$W$123,TRUE),LEN(TRIM($W$123))&gt;0)</formula>
    </cfRule>
  </conditionalFormatting>
  <conditionalFormatting sqref="W123">
    <cfRule type="expression" dxfId="3112" priority="170">
      <formula>$S$123 = FALSE</formula>
    </cfRule>
  </conditionalFormatting>
  <conditionalFormatting sqref="W123">
    <cfRule type="expression" dxfId="3111" priority="169">
      <formula>OR($T$123 = TRUE, AND($W$123 = TRUE, $S$123 = FALSE))</formula>
    </cfRule>
  </conditionalFormatting>
  <conditionalFormatting sqref="W130">
    <cfRule type="expression" dxfId="3110" priority="168">
      <formula>AND($R$130,$S$130)</formula>
    </cfRule>
  </conditionalFormatting>
  <conditionalFormatting sqref="W130">
    <cfRule type="expression" dxfId="3109" priority="167">
      <formula>AND(IF($R$130,$W$130,TRUE),LEN(TRIM($W$130))&gt;0)</formula>
    </cfRule>
  </conditionalFormatting>
  <conditionalFormatting sqref="W130">
    <cfRule type="expression" dxfId="3108" priority="166">
      <formula>$S$130 = FALSE</formula>
    </cfRule>
  </conditionalFormatting>
  <conditionalFormatting sqref="W130">
    <cfRule type="expression" dxfId="3107" priority="165">
      <formula>OR($T$130 = TRUE, AND($W$130 = TRUE, $S$130 = FALSE))</formula>
    </cfRule>
  </conditionalFormatting>
  <conditionalFormatting sqref="W131">
    <cfRule type="expression" dxfId="3106" priority="164">
      <formula>AND($R$131,$S$131)</formula>
    </cfRule>
  </conditionalFormatting>
  <conditionalFormatting sqref="W131">
    <cfRule type="expression" dxfId="3105" priority="163">
      <formula>AND(IF($R$131,$W$131,TRUE),LEN(TRIM($W$131))&gt;0)</formula>
    </cfRule>
  </conditionalFormatting>
  <conditionalFormatting sqref="W131">
    <cfRule type="expression" dxfId="3104" priority="162">
      <formula>$S$131 = FALSE</formula>
    </cfRule>
  </conditionalFormatting>
  <conditionalFormatting sqref="W131">
    <cfRule type="expression" dxfId="3103" priority="161">
      <formula>OR($T$131 = TRUE, AND($W$131 = TRUE, $S$131 = FALSE))</formula>
    </cfRule>
  </conditionalFormatting>
  <conditionalFormatting sqref="W136">
    <cfRule type="expression" dxfId="3102" priority="160">
      <formula>AND($R$136,$S$136)</formula>
    </cfRule>
  </conditionalFormatting>
  <conditionalFormatting sqref="W136">
    <cfRule type="expression" dxfId="3101" priority="159">
      <formula>AND(IF($R$136,$W$136,TRUE),LEN(TRIM($W$136))&gt;0)</formula>
    </cfRule>
  </conditionalFormatting>
  <conditionalFormatting sqref="W136">
    <cfRule type="expression" dxfId="3100" priority="158">
      <formula>$S$136 = FALSE</formula>
    </cfRule>
  </conditionalFormatting>
  <conditionalFormatting sqref="W136">
    <cfRule type="expression" dxfId="3099" priority="157">
      <formula>OR($T$136 = TRUE, AND($W$136 = TRUE, $S$136 = FALSE))</formula>
    </cfRule>
  </conditionalFormatting>
  <conditionalFormatting sqref="W138">
    <cfRule type="expression" dxfId="3098" priority="156">
      <formula>AND($R$138,$S$138)</formula>
    </cfRule>
  </conditionalFormatting>
  <conditionalFormatting sqref="W138">
    <cfRule type="expression" dxfId="3097" priority="155">
      <formula>AND(IF($R$138,$W$138,TRUE),LEN(TRIM($W$138))&gt;0)</formula>
    </cfRule>
  </conditionalFormatting>
  <conditionalFormatting sqref="W138">
    <cfRule type="expression" dxfId="3096" priority="154">
      <formula>$S$138 = FALSE</formula>
    </cfRule>
  </conditionalFormatting>
  <conditionalFormatting sqref="W138">
    <cfRule type="expression" dxfId="3095" priority="153">
      <formula>OR($T$138 = TRUE, AND($W$138 = TRUE, $S$138 = FALSE))</formula>
    </cfRule>
  </conditionalFormatting>
  <conditionalFormatting sqref="W141">
    <cfRule type="expression" dxfId="3094" priority="152">
      <formula>AND($R$141,$S$141)</formula>
    </cfRule>
  </conditionalFormatting>
  <conditionalFormatting sqref="W141">
    <cfRule type="expression" dxfId="3093" priority="151">
      <formula>AND(IF($R$141,$W$141,TRUE),LEN(TRIM($W$141))&gt;0)</formula>
    </cfRule>
  </conditionalFormatting>
  <conditionalFormatting sqref="W141">
    <cfRule type="expression" dxfId="3092" priority="150">
      <formula>$S$141 = FALSE</formula>
    </cfRule>
  </conditionalFormatting>
  <conditionalFormatting sqref="W141">
    <cfRule type="expression" dxfId="3091" priority="149">
      <formula>OR($T$141 = TRUE, AND($W$141 = TRUE, $S$141 = FALSE))</formula>
    </cfRule>
  </conditionalFormatting>
  <conditionalFormatting sqref="W143">
    <cfRule type="expression" dxfId="3090" priority="148">
      <formula>AND($R$143,$S$143)</formula>
    </cfRule>
  </conditionalFormatting>
  <conditionalFormatting sqref="W143">
    <cfRule type="expression" dxfId="3089" priority="147">
      <formula>AND(IF($R$143,$W$143,TRUE),LEN(TRIM($W$143))&gt;0)</formula>
    </cfRule>
  </conditionalFormatting>
  <conditionalFormatting sqref="W143">
    <cfRule type="expression" dxfId="3088" priority="146">
      <formula>$S$143 = FALSE</formula>
    </cfRule>
  </conditionalFormatting>
  <conditionalFormatting sqref="W143">
    <cfRule type="expression" dxfId="3087" priority="145">
      <formula>OR($T$143 = TRUE, AND($W$143 = TRUE, $S$143 = FALSE))</formula>
    </cfRule>
  </conditionalFormatting>
  <conditionalFormatting sqref="W145">
    <cfRule type="expression" dxfId="3086" priority="144">
      <formula>AND($R$145,$S$145)</formula>
    </cfRule>
  </conditionalFormatting>
  <conditionalFormatting sqref="W145">
    <cfRule type="expression" dxfId="3085" priority="143">
      <formula>AND(IF($R$145,$W$145,TRUE),LEN(TRIM($W$145))&gt;0)</formula>
    </cfRule>
  </conditionalFormatting>
  <conditionalFormatting sqref="W145">
    <cfRule type="expression" dxfId="3084" priority="142">
      <formula>$S$145 = FALSE</formula>
    </cfRule>
  </conditionalFormatting>
  <conditionalFormatting sqref="W145">
    <cfRule type="expression" dxfId="3083" priority="141">
      <formula>OR($T$145 = TRUE, AND($W$145 = TRUE, $S$145 = FALSE))</formula>
    </cfRule>
  </conditionalFormatting>
  <conditionalFormatting sqref="W149">
    <cfRule type="expression" dxfId="3082" priority="140">
      <formula>AND($R$149,$S$149)</formula>
    </cfRule>
  </conditionalFormatting>
  <conditionalFormatting sqref="W149">
    <cfRule type="expression" dxfId="3081" priority="139">
      <formula>AND(IF($R$149,$W$149,TRUE),LEN(TRIM($W$149))&gt;0)</formula>
    </cfRule>
  </conditionalFormatting>
  <conditionalFormatting sqref="W149">
    <cfRule type="expression" dxfId="3080" priority="138">
      <formula>$S$149 = FALSE</formula>
    </cfRule>
  </conditionalFormatting>
  <conditionalFormatting sqref="W149">
    <cfRule type="expression" dxfId="3079" priority="137">
      <formula>OR($T$149 = TRUE, AND($W$149 = TRUE, $S$149 = FALSE))</formula>
    </cfRule>
  </conditionalFormatting>
  <conditionalFormatting sqref="W150">
    <cfRule type="expression" dxfId="3078" priority="136">
      <formula>AND($R$150,$S$150)</formula>
    </cfRule>
  </conditionalFormatting>
  <conditionalFormatting sqref="W150">
    <cfRule type="expression" dxfId="3077" priority="135">
      <formula>AND(IF($R$150,$W$150,TRUE),LEN(TRIM($W$150))&gt;0)</formula>
    </cfRule>
  </conditionalFormatting>
  <conditionalFormatting sqref="W150">
    <cfRule type="expression" dxfId="3076" priority="134">
      <formula>$S$150 = FALSE</formula>
    </cfRule>
  </conditionalFormatting>
  <conditionalFormatting sqref="W150">
    <cfRule type="expression" dxfId="3075" priority="133">
      <formula>OR($T$150 = TRUE, AND($W$150 = TRUE, $S$150 = FALSE))</formula>
    </cfRule>
  </conditionalFormatting>
  <conditionalFormatting sqref="W151">
    <cfRule type="expression" dxfId="3074" priority="132">
      <formula>AND($R$151,$S$151)</formula>
    </cfRule>
  </conditionalFormatting>
  <conditionalFormatting sqref="W151">
    <cfRule type="expression" dxfId="3073" priority="131">
      <formula>AND(IF($R$151,$W$151,TRUE),LEN(TRIM($W$151))&gt;0)</formula>
    </cfRule>
  </conditionalFormatting>
  <conditionalFormatting sqref="W151">
    <cfRule type="expression" dxfId="3072" priority="130">
      <formula>$S$151 = FALSE</formula>
    </cfRule>
  </conditionalFormatting>
  <conditionalFormatting sqref="W151">
    <cfRule type="expression" dxfId="3071" priority="129">
      <formula>OR($T$151 = TRUE, AND($W$151 = TRUE, $S$151 = FALSE))</formula>
    </cfRule>
  </conditionalFormatting>
  <conditionalFormatting sqref="W153">
    <cfRule type="expression" dxfId="3070" priority="128">
      <formula>AND($R$153,$S$153)</formula>
    </cfRule>
  </conditionalFormatting>
  <conditionalFormatting sqref="W153">
    <cfRule type="expression" dxfId="3069" priority="127">
      <formula>AND(IF($R$153,$W$153,TRUE),LEN(TRIM($W$153))&gt;0)</formula>
    </cfRule>
  </conditionalFormatting>
  <conditionalFormatting sqref="W153">
    <cfRule type="expression" dxfId="3068" priority="126">
      <formula>$S$153 = FALSE</formula>
    </cfRule>
  </conditionalFormatting>
  <conditionalFormatting sqref="W153">
    <cfRule type="expression" dxfId="3067" priority="125">
      <formula>OR($T$153 = TRUE, AND($W$153 = TRUE, $S$153 = FALSE))</formula>
    </cfRule>
  </conditionalFormatting>
  <conditionalFormatting sqref="W156">
    <cfRule type="expression" dxfId="3066" priority="124">
      <formula>AND($R$156,$S$156)</formula>
    </cfRule>
  </conditionalFormatting>
  <conditionalFormatting sqref="W156">
    <cfRule type="expression" dxfId="3065" priority="123">
      <formula>AND(IF($R$156,$W$156,TRUE),LEN(TRIM($W$156))&gt;0)</formula>
    </cfRule>
  </conditionalFormatting>
  <conditionalFormatting sqref="W156">
    <cfRule type="expression" dxfId="3064" priority="122">
      <formula>$S$156 = FALSE</formula>
    </cfRule>
  </conditionalFormatting>
  <conditionalFormatting sqref="W156">
    <cfRule type="expression" dxfId="3063" priority="121">
      <formula>OR($T$156 = TRUE, AND($W$156 = TRUE, $S$156 = FALSE))</formula>
    </cfRule>
  </conditionalFormatting>
  <conditionalFormatting sqref="W158">
    <cfRule type="expression" dxfId="3062" priority="120">
      <formula>AND($R$158,$S$158)</formula>
    </cfRule>
  </conditionalFormatting>
  <conditionalFormatting sqref="W158">
    <cfRule type="expression" dxfId="3061" priority="119">
      <formula>AND(IF($R$158,$W$158,TRUE),LEN(TRIM($W$158))&gt;0)</formula>
    </cfRule>
  </conditionalFormatting>
  <conditionalFormatting sqref="W158">
    <cfRule type="expression" dxfId="3060" priority="118">
      <formula>$S$158 = FALSE</formula>
    </cfRule>
  </conditionalFormatting>
  <conditionalFormatting sqref="W158">
    <cfRule type="expression" dxfId="3059" priority="117">
      <formula>OR($T$158 = TRUE, AND($W$158 = TRUE, $S$158 = FALSE))</formula>
    </cfRule>
  </conditionalFormatting>
  <conditionalFormatting sqref="W163">
    <cfRule type="expression" dxfId="3058" priority="116">
      <formula>AND($R$163,$S$163)</formula>
    </cfRule>
  </conditionalFormatting>
  <conditionalFormatting sqref="W163">
    <cfRule type="expression" dxfId="3057" priority="115">
      <formula>AND(IF($R$163,$W$163,TRUE),LEN(TRIM($W$163))&gt;0)</formula>
    </cfRule>
  </conditionalFormatting>
  <conditionalFormatting sqref="W163">
    <cfRule type="expression" dxfId="3056" priority="114">
      <formula>$S$163 = FALSE</formula>
    </cfRule>
  </conditionalFormatting>
  <conditionalFormatting sqref="W163">
    <cfRule type="expression" dxfId="3055" priority="113">
      <formula>OR($T$163 = TRUE, AND($W$163 = TRUE, $S$163 = FALSE))</formula>
    </cfRule>
  </conditionalFormatting>
  <conditionalFormatting sqref="W170">
    <cfRule type="expression" dxfId="3054" priority="112">
      <formula>AND($R$170,$S$170)</formula>
    </cfRule>
  </conditionalFormatting>
  <conditionalFormatting sqref="W170">
    <cfRule type="expression" dxfId="3053" priority="111">
      <formula>AND(IF($R$170,$W$170,TRUE),LEN(TRIM($W$170))&gt;0)</formula>
    </cfRule>
  </conditionalFormatting>
  <conditionalFormatting sqref="W170">
    <cfRule type="expression" dxfId="3052" priority="110">
      <formula>$S$170 = FALSE</formula>
    </cfRule>
  </conditionalFormatting>
  <conditionalFormatting sqref="W170">
    <cfRule type="expression" dxfId="3051" priority="109">
      <formula>OR($T$170 = TRUE, AND($W$170 = TRUE, $S$170 = FALSE))</formula>
    </cfRule>
  </conditionalFormatting>
  <conditionalFormatting sqref="W171">
    <cfRule type="expression" dxfId="3050" priority="108">
      <formula>AND($R$171,$S$171)</formula>
    </cfRule>
  </conditionalFormatting>
  <conditionalFormatting sqref="W171">
    <cfRule type="expression" dxfId="3049" priority="107">
      <formula>AND(IF($R$171,$W$171,TRUE),LEN(TRIM($W$171))&gt;0)</formula>
    </cfRule>
  </conditionalFormatting>
  <conditionalFormatting sqref="W171">
    <cfRule type="expression" dxfId="3048" priority="106">
      <formula>$S$171 = FALSE</formula>
    </cfRule>
  </conditionalFormatting>
  <conditionalFormatting sqref="W171">
    <cfRule type="expression" dxfId="3047" priority="105">
      <formula>OR($T$171 = TRUE, AND($W$171 = TRUE, $S$171 = FALSE))</formula>
    </cfRule>
  </conditionalFormatting>
  <conditionalFormatting sqref="W173">
    <cfRule type="expression" dxfId="3046" priority="104">
      <formula>AND($R$173,$S$173)</formula>
    </cfRule>
  </conditionalFormatting>
  <conditionalFormatting sqref="W173">
    <cfRule type="expression" dxfId="3045" priority="103">
      <formula>AND(IF($R$173,$W$173,TRUE),LEN(TRIM($W$173))&gt;0)</formula>
    </cfRule>
  </conditionalFormatting>
  <conditionalFormatting sqref="W173">
    <cfRule type="expression" dxfId="3044" priority="102">
      <formula>$S$173 = FALSE</formula>
    </cfRule>
  </conditionalFormatting>
  <conditionalFormatting sqref="W173">
    <cfRule type="expression" dxfId="3043" priority="101">
      <formula>OR($T$173 = TRUE, AND($W$173 = TRUE, $S$173 = FALSE))</formula>
    </cfRule>
  </conditionalFormatting>
  <conditionalFormatting sqref="W178">
    <cfRule type="expression" dxfId="3042" priority="100">
      <formula>AND($R$178,$S$178)</formula>
    </cfRule>
  </conditionalFormatting>
  <conditionalFormatting sqref="W178">
    <cfRule type="expression" dxfId="3041" priority="99">
      <formula>AND(IF($R$178,$W$178,TRUE),LEN(TRIM($W$178))&gt;0)</formula>
    </cfRule>
  </conditionalFormatting>
  <conditionalFormatting sqref="W178">
    <cfRule type="expression" dxfId="3040" priority="98">
      <formula>$S$178 = FALSE</formula>
    </cfRule>
  </conditionalFormatting>
  <conditionalFormatting sqref="W178">
    <cfRule type="expression" dxfId="3039" priority="97">
      <formula>OR($T$178 = TRUE, AND($W$178 = TRUE, $S$178 = FALSE))</formula>
    </cfRule>
  </conditionalFormatting>
  <conditionalFormatting sqref="W180">
    <cfRule type="expression" dxfId="3038" priority="96">
      <formula>AND($R$180,$S$180)</formula>
    </cfRule>
  </conditionalFormatting>
  <conditionalFormatting sqref="W180">
    <cfRule type="expression" dxfId="3037" priority="95">
      <formula>AND(IF($R$180,$W$180,TRUE),LEN(TRIM($W$180))&gt;0)</formula>
    </cfRule>
  </conditionalFormatting>
  <conditionalFormatting sqref="W180">
    <cfRule type="expression" dxfId="3036" priority="94">
      <formula>$S$180 = FALSE</formula>
    </cfRule>
  </conditionalFormatting>
  <conditionalFormatting sqref="W180">
    <cfRule type="expression" dxfId="3035" priority="93">
      <formula>OR($T$180 = TRUE, AND($W$180 = TRUE, $S$180 = FALSE))</formula>
    </cfRule>
  </conditionalFormatting>
  <conditionalFormatting sqref="W181">
    <cfRule type="expression" dxfId="3034" priority="92">
      <formula>AND($R$181,$S$181)</formula>
    </cfRule>
  </conditionalFormatting>
  <conditionalFormatting sqref="W181">
    <cfRule type="expression" dxfId="3033" priority="91">
      <formula>AND(IF($R$181,$W$181,TRUE),LEN(TRIM($W$181))&gt;0)</formula>
    </cfRule>
  </conditionalFormatting>
  <conditionalFormatting sqref="W181">
    <cfRule type="expression" dxfId="3032" priority="90">
      <formula>$S$181 = FALSE</formula>
    </cfRule>
  </conditionalFormatting>
  <conditionalFormatting sqref="W181">
    <cfRule type="expression" dxfId="3031" priority="89">
      <formula>OR($T$181 = TRUE, AND($W$181 = TRUE, $S$181 = FALSE))</formula>
    </cfRule>
  </conditionalFormatting>
  <conditionalFormatting sqref="W183">
    <cfRule type="expression" dxfId="3030" priority="88">
      <formula>AND($R$183,$S$183)</formula>
    </cfRule>
  </conditionalFormatting>
  <conditionalFormatting sqref="W183">
    <cfRule type="expression" dxfId="3029" priority="87">
      <formula>AND(IF($R$183,$W$183,TRUE),LEN(TRIM($W$183))&gt;0)</formula>
    </cfRule>
  </conditionalFormatting>
  <conditionalFormatting sqref="W183">
    <cfRule type="expression" dxfId="3028" priority="86">
      <formula>$S$183 = FALSE</formula>
    </cfRule>
  </conditionalFormatting>
  <conditionalFormatting sqref="W183">
    <cfRule type="expression" dxfId="3027" priority="85">
      <formula>OR($T$183 = TRUE, AND($W$183 = TRUE, $S$183 = FALSE))</formula>
    </cfRule>
  </conditionalFormatting>
  <conditionalFormatting sqref="W185">
    <cfRule type="expression" dxfId="3026" priority="84">
      <formula>AND($R$185,$S$185)</formula>
    </cfRule>
  </conditionalFormatting>
  <conditionalFormatting sqref="W185">
    <cfRule type="expression" dxfId="3025" priority="83">
      <formula>AND(IF($R$185,$W$185,TRUE),LEN(TRIM($W$185))&gt;0)</formula>
    </cfRule>
  </conditionalFormatting>
  <conditionalFormatting sqref="W185">
    <cfRule type="expression" dxfId="3024" priority="82">
      <formula>$S$185 = FALSE</formula>
    </cfRule>
  </conditionalFormatting>
  <conditionalFormatting sqref="W185">
    <cfRule type="expression" dxfId="3023" priority="81">
      <formula>OR($T$185 = TRUE, AND($W$185 = TRUE, $S$185 = FALSE))</formula>
    </cfRule>
  </conditionalFormatting>
  <conditionalFormatting sqref="W189">
    <cfRule type="expression" dxfId="3022" priority="80">
      <formula>AND($R$189,$S$189)</formula>
    </cfRule>
  </conditionalFormatting>
  <conditionalFormatting sqref="W189">
    <cfRule type="expression" dxfId="3021" priority="79">
      <formula>AND(IF($R$189,$W$189,TRUE),LEN(TRIM($W$189))&gt;0)</formula>
    </cfRule>
  </conditionalFormatting>
  <conditionalFormatting sqref="W189">
    <cfRule type="expression" dxfId="3020" priority="78">
      <formula>$S$189 = FALSE</formula>
    </cfRule>
  </conditionalFormatting>
  <conditionalFormatting sqref="W189">
    <cfRule type="expression" dxfId="3019" priority="77">
      <formula>OR($T$189 = TRUE, AND($W$189 = TRUE, $S$189 = FALSE))</formula>
    </cfRule>
  </conditionalFormatting>
  <conditionalFormatting sqref="W192">
    <cfRule type="expression" dxfId="3018" priority="76">
      <formula>AND($R$192,$S$192)</formula>
    </cfRule>
  </conditionalFormatting>
  <conditionalFormatting sqref="W192">
    <cfRule type="expression" dxfId="3017" priority="75">
      <formula>AND(IF($R$192,$W$192,TRUE),LEN(TRIM($W$192))&gt;0)</formula>
    </cfRule>
  </conditionalFormatting>
  <conditionalFormatting sqref="W192">
    <cfRule type="expression" dxfId="3016" priority="74">
      <formula>$S$192 = FALSE</formula>
    </cfRule>
  </conditionalFormatting>
  <conditionalFormatting sqref="W192">
    <cfRule type="expression" dxfId="3015" priority="73">
      <formula>OR($T$192 = TRUE, AND($W$192 = TRUE, $S$192 = FALSE))</formula>
    </cfRule>
  </conditionalFormatting>
  <conditionalFormatting sqref="W194">
    <cfRule type="expression" dxfId="3014" priority="72">
      <formula>AND($R$194,$S$194)</formula>
    </cfRule>
  </conditionalFormatting>
  <conditionalFormatting sqref="W194">
    <cfRule type="expression" dxfId="3013" priority="71">
      <formula>AND(IF($R$194,$W$194,TRUE),LEN(TRIM($W$194))&gt;0)</formula>
    </cfRule>
  </conditionalFormatting>
  <conditionalFormatting sqref="W194">
    <cfRule type="expression" dxfId="3012" priority="70">
      <formula>$S$194 = FALSE</formula>
    </cfRule>
  </conditionalFormatting>
  <conditionalFormatting sqref="W194">
    <cfRule type="expression" dxfId="3011" priority="69">
      <formula>OR($T$194 = TRUE, AND($W$194 = TRUE, $S$194 = FALSE))</formula>
    </cfRule>
  </conditionalFormatting>
  <conditionalFormatting sqref="W195">
    <cfRule type="expression" dxfId="3010" priority="68">
      <formula>AND($R$195,$S$195)</formula>
    </cfRule>
  </conditionalFormatting>
  <conditionalFormatting sqref="W195">
    <cfRule type="expression" dxfId="3009" priority="67">
      <formula>AND(IF($R$195,$W$195,TRUE),LEN(TRIM($W$195))&gt;0)</formula>
    </cfRule>
  </conditionalFormatting>
  <conditionalFormatting sqref="W195">
    <cfRule type="expression" dxfId="3008" priority="66">
      <formula>$S$195 = FALSE</formula>
    </cfRule>
  </conditionalFormatting>
  <conditionalFormatting sqref="W195">
    <cfRule type="expression" dxfId="3007" priority="65">
      <formula>OR($T$195 = TRUE, AND($W$195 = TRUE, $S$195 = FALSE))</formula>
    </cfRule>
  </conditionalFormatting>
  <conditionalFormatting sqref="W196">
    <cfRule type="expression" dxfId="3006" priority="64">
      <formula>AND($R$196,$S$196)</formula>
    </cfRule>
  </conditionalFormatting>
  <conditionalFormatting sqref="W196">
    <cfRule type="expression" dxfId="3005" priority="63">
      <formula>AND(IF($R$196,$W$196,TRUE),LEN(TRIM($W$196))&gt;0)</formula>
    </cfRule>
  </conditionalFormatting>
  <conditionalFormatting sqref="W196">
    <cfRule type="expression" dxfId="3004" priority="62">
      <formula>$S$196 = FALSE</formula>
    </cfRule>
  </conditionalFormatting>
  <conditionalFormatting sqref="W196">
    <cfRule type="expression" dxfId="3003" priority="61">
      <formula>OR($T$196 = TRUE, AND($W$196 = TRUE, $S$196 = FALSE))</formula>
    </cfRule>
  </conditionalFormatting>
  <conditionalFormatting sqref="W197">
    <cfRule type="expression" dxfId="3002" priority="60">
      <formula>AND($R$197,$S$197)</formula>
    </cfRule>
  </conditionalFormatting>
  <conditionalFormatting sqref="W197">
    <cfRule type="expression" dxfId="3001" priority="59">
      <formula>AND(IF($R$197,$W$197,TRUE),LEN(TRIM($W$197))&gt;0)</formula>
    </cfRule>
  </conditionalFormatting>
  <conditionalFormatting sqref="W197">
    <cfRule type="expression" dxfId="3000" priority="58">
      <formula>$S$197 = FALSE</formula>
    </cfRule>
  </conditionalFormatting>
  <conditionalFormatting sqref="W197">
    <cfRule type="expression" dxfId="2999" priority="57">
      <formula>OR($T$197 = TRUE, AND($W$197 = TRUE, $S$197 = FALSE))</formula>
    </cfRule>
  </conditionalFormatting>
  <conditionalFormatting sqref="W198">
    <cfRule type="expression" dxfId="2998" priority="56">
      <formula>AND($R$198,$S$198)</formula>
    </cfRule>
  </conditionalFormatting>
  <conditionalFormatting sqref="W198">
    <cfRule type="expression" dxfId="2997" priority="55">
      <formula>AND(IF($R$198,$W$198,TRUE),LEN(TRIM($W$198))&gt;0)</formula>
    </cfRule>
  </conditionalFormatting>
  <conditionalFormatting sqref="W198">
    <cfRule type="expression" dxfId="2996" priority="54">
      <formula>$S$198 = FALSE</formula>
    </cfRule>
  </conditionalFormatting>
  <conditionalFormatting sqref="W198">
    <cfRule type="expression" dxfId="2995" priority="53">
      <formula>OR($T$198 = TRUE, AND($W$198 = TRUE, $S$198 = FALSE))</formula>
    </cfRule>
  </conditionalFormatting>
  <conditionalFormatting sqref="W199">
    <cfRule type="expression" dxfId="2994" priority="52">
      <formula>AND($R$199,$S$199)</formula>
    </cfRule>
  </conditionalFormatting>
  <conditionalFormatting sqref="W199">
    <cfRule type="expression" dxfId="2993" priority="51">
      <formula>AND(IF($R$199,$W$199,TRUE),LEN(TRIM($W$199))&gt;0)</formula>
    </cfRule>
  </conditionalFormatting>
  <conditionalFormatting sqref="W199">
    <cfRule type="expression" dxfId="2992" priority="50">
      <formula>$S$199 = FALSE</formula>
    </cfRule>
  </conditionalFormatting>
  <conditionalFormatting sqref="W199">
    <cfRule type="expression" dxfId="2991" priority="49">
      <formula>OR($T$199 = TRUE, AND($W$199 = TRUE, $S$199 = FALSE))</formula>
    </cfRule>
  </conditionalFormatting>
  <conditionalFormatting sqref="W207">
    <cfRule type="expression" dxfId="2990" priority="44">
      <formula>AND($R$207,$S$207)</formula>
    </cfRule>
  </conditionalFormatting>
  <conditionalFormatting sqref="W207">
    <cfRule type="expression" dxfId="2989" priority="43">
      <formula>AND(IF($R$207,$W$207,TRUE),LEN(TRIM($W$207))&gt;0)</formula>
    </cfRule>
  </conditionalFormatting>
  <conditionalFormatting sqref="W207">
    <cfRule type="expression" dxfId="2988" priority="42">
      <formula>$S$207 = FALSE</formula>
    </cfRule>
  </conditionalFormatting>
  <conditionalFormatting sqref="W207">
    <cfRule type="expression" dxfId="2987" priority="41">
      <formula>OR($T$207 = TRUE, AND($W$207 = TRUE, $S$207 = FALSE))</formula>
    </cfRule>
  </conditionalFormatting>
  <conditionalFormatting sqref="W209">
    <cfRule type="expression" dxfId="2986" priority="40">
      <formula>AND($R$209,$S$209)</formula>
    </cfRule>
  </conditionalFormatting>
  <conditionalFormatting sqref="W209">
    <cfRule type="expression" dxfId="2985" priority="39">
      <formula>AND(IF($R$209,$W$209,TRUE),LEN(TRIM($W$209))&gt;0)</formula>
    </cfRule>
  </conditionalFormatting>
  <conditionalFormatting sqref="W209">
    <cfRule type="expression" dxfId="2984" priority="38">
      <formula>$S$209 = FALSE</formula>
    </cfRule>
  </conditionalFormatting>
  <conditionalFormatting sqref="W209">
    <cfRule type="expression" dxfId="2983" priority="37">
      <formula>OR($T$209 = TRUE, AND($W$209 = TRUE, $S$209 = FALSE))</formula>
    </cfRule>
  </conditionalFormatting>
  <conditionalFormatting sqref="W222">
    <cfRule type="expression" dxfId="2982" priority="36">
      <formula>AND($R$222,$S$222)</formula>
    </cfRule>
  </conditionalFormatting>
  <conditionalFormatting sqref="W222">
    <cfRule type="expression" dxfId="2981" priority="35">
      <formula>AND(IF($R$222,$W$222,TRUE),LEN(TRIM($W$222))&gt;0)</formula>
    </cfRule>
  </conditionalFormatting>
  <conditionalFormatting sqref="W222">
    <cfRule type="expression" dxfId="2980" priority="34">
      <formula>$S$222 = FALSE</formula>
    </cfRule>
  </conditionalFormatting>
  <conditionalFormatting sqref="W222">
    <cfRule type="expression" dxfId="2979" priority="33">
      <formula>OR($T$222 = TRUE, AND($W$222 = TRUE, $S$222 = FALSE))</formula>
    </cfRule>
  </conditionalFormatting>
  <conditionalFormatting sqref="W225">
    <cfRule type="expression" dxfId="2978" priority="32">
      <formula>AND($R$225,$S$225)</formula>
    </cfRule>
  </conditionalFormatting>
  <conditionalFormatting sqref="W225">
    <cfRule type="expression" dxfId="2977" priority="31">
      <formula>AND(IF($R$225,$W$225,TRUE),LEN(TRIM($W$225))&gt;0)</formula>
    </cfRule>
  </conditionalFormatting>
  <conditionalFormatting sqref="W225">
    <cfRule type="expression" dxfId="2976" priority="30">
      <formula>$S$225 = FALSE</formula>
    </cfRule>
  </conditionalFormatting>
  <conditionalFormatting sqref="W225">
    <cfRule type="expression" dxfId="2975" priority="29">
      <formula>OR($T$225 = TRUE, AND($W$225 = TRUE, $S$225 = FALSE))</formula>
    </cfRule>
  </conditionalFormatting>
  <conditionalFormatting sqref="W229">
    <cfRule type="expression" dxfId="2974" priority="28">
      <formula>AND($R$229,$S$229)</formula>
    </cfRule>
  </conditionalFormatting>
  <conditionalFormatting sqref="W229">
    <cfRule type="expression" dxfId="2973" priority="27">
      <formula>AND(IF($R$229,$W$229,TRUE),LEN(TRIM($W$229))&gt;0)</formula>
    </cfRule>
  </conditionalFormatting>
  <conditionalFormatting sqref="W229">
    <cfRule type="expression" dxfId="2972" priority="26">
      <formula>$S$229 = FALSE</formula>
    </cfRule>
  </conditionalFormatting>
  <conditionalFormatting sqref="W229">
    <cfRule type="expression" dxfId="2971" priority="25">
      <formula>OR($T$229 = TRUE, AND($W$229 = TRUE, $S$229 = FALSE))</formula>
    </cfRule>
  </conditionalFormatting>
  <conditionalFormatting sqref="W230">
    <cfRule type="expression" dxfId="2970" priority="24">
      <formula>AND($R$230,$S$230)</formula>
    </cfRule>
  </conditionalFormatting>
  <conditionalFormatting sqref="W230">
    <cfRule type="expression" dxfId="2969" priority="23">
      <formula>AND(IF($R$230,$W$230,TRUE),LEN(TRIM($W$230))&gt;0)</formula>
    </cfRule>
  </conditionalFormatting>
  <conditionalFormatting sqref="W230">
    <cfRule type="expression" dxfId="2968" priority="22">
      <formula>$S$230 = FALSE</formula>
    </cfRule>
  </conditionalFormatting>
  <conditionalFormatting sqref="W230">
    <cfRule type="expression" dxfId="2967" priority="21">
      <formula>OR($T$230 = TRUE, AND($W$230 = TRUE, $S$230 = FALSE))</formula>
    </cfRule>
  </conditionalFormatting>
  <conditionalFormatting sqref="W239">
    <cfRule type="expression" dxfId="2966" priority="20">
      <formula>AND($R$239,$S$239)</formula>
    </cfRule>
  </conditionalFormatting>
  <conditionalFormatting sqref="W239">
    <cfRule type="expression" dxfId="2965" priority="19">
      <formula>AND(IF($R$239,$W$239,TRUE),LEN(TRIM($W$239))&gt;0)</formula>
    </cfRule>
  </conditionalFormatting>
  <conditionalFormatting sqref="W239">
    <cfRule type="expression" dxfId="2964" priority="18">
      <formula>$S$239 = FALSE</formula>
    </cfRule>
  </conditionalFormatting>
  <conditionalFormatting sqref="W239">
    <cfRule type="expression" dxfId="2963" priority="17">
      <formula>OR($T$239 = TRUE, AND($W$239 = TRUE, $S$239 = FALSE))</formula>
    </cfRule>
  </conditionalFormatting>
  <conditionalFormatting sqref="W240">
    <cfRule type="expression" dxfId="2962" priority="16">
      <formula>AND($R$240,$S$240)</formula>
    </cfRule>
  </conditionalFormatting>
  <conditionalFormatting sqref="W240">
    <cfRule type="expression" dxfId="2961" priority="15">
      <formula>AND(IF($R$240,$W$240,TRUE),LEN(TRIM($W$240))&gt;0)</formula>
    </cfRule>
  </conditionalFormatting>
  <conditionalFormatting sqref="W240">
    <cfRule type="expression" dxfId="2960" priority="14">
      <formula>$S$240 = FALSE</formula>
    </cfRule>
  </conditionalFormatting>
  <conditionalFormatting sqref="W240">
    <cfRule type="expression" dxfId="2959" priority="13">
      <formula>OR($T$240 = TRUE, AND($W$240 = TRUE, $S$240 = FALSE))</formula>
    </cfRule>
  </conditionalFormatting>
  <conditionalFormatting sqref="W243">
    <cfRule type="expression" dxfId="2958" priority="12">
      <formula>AND($R$243,$S$243)</formula>
    </cfRule>
  </conditionalFormatting>
  <conditionalFormatting sqref="W243">
    <cfRule type="expression" dxfId="2957" priority="11">
      <formula>AND(IF($R$243,$W$243,TRUE),LEN(TRIM($W$243))&gt;0)</formula>
    </cfRule>
  </conditionalFormatting>
  <conditionalFormatting sqref="W243">
    <cfRule type="expression" dxfId="2956" priority="10">
      <formula>$S$243 = FALSE</formula>
    </cfRule>
  </conditionalFormatting>
  <conditionalFormatting sqref="W243">
    <cfRule type="expression" dxfId="2955" priority="9">
      <formula>OR($T$243 = TRUE, AND($W$243 = TRUE, $S$243 = FALSE))</formula>
    </cfRule>
  </conditionalFormatting>
  <conditionalFormatting sqref="W97">
    <cfRule type="expression" dxfId="2954" priority="8">
      <formula>AND($R$97,$S$97)</formula>
    </cfRule>
  </conditionalFormatting>
  <conditionalFormatting sqref="W97">
    <cfRule type="expression" dxfId="2953" priority="7">
      <formula>AND($W$97&lt;&gt;"Not Met",LEN(TRIM($W$97))&gt;0)</formula>
    </cfRule>
  </conditionalFormatting>
  <conditionalFormatting sqref="W97">
    <cfRule type="expression" dxfId="2952" priority="6">
      <formula>$S$97 = FALSE</formula>
    </cfRule>
  </conditionalFormatting>
  <conditionalFormatting sqref="W97">
    <cfRule type="expression" dxfId="2951" priority="5">
      <formula>OR($T$97 = TRUE, AND(LEN(TRIM($W$97))&gt;0, $S$97 = FALSE))</formula>
    </cfRule>
  </conditionalFormatting>
  <conditionalFormatting sqref="W104">
    <cfRule type="expression" dxfId="2950" priority="4">
      <formula>AND($R$104,$S$104)</formula>
    </cfRule>
  </conditionalFormatting>
  <conditionalFormatting sqref="W104">
    <cfRule type="expression" dxfId="2949" priority="3">
      <formula>AND($W$104&lt;&gt;"Not Met",LEN(TRIM($W$104))&gt;0)</formula>
    </cfRule>
  </conditionalFormatting>
  <conditionalFormatting sqref="W104">
    <cfRule type="expression" dxfId="2948" priority="2">
      <formula>$S$104 = FALSE</formula>
    </cfRule>
  </conditionalFormatting>
  <conditionalFormatting sqref="W104">
    <cfRule type="expression" dxfId="2947" priority="1">
      <formula>OR($T$104 = TRUE, AND(LEN(TRIM($W$104))&gt;0, $S$104 = FALSE))</formula>
    </cfRule>
  </conditionalFormatting>
  <conditionalFormatting sqref="X1">
    <cfRule type="expression" dxfId="2946" priority="784">
      <formula>startError</formula>
    </cfRule>
  </conditionalFormatting>
  <dataValidations count="12">
    <dataValidation type="list" allowBlank="1" showInputMessage="1" showErrorMessage="1" error="Please use the dropdown." sqref="W32" xr:uid="{00000000-0002-0000-0300-000000000000}">
      <formula1>INDIRECT($U$32)</formula1>
    </dataValidation>
    <dataValidation type="decimal" allowBlank="1" showDropDown="1" showInputMessage="1" showErrorMessage="1" error="Enter Percentage" prompt="Enter Percentage" sqref="W62" xr:uid="{00000000-0002-0000-0300-000001000000}">
      <formula1>0</formula1>
      <formula2>1</formula2>
    </dataValidation>
    <dataValidation type="list" allowBlank="1" showInputMessage="1" showErrorMessage="1" error="Please use the dropdown." sqref="W233" xr:uid="{00000000-0002-0000-0300-000002000000}">
      <formula1>INDIRECT($U$233)</formula1>
    </dataValidation>
    <dataValidation type="list" allowBlank="1" showInputMessage="1" showErrorMessage="1" error="Please use the dropdown." sqref="W214" xr:uid="{00000000-0002-0000-0300-000003000000}">
      <formula1>INDIRECT($U$214)</formula1>
    </dataValidation>
    <dataValidation type="list" allowBlank="1" showInputMessage="1" showErrorMessage="1" error="Please use the dropdown." sqref="W210" xr:uid="{00000000-0002-0000-0300-000004000000}">
      <formula1>INDIRECT($U$210)</formula1>
    </dataValidation>
    <dataValidation type="list" allowBlank="1" showInputMessage="1" showErrorMessage="1" error="Please use the dropdown." sqref="W125" xr:uid="{00000000-0002-0000-0300-000005000000}">
      <formula1>INDIRECT($U$125)</formula1>
    </dataValidation>
    <dataValidation type="list" allowBlank="1" showInputMessage="1" showErrorMessage="1" error="Please use the dropdown." sqref="W113" xr:uid="{00000000-0002-0000-0300-000006000000}">
      <formula1>INDIRECT($U$113)</formula1>
    </dataValidation>
    <dataValidation type="list" allowBlank="1" showInputMessage="1" showErrorMessage="1" error="Please use the dropdown." sqref="W111" xr:uid="{00000000-0002-0000-0300-000007000000}">
      <formula1>INDIRECT($U$111)</formula1>
    </dataValidation>
    <dataValidation type="list" allowBlank="1" showDropDown="1" showInputMessage="1" showErrorMessage="1" error="Use Checkbox" prompt="Use Checkbox" sqref="W243 W16 W229:W230 W225 W222 W209 W207 W194:W199 W192 W189 W185 W183 W180:W181 W178 W173 W170:W171 W163 W158 W156 W153 W149:W151 W145 W143 W141 W138 W136 W130:W131 W123 W121 W119 W94 W84:W86 W81:W82 W77 W73 W71 W63:W64 W59 W55:W57 W53 W50:W51 W38 W29 W20 W18 W239:W240" xr:uid="{00000000-0002-0000-0300-000008000000}">
      <formula1>TorF</formula1>
    </dataValidation>
    <dataValidation type="list" allowBlank="1" showInputMessage="1" showErrorMessage="1" error="Please use the dropdown." sqref="W66" xr:uid="{00000000-0002-0000-0300-000009000000}">
      <formula1>INDIRECT($U$66)</formula1>
    </dataValidation>
    <dataValidation type="list" allowBlank="1" showInputMessage="1" showErrorMessage="1" error="Please use the dropdown." sqref="W97" xr:uid="{00000000-0002-0000-0300-00000A000000}">
      <formula1>INDIRECT($U$97)</formula1>
    </dataValidation>
    <dataValidation type="list" allowBlank="1" showInputMessage="1" showErrorMessage="1" error="Please use the dropdown." sqref="W104" xr:uid="{00000000-0002-0000-0300-00000B000000}">
      <formula1>INDIRECT($U$104)</formula1>
    </dataValidation>
  </dataValidations>
  <hyperlinks>
    <hyperlink ref="X249" location="'Ch6'!A1" display="CLICK TO PROCEED TO CHAPTER 6 &gt;&gt;" xr:uid="{00000000-0004-0000-0300-000000000000}"/>
  </hyperlinks>
  <pageMargins left="0.7" right="0.7" top="0.75" bottom="0.75" header="0.3" footer="0.3"/>
  <pageSetup scale="44" fitToHeight="0" orientation="portrait" r:id="rId1"/>
  <rowBreaks count="2" manualBreakCount="2">
    <brk id="86" max="23" man="1"/>
    <brk id="159"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40"/>
  <sheetViews>
    <sheetView showGridLines="0" zoomScaleNormal="100" workbookViewId="0">
      <pane ySplit="7" topLeftCell="A9" activePane="bottomLeft" state="frozen"/>
      <selection activeCell="E7" sqref="E7:F7"/>
      <selection pane="bottomLeft" activeCell="W32" sqref="W32"/>
    </sheetView>
  </sheetViews>
  <sheetFormatPr baseColWidth="10" defaultColWidth="9.1640625" defaultRowHeight="15" x14ac:dyDescent="0.2"/>
  <cols>
    <col min="1" max="1" width="9.1640625" style="13" hidden="1" customWidth="1"/>
    <col min="2" max="2" width="7.33203125" style="434" hidden="1" customWidth="1"/>
    <col min="3" max="7" width="3.83203125" style="13" hidden="1" customWidth="1"/>
    <col min="8" max="8" width="3.83203125" style="13" customWidth="1"/>
    <col min="9" max="9" width="10.5" style="39" customWidth="1"/>
    <col min="10" max="11" width="3.83203125" style="39" customWidth="1"/>
    <col min="12" max="12" width="71.6640625" style="39" customWidth="1"/>
    <col min="13" max="13" width="13.5" style="42" customWidth="1"/>
    <col min="14" max="14" width="7.6640625" style="39" hidden="1" customWidth="1"/>
    <col min="15" max="15" width="7.6640625" style="96" customWidth="1"/>
    <col min="16" max="21" width="8.83203125" style="39" hidden="1" customWidth="1"/>
    <col min="22" max="22" width="3" style="39" hidden="1" customWidth="1"/>
    <col min="23" max="23" width="21.5" style="39" customWidth="1"/>
    <col min="24" max="24" width="69" style="39" customWidth="1"/>
    <col min="25" max="25" width="34.83203125" style="447" hidden="1" customWidth="1"/>
    <col min="26" max="26" width="34.83203125" style="39" hidden="1" customWidth="1"/>
    <col min="27" max="27" width="9.1640625" style="448" hidden="1" customWidth="1"/>
    <col min="28" max="37" width="9.1640625" style="39" hidden="1" customWidth="1"/>
    <col min="38" max="38" width="16.5" style="39" hidden="1" customWidth="1"/>
    <col min="39" max="39" width="3" style="39" hidden="1" customWidth="1"/>
    <col min="40" max="40" width="15.6640625" style="39" hidden="1" customWidth="1"/>
    <col min="41" max="41" width="2.1640625" style="39" hidden="1" customWidth="1"/>
    <col min="42" max="42" width="15.6640625" style="39" hidden="1" customWidth="1"/>
    <col min="43" max="43" width="2.1640625" style="39" hidden="1" customWidth="1"/>
    <col min="44" max="44" width="15.6640625" style="39" hidden="1" customWidth="1"/>
    <col min="45" max="45" width="2.1640625" style="39" hidden="1" customWidth="1"/>
    <col min="46" max="61" width="9.1640625" style="39" hidden="1" customWidth="1"/>
    <col min="62" max="16384" width="9.1640625" style="39"/>
  </cols>
  <sheetData>
    <row r="1" spans="1:61" x14ac:dyDescent="0.2">
      <c r="H1" s="805" t="s">
        <v>2149</v>
      </c>
      <c r="I1" s="768" t="e">
        <f ca="1">IF(OR(AG3,AI3),"Errors on page, no Level reached","Total Chapter Points: "&amp;AG2)</f>
        <v>#REF!</v>
      </c>
      <c r="J1" s="768"/>
      <c r="K1" s="768"/>
      <c r="L1" s="768"/>
      <c r="M1" s="806"/>
      <c r="N1" s="806"/>
      <c r="O1" s="806"/>
      <c r="P1" s="806"/>
      <c r="Q1" s="806"/>
      <c r="R1" s="806"/>
      <c r="S1" s="806"/>
      <c r="T1" s="806"/>
      <c r="U1" s="806"/>
      <c r="V1" s="806"/>
      <c r="W1" s="806"/>
      <c r="X1" s="337" t="s">
        <v>2150</v>
      </c>
      <c r="Y1" s="562"/>
      <c r="Z1" s="562"/>
      <c r="AA1" s="562"/>
      <c r="AB1" s="562"/>
      <c r="AC1" s="562"/>
      <c r="AD1" s="562"/>
      <c r="AE1" s="562"/>
      <c r="AF1" s="594" t="s">
        <v>2384</v>
      </c>
      <c r="AG1" s="562" t="e">
        <f ca="1">IF(OR(AG3,AI3),"None",Ch6Level)</f>
        <v>#REF!</v>
      </c>
      <c r="AH1" s="562"/>
      <c r="AI1" s="562"/>
      <c r="AJ1" s="562"/>
      <c r="AK1" s="562"/>
      <c r="AL1" s="562"/>
      <c r="AM1" s="562"/>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x14ac:dyDescent="0.2">
      <c r="H2" s="805"/>
      <c r="I2" s="769" t="e">
        <f ca="1">IF(OR(AG3,AI3),"Errors on page, no Level reached","Total Project Points: "&amp;Dpoints)</f>
        <v>#REF!</v>
      </c>
      <c r="J2" s="769"/>
      <c r="K2" s="769"/>
      <c r="L2" s="769"/>
      <c r="M2" s="806"/>
      <c r="N2" s="806"/>
      <c r="O2" s="806"/>
      <c r="P2" s="806"/>
      <c r="Q2" s="806"/>
      <c r="R2" s="806"/>
      <c r="S2" s="806"/>
      <c r="T2" s="806"/>
      <c r="U2" s="806"/>
      <c r="V2" s="806"/>
      <c r="W2" s="806"/>
      <c r="X2" s="337" t="s">
        <v>2152</v>
      </c>
      <c r="Y2" s="562"/>
      <c r="Z2" s="562"/>
      <c r="AA2" s="562"/>
      <c r="AB2" s="562"/>
      <c r="AC2" s="562"/>
      <c r="AD2" s="562"/>
      <c r="AE2" s="562"/>
      <c r="AF2" s="594" t="s">
        <v>2385</v>
      </c>
      <c r="AG2" s="562" t="e">
        <f ca="1">Ch6Points</f>
        <v>#REF!</v>
      </c>
      <c r="AH2" s="562" t="s">
        <v>2386</v>
      </c>
      <c r="AI2" s="562">
        <v>43</v>
      </c>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H3" s="805"/>
      <c r="I3" s="769" t="e">
        <f ca="1">IF(OR(AG3,AI3),"Errors on page, no Level reached","Total Project Level: "&amp;Dlevel)</f>
        <v>#REF!</v>
      </c>
      <c r="J3" s="769"/>
      <c r="K3" s="769"/>
      <c r="L3" s="769"/>
      <c r="M3" s="806"/>
      <c r="N3" s="806"/>
      <c r="O3" s="806"/>
      <c r="P3" s="806"/>
      <c r="Q3" s="806"/>
      <c r="R3" s="806"/>
      <c r="S3" s="806"/>
      <c r="T3" s="806"/>
      <c r="U3" s="806"/>
      <c r="V3" s="806"/>
      <c r="W3" s="806"/>
      <c r="X3" s="337" t="s">
        <v>2154</v>
      </c>
      <c r="Y3" s="562"/>
      <c r="Z3" s="562"/>
      <c r="AA3" s="562"/>
      <c r="AB3" s="562"/>
      <c r="AC3" s="562"/>
      <c r="AD3" s="562"/>
      <c r="AE3" s="562"/>
      <c r="AF3" s="594" t="s">
        <v>2387</v>
      </c>
      <c r="AG3" s="562" t="b">
        <f>OR(AE:AE)</f>
        <v>1</v>
      </c>
      <c r="AH3" s="594" t="s">
        <v>2388</v>
      </c>
      <c r="AI3" s="562" t="e">
        <f ca="1">OR(AD:AD)</f>
        <v>#REF!</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x14ac:dyDescent="0.2">
      <c r="H4" s="805"/>
      <c r="I4" s="778"/>
      <c r="J4" s="779"/>
      <c r="K4" s="779"/>
      <c r="L4" s="780"/>
      <c r="M4" s="806"/>
      <c r="N4" s="806"/>
      <c r="O4" s="806"/>
      <c r="P4" s="806"/>
      <c r="Q4" s="806"/>
      <c r="R4" s="806"/>
      <c r="S4" s="806"/>
      <c r="T4" s="806"/>
      <c r="U4" s="806"/>
      <c r="V4" s="806"/>
      <c r="W4" s="806"/>
      <c r="X4" s="715" t="s">
        <v>46</v>
      </c>
      <c r="Y4" s="562"/>
      <c r="Z4" s="56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x14ac:dyDescent="0.2">
      <c r="H5" s="805"/>
      <c r="I5" s="781" t="str">
        <f>"Revision Date:  "&amp;TEXT('Info &amp; Intro'!E7,"m/d/yyyy")</f>
        <v>Revision Date:  11/30/2020</v>
      </c>
      <c r="J5" s="782"/>
      <c r="K5" s="782"/>
      <c r="L5" s="783"/>
      <c r="M5" s="806"/>
      <c r="N5" s="806"/>
      <c r="O5" s="806"/>
      <c r="P5" s="806"/>
      <c r="Q5" s="806"/>
      <c r="R5" s="806"/>
      <c r="S5" s="806"/>
      <c r="T5" s="806"/>
      <c r="U5" s="806"/>
      <c r="V5" s="806"/>
      <c r="W5" s="806"/>
      <c r="X5" s="715"/>
      <c r="Y5" s="562"/>
      <c r="Z5" s="56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x14ac:dyDescent="0.2">
      <c r="H6" s="805"/>
      <c r="I6" s="788" t="s">
        <v>2157</v>
      </c>
      <c r="J6" s="789"/>
      <c r="K6" s="790"/>
      <c r="L6" s="784" t="s">
        <v>2389</v>
      </c>
      <c r="M6" s="784" t="s">
        <v>2159</v>
      </c>
      <c r="N6" s="784"/>
      <c r="O6" s="23" t="s">
        <v>2160</v>
      </c>
      <c r="P6" s="784" t="s">
        <v>2161</v>
      </c>
      <c r="Q6" s="784" t="s">
        <v>2162</v>
      </c>
      <c r="R6" s="784" t="s">
        <v>2163</v>
      </c>
      <c r="S6" s="784" t="s">
        <v>2164</v>
      </c>
      <c r="T6" s="784" t="s">
        <v>2165</v>
      </c>
      <c r="U6" s="784" t="s">
        <v>2166</v>
      </c>
      <c r="V6" s="784"/>
      <c r="W6" s="784" t="s">
        <v>2167</v>
      </c>
      <c r="X6" s="770" t="s">
        <v>2168</v>
      </c>
      <c r="Y6" s="562"/>
      <c r="Z6" s="562"/>
      <c r="AA6" s="562"/>
      <c r="AB6" s="562"/>
      <c r="AC6" s="588" t="s">
        <v>2169</v>
      </c>
      <c r="AD6" s="588" t="s">
        <v>2165</v>
      </c>
      <c r="AE6" s="588" t="s">
        <v>2170</v>
      </c>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x14ac:dyDescent="0.2">
      <c r="H7" s="805"/>
      <c r="I7" s="788"/>
      <c r="J7" s="789"/>
      <c r="K7" s="790"/>
      <c r="L7" s="785"/>
      <c r="M7" s="785"/>
      <c r="N7" s="785"/>
      <c r="O7" s="23" t="s">
        <v>2171</v>
      </c>
      <c r="P7" s="785"/>
      <c r="Q7" s="785"/>
      <c r="R7" s="785"/>
      <c r="S7" s="785"/>
      <c r="T7" s="785"/>
      <c r="U7" s="785"/>
      <c r="V7" s="785"/>
      <c r="W7" s="785"/>
      <c r="X7" s="771"/>
      <c r="Y7" s="562"/>
      <c r="Z7" s="562"/>
      <c r="AA7" s="562"/>
      <c r="AB7" s="562"/>
      <c r="AC7" s="588" t="s">
        <v>2169</v>
      </c>
      <c r="AD7" s="588" t="s">
        <v>2165</v>
      </c>
      <c r="AE7" s="588" t="s">
        <v>2170</v>
      </c>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s="439" customFormat="1" hidden="1" x14ac:dyDescent="0.2">
      <c r="A8" s="13"/>
      <c r="B8" s="434"/>
      <c r="C8" s="13"/>
      <c r="D8" s="13"/>
      <c r="E8" s="13"/>
      <c r="F8" s="13"/>
      <c r="G8" s="13"/>
      <c r="H8" s="13"/>
      <c r="I8" s="604"/>
      <c r="J8" s="604"/>
      <c r="K8" s="604"/>
      <c r="L8" s="602"/>
      <c r="M8" s="602"/>
      <c r="N8" s="602"/>
      <c r="O8" s="23"/>
      <c r="P8" s="602"/>
      <c r="Q8" s="602"/>
      <c r="R8" s="602"/>
      <c r="S8" s="602"/>
      <c r="T8" s="602"/>
      <c r="U8" s="602"/>
      <c r="V8" s="602"/>
      <c r="W8" s="602"/>
      <c r="X8" s="604"/>
      <c r="Y8" s="562"/>
      <c r="Z8" s="562"/>
      <c r="AA8" s="562"/>
      <c r="AB8" s="562"/>
      <c r="AC8" s="588"/>
      <c r="AD8" s="588"/>
      <c r="AE8" s="588"/>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ht="19" x14ac:dyDescent="0.25">
      <c r="A9" s="13" t="s">
        <v>48</v>
      </c>
      <c r="B9" s="434" t="s">
        <v>48</v>
      </c>
      <c r="C9" s="13" t="s">
        <v>48</v>
      </c>
      <c r="D9" s="13" t="s">
        <v>48</v>
      </c>
      <c r="E9" s="13" t="s">
        <v>48</v>
      </c>
      <c r="F9" s="13" t="s">
        <v>48</v>
      </c>
      <c r="G9" s="13" t="s">
        <v>48</v>
      </c>
      <c r="H9" s="443"/>
      <c r="I9" s="15" t="s">
        <v>2390</v>
      </c>
      <c r="J9" s="15"/>
      <c r="K9" s="15"/>
      <c r="L9" s="16"/>
      <c r="M9" s="17"/>
      <c r="N9" s="562" t="s">
        <v>48</v>
      </c>
      <c r="O9" s="17"/>
      <c r="P9" s="562" t="s">
        <v>48</v>
      </c>
      <c r="Q9" s="562" t="s">
        <v>48</v>
      </c>
      <c r="R9" s="562" t="s">
        <v>48</v>
      </c>
      <c r="S9" s="562" t="s">
        <v>48</v>
      </c>
      <c r="T9" s="562" t="s">
        <v>48</v>
      </c>
      <c r="U9" s="562" t="s">
        <v>48</v>
      </c>
      <c r="V9" s="562" t="s">
        <v>48</v>
      </c>
      <c r="W9" s="16"/>
      <c r="X9" s="16"/>
      <c r="Y9" s="586" t="s">
        <v>48</v>
      </c>
      <c r="Z9" s="586" t="s">
        <v>48</v>
      </c>
      <c r="AA9" s="586" t="s">
        <v>48</v>
      </c>
      <c r="AB9" s="586" t="s">
        <v>48</v>
      </c>
      <c r="AC9" s="586" t="s">
        <v>48</v>
      </c>
      <c r="AD9" s="586" t="s">
        <v>48</v>
      </c>
      <c r="AE9" s="586" t="s">
        <v>48</v>
      </c>
      <c r="AF9" s="586" t="s">
        <v>48</v>
      </c>
      <c r="AG9" s="586" t="s">
        <v>48</v>
      </c>
      <c r="AH9" s="586" t="s">
        <v>48</v>
      </c>
      <c r="AI9" s="586" t="s">
        <v>48</v>
      </c>
      <c r="AJ9" s="586" t="s">
        <v>48</v>
      </c>
      <c r="AK9" s="586" t="s">
        <v>48</v>
      </c>
      <c r="AL9" s="586" t="s">
        <v>48</v>
      </c>
      <c r="AM9" s="586" t="s">
        <v>48</v>
      </c>
      <c r="AN9" s="586" t="s">
        <v>48</v>
      </c>
      <c r="AO9" s="586" t="s">
        <v>48</v>
      </c>
      <c r="AP9" s="586" t="s">
        <v>48</v>
      </c>
      <c r="AQ9" s="586" t="s">
        <v>48</v>
      </c>
      <c r="AR9" s="586" t="s">
        <v>48</v>
      </c>
      <c r="AS9" s="586" t="s">
        <v>48</v>
      </c>
      <c r="AT9" s="586" t="s">
        <v>48</v>
      </c>
      <c r="AU9" s="586" t="s">
        <v>48</v>
      </c>
      <c r="AV9" s="586" t="s">
        <v>48</v>
      </c>
      <c r="AW9" s="586" t="s">
        <v>48</v>
      </c>
      <c r="AX9" s="586" t="s">
        <v>48</v>
      </c>
      <c r="AY9" s="586" t="s">
        <v>48</v>
      </c>
      <c r="AZ9" s="586" t="s">
        <v>48</v>
      </c>
      <c r="BA9" s="586" t="s">
        <v>48</v>
      </c>
      <c r="BB9" s="586" t="s">
        <v>48</v>
      </c>
      <c r="BC9" s="586" t="s">
        <v>48</v>
      </c>
      <c r="BD9" s="586" t="s">
        <v>48</v>
      </c>
      <c r="BE9" s="586" t="s">
        <v>48</v>
      </c>
      <c r="BF9" s="586" t="s">
        <v>48</v>
      </c>
      <c r="BG9" s="586" t="s">
        <v>48</v>
      </c>
      <c r="BH9" s="586" t="s">
        <v>48</v>
      </c>
      <c r="BI9" s="586" t="s">
        <v>48</v>
      </c>
    </row>
    <row r="10" spans="1:61" x14ac:dyDescent="0.2">
      <c r="B10" s="48" t="s">
        <v>2391</v>
      </c>
      <c r="C10" s="14"/>
      <c r="D10" s="14"/>
      <c r="E10" s="14"/>
      <c r="F10" s="14"/>
      <c r="G10" s="14"/>
      <c r="H10" s="441"/>
      <c r="I10" s="49" t="s">
        <v>2392</v>
      </c>
      <c r="J10" s="20"/>
      <c r="K10" s="57"/>
      <c r="L10" s="775" t="s">
        <v>2393</v>
      </c>
      <c r="M10" s="616"/>
      <c r="N10" s="562"/>
      <c r="O10" s="648"/>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x14ac:dyDescent="0.2">
      <c r="B11" s="48" t="s">
        <v>2391</v>
      </c>
      <c r="C11" s="14"/>
      <c r="D11" s="14"/>
      <c r="E11" s="14"/>
      <c r="F11" s="14"/>
      <c r="G11" s="14"/>
      <c r="H11" s="441"/>
      <c r="I11" s="40"/>
      <c r="J11" s="3"/>
      <c r="K11" s="53"/>
      <c r="L11" s="775"/>
      <c r="M11" s="616"/>
      <c r="N11" s="562"/>
      <c r="O11" s="648"/>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94" t="str">
        <f>'Overview (Design)'!A8</f>
        <v>Builder Name:</v>
      </c>
      <c r="AY11" s="562" t="str">
        <f>'Overview (Design)'!G8</f>
        <v>AAA Green Builders</v>
      </c>
      <c r="AZ11" s="562"/>
      <c r="BA11" s="562"/>
      <c r="BB11" s="562"/>
      <c r="BC11" s="562"/>
      <c r="BD11" s="562"/>
      <c r="BE11" s="562"/>
      <c r="BF11" s="562"/>
      <c r="BG11" s="562"/>
      <c r="BH11" s="562"/>
      <c r="BI11" s="562"/>
    </row>
    <row r="12" spans="1:61" s="498" customFormat="1" x14ac:dyDescent="0.2">
      <c r="A12" s="13"/>
      <c r="B12" s="48" t="s">
        <v>2391</v>
      </c>
      <c r="C12" s="14"/>
      <c r="D12" s="14"/>
      <c r="E12" s="14"/>
      <c r="F12" s="14"/>
      <c r="G12" s="14"/>
      <c r="H12" s="441"/>
      <c r="I12" s="40"/>
      <c r="J12" s="3"/>
      <c r="K12" s="53"/>
      <c r="L12" s="775"/>
      <c r="M12" s="616"/>
      <c r="N12" s="562"/>
      <c r="O12" s="648"/>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94"/>
      <c r="AY12" s="562"/>
      <c r="AZ12" s="562"/>
      <c r="BA12" s="562"/>
      <c r="BB12" s="562"/>
      <c r="BC12" s="562"/>
      <c r="BD12" s="562"/>
      <c r="BE12" s="562"/>
      <c r="BF12" s="562"/>
      <c r="BG12" s="562"/>
      <c r="BH12" s="562"/>
      <c r="BI12" s="562"/>
    </row>
    <row r="13" spans="1:61" ht="16" thickBot="1" x14ac:dyDescent="0.25">
      <c r="B13" s="48" t="s">
        <v>2391</v>
      </c>
      <c r="C13" s="14"/>
      <c r="D13" s="14"/>
      <c r="E13" s="14"/>
      <c r="F13" s="14"/>
      <c r="G13" s="14"/>
      <c r="H13" s="441"/>
      <c r="I13" s="40"/>
      <c r="J13" s="3"/>
      <c r="K13" s="53"/>
      <c r="L13" s="775"/>
      <c r="M13" s="616"/>
      <c r="N13" s="562"/>
      <c r="O13" s="648"/>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94" t="str">
        <f>'Overview (Design)'!A9</f>
        <v>Physical Address of Home:</v>
      </c>
      <c r="AY13" s="562" t="str">
        <f>'Overview (Design)'!G9</f>
        <v>6666 Oak St.</v>
      </c>
      <c r="AZ13" s="562"/>
      <c r="BA13" s="562"/>
      <c r="BB13" s="562"/>
      <c r="BC13" s="562"/>
      <c r="BD13" s="562"/>
      <c r="BE13" s="562"/>
      <c r="BF13" s="562"/>
      <c r="BG13" s="562"/>
      <c r="BH13" s="562"/>
      <c r="BI13" s="562"/>
    </row>
    <row r="14" spans="1:61" ht="16" thickTop="1" x14ac:dyDescent="0.2">
      <c r="B14" s="48">
        <v>601.1</v>
      </c>
      <c r="C14" s="14"/>
      <c r="D14" s="14"/>
      <c r="E14" s="14"/>
      <c r="F14" s="14"/>
      <c r="G14" s="14"/>
      <c r="H14" s="441"/>
      <c r="I14" s="131" t="s">
        <v>2394</v>
      </c>
      <c r="J14" s="132"/>
      <c r="K14" s="133"/>
      <c r="L14" s="819" t="s">
        <v>2395</v>
      </c>
      <c r="M14" s="625"/>
      <c r="N14" s="132"/>
      <c r="O14" s="823">
        <f>IFERROR(INDEX({14,12,9,6,3,0},MATCH(AY24,{1,701,1001,1501,2001,2501,100000},1)),0)</f>
        <v>0</v>
      </c>
      <c r="P14" s="74"/>
      <c r="Q14" s="74"/>
      <c r="R14" s="74"/>
      <c r="S14" s="74"/>
      <c r="T14" s="74"/>
      <c r="U14" s="74"/>
      <c r="V14" s="74"/>
      <c r="W14" s="74"/>
      <c r="X14" s="802"/>
      <c r="Y14" s="562"/>
      <c r="Z14" s="562"/>
      <c r="AA14" s="562"/>
      <c r="AB14" s="562"/>
      <c r="AC14" s="562"/>
      <c r="AD14" s="562"/>
      <c r="AE14" s="562"/>
      <c r="AF14" s="562"/>
      <c r="AG14" s="562"/>
      <c r="AH14" s="562"/>
      <c r="AI14" s="562"/>
      <c r="AJ14" s="562"/>
      <c r="AK14" s="562"/>
      <c r="AL14" s="562"/>
      <c r="AM14" s="562"/>
      <c r="AN14" s="190" t="str">
        <f>SUBSTITUTE(SUBSTITUTE(SUBSTITUTE("dpc"&amp;$B14&amp;$C14&amp;$D14&amp;$E14&amp;$F14,".","_"),"(","_"),")","")</f>
        <v>dpc601,1</v>
      </c>
      <c r="AO14" s="190">
        <f>O14</f>
        <v>0</v>
      </c>
      <c r="AP14" s="562"/>
      <c r="AQ14" s="562"/>
      <c r="AR14" s="562" t="str">
        <f>SUBSTITUTE(SUBSTITUTE(SUBSTITUTE("dnt"&amp;$B14&amp;$C14&amp;$D14&amp;$E14&amp;$F14,".","_"),"(","_"),")","")</f>
        <v>dnt601,1</v>
      </c>
      <c r="AS14" s="190">
        <f>X14</f>
        <v>0</v>
      </c>
      <c r="AT14" s="562"/>
      <c r="AU14" s="562"/>
      <c r="AV14" s="562"/>
      <c r="AW14" s="562"/>
      <c r="AX14" s="594" t="str">
        <f>'Overview (Design)'!A10</f>
        <v>Community/Lot #:</v>
      </c>
      <c r="AY14" s="562">
        <f>'Overview (Design)'!G10</f>
        <v>0</v>
      </c>
      <c r="AZ14" s="562"/>
      <c r="BA14" s="562"/>
      <c r="BB14" s="562"/>
      <c r="BC14" s="562"/>
      <c r="BD14" s="562"/>
      <c r="BE14" s="562"/>
      <c r="BF14" s="562"/>
      <c r="BG14" s="562"/>
      <c r="BH14" s="562"/>
      <c r="BI14" s="562"/>
    </row>
    <row r="15" spans="1:61" x14ac:dyDescent="0.2">
      <c r="B15" s="48">
        <v>601.1</v>
      </c>
      <c r="C15" s="14"/>
      <c r="D15" s="14"/>
      <c r="E15" s="14"/>
      <c r="F15" s="14"/>
      <c r="G15" s="14"/>
      <c r="H15" s="441"/>
      <c r="I15" s="99"/>
      <c r="J15" s="98"/>
      <c r="K15" s="65"/>
      <c r="L15" s="820"/>
      <c r="M15" s="610"/>
      <c r="N15" s="98"/>
      <c r="O15" s="793"/>
      <c r="P15" s="64"/>
      <c r="Q15" s="64"/>
      <c r="R15" s="64"/>
      <c r="S15" s="64"/>
      <c r="T15" s="64"/>
      <c r="U15" s="64"/>
      <c r="V15" s="64"/>
      <c r="W15" s="64"/>
      <c r="X15" s="798"/>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94" t="str">
        <f>'Overview (Design)'!A11</f>
        <v>City:</v>
      </c>
      <c r="AY15" s="562" t="str">
        <f>'Overview (Design)'!G11</f>
        <v>Raleigh</v>
      </c>
      <c r="AZ15" s="562"/>
      <c r="BA15" s="562"/>
      <c r="BB15" s="562"/>
      <c r="BC15" s="562"/>
      <c r="BD15" s="562"/>
      <c r="BE15" s="562"/>
      <c r="BF15" s="562"/>
      <c r="BG15" s="562"/>
      <c r="BH15" s="562"/>
      <c r="BI15" s="562"/>
    </row>
    <row r="16" spans="1:61" x14ac:dyDescent="0.2">
      <c r="B16" s="48">
        <v>601.1</v>
      </c>
      <c r="C16" s="14"/>
      <c r="D16" s="14"/>
      <c r="E16" s="14"/>
      <c r="F16" s="14"/>
      <c r="G16" s="14"/>
      <c r="H16" s="441"/>
      <c r="I16" s="99"/>
      <c r="J16" s="98"/>
      <c r="K16" s="65"/>
      <c r="L16" s="820"/>
      <c r="M16" s="610"/>
      <c r="N16" s="98"/>
      <c r="O16" s="793"/>
      <c r="P16" s="64"/>
      <c r="Q16" s="64"/>
      <c r="R16" s="64"/>
      <c r="S16" s="64"/>
      <c r="T16" s="64"/>
      <c r="U16" s="64"/>
      <c r="V16" s="64"/>
      <c r="W16" s="64"/>
      <c r="X16" s="798"/>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94" t="str">
        <f>'Overview (Design)'!A12</f>
        <v>State:</v>
      </c>
      <c r="AY16" s="562" t="str">
        <f>'Overview (Design)'!G12</f>
        <v>North Carolina</v>
      </c>
      <c r="AZ16" s="562"/>
      <c r="BA16" s="562"/>
      <c r="BB16" s="562"/>
      <c r="BC16" s="562" t="str">
        <f>'Overview (Design)'!K12</f>
        <v>State</v>
      </c>
      <c r="BD16" s="562" t="str">
        <f>'Overview (Design)'!L12</f>
        <v>County</v>
      </c>
      <c r="BE16" s="562" t="str">
        <f>'Overview (Design)'!M12</f>
        <v>Radon</v>
      </c>
      <c r="BF16" s="562" t="str">
        <f>'Overview (Design)'!N12</f>
        <v>Climate</v>
      </c>
      <c r="BG16" s="562" t="str">
        <f>'Overview (Design)'!O12</f>
        <v>Moist</v>
      </c>
      <c r="BH16" s="562" t="str">
        <f>'Overview (Design)'!P12</f>
        <v>WarmHumid</v>
      </c>
      <c r="BI16" s="562" t="str">
        <f>'Overview (Design)'!Q12</f>
        <v>Tropical</v>
      </c>
    </row>
    <row r="17" spans="1:61" x14ac:dyDescent="0.2">
      <c r="B17" s="48">
        <v>601.1</v>
      </c>
      <c r="C17" s="14"/>
      <c r="D17" s="14"/>
      <c r="E17" s="14"/>
      <c r="F17" s="14"/>
      <c r="G17" s="14"/>
      <c r="H17" s="441"/>
      <c r="I17" s="99"/>
      <c r="J17" s="98"/>
      <c r="K17" s="65"/>
      <c r="L17" s="820"/>
      <c r="M17" s="610"/>
      <c r="N17" s="98"/>
      <c r="O17" s="793"/>
      <c r="P17" s="64"/>
      <c r="Q17" s="64"/>
      <c r="R17" s="64"/>
      <c r="S17" s="64"/>
      <c r="T17" s="64"/>
      <c r="U17" s="64"/>
      <c r="V17" s="64"/>
      <c r="W17" s="64"/>
      <c r="X17" s="798"/>
      <c r="Y17" s="562"/>
      <c r="Z17" s="562"/>
      <c r="AA17" s="562"/>
      <c r="AB17" s="562"/>
      <c r="AC17" s="562" t="b">
        <f>OR(AD17:AE17)</f>
        <v>0</v>
      </c>
      <c r="AD17" s="562" t="b">
        <v>0</v>
      </c>
      <c r="AE17" s="562" t="b">
        <v>0</v>
      </c>
      <c r="AF17" s="562"/>
      <c r="AG17" s="562"/>
      <c r="AH17" s="562"/>
      <c r="AI17" s="562"/>
      <c r="AJ17" s="562"/>
      <c r="AK17" s="562"/>
      <c r="AL17" s="562"/>
      <c r="AM17" s="562"/>
      <c r="AN17" s="562"/>
      <c r="AO17" s="562"/>
      <c r="AP17" s="562"/>
      <c r="AQ17" s="562"/>
      <c r="AR17" s="562"/>
      <c r="AS17" s="562"/>
      <c r="AT17" s="562"/>
      <c r="AU17" s="562"/>
      <c r="AV17" s="562"/>
      <c r="AW17" s="562"/>
      <c r="AX17" s="594" t="str">
        <f>'Overview (Design)'!A13</f>
        <v>County:</v>
      </c>
      <c r="AY17" s="562">
        <f>'Overview (Design)'!G13</f>
        <v>0</v>
      </c>
      <c r="AZ17" s="562"/>
      <c r="BA17" s="562"/>
      <c r="BB17" s="562"/>
      <c r="BC17" s="562" t="str">
        <f>'Overview (Design)'!K13</f>
        <v>North Carolina</v>
      </c>
      <c r="BD17" s="562" t="str">
        <f>'Overview (Design)'!L13</f>
        <v/>
      </c>
      <c r="BE17" s="562" t="str">
        <f>'Overview (Design)'!M13</f>
        <v>!!</v>
      </c>
      <c r="BF17" s="562" t="str">
        <f>'Overview (Design)'!N13</f>
        <v>!!</v>
      </c>
      <c r="BG17" s="562" t="str">
        <f>'Overview (Design)'!O13</f>
        <v>!!</v>
      </c>
      <c r="BH17" s="562" t="str">
        <f>'Overview (Design)'!P13</f>
        <v>!!</v>
      </c>
      <c r="BI17" s="562" t="str">
        <f>'Overview (Design)'!Q13</f>
        <v>!!</v>
      </c>
    </row>
    <row r="18" spans="1:61" ht="17" x14ac:dyDescent="0.2">
      <c r="B18" s="48">
        <v>601.1</v>
      </c>
      <c r="C18" s="14"/>
      <c r="D18" s="14"/>
      <c r="E18" s="14" t="s">
        <v>2181</v>
      </c>
      <c r="F18" s="14"/>
      <c r="G18" s="14"/>
      <c r="H18" s="441"/>
      <c r="I18" s="99"/>
      <c r="J18" s="159" t="s">
        <v>2181</v>
      </c>
      <c r="K18" s="126"/>
      <c r="L18" s="606" t="s">
        <v>2396</v>
      </c>
      <c r="M18" s="611">
        <v>14</v>
      </c>
      <c r="N18" s="98"/>
      <c r="O18" s="607"/>
      <c r="P18" s="64"/>
      <c r="Q18" s="64"/>
      <c r="R18" s="64"/>
      <c r="S18" s="64"/>
      <c r="T18" s="64"/>
      <c r="U18" s="64"/>
      <c r="V18" s="64"/>
      <c r="W18" s="64"/>
      <c r="X18" s="798"/>
      <c r="Y18" s="562"/>
      <c r="Z18" s="562"/>
      <c r="AA18" s="562"/>
      <c r="AB18" s="562"/>
      <c r="AC18" s="562"/>
      <c r="AD18" s="562"/>
      <c r="AE18" s="562"/>
      <c r="AF18" s="562"/>
      <c r="AG18" s="562"/>
      <c r="AH18" s="562"/>
      <c r="AI18" s="562"/>
      <c r="AJ18" s="562"/>
      <c r="AK18" s="562"/>
      <c r="AL18" s="190" t="str">
        <f>SUBSTITUTE(SUBSTITUTE(SUBSTITUTE("dpa"&amp;$B18&amp;$C18&amp;$D18&amp;$E18&amp;$F18,".","_"),"(","_"),")","")</f>
        <v>dpa601,1_1</v>
      </c>
      <c r="AM18" s="190">
        <f>M18</f>
        <v>14</v>
      </c>
      <c r="AN18" s="562"/>
      <c r="AO18" s="562"/>
      <c r="AP18" s="562"/>
      <c r="AQ18" s="562"/>
      <c r="AR18" s="562"/>
      <c r="AS18" s="562"/>
      <c r="AT18" s="562"/>
      <c r="AU18" s="562"/>
      <c r="AV18" s="562"/>
      <c r="AW18" s="562"/>
      <c r="AX18" s="594" t="str">
        <f>'Overview (Design)'!A14</f>
        <v>Zip:</v>
      </c>
      <c r="AY18" s="562" t="str">
        <f>'Overview (Design)'!G14</f>
        <v>99999</v>
      </c>
      <c r="AZ18" s="562"/>
      <c r="BA18" s="562"/>
      <c r="BB18" s="562"/>
      <c r="BC18" s="562"/>
      <c r="BD18" s="562"/>
      <c r="BE18" s="562"/>
      <c r="BF18" s="562"/>
      <c r="BG18" s="562"/>
      <c r="BH18" s="562"/>
      <c r="BI18" s="562"/>
    </row>
    <row r="19" spans="1:61" ht="17" x14ac:dyDescent="0.2">
      <c r="B19" s="48">
        <v>601.1</v>
      </c>
      <c r="C19" s="14"/>
      <c r="D19" s="14"/>
      <c r="E19" s="14" t="s">
        <v>2183</v>
      </c>
      <c r="F19" s="14"/>
      <c r="G19" s="14"/>
      <c r="H19" s="441"/>
      <c r="I19" s="99"/>
      <c r="J19" s="161" t="s">
        <v>2183</v>
      </c>
      <c r="K19" s="162"/>
      <c r="L19" s="204" t="s">
        <v>2397</v>
      </c>
      <c r="M19" s="249">
        <v>12</v>
      </c>
      <c r="N19" s="98"/>
      <c r="O19" s="607"/>
      <c r="P19" s="64"/>
      <c r="Q19" s="64"/>
      <c r="R19" s="64"/>
      <c r="S19" s="64"/>
      <c r="T19" s="64"/>
      <c r="U19" s="64"/>
      <c r="V19" s="64"/>
      <c r="W19" s="64"/>
      <c r="X19" s="798"/>
      <c r="Y19" s="562"/>
      <c r="Z19" s="562"/>
      <c r="AA19" s="562"/>
      <c r="AB19" s="562"/>
      <c r="AC19" s="562"/>
      <c r="AD19" s="562"/>
      <c r="AE19" s="562"/>
      <c r="AF19" s="562"/>
      <c r="AG19" s="562"/>
      <c r="AH19" s="562"/>
      <c r="AI19" s="562"/>
      <c r="AJ19" s="562"/>
      <c r="AK19" s="562"/>
      <c r="AL19" s="190" t="str">
        <f>SUBSTITUTE(SUBSTITUTE(SUBSTITUTE("dpa"&amp;$B19&amp;$C19&amp;$D19&amp;$E19&amp;$F19,".","_"),"(","_"),")","")</f>
        <v>dpa601,1_2</v>
      </c>
      <c r="AM19" s="190">
        <f>M19</f>
        <v>12</v>
      </c>
      <c r="AN19" s="562"/>
      <c r="AO19" s="562"/>
      <c r="AP19" s="562"/>
      <c r="AQ19" s="562"/>
      <c r="AR19" s="562"/>
      <c r="AS19" s="562"/>
      <c r="AT19" s="562"/>
      <c r="AU19" s="562"/>
      <c r="AV19" s="562"/>
      <c r="AW19" s="562"/>
      <c r="AX19" s="594"/>
      <c r="AY19" s="562"/>
      <c r="AZ19" s="562"/>
      <c r="BA19" s="562"/>
      <c r="BB19" s="562"/>
      <c r="BC19" s="562"/>
      <c r="BD19" s="562"/>
      <c r="BE19" s="562"/>
      <c r="BF19" s="562"/>
      <c r="BG19" s="562"/>
      <c r="BH19" s="562"/>
      <c r="BI19" s="562"/>
    </row>
    <row r="20" spans="1:61" ht="17" x14ac:dyDescent="0.2">
      <c r="B20" s="48">
        <v>601.1</v>
      </c>
      <c r="C20" s="14"/>
      <c r="D20" s="14"/>
      <c r="E20" s="14" t="s">
        <v>2185</v>
      </c>
      <c r="F20" s="14"/>
      <c r="G20" s="14"/>
      <c r="H20" s="441"/>
      <c r="I20" s="99"/>
      <c r="J20" s="161" t="s">
        <v>2185</v>
      </c>
      <c r="K20" s="162"/>
      <c r="L20" s="204" t="s">
        <v>2398</v>
      </c>
      <c r="M20" s="249">
        <v>9</v>
      </c>
      <c r="N20" s="98"/>
      <c r="O20" s="607"/>
      <c r="P20" s="64"/>
      <c r="Q20" s="64"/>
      <c r="R20" s="64"/>
      <c r="S20" s="64"/>
      <c r="T20" s="64"/>
      <c r="U20" s="64"/>
      <c r="V20" s="64"/>
      <c r="W20" s="64"/>
      <c r="X20" s="798"/>
      <c r="Y20" s="562"/>
      <c r="Z20" s="562"/>
      <c r="AA20" s="562"/>
      <c r="AB20" s="562"/>
      <c r="AC20" s="562"/>
      <c r="AD20" s="562"/>
      <c r="AE20" s="562"/>
      <c r="AF20" s="562"/>
      <c r="AG20" s="562"/>
      <c r="AH20" s="562"/>
      <c r="AI20" s="562"/>
      <c r="AJ20" s="562"/>
      <c r="AK20" s="562"/>
      <c r="AL20" s="190" t="str">
        <f t="shared" ref="AL20:AL22" si="0">SUBSTITUTE(SUBSTITUTE(SUBSTITUTE("dpa"&amp;$B20&amp;$C20&amp;$D20&amp;$E20&amp;$F20,".","_"),"(","_"),")","")</f>
        <v>dpa601,1_3</v>
      </c>
      <c r="AM20" s="190">
        <f>M20</f>
        <v>9</v>
      </c>
      <c r="AN20" s="562"/>
      <c r="AO20" s="562"/>
      <c r="AP20" s="562"/>
      <c r="AQ20" s="562"/>
      <c r="AR20" s="562"/>
      <c r="AS20" s="562"/>
      <c r="AT20" s="562"/>
      <c r="AU20" s="562"/>
      <c r="AV20" s="562"/>
      <c r="AW20" s="562"/>
      <c r="AX20" s="594" t="str">
        <f>'Overview (Design)'!A16</f>
        <v>Single-Family or Multifamily:</v>
      </c>
      <c r="AY20" s="562" t="str">
        <f>'Overview (Design)'!G16</f>
        <v>Single-Family</v>
      </c>
      <c r="AZ20" s="562"/>
      <c r="BA20" s="562"/>
      <c r="BB20" s="562"/>
      <c r="BC20" s="562"/>
      <c r="BD20" s="562"/>
      <c r="BE20" s="562"/>
      <c r="BF20" s="562"/>
      <c r="BG20" s="562"/>
      <c r="BH20" s="562"/>
      <c r="BI20" s="562"/>
    </row>
    <row r="21" spans="1:61" ht="17" x14ac:dyDescent="0.2">
      <c r="B21" s="48">
        <v>601.1</v>
      </c>
      <c r="C21" s="14"/>
      <c r="D21" s="14"/>
      <c r="E21" s="14" t="s">
        <v>2192</v>
      </c>
      <c r="F21" s="14"/>
      <c r="G21" s="14"/>
      <c r="H21" s="441"/>
      <c r="I21" s="99"/>
      <c r="J21" s="161" t="s">
        <v>2192</v>
      </c>
      <c r="K21" s="162"/>
      <c r="L21" s="204" t="s">
        <v>2399</v>
      </c>
      <c r="M21" s="249">
        <v>6</v>
      </c>
      <c r="N21" s="98"/>
      <c r="O21" s="607"/>
      <c r="P21" s="64"/>
      <c r="Q21" s="64"/>
      <c r="R21" s="64"/>
      <c r="S21" s="64"/>
      <c r="T21" s="64"/>
      <c r="U21" s="64"/>
      <c r="V21" s="64"/>
      <c r="W21" s="64"/>
      <c r="X21" s="798"/>
      <c r="Y21" s="562"/>
      <c r="Z21" s="562"/>
      <c r="AA21" s="562"/>
      <c r="AB21" s="562"/>
      <c r="AC21" s="562"/>
      <c r="AD21" s="562"/>
      <c r="AE21" s="562"/>
      <c r="AF21" s="562"/>
      <c r="AG21" s="562"/>
      <c r="AH21" s="562"/>
      <c r="AI21" s="562"/>
      <c r="AJ21" s="562"/>
      <c r="AK21" s="562"/>
      <c r="AL21" s="190" t="str">
        <f t="shared" si="0"/>
        <v>dpa601,1_4</v>
      </c>
      <c r="AM21" s="190">
        <f>M21</f>
        <v>6</v>
      </c>
      <c r="AN21" s="562"/>
      <c r="AO21" s="562"/>
      <c r="AP21" s="562"/>
      <c r="AQ21" s="562"/>
      <c r="AR21" s="562"/>
      <c r="AS21" s="562"/>
      <c r="AT21" s="562"/>
      <c r="AU21" s="562"/>
      <c r="AV21" s="562"/>
      <c r="AW21" s="562"/>
      <c r="AX21" s="594" t="str">
        <f>'Overview (Design)'!A17</f>
        <v>Number of Units:</v>
      </c>
      <c r="AY21" s="562">
        <f>'Overview (Design)'!G17</f>
        <v>0</v>
      </c>
      <c r="AZ21" s="562"/>
      <c r="BA21" s="562"/>
      <c r="BB21" s="562"/>
      <c r="BC21" s="562"/>
      <c r="BD21" s="562"/>
      <c r="BE21" s="562"/>
      <c r="BF21" s="562"/>
      <c r="BG21" s="562"/>
      <c r="BH21" s="562"/>
      <c r="BI21" s="562"/>
    </row>
    <row r="22" spans="1:61" ht="17" x14ac:dyDescent="0.2">
      <c r="B22" s="48">
        <v>601.1</v>
      </c>
      <c r="C22" s="14"/>
      <c r="D22" s="14"/>
      <c r="E22" s="14" t="s">
        <v>2194</v>
      </c>
      <c r="F22" s="14"/>
      <c r="G22" s="14"/>
      <c r="H22" s="441"/>
      <c r="I22" s="99"/>
      <c r="J22" s="161" t="s">
        <v>2194</v>
      </c>
      <c r="K22" s="162"/>
      <c r="L22" s="204" t="s">
        <v>2400</v>
      </c>
      <c r="M22" s="249">
        <v>3</v>
      </c>
      <c r="N22" s="98"/>
      <c r="O22" s="607"/>
      <c r="P22" s="64"/>
      <c r="Q22" s="64"/>
      <c r="R22" s="64"/>
      <c r="S22" s="64"/>
      <c r="T22" s="64"/>
      <c r="U22" s="64"/>
      <c r="V22" s="64"/>
      <c r="W22" s="64"/>
      <c r="X22" s="798"/>
      <c r="Y22" s="562"/>
      <c r="Z22" s="562"/>
      <c r="AA22" s="562"/>
      <c r="AB22" s="562"/>
      <c r="AC22" s="562"/>
      <c r="AD22" s="562"/>
      <c r="AE22" s="562"/>
      <c r="AF22" s="562"/>
      <c r="AG22" s="562"/>
      <c r="AH22" s="562"/>
      <c r="AI22" s="562"/>
      <c r="AJ22" s="562"/>
      <c r="AK22" s="562"/>
      <c r="AL22" s="190" t="str">
        <f t="shared" si="0"/>
        <v>dpa601,1_5</v>
      </c>
      <c r="AM22" s="190">
        <f>M22</f>
        <v>3</v>
      </c>
      <c r="AN22" s="562"/>
      <c r="AO22" s="562"/>
      <c r="AP22" s="562"/>
      <c r="AQ22" s="562"/>
      <c r="AR22" s="562"/>
      <c r="AS22" s="562"/>
      <c r="AT22" s="562"/>
      <c r="AU22" s="562"/>
      <c r="AV22" s="562"/>
      <c r="AW22" s="562"/>
      <c r="AX22" s="594" t="str">
        <f>'Overview (Design)'!A18</f>
        <v>Project Name:</v>
      </c>
      <c r="AY22" s="562">
        <f>'Overview (Design)'!G18</f>
        <v>0</v>
      </c>
      <c r="AZ22" s="562"/>
      <c r="BA22" s="562"/>
      <c r="BB22" s="562"/>
      <c r="BC22" s="562"/>
      <c r="BD22" s="562"/>
      <c r="BE22" s="562"/>
      <c r="BF22" s="562"/>
      <c r="BG22" s="562"/>
      <c r="BH22" s="562"/>
      <c r="BI22" s="562"/>
    </row>
    <row r="23" spans="1:61" ht="17" x14ac:dyDescent="0.2">
      <c r="B23" s="48">
        <v>601.1</v>
      </c>
      <c r="C23" s="14"/>
      <c r="D23" s="14"/>
      <c r="E23" s="14" t="s">
        <v>2221</v>
      </c>
      <c r="F23" s="14"/>
      <c r="G23" s="14"/>
      <c r="H23" s="441"/>
      <c r="I23" s="99"/>
      <c r="J23" s="134" t="s">
        <v>2221</v>
      </c>
      <c r="K23" s="65"/>
      <c r="L23" s="605" t="s">
        <v>2401</v>
      </c>
      <c r="M23" s="630" t="str">
        <f>IF(AY24&gt;4000,"Mandatory","N/A")</f>
        <v>N/A</v>
      </c>
      <c r="N23" s="98"/>
      <c r="O23" s="607"/>
      <c r="P23" s="64"/>
      <c r="Q23" s="64"/>
      <c r="R23" s="64"/>
      <c r="S23" s="64"/>
      <c r="T23" s="64"/>
      <c r="U23" s="64"/>
      <c r="V23" s="64"/>
      <c r="W23" s="64"/>
      <c r="X23" s="798"/>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94"/>
      <c r="AY23" s="562"/>
      <c r="AZ23" s="562"/>
      <c r="BA23" s="562"/>
      <c r="BB23" s="562"/>
      <c r="BC23" s="562"/>
      <c r="BD23" s="562"/>
      <c r="BE23" s="562"/>
      <c r="BF23" s="562"/>
      <c r="BG23" s="562"/>
      <c r="BH23" s="562"/>
      <c r="BI23" s="562"/>
    </row>
    <row r="24" spans="1:61" x14ac:dyDescent="0.2">
      <c r="B24" s="48">
        <v>601.1</v>
      </c>
      <c r="C24" s="14"/>
      <c r="D24" s="14"/>
      <c r="E24" s="14" t="s">
        <v>2221</v>
      </c>
      <c r="F24" s="14"/>
      <c r="G24" s="14"/>
      <c r="H24" s="441"/>
      <c r="I24" s="99"/>
      <c r="J24" s="98"/>
      <c r="K24" s="65"/>
      <c r="L24" s="820" t="s">
        <v>2402</v>
      </c>
      <c r="M24" s="135" t="s">
        <v>2403</v>
      </c>
      <c r="N24" s="98"/>
      <c r="O24" s="607"/>
      <c r="P24" s="64"/>
      <c r="Q24" s="64"/>
      <c r="R24" s="64"/>
      <c r="S24" s="64"/>
      <c r="T24" s="64"/>
      <c r="U24" s="64"/>
      <c r="V24" s="64"/>
      <c r="W24" s="64"/>
      <c r="X24" s="798"/>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94" t="str">
        <f>'Overview (Design)'!A21</f>
        <v>Above grade plane finished floor area:</v>
      </c>
      <c r="AY24" s="562">
        <f>'Overview (Design)'!G21</f>
        <v>0</v>
      </c>
      <c r="AZ24" s="562"/>
      <c r="BA24" s="562"/>
      <c r="BB24" s="562"/>
      <c r="BC24" s="562"/>
      <c r="BD24" s="562"/>
      <c r="BE24" s="562"/>
      <c r="BF24" s="562"/>
      <c r="BG24" s="562"/>
      <c r="BH24" s="562"/>
      <c r="BI24" s="562"/>
    </row>
    <row r="25" spans="1:61" x14ac:dyDescent="0.2">
      <c r="B25" s="48">
        <v>601.1</v>
      </c>
      <c r="C25" s="14"/>
      <c r="D25" s="14"/>
      <c r="E25" s="14" t="s">
        <v>2221</v>
      </c>
      <c r="F25" s="14"/>
      <c r="G25" s="14"/>
      <c r="H25" s="441"/>
      <c r="I25" s="99"/>
      <c r="J25" s="98"/>
      <c r="K25" s="65"/>
      <c r="L25" s="820"/>
      <c r="M25" s="135">
        <f>MAX(0,ROUNDDOWN((AY24-4000)/100,0))</f>
        <v>0</v>
      </c>
      <c r="N25" s="98"/>
      <c r="O25" s="607"/>
      <c r="P25" s="64"/>
      <c r="Q25" s="64"/>
      <c r="R25" s="64"/>
      <c r="S25" s="64"/>
      <c r="T25" s="64"/>
      <c r="U25" s="64"/>
      <c r="V25" s="64"/>
      <c r="W25" s="64"/>
      <c r="X25" s="798"/>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94" t="str">
        <f>'Overview (Design)'!A22</f>
        <v>Total conditioned floor area:</v>
      </c>
      <c r="AY25" s="562">
        <f>'Overview (Design)'!G22</f>
        <v>0</v>
      </c>
      <c r="AZ25" s="562"/>
      <c r="BA25" s="562"/>
      <c r="BB25" s="562"/>
      <c r="BC25" s="562"/>
      <c r="BD25" s="562"/>
      <c r="BE25" s="562"/>
      <c r="BF25" s="562"/>
      <c r="BG25" s="562"/>
      <c r="BH25" s="562"/>
      <c r="BI25" s="562"/>
    </row>
    <row r="26" spans="1:61" ht="15" customHeight="1" x14ac:dyDescent="0.2">
      <c r="B26" s="48">
        <v>601.1</v>
      </c>
      <c r="C26" s="14"/>
      <c r="D26" s="14"/>
      <c r="E26" s="14" t="s">
        <v>2221</v>
      </c>
      <c r="F26" s="14"/>
      <c r="G26" s="14"/>
      <c r="H26" s="441"/>
      <c r="I26" s="99"/>
      <c r="J26" s="98"/>
      <c r="K26" s="562"/>
      <c r="L26" s="816" t="s">
        <v>2404</v>
      </c>
      <c r="M26" s="610"/>
      <c r="N26" s="98"/>
      <c r="O26" s="607"/>
      <c r="P26" s="64"/>
      <c r="Q26" s="64"/>
      <c r="R26" s="64"/>
      <c r="S26" s="64"/>
      <c r="T26" s="64"/>
      <c r="U26" s="64"/>
      <c r="V26" s="64"/>
      <c r="W26" s="64"/>
      <c r="X26" s="798"/>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94" t="str">
        <f>'Overview (Design)'!A23</f>
        <v>Stories above grade:</v>
      </c>
      <c r="AY26" s="562">
        <f>'Overview (Design)'!G23</f>
        <v>0</v>
      </c>
      <c r="AZ26" s="562"/>
      <c r="BA26" s="562"/>
      <c r="BB26" s="562"/>
      <c r="BC26" s="562"/>
      <c r="BD26" s="562"/>
      <c r="BE26" s="562"/>
      <c r="BF26" s="562"/>
      <c r="BG26" s="562"/>
      <c r="BH26" s="562"/>
      <c r="BI26" s="562"/>
    </row>
    <row r="27" spans="1:61" ht="16" thickBot="1" x14ac:dyDescent="0.25">
      <c r="B27" s="48">
        <v>601.1</v>
      </c>
      <c r="C27" s="14"/>
      <c r="D27" s="14"/>
      <c r="E27" s="14" t="s">
        <v>2221</v>
      </c>
      <c r="F27" s="14"/>
      <c r="G27" s="14"/>
      <c r="H27" s="441"/>
      <c r="I27" s="99"/>
      <c r="J27" s="98"/>
      <c r="K27" s="287"/>
      <c r="L27" s="816"/>
      <c r="M27" s="610"/>
      <c r="N27" s="98"/>
      <c r="O27" s="607"/>
      <c r="P27" s="64"/>
      <c r="Q27" s="64"/>
      <c r="R27" s="64"/>
      <c r="S27" s="64"/>
      <c r="T27" s="64"/>
      <c r="U27" s="64"/>
      <c r="V27" s="64"/>
      <c r="W27" s="64"/>
      <c r="X27" s="825"/>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row>
    <row r="28" spans="1:61" ht="16" thickTop="1" x14ac:dyDescent="0.2">
      <c r="B28" s="48">
        <v>601.20000000000005</v>
      </c>
      <c r="C28" s="14"/>
      <c r="D28" s="14"/>
      <c r="E28" s="14"/>
      <c r="F28" s="14"/>
      <c r="G28" s="14"/>
      <c r="H28" s="441"/>
      <c r="I28" s="131" t="s">
        <v>2405</v>
      </c>
      <c r="J28" s="132"/>
      <c r="K28" s="133"/>
      <c r="L28" s="819" t="s">
        <v>2406</v>
      </c>
      <c r="M28" s="625"/>
      <c r="N28" s="132"/>
      <c r="O28" s="623"/>
      <c r="P28" s="74"/>
      <c r="Q28" s="74"/>
      <c r="R28" s="74"/>
      <c r="S28" s="74"/>
      <c r="T28" s="74"/>
      <c r="U28" s="74"/>
      <c r="V28" s="74"/>
      <c r="W28" s="74"/>
      <c r="X28" s="136"/>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94" t="str">
        <f>'Overview (Design)'!A25</f>
        <v xml:space="preserve">Project Description (optional): </v>
      </c>
      <c r="AY28" s="562">
        <f>'Overview (Design)'!G25</f>
        <v>0</v>
      </c>
      <c r="AZ28" s="562"/>
      <c r="BA28" s="562"/>
      <c r="BB28" s="562"/>
      <c r="BC28" s="562"/>
      <c r="BD28" s="562"/>
      <c r="BE28" s="562"/>
      <c r="BF28" s="562"/>
      <c r="BG28" s="562"/>
      <c r="BH28" s="562"/>
      <c r="BI28" s="562"/>
    </row>
    <row r="29" spans="1:61" x14ac:dyDescent="0.2">
      <c r="B29" s="48">
        <v>601.20000000000005</v>
      </c>
      <c r="C29" s="14"/>
      <c r="D29" s="14"/>
      <c r="E29" s="14"/>
      <c r="F29" s="14"/>
      <c r="G29" s="14"/>
      <c r="H29" s="441"/>
      <c r="I29" s="99"/>
      <c r="J29" s="98"/>
      <c r="K29" s="65"/>
      <c r="L29" s="820"/>
      <c r="M29" s="610"/>
      <c r="N29" s="98"/>
      <c r="O29" s="607"/>
      <c r="P29" s="64"/>
      <c r="Q29" s="64"/>
      <c r="R29" s="64"/>
      <c r="S29" s="64"/>
      <c r="T29" s="64"/>
      <c r="U29" s="64"/>
      <c r="V29" s="64"/>
      <c r="W29" s="64"/>
      <c r="X29" s="8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row>
    <row r="30" spans="1:61" s="481" customFormat="1" x14ac:dyDescent="0.2">
      <c r="A30" s="13"/>
      <c r="B30" s="48">
        <v>601.20000000000005</v>
      </c>
      <c r="C30" s="14"/>
      <c r="D30" s="14"/>
      <c r="E30" s="14"/>
      <c r="F30" s="14"/>
      <c r="G30" s="14"/>
      <c r="H30" s="441"/>
      <c r="I30" s="99"/>
      <c r="J30" s="98"/>
      <c r="K30" s="65"/>
      <c r="L30" s="846" t="s">
        <v>2407</v>
      </c>
      <c r="M30" s="610"/>
      <c r="N30" s="98"/>
      <c r="O30" s="607"/>
      <c r="P30" s="64"/>
      <c r="Q30" s="64"/>
      <c r="R30" s="64"/>
      <c r="S30" s="64"/>
      <c r="T30" s="64"/>
      <c r="U30" s="64"/>
      <c r="V30" s="64"/>
      <c r="W30" s="64"/>
      <c r="X30" s="8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row>
    <row r="31" spans="1:61" s="481" customFormat="1" x14ac:dyDescent="0.2">
      <c r="A31" s="13"/>
      <c r="B31" s="48">
        <v>601.20000000000005</v>
      </c>
      <c r="C31" s="14"/>
      <c r="D31" s="14"/>
      <c r="E31" s="14"/>
      <c r="F31" s="14"/>
      <c r="G31" s="14"/>
      <c r="H31" s="441"/>
      <c r="I31" s="99"/>
      <c r="J31" s="98"/>
      <c r="K31" s="65"/>
      <c r="L31" s="846"/>
      <c r="M31" s="610"/>
      <c r="N31" s="98"/>
      <c r="O31" s="607"/>
      <c r="P31" s="64"/>
      <c r="Q31" s="64"/>
      <c r="R31" s="64"/>
      <c r="S31" s="64"/>
      <c r="T31" s="64"/>
      <c r="U31" s="64"/>
      <c r="V31" s="64"/>
      <c r="W31" s="64"/>
      <c r="X31" s="8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row>
    <row r="32" spans="1:61" x14ac:dyDescent="0.2">
      <c r="B32" s="48">
        <v>601.20000000000005</v>
      </c>
      <c r="C32" s="14"/>
      <c r="D32" s="14"/>
      <c r="E32" s="14" t="s">
        <v>2181</v>
      </c>
      <c r="F32" s="14"/>
      <c r="G32" s="14"/>
      <c r="H32" s="441"/>
      <c r="I32" s="40"/>
      <c r="J32" s="134" t="s">
        <v>2181</v>
      </c>
      <c r="K32" s="65"/>
      <c r="L32" s="791" t="s">
        <v>2408</v>
      </c>
      <c r="M32" s="800">
        <v>3</v>
      </c>
      <c r="N32" s="98"/>
      <c r="O32" s="793">
        <f>M32*S32*W32</f>
        <v>0</v>
      </c>
      <c r="P32" s="562" t="b">
        <v>1</v>
      </c>
      <c r="Q32" s="562" t="b">
        <v>0</v>
      </c>
      <c r="R32" s="562" t="b">
        <v>0</v>
      </c>
      <c r="S32" s="562" t="b">
        <v>1</v>
      </c>
      <c r="T32" s="562" t="b">
        <v>0</v>
      </c>
      <c r="U32" s="562"/>
      <c r="V32" s="562"/>
      <c r="W32" s="18"/>
      <c r="X32" s="787"/>
      <c r="Y32" s="562"/>
      <c r="Z32" s="562"/>
      <c r="AA32" s="562"/>
      <c r="AB32" s="562"/>
      <c r="AC32" s="562"/>
      <c r="AD32" s="562"/>
      <c r="AE32" s="562"/>
      <c r="AF32" s="562"/>
      <c r="AG32" s="562"/>
      <c r="AH32" s="562"/>
      <c r="AI32" s="562"/>
      <c r="AJ32" s="562"/>
      <c r="AK32" s="562"/>
      <c r="AL32" s="190" t="str">
        <f>SUBSTITUTE(SUBSTITUTE(SUBSTITUTE("dpa"&amp;$B32&amp;$C32&amp;$D32&amp;$E32&amp;$F32,".","_"),"(","_"),")","")</f>
        <v>dpa601,2_1</v>
      </c>
      <c r="AM32" s="190">
        <f>M32</f>
        <v>3</v>
      </c>
      <c r="AN32" s="190" t="str">
        <f>SUBSTITUTE(SUBSTITUTE(SUBSTITUTE("dpc"&amp;$B32&amp;$C32&amp;$D32&amp;$E32&amp;$F32,".","_"),"(","_"),")","")</f>
        <v>dpc601,2_1</v>
      </c>
      <c r="AO32" s="190">
        <f>O32</f>
        <v>0</v>
      </c>
      <c r="AP32" s="562" t="str">
        <f t="shared" ref="AP32" si="1">SUBSTITUTE(SUBSTITUTE(SUBSTITUTE("dch"&amp;$B32&amp;$C32&amp;$D32&amp;$E32&amp;$F32,".","_"),"(","_"),")","")</f>
        <v>dch601,2_1</v>
      </c>
      <c r="AQ32" s="190">
        <f>W32</f>
        <v>0</v>
      </c>
      <c r="AR32" s="562" t="str">
        <f>SUBSTITUTE(SUBSTITUTE(SUBSTITUTE("dnt"&amp;$B32&amp;$C32&amp;$D32&amp;$E32&amp;$F32,".","_"),"(","_"),")","")</f>
        <v>dnt601,2_1</v>
      </c>
      <c r="AS32" s="190">
        <f>X32</f>
        <v>0</v>
      </c>
      <c r="AT32" s="562"/>
      <c r="AU32" s="562"/>
      <c r="AV32" s="562"/>
      <c r="AW32" s="562"/>
      <c r="AX32" s="594" t="str">
        <f>'Overview (Design)'!A27</f>
        <v>HERS Index (if available):</v>
      </c>
      <c r="AY32" s="562">
        <f>'Overview (Design)'!G27</f>
        <v>0</v>
      </c>
      <c r="AZ32" s="562"/>
      <c r="BA32" s="562"/>
      <c r="BB32" s="562"/>
      <c r="BC32" s="562"/>
      <c r="BD32" s="562"/>
      <c r="BE32" s="562"/>
      <c r="BF32" s="562"/>
      <c r="BG32" s="562"/>
      <c r="BH32" s="562"/>
      <c r="BI32" s="562"/>
    </row>
    <row r="33" spans="1:52" x14ac:dyDescent="0.2">
      <c r="B33" s="48">
        <v>601.20000000000005</v>
      </c>
      <c r="C33" s="14"/>
      <c r="D33" s="14"/>
      <c r="E33" s="14" t="s">
        <v>2181</v>
      </c>
      <c r="F33" s="14"/>
      <c r="G33" s="14"/>
      <c r="H33" s="441"/>
      <c r="I33" s="40"/>
      <c r="J33" s="98"/>
      <c r="K33" s="65"/>
      <c r="L33" s="791"/>
      <c r="M33" s="800"/>
      <c r="N33" s="98"/>
      <c r="O33" s="793"/>
      <c r="P33" s="562"/>
      <c r="Q33" s="562"/>
      <c r="R33" s="562"/>
      <c r="S33" s="562"/>
      <c r="T33" s="562"/>
      <c r="U33" s="562"/>
      <c r="V33" s="562"/>
      <c r="W33" s="562"/>
      <c r="X33" s="787"/>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94" t="str">
        <f>'Overview (Design)'!A28</f>
        <v>Foundation Type:</v>
      </c>
      <c r="AY33" s="562">
        <f>'Overview (Design)'!G28</f>
        <v>0</v>
      </c>
      <c r="AZ33" s="1">
        <f>IFERROR(MATCH(AY33,ddFoundation,0),0)</f>
        <v>0</v>
      </c>
    </row>
    <row r="34" spans="1:52" x14ac:dyDescent="0.2">
      <c r="B34" s="48">
        <v>601.20000000000005</v>
      </c>
      <c r="C34" s="14"/>
      <c r="D34" s="14"/>
      <c r="E34" s="14" t="s">
        <v>2181</v>
      </c>
      <c r="F34" s="14"/>
      <c r="G34" s="14"/>
      <c r="H34" s="441"/>
      <c r="I34" s="40"/>
      <c r="J34" s="165"/>
      <c r="K34" s="126"/>
      <c r="L34" s="792"/>
      <c r="M34" s="801"/>
      <c r="N34" s="165"/>
      <c r="O34" s="794"/>
      <c r="P34" s="562"/>
      <c r="Q34" s="562"/>
      <c r="R34" s="562"/>
      <c r="S34" s="562"/>
      <c r="T34" s="562"/>
      <c r="U34" s="562"/>
      <c r="V34" s="562"/>
      <c r="W34" s="562"/>
      <c r="X34" s="787"/>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94"/>
      <c r="AY34" s="562"/>
      <c r="AZ34" s="562"/>
    </row>
    <row r="35" spans="1:52" x14ac:dyDescent="0.2">
      <c r="B35" s="48">
        <v>601.20000000000005</v>
      </c>
      <c r="C35" s="14"/>
      <c r="D35" s="14"/>
      <c r="E35" s="14" t="s">
        <v>2183</v>
      </c>
      <c r="F35" s="14"/>
      <c r="G35" s="14"/>
      <c r="H35" s="441"/>
      <c r="I35" s="40"/>
      <c r="J35" s="134" t="s">
        <v>2183</v>
      </c>
      <c r="K35" s="65"/>
      <c r="L35" s="791" t="s">
        <v>2409</v>
      </c>
      <c r="M35" s="800">
        <v>3</v>
      </c>
      <c r="N35" s="98"/>
      <c r="O35" s="793">
        <f>M35*S35*W35</f>
        <v>0</v>
      </c>
      <c r="P35" s="562" t="b">
        <v>1</v>
      </c>
      <c r="Q35" s="562" t="b">
        <v>0</v>
      </c>
      <c r="R35" s="562" t="b">
        <v>0</v>
      </c>
      <c r="S35" s="562" t="b">
        <v>1</v>
      </c>
      <c r="T35" s="562" t="b">
        <v>0</v>
      </c>
      <c r="U35" s="562"/>
      <c r="V35" s="562"/>
      <c r="W35" s="18"/>
      <c r="X35" s="787"/>
      <c r="Y35" s="562"/>
      <c r="Z35" s="562"/>
      <c r="AA35" s="562"/>
      <c r="AB35" s="562"/>
      <c r="AC35" s="562"/>
      <c r="AD35" s="562"/>
      <c r="AE35" s="562"/>
      <c r="AF35" s="562"/>
      <c r="AG35" s="562"/>
      <c r="AH35" s="562"/>
      <c r="AI35" s="562"/>
      <c r="AJ35" s="562"/>
      <c r="AK35" s="562"/>
      <c r="AL35" s="190" t="str">
        <f>SUBSTITUTE(SUBSTITUTE(SUBSTITUTE("dpa"&amp;$B35&amp;$C35&amp;$D35&amp;$E35&amp;$F35,".","_"),"(","_"),")","")</f>
        <v>dpa601,2_2</v>
      </c>
      <c r="AM35" s="190">
        <f>M35</f>
        <v>3</v>
      </c>
      <c r="AN35" s="190" t="str">
        <f>SUBSTITUTE(SUBSTITUTE(SUBSTITUTE("dpc"&amp;$B35&amp;$C35&amp;$D35&amp;$E35&amp;$F35,".","_"),"(","_"),")","")</f>
        <v>dpc601,2_2</v>
      </c>
      <c r="AO35" s="190">
        <f>O35</f>
        <v>0</v>
      </c>
      <c r="AP35" s="562" t="str">
        <f t="shared" ref="AP35" si="2">SUBSTITUTE(SUBSTITUTE(SUBSTITUTE("dch"&amp;$B35&amp;$C35&amp;$D35&amp;$E35&amp;$F35,".","_"),"(","_"),")","")</f>
        <v>dch601,2_2</v>
      </c>
      <c r="AQ35" s="190">
        <f>W35</f>
        <v>0</v>
      </c>
      <c r="AR35" s="562" t="str">
        <f>SUBSTITUTE(SUBSTITUTE(SUBSTITUTE("dnt"&amp;$B35&amp;$C35&amp;$D35&amp;$E35&amp;$F35,".","_"),"(","_"),")","")</f>
        <v>dnt601,2_2</v>
      </c>
      <c r="AS35" s="190">
        <f>X35</f>
        <v>0</v>
      </c>
      <c r="AT35" s="562"/>
      <c r="AU35" s="562"/>
      <c r="AV35" s="562"/>
      <c r="AW35" s="562"/>
      <c r="AX35" s="594" t="str">
        <f>'Overview (Design)'!A30</f>
        <v>Type of Heating System (main system):</v>
      </c>
      <c r="AY35" s="562">
        <f>'Overview (Design)'!G30</f>
        <v>0</v>
      </c>
      <c r="AZ35" s="562"/>
    </row>
    <row r="36" spans="1:52" x14ac:dyDescent="0.2">
      <c r="B36" s="48">
        <v>601.20000000000005</v>
      </c>
      <c r="C36" s="14"/>
      <c r="D36" s="14"/>
      <c r="E36" s="14" t="s">
        <v>2183</v>
      </c>
      <c r="F36" s="14"/>
      <c r="G36" s="14"/>
      <c r="H36" s="441"/>
      <c r="I36" s="40"/>
      <c r="J36" s="98"/>
      <c r="K36" s="65"/>
      <c r="L36" s="791"/>
      <c r="M36" s="800"/>
      <c r="N36" s="98"/>
      <c r="O36" s="793"/>
      <c r="P36" s="562"/>
      <c r="Q36" s="562"/>
      <c r="R36" s="562"/>
      <c r="S36" s="562"/>
      <c r="T36" s="562"/>
      <c r="U36" s="562"/>
      <c r="V36" s="562"/>
      <c r="W36" s="562"/>
      <c r="X36" s="787"/>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94" t="str">
        <f>'Overview (Design)'!A31</f>
        <v>Type of Heating System (system 2):</v>
      </c>
      <c r="AY36" s="562">
        <f>'Overview (Design)'!G31</f>
        <v>0</v>
      </c>
      <c r="AZ36" s="562"/>
    </row>
    <row r="37" spans="1:52" x14ac:dyDescent="0.2">
      <c r="B37" s="48">
        <v>601.20000000000005</v>
      </c>
      <c r="C37" s="14"/>
      <c r="D37" s="14"/>
      <c r="E37" s="14" t="s">
        <v>2183</v>
      </c>
      <c r="F37" s="14"/>
      <c r="G37" s="14"/>
      <c r="H37" s="441"/>
      <c r="I37" s="40"/>
      <c r="J37" s="165"/>
      <c r="K37" s="126"/>
      <c r="L37" s="792"/>
      <c r="M37" s="801"/>
      <c r="N37" s="165"/>
      <c r="O37" s="794"/>
      <c r="P37" s="562"/>
      <c r="Q37" s="562"/>
      <c r="R37" s="562"/>
      <c r="S37" s="562"/>
      <c r="T37" s="562"/>
      <c r="U37" s="562"/>
      <c r="V37" s="562"/>
      <c r="W37" s="562"/>
      <c r="X37" s="787"/>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94" t="str">
        <f>'Overview (Design)'!A32</f>
        <v>Type of Heating System (system 3):</v>
      </c>
      <c r="AY37" s="562">
        <f>'Overview (Design)'!G32</f>
        <v>0</v>
      </c>
      <c r="AZ37" s="562"/>
    </row>
    <row r="38" spans="1:52" ht="15" customHeight="1" thickBot="1" x14ac:dyDescent="0.25">
      <c r="B38" s="48">
        <v>601.20000000000005</v>
      </c>
      <c r="C38" s="14"/>
      <c r="D38" s="14"/>
      <c r="E38" s="14" t="s">
        <v>2185</v>
      </c>
      <c r="F38" s="14"/>
      <c r="G38" s="14"/>
      <c r="H38" s="441"/>
      <c r="I38" s="40"/>
      <c r="J38" s="20" t="s">
        <v>2185</v>
      </c>
      <c r="K38" s="53"/>
      <c r="L38" s="632" t="s">
        <v>2410</v>
      </c>
      <c r="M38" s="616">
        <v>3</v>
      </c>
      <c r="N38" s="3"/>
      <c r="O38" s="609">
        <f>M38*S38*W38</f>
        <v>0</v>
      </c>
      <c r="P38" s="562" t="b">
        <v>1</v>
      </c>
      <c r="Q38" s="562" t="b">
        <v>0</v>
      </c>
      <c r="R38" s="562" t="b">
        <v>0</v>
      </c>
      <c r="S38" s="562" t="b">
        <v>1</v>
      </c>
      <c r="T38" s="562" t="b">
        <v>0</v>
      </c>
      <c r="U38" s="562"/>
      <c r="V38" s="562"/>
      <c r="W38" s="18"/>
      <c r="X38" s="568"/>
      <c r="Y38" s="562"/>
      <c r="Z38" s="562"/>
      <c r="AA38" s="562"/>
      <c r="AB38" s="562"/>
      <c r="AC38" s="562"/>
      <c r="AD38" s="562"/>
      <c r="AE38" s="562"/>
      <c r="AF38" s="562"/>
      <c r="AG38" s="562"/>
      <c r="AH38" s="562"/>
      <c r="AI38" s="562"/>
      <c r="AJ38" s="562"/>
      <c r="AK38" s="562"/>
      <c r="AL38" s="190" t="str">
        <f>SUBSTITUTE(SUBSTITUTE(SUBSTITUTE("dpa"&amp;$B38&amp;$C38&amp;$D38&amp;$E38&amp;$F38,".","_"),"(","_"),")","")</f>
        <v>dpa601,2_3</v>
      </c>
      <c r="AM38" s="190">
        <f>M38</f>
        <v>3</v>
      </c>
      <c r="AN38" s="190" t="str">
        <f>SUBSTITUTE(SUBSTITUTE(SUBSTITUTE("dpc"&amp;$B38&amp;$C38&amp;$D38&amp;$E38&amp;$F38,".","_"),"(","_"),")","")</f>
        <v>dpc601,2_3</v>
      </c>
      <c r="AO38" s="190">
        <f>O38</f>
        <v>0</v>
      </c>
      <c r="AP38" s="562" t="str">
        <f t="shared" ref="AP38" si="3">SUBSTITUTE(SUBSTITUTE(SUBSTITUTE("dch"&amp;$B38&amp;$C38&amp;$D38&amp;$E38&amp;$F38,".","_"),"(","_"),")","")</f>
        <v>dch601,2_3</v>
      </c>
      <c r="AQ38" s="190">
        <f>W38</f>
        <v>0</v>
      </c>
      <c r="AR38" s="562" t="str">
        <f>SUBSTITUTE(SUBSTITUTE(SUBSTITUTE("dnt"&amp;$B38&amp;$C38&amp;$D38&amp;$E38&amp;$F38,".","_"),"(","_"),")","")</f>
        <v>dnt601,2_3</v>
      </c>
      <c r="AS38" s="190">
        <f>X38</f>
        <v>0</v>
      </c>
      <c r="AT38" s="562"/>
      <c r="AU38" s="562"/>
      <c r="AV38" s="562"/>
      <c r="AW38" s="562"/>
      <c r="AX38" s="594" t="str">
        <f>'Overview (Design)'!A33</f>
        <v>Heating Fuel:</v>
      </c>
      <c r="AY38" s="562">
        <f>'Overview (Design)'!G33</f>
        <v>0</v>
      </c>
      <c r="AZ38" s="562"/>
    </row>
    <row r="39" spans="1:52" ht="16" thickTop="1" x14ac:dyDescent="0.2">
      <c r="B39" s="48">
        <v>601.29999999999995</v>
      </c>
      <c r="C39" s="14"/>
      <c r="D39" s="14"/>
      <c r="E39" s="14"/>
      <c r="F39" s="14"/>
      <c r="G39" s="14"/>
      <c r="H39" s="441"/>
      <c r="I39" s="131" t="s">
        <v>2411</v>
      </c>
      <c r="J39" s="132"/>
      <c r="K39" s="133"/>
      <c r="L39" s="819" t="s">
        <v>2412</v>
      </c>
      <c r="M39" s="625"/>
      <c r="N39" s="132"/>
      <c r="O39" s="623"/>
      <c r="P39" s="74"/>
      <c r="Q39" s="74"/>
      <c r="R39" s="74"/>
      <c r="S39" s="74"/>
      <c r="T39" s="74"/>
      <c r="U39" s="74"/>
      <c r="V39" s="74"/>
      <c r="W39" s="74"/>
      <c r="X39" s="136"/>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94" t="str">
        <f>'Overview (Design)'!A34</f>
        <v>Heating Ducts:</v>
      </c>
      <c r="AY39" s="562">
        <f>'Overview (Design)'!G34</f>
        <v>0</v>
      </c>
      <c r="AZ39" s="562"/>
    </row>
    <row r="40" spans="1:52" x14ac:dyDescent="0.2">
      <c r="B40" s="48">
        <v>601.29999999999995</v>
      </c>
      <c r="C40" s="14"/>
      <c r="D40" s="14"/>
      <c r="E40" s="14"/>
      <c r="F40" s="14"/>
      <c r="G40" s="14"/>
      <c r="H40" s="441"/>
      <c r="I40" s="99"/>
      <c r="J40" s="98"/>
      <c r="K40" s="65"/>
      <c r="L40" s="820"/>
      <c r="M40" s="610"/>
      <c r="N40" s="98"/>
      <c r="O40" s="607"/>
      <c r="P40" s="64"/>
      <c r="Q40" s="64"/>
      <c r="R40" s="64"/>
      <c r="S40" s="64"/>
      <c r="T40" s="64"/>
      <c r="U40" s="64"/>
      <c r="V40" s="64"/>
      <c r="W40" s="64"/>
      <c r="X40" s="8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94" t="str">
        <f>'Overview (Design)'!A35</f>
        <v>Type of Cooling System (main system):</v>
      </c>
      <c r="AY40" s="562">
        <f>'Overview (Design)'!G35</f>
        <v>0</v>
      </c>
      <c r="AZ40" s="562"/>
    </row>
    <row r="41" spans="1:52" x14ac:dyDescent="0.2">
      <c r="B41" s="48">
        <v>601.29999999999995</v>
      </c>
      <c r="C41" s="14"/>
      <c r="D41" s="14"/>
      <c r="E41" s="14"/>
      <c r="F41" s="14"/>
      <c r="G41" s="14"/>
      <c r="H41" s="441"/>
      <c r="I41" s="99"/>
      <c r="J41" s="98"/>
      <c r="K41" s="65"/>
      <c r="L41" s="820"/>
      <c r="M41" s="610"/>
      <c r="N41" s="98"/>
      <c r="O41" s="607"/>
      <c r="P41" s="64"/>
      <c r="Q41" s="64"/>
      <c r="R41" s="64"/>
      <c r="S41" s="64"/>
      <c r="T41" s="64"/>
      <c r="U41" s="64"/>
      <c r="V41" s="64"/>
      <c r="W41" s="64"/>
      <c r="X41" s="8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94" t="str">
        <f>'Overview (Design)'!A36</f>
        <v>Type of Cooling System (system 2):</v>
      </c>
      <c r="AY41" s="562">
        <f>'Overview (Design)'!G36</f>
        <v>0</v>
      </c>
      <c r="AZ41" s="562"/>
    </row>
    <row r="42" spans="1:52" s="481" customFormat="1" x14ac:dyDescent="0.2">
      <c r="A42" s="13"/>
      <c r="B42" s="48">
        <v>601.29999999999995</v>
      </c>
      <c r="C42" s="14"/>
      <c r="D42" s="14"/>
      <c r="E42" s="14"/>
      <c r="F42" s="14"/>
      <c r="G42" s="14"/>
      <c r="H42" s="441"/>
      <c r="I42" s="99"/>
      <c r="J42" s="98"/>
      <c r="K42" s="65"/>
      <c r="L42" s="846" t="s">
        <v>2413</v>
      </c>
      <c r="M42" s="610"/>
      <c r="N42" s="98"/>
      <c r="O42" s="607"/>
      <c r="P42" s="64"/>
      <c r="Q42" s="64"/>
      <c r="R42" s="64"/>
      <c r="S42" s="64"/>
      <c r="T42" s="64"/>
      <c r="U42" s="64"/>
      <c r="V42" s="64"/>
      <c r="W42" s="64"/>
      <c r="X42" s="8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94"/>
      <c r="AY42" s="562"/>
      <c r="AZ42" s="562"/>
    </row>
    <row r="43" spans="1:52" s="481" customFormat="1" x14ac:dyDescent="0.2">
      <c r="A43" s="13"/>
      <c r="B43" s="48">
        <v>601.29999999999995</v>
      </c>
      <c r="C43" s="14"/>
      <c r="D43" s="14"/>
      <c r="E43" s="14"/>
      <c r="F43" s="14"/>
      <c r="G43" s="14"/>
      <c r="H43" s="441"/>
      <c r="I43" s="99"/>
      <c r="J43" s="98"/>
      <c r="K43" s="65"/>
      <c r="L43" s="846"/>
      <c r="M43" s="610"/>
      <c r="N43" s="98"/>
      <c r="O43" s="607"/>
      <c r="P43" s="64"/>
      <c r="Q43" s="64"/>
      <c r="R43" s="64"/>
      <c r="S43" s="64"/>
      <c r="T43" s="64"/>
      <c r="U43" s="64"/>
      <c r="V43" s="64"/>
      <c r="W43" s="64"/>
      <c r="X43" s="8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94"/>
      <c r="AY43" s="562"/>
      <c r="AZ43" s="562"/>
    </row>
    <row r="44" spans="1:52" x14ac:dyDescent="0.2">
      <c r="B44" s="48">
        <v>601.29999999999995</v>
      </c>
      <c r="C44" s="14"/>
      <c r="D44" s="14"/>
      <c r="E44" s="14" t="s">
        <v>2181</v>
      </c>
      <c r="F44" s="14"/>
      <c r="G44" s="14"/>
      <c r="H44" s="441"/>
      <c r="I44" s="40"/>
      <c r="J44" s="159" t="s">
        <v>2181</v>
      </c>
      <c r="K44" s="126"/>
      <c r="L44" s="599" t="s">
        <v>2414</v>
      </c>
      <c r="M44" s="611">
        <v>3</v>
      </c>
      <c r="N44" s="165"/>
      <c r="O44" s="608">
        <f t="shared" ref="O44:O49" si="4">M44*S44*W44</f>
        <v>0</v>
      </c>
      <c r="P44" s="562" t="b">
        <v>1</v>
      </c>
      <c r="Q44" s="562" t="b">
        <v>0</v>
      </c>
      <c r="R44" s="562" t="b">
        <v>0</v>
      </c>
      <c r="S44" s="562" t="b">
        <v>1</v>
      </c>
      <c r="T44" s="562" t="b">
        <v>0</v>
      </c>
      <c r="U44" s="562"/>
      <c r="V44" s="562"/>
      <c r="W44" s="18"/>
      <c r="X44" s="563"/>
      <c r="Y44" s="562"/>
      <c r="Z44" s="562"/>
      <c r="AA44" s="562"/>
      <c r="AB44" s="562"/>
      <c r="AC44" s="562"/>
      <c r="AD44" s="562"/>
      <c r="AE44" s="562"/>
      <c r="AF44" s="562"/>
      <c r="AG44" s="562"/>
      <c r="AH44" s="562"/>
      <c r="AI44" s="562"/>
      <c r="AJ44" s="562"/>
      <c r="AK44" s="562"/>
      <c r="AL44" s="190" t="str">
        <f t="shared" ref="AL44:AL49" si="5">SUBSTITUTE(SUBSTITUTE(SUBSTITUTE("dpa"&amp;$B44&amp;$C44&amp;$D44&amp;$E44&amp;$F44,".","_"),"(","_"),")","")</f>
        <v>dpa601,3_1</v>
      </c>
      <c r="AM44" s="190">
        <f t="shared" ref="AM44:AM49" si="6">M44</f>
        <v>3</v>
      </c>
      <c r="AN44" s="190" t="str">
        <f t="shared" ref="AN44:AN49" si="7">SUBSTITUTE(SUBSTITUTE(SUBSTITUTE("dpc"&amp;$B44&amp;$C44&amp;$D44&amp;$E44&amp;$F44,".","_"),"(","_"),")","")</f>
        <v>dpc601,3_1</v>
      </c>
      <c r="AO44" s="190">
        <f t="shared" ref="AO44:AO49" si="8">O44</f>
        <v>0</v>
      </c>
      <c r="AP44" s="562" t="str">
        <f t="shared" ref="AP44:AP49" si="9">SUBSTITUTE(SUBSTITUTE(SUBSTITUTE("dch"&amp;$B44&amp;$C44&amp;$D44&amp;$E44&amp;$F44,".","_"),"(","_"),")","")</f>
        <v>dch601,3_1</v>
      </c>
      <c r="AQ44" s="190">
        <f t="shared" ref="AQ44:AQ49" si="10">W44</f>
        <v>0</v>
      </c>
      <c r="AR44" s="562" t="str">
        <f t="shared" ref="AR44:AR49" si="11">SUBSTITUTE(SUBSTITUTE(SUBSTITUTE("dnt"&amp;$B44&amp;$C44&amp;$D44&amp;$E44&amp;$F44,".","_"),"(","_"),")","")</f>
        <v>dnt601,3_1</v>
      </c>
      <c r="AS44" s="190">
        <f t="shared" ref="AS44:AS49" si="12">X44</f>
        <v>0</v>
      </c>
      <c r="AT44" s="562"/>
      <c r="AU44" s="562"/>
      <c r="AV44" s="562"/>
      <c r="AW44" s="562"/>
      <c r="AX44" s="594" t="str">
        <f>'Overview (Design)'!A37</f>
        <v>Type of Cooling System (system 3):</v>
      </c>
      <c r="AY44" s="562">
        <f>'Overview (Design)'!G37</f>
        <v>0</v>
      </c>
      <c r="AZ44" s="562"/>
    </row>
    <row r="45" spans="1:52" x14ac:dyDescent="0.2">
      <c r="B45" s="48">
        <v>601.29999999999995</v>
      </c>
      <c r="C45" s="14"/>
      <c r="D45" s="14"/>
      <c r="E45" s="14" t="s">
        <v>2183</v>
      </c>
      <c r="F45" s="14"/>
      <c r="G45" s="14"/>
      <c r="H45" s="441"/>
      <c r="I45" s="40"/>
      <c r="J45" s="161" t="s">
        <v>2183</v>
      </c>
      <c r="K45" s="162"/>
      <c r="L45" s="205" t="s">
        <v>2415</v>
      </c>
      <c r="M45" s="249">
        <v>3</v>
      </c>
      <c r="N45" s="186"/>
      <c r="O45" s="248">
        <f t="shared" si="4"/>
        <v>0</v>
      </c>
      <c r="P45" s="562" t="b">
        <v>1</v>
      </c>
      <c r="Q45" s="562" t="b">
        <v>0</v>
      </c>
      <c r="R45" s="562" t="b">
        <v>0</v>
      </c>
      <c r="S45" s="562" t="b">
        <v>1</v>
      </c>
      <c r="T45" s="562" t="b">
        <v>0</v>
      </c>
      <c r="U45" s="562"/>
      <c r="V45" s="562"/>
      <c r="W45" s="18"/>
      <c r="X45" s="563"/>
      <c r="Y45" s="562"/>
      <c r="Z45" s="562"/>
      <c r="AA45" s="562"/>
      <c r="AB45" s="562"/>
      <c r="AC45" s="562"/>
      <c r="AD45" s="562"/>
      <c r="AE45" s="562"/>
      <c r="AF45" s="562"/>
      <c r="AG45" s="562"/>
      <c r="AH45" s="562"/>
      <c r="AI45" s="562"/>
      <c r="AJ45" s="562"/>
      <c r="AK45" s="562"/>
      <c r="AL45" s="190" t="str">
        <f t="shared" si="5"/>
        <v>dpa601,3_2</v>
      </c>
      <c r="AM45" s="190">
        <f t="shared" si="6"/>
        <v>3</v>
      </c>
      <c r="AN45" s="190" t="str">
        <f t="shared" si="7"/>
        <v>dpc601,3_2</v>
      </c>
      <c r="AO45" s="190">
        <f t="shared" si="8"/>
        <v>0</v>
      </c>
      <c r="AP45" s="562" t="str">
        <f t="shared" si="9"/>
        <v>dch601,3_2</v>
      </c>
      <c r="AQ45" s="190">
        <f t="shared" si="10"/>
        <v>0</v>
      </c>
      <c r="AR45" s="562" t="str">
        <f t="shared" si="11"/>
        <v>dnt601,3_2</v>
      </c>
      <c r="AS45" s="190">
        <f t="shared" si="12"/>
        <v>0</v>
      </c>
      <c r="AT45" s="562"/>
      <c r="AU45" s="562"/>
      <c r="AV45" s="562"/>
      <c r="AW45" s="562"/>
      <c r="AX45" s="594" t="str">
        <f>'Overview (Design)'!A38</f>
        <v>Cooling Ducts:</v>
      </c>
      <c r="AY45" s="562">
        <f>'Overview (Design)'!G38</f>
        <v>0</v>
      </c>
      <c r="AZ45" s="562"/>
    </row>
    <row r="46" spans="1:52" x14ac:dyDescent="0.2">
      <c r="B46" s="48">
        <v>601.29999999999995</v>
      </c>
      <c r="C46" s="14"/>
      <c r="D46" s="14"/>
      <c r="E46" s="14" t="s">
        <v>2185</v>
      </c>
      <c r="F46" s="14"/>
      <c r="G46" s="14"/>
      <c r="H46" s="441"/>
      <c r="I46" s="40"/>
      <c r="J46" s="161" t="s">
        <v>2185</v>
      </c>
      <c r="K46" s="162"/>
      <c r="L46" s="205" t="s">
        <v>2416</v>
      </c>
      <c r="M46" s="249">
        <v>3</v>
      </c>
      <c r="N46" s="186"/>
      <c r="O46" s="248">
        <f t="shared" si="4"/>
        <v>0</v>
      </c>
      <c r="P46" s="562" t="b">
        <v>1</v>
      </c>
      <c r="Q46" s="562" t="b">
        <v>0</v>
      </c>
      <c r="R46" s="562" t="b">
        <v>0</v>
      </c>
      <c r="S46" s="562" t="b">
        <v>1</v>
      </c>
      <c r="T46" s="562" t="b">
        <v>0</v>
      </c>
      <c r="U46" s="562"/>
      <c r="V46" s="562"/>
      <c r="W46" s="18"/>
      <c r="X46" s="563"/>
      <c r="Y46" s="562"/>
      <c r="Z46" s="562"/>
      <c r="AA46" s="562"/>
      <c r="AB46" s="562"/>
      <c r="AC46" s="562"/>
      <c r="AD46" s="562"/>
      <c r="AE46" s="562"/>
      <c r="AF46" s="562"/>
      <c r="AG46" s="562"/>
      <c r="AH46" s="562"/>
      <c r="AI46" s="562"/>
      <c r="AJ46" s="562"/>
      <c r="AK46" s="562"/>
      <c r="AL46" s="190" t="str">
        <f t="shared" si="5"/>
        <v>dpa601,3_3</v>
      </c>
      <c r="AM46" s="190">
        <f t="shared" si="6"/>
        <v>3</v>
      </c>
      <c r="AN46" s="190" t="str">
        <f t="shared" si="7"/>
        <v>dpc601,3_3</v>
      </c>
      <c r="AO46" s="190">
        <f t="shared" si="8"/>
        <v>0</v>
      </c>
      <c r="AP46" s="562" t="str">
        <f t="shared" si="9"/>
        <v>dch601,3_3</v>
      </c>
      <c r="AQ46" s="190">
        <f t="shared" si="10"/>
        <v>0</v>
      </c>
      <c r="AR46" s="562" t="str">
        <f t="shared" si="11"/>
        <v>dnt601,3_3</v>
      </c>
      <c r="AS46" s="190">
        <f t="shared" si="12"/>
        <v>0</v>
      </c>
      <c r="AT46" s="562"/>
      <c r="AU46" s="562"/>
      <c r="AV46" s="562"/>
      <c r="AW46" s="562"/>
      <c r="AX46" s="594"/>
      <c r="AY46" s="562"/>
      <c r="AZ46" s="562"/>
    </row>
    <row r="47" spans="1:52" x14ac:dyDescent="0.2">
      <c r="B47" s="48">
        <v>601.29999999999995</v>
      </c>
      <c r="C47" s="14"/>
      <c r="D47" s="14"/>
      <c r="E47" s="14" t="s">
        <v>2192</v>
      </c>
      <c r="F47" s="14"/>
      <c r="G47" s="14"/>
      <c r="H47" s="441"/>
      <c r="I47" s="40"/>
      <c r="J47" s="161" t="s">
        <v>2192</v>
      </c>
      <c r="K47" s="162"/>
      <c r="L47" s="205" t="s">
        <v>2417</v>
      </c>
      <c r="M47" s="249">
        <v>3</v>
      </c>
      <c r="N47" s="186"/>
      <c r="O47" s="248">
        <f t="shared" si="4"/>
        <v>0</v>
      </c>
      <c r="P47" s="562" t="b">
        <v>1</v>
      </c>
      <c r="Q47" s="562" t="b">
        <v>0</v>
      </c>
      <c r="R47" s="562" t="b">
        <v>0</v>
      </c>
      <c r="S47" s="562" t="b">
        <v>1</v>
      </c>
      <c r="T47" s="562" t="b">
        <v>0</v>
      </c>
      <c r="U47" s="562"/>
      <c r="V47" s="562"/>
      <c r="W47" s="18"/>
      <c r="X47" s="563"/>
      <c r="Y47" s="562"/>
      <c r="Z47" s="562"/>
      <c r="AA47" s="562"/>
      <c r="AB47" s="562"/>
      <c r="AC47" s="562"/>
      <c r="AD47" s="562"/>
      <c r="AE47" s="562"/>
      <c r="AF47" s="562"/>
      <c r="AG47" s="562"/>
      <c r="AH47" s="562"/>
      <c r="AI47" s="562"/>
      <c r="AJ47" s="562"/>
      <c r="AK47" s="562"/>
      <c r="AL47" s="190" t="str">
        <f t="shared" si="5"/>
        <v>dpa601,3_4</v>
      </c>
      <c r="AM47" s="190">
        <f t="shared" si="6"/>
        <v>3</v>
      </c>
      <c r="AN47" s="190" t="str">
        <f t="shared" si="7"/>
        <v>dpc601,3_4</v>
      </c>
      <c r="AO47" s="190">
        <f t="shared" si="8"/>
        <v>0</v>
      </c>
      <c r="AP47" s="562" t="str">
        <f t="shared" si="9"/>
        <v>dch601,3_4</v>
      </c>
      <c r="AQ47" s="190">
        <f t="shared" si="10"/>
        <v>0</v>
      </c>
      <c r="AR47" s="562" t="str">
        <f t="shared" si="11"/>
        <v>dnt601,3_4</v>
      </c>
      <c r="AS47" s="190">
        <f t="shared" si="12"/>
        <v>0</v>
      </c>
      <c r="AT47" s="562"/>
      <c r="AU47" s="562"/>
      <c r="AV47" s="562"/>
      <c r="AW47" s="562"/>
      <c r="AX47" s="594" t="str">
        <f>'Overview (Design)'!A40</f>
        <v>Maximum window and door SHGC:</v>
      </c>
      <c r="AY47" s="562">
        <f>'Overview (Design)'!G40</f>
        <v>0</v>
      </c>
      <c r="AZ47" s="562"/>
    </row>
    <row r="48" spans="1:52" ht="16" thickBot="1" x14ac:dyDescent="0.25">
      <c r="B48" s="48">
        <v>601.29999999999995</v>
      </c>
      <c r="C48" s="14"/>
      <c r="D48" s="14"/>
      <c r="E48" s="14" t="s">
        <v>2194</v>
      </c>
      <c r="F48" s="14"/>
      <c r="G48" s="14"/>
      <c r="H48" s="441"/>
      <c r="I48" s="40"/>
      <c r="J48" s="20" t="s">
        <v>2194</v>
      </c>
      <c r="K48" s="53"/>
      <c r="L48" s="632" t="s">
        <v>2418</v>
      </c>
      <c r="M48" s="616">
        <v>1</v>
      </c>
      <c r="N48" s="3"/>
      <c r="O48" s="609">
        <f t="shared" si="4"/>
        <v>0</v>
      </c>
      <c r="P48" s="562" t="b">
        <v>1</v>
      </c>
      <c r="Q48" s="562" t="b">
        <v>0</v>
      </c>
      <c r="R48" s="562" t="b">
        <v>0</v>
      </c>
      <c r="S48" s="562" t="b">
        <v>1</v>
      </c>
      <c r="T48" s="562" t="b">
        <v>0</v>
      </c>
      <c r="U48" s="562"/>
      <c r="V48" s="562"/>
      <c r="W48" s="69"/>
      <c r="X48" s="568"/>
      <c r="Y48" s="562"/>
      <c r="Z48" s="562"/>
      <c r="AA48" s="562"/>
      <c r="AB48" s="562"/>
      <c r="AC48" s="562"/>
      <c r="AD48" s="562"/>
      <c r="AE48" s="562"/>
      <c r="AF48" s="562"/>
      <c r="AG48" s="562"/>
      <c r="AH48" s="562"/>
      <c r="AI48" s="562"/>
      <c r="AJ48" s="562"/>
      <c r="AK48" s="562"/>
      <c r="AL48" s="190" t="str">
        <f t="shared" si="5"/>
        <v>dpa601,3_5</v>
      </c>
      <c r="AM48" s="190">
        <f t="shared" si="6"/>
        <v>1</v>
      </c>
      <c r="AN48" s="190" t="str">
        <f t="shared" si="7"/>
        <v>dpc601,3_5</v>
      </c>
      <c r="AO48" s="190">
        <f t="shared" si="8"/>
        <v>0</v>
      </c>
      <c r="AP48" s="562" t="str">
        <f t="shared" si="9"/>
        <v>dch601,3_5</v>
      </c>
      <c r="AQ48" s="190">
        <f t="shared" si="10"/>
        <v>0</v>
      </c>
      <c r="AR48" s="562" t="str">
        <f t="shared" si="11"/>
        <v>dnt601,3_5</v>
      </c>
      <c r="AS48" s="190">
        <f t="shared" si="12"/>
        <v>0</v>
      </c>
      <c r="AT48" s="562"/>
      <c r="AU48" s="562"/>
      <c r="AV48" s="562"/>
      <c r="AW48" s="562"/>
      <c r="AX48" s="594" t="str">
        <f>'Overview (Design)'!A41</f>
        <v>Maximum skylight SHGC:</v>
      </c>
      <c r="AY48" s="562">
        <f>'Overview (Design)'!G41</f>
        <v>0</v>
      </c>
      <c r="AZ48" s="562"/>
    </row>
    <row r="49" spans="1:51" ht="16" thickTop="1" x14ac:dyDescent="0.2">
      <c r="B49" s="48">
        <v>601.4</v>
      </c>
      <c r="C49" s="14"/>
      <c r="D49" s="14"/>
      <c r="E49" s="14"/>
      <c r="F49" s="14"/>
      <c r="G49" s="14"/>
      <c r="H49" s="441"/>
      <c r="I49" s="131" t="s">
        <v>2419</v>
      </c>
      <c r="J49" s="132"/>
      <c r="K49" s="133"/>
      <c r="L49" s="819" t="s">
        <v>2420</v>
      </c>
      <c r="M49" s="827">
        <v>4</v>
      </c>
      <c r="N49" s="132"/>
      <c r="O49" s="823">
        <f t="shared" si="4"/>
        <v>0</v>
      </c>
      <c r="P49" s="562" t="b">
        <v>1</v>
      </c>
      <c r="Q49" s="562" t="b">
        <v>0</v>
      </c>
      <c r="R49" s="74" t="b">
        <v>0</v>
      </c>
      <c r="S49" s="74" t="b">
        <v>1</v>
      </c>
      <c r="T49" s="74" t="b">
        <v>0</v>
      </c>
      <c r="U49" s="74"/>
      <c r="V49" s="74"/>
      <c r="W49" s="91"/>
      <c r="X49" s="802"/>
      <c r="Y49" s="562"/>
      <c r="Z49" s="562"/>
      <c r="AA49" s="562"/>
      <c r="AB49" s="562"/>
      <c r="AC49" s="562"/>
      <c r="AD49" s="562"/>
      <c r="AE49" s="562"/>
      <c r="AF49" s="562"/>
      <c r="AG49" s="562"/>
      <c r="AH49" s="562"/>
      <c r="AI49" s="562"/>
      <c r="AJ49" s="562"/>
      <c r="AK49" s="562"/>
      <c r="AL49" s="190" t="str">
        <f t="shared" si="5"/>
        <v>dpa601,4</v>
      </c>
      <c r="AM49" s="190">
        <f t="shared" si="6"/>
        <v>4</v>
      </c>
      <c r="AN49" s="190" t="str">
        <f t="shared" si="7"/>
        <v>dpc601,4</v>
      </c>
      <c r="AO49" s="190">
        <f t="shared" si="8"/>
        <v>0</v>
      </c>
      <c r="AP49" s="562" t="str">
        <f t="shared" si="9"/>
        <v>dch601,4</v>
      </c>
      <c r="AQ49" s="190">
        <f t="shared" si="10"/>
        <v>0</v>
      </c>
      <c r="AR49" s="562" t="str">
        <f t="shared" si="11"/>
        <v>dnt601,4</v>
      </c>
      <c r="AS49" s="190">
        <f t="shared" si="12"/>
        <v>0</v>
      </c>
      <c r="AT49" s="562"/>
      <c r="AU49" s="562"/>
      <c r="AV49" s="562"/>
      <c r="AW49" s="562"/>
      <c r="AX49" s="594" t="str">
        <f>'Overview (Design)'!A42</f>
        <v>Maximum window and door U-value:</v>
      </c>
      <c r="AY49" s="562">
        <f>'Overview (Design)'!G42</f>
        <v>0</v>
      </c>
    </row>
    <row r="50" spans="1:51" x14ac:dyDescent="0.2">
      <c r="B50" s="48">
        <v>601.4</v>
      </c>
      <c r="C50" s="14"/>
      <c r="D50" s="14"/>
      <c r="E50" s="14"/>
      <c r="F50" s="14"/>
      <c r="G50" s="14"/>
      <c r="H50" s="441"/>
      <c r="I50" s="99"/>
      <c r="J50" s="98"/>
      <c r="K50" s="65"/>
      <c r="L50" s="820"/>
      <c r="M50" s="800"/>
      <c r="N50" s="98"/>
      <c r="O50" s="793"/>
      <c r="P50" s="64"/>
      <c r="Q50" s="64"/>
      <c r="R50" s="64"/>
      <c r="S50" s="64"/>
      <c r="T50" s="64"/>
      <c r="U50" s="64"/>
      <c r="V50" s="64"/>
      <c r="W50" s="64"/>
      <c r="X50" s="798"/>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94" t="str">
        <f>'Overview (Design)'!A43</f>
        <v>Maximum skylight U-value:</v>
      </c>
      <c r="AY50" s="562">
        <f>'Overview (Design)'!G43</f>
        <v>0</v>
      </c>
    </row>
    <row r="51" spans="1:51" ht="16" thickBot="1" x14ac:dyDescent="0.25">
      <c r="B51" s="48">
        <v>601.4</v>
      </c>
      <c r="C51" s="14"/>
      <c r="D51" s="14"/>
      <c r="E51" s="14"/>
      <c r="F51" s="14"/>
      <c r="G51" s="14"/>
      <c r="H51" s="441"/>
      <c r="I51" s="99"/>
      <c r="J51" s="98"/>
      <c r="K51" s="65"/>
      <c r="L51" s="820"/>
      <c r="M51" s="800"/>
      <c r="N51" s="98"/>
      <c r="O51" s="793"/>
      <c r="P51" s="64"/>
      <c r="Q51" s="64"/>
      <c r="R51" s="64"/>
      <c r="S51" s="64"/>
      <c r="T51" s="64"/>
      <c r="U51" s="64"/>
      <c r="V51" s="64"/>
      <c r="W51" s="64"/>
      <c r="X51" s="825"/>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94" t="str">
        <f>'Overview (Design)'!A44</f>
        <v>Renewable Energy:</v>
      </c>
      <c r="AY51" s="562">
        <f>'Overview (Design)'!G44</f>
        <v>0</v>
      </c>
    </row>
    <row r="52" spans="1:51" ht="16" thickTop="1" x14ac:dyDescent="0.2">
      <c r="B52" s="48">
        <v>601.5</v>
      </c>
      <c r="C52" s="14"/>
      <c r="D52" s="14"/>
      <c r="E52" s="14"/>
      <c r="F52" s="14"/>
      <c r="G52" s="14"/>
      <c r="H52" s="441"/>
      <c r="I52" s="75" t="s">
        <v>2421</v>
      </c>
      <c r="J52" s="132"/>
      <c r="K52" s="133"/>
      <c r="L52" s="819" t="s">
        <v>2422</v>
      </c>
      <c r="M52" s="827" t="s">
        <v>2423</v>
      </c>
      <c r="N52" s="132"/>
      <c r="O52" s="623"/>
      <c r="P52" s="74"/>
      <c r="Q52" s="74"/>
      <c r="R52" s="74"/>
      <c r="S52" s="74"/>
      <c r="T52" s="74"/>
      <c r="U52" s="74"/>
      <c r="V52" s="74"/>
      <c r="W52" s="74"/>
      <c r="X52" s="136"/>
      <c r="Y52" s="562"/>
      <c r="Z52" s="562"/>
      <c r="AA52" s="562"/>
      <c r="AB52" s="562"/>
      <c r="AC52" s="562"/>
      <c r="AD52" s="562"/>
      <c r="AE52" s="562"/>
      <c r="AF52" s="562"/>
      <c r="AG52" s="562"/>
      <c r="AH52" s="562"/>
      <c r="AI52" s="562"/>
      <c r="AJ52" s="562"/>
      <c r="AK52" s="562"/>
      <c r="AL52" s="190" t="str">
        <f>SUBSTITUTE(SUBSTITUTE(SUBSTITUTE("dpa"&amp;$B52&amp;$C52&amp;$D52&amp;$E52&amp;$F52,".","_"),"(","_"),")","")</f>
        <v>dpa601,5</v>
      </c>
      <c r="AM52" s="190" t="str">
        <f>M52</f>
        <v>13 Max</v>
      </c>
      <c r="AN52" s="562"/>
      <c r="AO52" s="562"/>
      <c r="AP52" s="562"/>
      <c r="AQ52" s="562"/>
      <c r="AR52" s="562"/>
      <c r="AS52" s="562"/>
      <c r="AT52" s="562"/>
      <c r="AU52" s="562"/>
      <c r="AV52" s="562"/>
      <c r="AW52" s="562"/>
      <c r="AX52" s="594" t="str">
        <f>'Overview (Design)'!A45</f>
        <v>Thermal Envelope Insulation:</v>
      </c>
      <c r="AY52" s="562">
        <f>'Overview (Design)'!G45</f>
        <v>0</v>
      </c>
    </row>
    <row r="53" spans="1:51" x14ac:dyDescent="0.2">
      <c r="B53" s="48">
        <v>601.5</v>
      </c>
      <c r="C53" s="14"/>
      <c r="D53" s="14"/>
      <c r="E53" s="14"/>
      <c r="F53" s="14"/>
      <c r="G53" s="14"/>
      <c r="H53" s="441"/>
      <c r="I53" s="99"/>
      <c r="J53" s="98"/>
      <c r="K53" s="65"/>
      <c r="L53" s="820"/>
      <c r="M53" s="800"/>
      <c r="N53" s="98"/>
      <c r="O53" s="607"/>
      <c r="P53" s="64"/>
      <c r="Q53" s="64"/>
      <c r="R53" s="64"/>
      <c r="S53" s="64"/>
      <c r="T53" s="64"/>
      <c r="U53" s="64"/>
      <c r="V53" s="64"/>
      <c r="W53" s="64"/>
      <c r="X53" s="8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94" t="str">
        <f>'Overview (Design)'!A46</f>
        <v>Attic Type:</v>
      </c>
      <c r="AY53" s="562">
        <f>'Overview (Design)'!G46</f>
        <v>0</v>
      </c>
    </row>
    <row r="54" spans="1:51" x14ac:dyDescent="0.2">
      <c r="B54" s="48">
        <v>601.5</v>
      </c>
      <c r="C54" s="14"/>
      <c r="D54" s="14"/>
      <c r="E54" s="14"/>
      <c r="F54" s="14"/>
      <c r="G54" s="14"/>
      <c r="H54" s="441"/>
      <c r="I54" s="99"/>
      <c r="J54" s="98"/>
      <c r="K54" s="65"/>
      <c r="L54" s="820"/>
      <c r="M54" s="800"/>
      <c r="N54" s="98"/>
      <c r="O54" s="607"/>
      <c r="P54" s="64"/>
      <c r="Q54" s="64"/>
      <c r="R54" s="64"/>
      <c r="S54" s="64"/>
      <c r="T54" s="64"/>
      <c r="U54" s="64"/>
      <c r="V54" s="64"/>
      <c r="W54" s="64"/>
      <c r="X54" s="82"/>
      <c r="Y54" s="562"/>
      <c r="Z54" s="562"/>
      <c r="AA54" s="562"/>
      <c r="AB54" s="562"/>
      <c r="AC54" s="562"/>
      <c r="AD54" s="562"/>
      <c r="AE54" s="562"/>
      <c r="AF54" s="562"/>
      <c r="AG54" s="562"/>
      <c r="AH54" s="562"/>
      <c r="AI54" s="562"/>
      <c r="AJ54" s="562"/>
      <c r="AK54" s="562"/>
      <c r="AL54" s="562"/>
      <c r="AM54" s="562"/>
      <c r="AN54" s="562"/>
      <c r="AO54" s="562"/>
      <c r="AP54" s="190"/>
      <c r="AQ54" s="190"/>
      <c r="AR54" s="562"/>
      <c r="AS54" s="562"/>
      <c r="AT54" s="562"/>
      <c r="AU54" s="562"/>
      <c r="AV54" s="562"/>
      <c r="AW54" s="562"/>
      <c r="AX54" s="594" t="str">
        <f>'Overview (Design)'!A47</f>
        <v>Attached Garage:</v>
      </c>
      <c r="AY54" s="562">
        <f>'Overview (Design)'!G47</f>
        <v>0</v>
      </c>
    </row>
    <row r="55" spans="1:51" s="481" customFormat="1" x14ac:dyDescent="0.2">
      <c r="A55" s="13"/>
      <c r="B55" s="48">
        <v>601.5</v>
      </c>
      <c r="C55" s="14"/>
      <c r="D55" s="14"/>
      <c r="E55" s="14"/>
      <c r="F55" s="14"/>
      <c r="G55" s="14"/>
      <c r="H55" s="441"/>
      <c r="I55" s="99"/>
      <c r="J55" s="98"/>
      <c r="K55" s="65"/>
      <c r="L55" s="846" t="s">
        <v>2424</v>
      </c>
      <c r="M55" s="610"/>
      <c r="N55" s="98"/>
      <c r="O55" s="607"/>
      <c r="P55" s="64"/>
      <c r="Q55" s="64"/>
      <c r="R55" s="64"/>
      <c r="S55" s="64"/>
      <c r="T55" s="64"/>
      <c r="U55" s="64"/>
      <c r="V55" s="64"/>
      <c r="W55" s="64"/>
      <c r="X55" s="82"/>
      <c r="Y55" s="562"/>
      <c r="Z55" s="562"/>
      <c r="AA55" s="562"/>
      <c r="AB55" s="562"/>
      <c r="AC55" s="562"/>
      <c r="AD55" s="562"/>
      <c r="AE55" s="562"/>
      <c r="AF55" s="562"/>
      <c r="AG55" s="562"/>
      <c r="AH55" s="562"/>
      <c r="AI55" s="562"/>
      <c r="AJ55" s="562"/>
      <c r="AK55" s="562"/>
      <c r="AL55" s="562"/>
      <c r="AM55" s="562"/>
      <c r="AN55" s="562"/>
      <c r="AO55" s="562"/>
      <c r="AP55" s="190"/>
      <c r="AQ55" s="190"/>
      <c r="AR55" s="562"/>
      <c r="AS55" s="562"/>
      <c r="AT55" s="562"/>
      <c r="AU55" s="562"/>
      <c r="AV55" s="562"/>
      <c r="AW55" s="562"/>
      <c r="AX55" s="594"/>
      <c r="AY55" s="562"/>
    </row>
    <row r="56" spans="1:51" s="481" customFormat="1" x14ac:dyDescent="0.2">
      <c r="A56" s="13"/>
      <c r="B56" s="48">
        <v>601.5</v>
      </c>
      <c r="C56" s="14"/>
      <c r="D56" s="14"/>
      <c r="E56" s="14"/>
      <c r="F56" s="14"/>
      <c r="G56" s="14"/>
      <c r="H56" s="441"/>
      <c r="I56" s="99"/>
      <c r="J56" s="98"/>
      <c r="K56" s="65"/>
      <c r="L56" s="846"/>
      <c r="M56" s="610"/>
      <c r="N56" s="98"/>
      <c r="O56" s="607"/>
      <c r="P56" s="64"/>
      <c r="Q56" s="64"/>
      <c r="R56" s="64"/>
      <c r="S56" s="64"/>
      <c r="T56" s="64"/>
      <c r="U56" s="64"/>
      <c r="V56" s="64"/>
      <c r="W56" s="64"/>
      <c r="X56" s="82"/>
      <c r="Y56" s="562"/>
      <c r="Z56" s="562"/>
      <c r="AA56" s="562"/>
      <c r="AB56" s="562"/>
      <c r="AC56" s="562"/>
      <c r="AD56" s="562"/>
      <c r="AE56" s="562"/>
      <c r="AF56" s="562"/>
      <c r="AG56" s="562"/>
      <c r="AH56" s="562"/>
      <c r="AI56" s="562"/>
      <c r="AJ56" s="562"/>
      <c r="AK56" s="562"/>
      <c r="AL56" s="562"/>
      <c r="AM56" s="562"/>
      <c r="AN56" s="562"/>
      <c r="AO56" s="562"/>
      <c r="AP56" s="190"/>
      <c r="AQ56" s="190"/>
      <c r="AR56" s="562"/>
      <c r="AS56" s="562"/>
      <c r="AT56" s="562"/>
      <c r="AU56" s="562"/>
      <c r="AV56" s="562"/>
      <c r="AW56" s="562"/>
      <c r="AX56" s="594"/>
      <c r="AY56" s="562"/>
    </row>
    <row r="57" spans="1:51" x14ac:dyDescent="0.2">
      <c r="B57" s="48">
        <v>601.5</v>
      </c>
      <c r="C57" s="14"/>
      <c r="D57" s="14"/>
      <c r="E57" s="14" t="s">
        <v>2181</v>
      </c>
      <c r="F57" s="14"/>
      <c r="G57" s="14"/>
      <c r="H57" s="441"/>
      <c r="I57" s="40"/>
      <c r="J57" s="159" t="s">
        <v>2181</v>
      </c>
      <c r="K57" s="126"/>
      <c r="L57" s="599" t="s">
        <v>2425</v>
      </c>
      <c r="M57" s="611">
        <v>4</v>
      </c>
      <c r="N57" s="165"/>
      <c r="O57" s="608">
        <f>M57*S57*W57</f>
        <v>0</v>
      </c>
      <c r="P57" s="562" t="b">
        <v>1</v>
      </c>
      <c r="Q57" s="562" t="b">
        <v>0</v>
      </c>
      <c r="R57" s="562" t="b">
        <v>0</v>
      </c>
      <c r="S57" s="462" t="b">
        <f>NOT(W60=TRUE)</f>
        <v>1</v>
      </c>
      <c r="T57" s="64" t="b">
        <f>AND(NOT(S57),W57=TRUE)</f>
        <v>0</v>
      </c>
      <c r="U57" s="562"/>
      <c r="V57" s="562"/>
      <c r="W57" s="18"/>
      <c r="X57" s="563"/>
      <c r="Y57" s="562"/>
      <c r="Z57" s="562"/>
      <c r="AA57" s="562"/>
      <c r="AB57" s="562"/>
      <c r="AC57" s="562" t="b">
        <f>OR(AD57:AE57)</f>
        <v>0</v>
      </c>
      <c r="AD57" s="562" t="b">
        <f>T57</f>
        <v>0</v>
      </c>
      <c r="AE57" s="562" t="b">
        <v>0</v>
      </c>
      <c r="AF57" s="562"/>
      <c r="AG57" s="562"/>
      <c r="AH57" s="562"/>
      <c r="AI57" s="562"/>
      <c r="AJ57" s="562"/>
      <c r="AK57" s="562"/>
      <c r="AL57" s="190" t="str">
        <f t="shared" ref="AL57:AL61" si="13">SUBSTITUTE(SUBSTITUTE(SUBSTITUTE("dpa"&amp;$B57&amp;$C57&amp;$D57&amp;$E57&amp;$F57,".","_"),"(","_"),")","")</f>
        <v>dpa601,5_1</v>
      </c>
      <c r="AM57" s="190">
        <f t="shared" ref="AM57:AM61" si="14">M57</f>
        <v>4</v>
      </c>
      <c r="AN57" s="190" t="str">
        <f t="shared" ref="AN57:AN61" si="15">SUBSTITUTE(SUBSTITUTE(SUBSTITUTE("dpc"&amp;$B57&amp;$C57&amp;$D57&amp;$E57&amp;$F57,".","_"),"(","_"),")","")</f>
        <v>dpc601,5_1</v>
      </c>
      <c r="AO57" s="190">
        <f t="shared" ref="AO57:AO61" si="16">O57</f>
        <v>0</v>
      </c>
      <c r="AP57" s="562" t="str">
        <f t="shared" ref="AP57:AP60" si="17">SUBSTITUTE(SUBSTITUTE(SUBSTITUTE("dch"&amp;$B57&amp;$C57&amp;$D57&amp;$E57&amp;$F57,".","_"),"(","_"),")","")</f>
        <v>dch601,5_1</v>
      </c>
      <c r="AQ57" s="190">
        <f>W57</f>
        <v>0</v>
      </c>
      <c r="AR57" s="562" t="str">
        <f t="shared" ref="AR57:AR61" si="18">SUBSTITUTE(SUBSTITUTE(SUBSTITUTE("dnt"&amp;$B57&amp;$C57&amp;$D57&amp;$E57&amp;$F57,".","_"),"(","_"),")","")</f>
        <v>dnt601,5_1</v>
      </c>
      <c r="AS57" s="190">
        <f t="shared" ref="AS57:AS61" si="19">X57</f>
        <v>0</v>
      </c>
      <c r="AT57" s="562"/>
      <c r="AU57" s="562"/>
      <c r="AV57" s="562"/>
      <c r="AW57" s="562"/>
      <c r="AX57" s="594" t="str">
        <f>'Overview (Design)'!A48</f>
        <v>Recessed Lighting:</v>
      </c>
      <c r="AY57" s="562">
        <f>'Overview (Design)'!G48</f>
        <v>0</v>
      </c>
    </row>
    <row r="58" spans="1:51" x14ac:dyDescent="0.2">
      <c r="B58" s="48">
        <v>601.5</v>
      </c>
      <c r="C58" s="14"/>
      <c r="D58" s="14"/>
      <c r="E58" s="14" t="s">
        <v>2183</v>
      </c>
      <c r="F58" s="14"/>
      <c r="G58" s="14"/>
      <c r="H58" s="441"/>
      <c r="I58" s="40"/>
      <c r="J58" s="161" t="s">
        <v>2183</v>
      </c>
      <c r="K58" s="162"/>
      <c r="L58" s="205" t="s">
        <v>2426</v>
      </c>
      <c r="M58" s="249">
        <v>4</v>
      </c>
      <c r="N58" s="186"/>
      <c r="O58" s="248">
        <f>M58*S58*W58</f>
        <v>0</v>
      </c>
      <c r="P58" s="562" t="b">
        <v>1</v>
      </c>
      <c r="Q58" s="562" t="b">
        <v>0</v>
      </c>
      <c r="R58" s="562" t="b">
        <v>0</v>
      </c>
      <c r="S58" s="462" t="b">
        <f>NOT(W60=TRUE)</f>
        <v>1</v>
      </c>
      <c r="T58" s="64" t="b">
        <f>AND(NOT(S58),W58=TRUE)</f>
        <v>0</v>
      </c>
      <c r="U58" s="562"/>
      <c r="V58" s="562"/>
      <c r="W58" s="18"/>
      <c r="X58" s="563"/>
      <c r="Y58" s="562"/>
      <c r="Z58" s="562"/>
      <c r="AA58" s="562"/>
      <c r="AB58" s="562"/>
      <c r="AC58" s="562" t="b">
        <f>OR(AD58:AE58)</f>
        <v>0</v>
      </c>
      <c r="AD58" s="562" t="b">
        <f>T58</f>
        <v>0</v>
      </c>
      <c r="AE58" s="562" t="b">
        <v>0</v>
      </c>
      <c r="AF58" s="562"/>
      <c r="AG58" s="562"/>
      <c r="AH58" s="562"/>
      <c r="AI58" s="562"/>
      <c r="AJ58" s="562"/>
      <c r="AK58" s="562"/>
      <c r="AL58" s="190" t="str">
        <f t="shared" si="13"/>
        <v>dpa601,5_2</v>
      </c>
      <c r="AM58" s="190">
        <f t="shared" si="14"/>
        <v>4</v>
      </c>
      <c r="AN58" s="190" t="str">
        <f t="shared" si="15"/>
        <v>dpc601,5_2</v>
      </c>
      <c r="AO58" s="190">
        <f t="shared" si="16"/>
        <v>0</v>
      </c>
      <c r="AP58" s="562" t="str">
        <f t="shared" si="17"/>
        <v>dch601,5_2</v>
      </c>
      <c r="AQ58" s="190">
        <f>W58</f>
        <v>0</v>
      </c>
      <c r="AR58" s="562" t="str">
        <f t="shared" si="18"/>
        <v>dnt601,5_2</v>
      </c>
      <c r="AS58" s="190">
        <f t="shared" si="19"/>
        <v>0</v>
      </c>
      <c r="AT58" s="562"/>
      <c r="AU58" s="562"/>
      <c r="AV58" s="562"/>
      <c r="AW58" s="562"/>
      <c r="AX58" s="594"/>
      <c r="AY58" s="562"/>
    </row>
    <row r="59" spans="1:51" x14ac:dyDescent="0.2">
      <c r="B59" s="48">
        <v>601.5</v>
      </c>
      <c r="C59" s="14"/>
      <c r="D59" s="14"/>
      <c r="E59" s="14" t="s">
        <v>2185</v>
      </c>
      <c r="F59" s="14"/>
      <c r="G59" s="14"/>
      <c r="H59" s="441"/>
      <c r="I59" s="40"/>
      <c r="J59" s="161" t="s">
        <v>2185</v>
      </c>
      <c r="K59" s="162"/>
      <c r="L59" s="205" t="s">
        <v>2427</v>
      </c>
      <c r="M59" s="249">
        <v>4</v>
      </c>
      <c r="N59" s="186"/>
      <c r="O59" s="248">
        <f>M59*S59*W59</f>
        <v>0</v>
      </c>
      <c r="P59" s="562" t="b">
        <v>1</v>
      </c>
      <c r="Q59" s="562" t="b">
        <v>0</v>
      </c>
      <c r="R59" s="562" t="b">
        <v>0</v>
      </c>
      <c r="S59" s="462" t="b">
        <f>NOT(W60=TRUE)</f>
        <v>1</v>
      </c>
      <c r="T59" s="64" t="b">
        <f>AND(NOT(S59),W59=TRUE)</f>
        <v>0</v>
      </c>
      <c r="U59" s="562"/>
      <c r="V59" s="562"/>
      <c r="W59" s="18"/>
      <c r="X59" s="563"/>
      <c r="Y59" s="562"/>
      <c r="Z59" s="562"/>
      <c r="AA59" s="562"/>
      <c r="AB59" s="562"/>
      <c r="AC59" s="562" t="b">
        <f>OR(AD59:AE59)</f>
        <v>0</v>
      </c>
      <c r="AD59" s="562" t="b">
        <f>T59</f>
        <v>0</v>
      </c>
      <c r="AE59" s="562" t="b">
        <v>0</v>
      </c>
      <c r="AF59" s="562"/>
      <c r="AG59" s="562"/>
      <c r="AH59" s="562"/>
      <c r="AI59" s="562"/>
      <c r="AJ59" s="562"/>
      <c r="AK59" s="562"/>
      <c r="AL59" s="190" t="str">
        <f t="shared" si="13"/>
        <v>dpa601,5_3</v>
      </c>
      <c r="AM59" s="190">
        <f t="shared" si="14"/>
        <v>4</v>
      </c>
      <c r="AN59" s="190" t="str">
        <f t="shared" si="15"/>
        <v>dpc601,5_3</v>
      </c>
      <c r="AO59" s="190">
        <f t="shared" si="16"/>
        <v>0</v>
      </c>
      <c r="AP59" s="562" t="str">
        <f t="shared" si="17"/>
        <v>dch601,5_3</v>
      </c>
      <c r="AQ59" s="190">
        <f>W59</f>
        <v>0</v>
      </c>
      <c r="AR59" s="562" t="str">
        <f t="shared" si="18"/>
        <v>dnt601,5_3</v>
      </c>
      <c r="AS59" s="190">
        <f t="shared" si="19"/>
        <v>0</v>
      </c>
      <c r="AT59" s="562"/>
      <c r="AU59" s="562"/>
      <c r="AV59" s="562"/>
      <c r="AW59" s="562"/>
      <c r="AX59" s="594" t="str">
        <f>'Overview (Design)'!A50</f>
        <v>Special Design Features:</v>
      </c>
      <c r="AY59" s="562">
        <f>'Overview (Design)'!G50</f>
        <v>0</v>
      </c>
    </row>
    <row r="60" spans="1:51" ht="16" thickBot="1" x14ac:dyDescent="0.25">
      <c r="B60" s="48">
        <v>601.5</v>
      </c>
      <c r="C60" s="14"/>
      <c r="D60" s="14"/>
      <c r="E60" s="14" t="s">
        <v>2192</v>
      </c>
      <c r="F60" s="14"/>
      <c r="G60" s="14"/>
      <c r="H60" s="441"/>
      <c r="I60" s="40"/>
      <c r="J60" s="161" t="s">
        <v>2192</v>
      </c>
      <c r="K60" s="162"/>
      <c r="L60" s="205" t="s">
        <v>2428</v>
      </c>
      <c r="M60" s="249">
        <v>13</v>
      </c>
      <c r="N60" s="186"/>
      <c r="O60" s="248">
        <f>M60*S60*W60</f>
        <v>0</v>
      </c>
      <c r="P60" s="562" t="b">
        <v>1</v>
      </c>
      <c r="Q60" s="562" t="b">
        <v>0</v>
      </c>
      <c r="R60" s="562" t="b">
        <v>0</v>
      </c>
      <c r="S60" s="462" t="b">
        <f>NOT(OR(W57=TRUE,W58=TRUE,W59=TRUE))</f>
        <v>1</v>
      </c>
      <c r="T60" s="64" t="b">
        <f>AND(NOT(S60),W60=TRUE)</f>
        <v>0</v>
      </c>
      <c r="U60" s="562"/>
      <c r="V60" s="562"/>
      <c r="W60" s="18"/>
      <c r="X60" s="563"/>
      <c r="Y60" s="562"/>
      <c r="Z60" s="562"/>
      <c r="AA60" s="562"/>
      <c r="AB60" s="562"/>
      <c r="AC60" s="562" t="b">
        <f>OR(AD60:AE60)</f>
        <v>0</v>
      </c>
      <c r="AD60" s="562" t="b">
        <f>T60</f>
        <v>0</v>
      </c>
      <c r="AE60" s="562" t="b">
        <v>0</v>
      </c>
      <c r="AF60" s="562"/>
      <c r="AG60" s="562"/>
      <c r="AH60" s="562"/>
      <c r="AI60" s="562"/>
      <c r="AJ60" s="562"/>
      <c r="AK60" s="562"/>
      <c r="AL60" s="190" t="str">
        <f t="shared" si="13"/>
        <v>dpa601,5_4</v>
      </c>
      <c r="AM60" s="190">
        <f t="shared" si="14"/>
        <v>13</v>
      </c>
      <c r="AN60" s="190" t="str">
        <f t="shared" si="15"/>
        <v>dpc601,5_4</v>
      </c>
      <c r="AO60" s="190">
        <f t="shared" si="16"/>
        <v>0</v>
      </c>
      <c r="AP60" s="562" t="str">
        <f t="shared" si="17"/>
        <v>dch601,5_4</v>
      </c>
      <c r="AQ60" s="190">
        <f>W60</f>
        <v>0</v>
      </c>
      <c r="AR60" s="562" t="str">
        <f t="shared" si="18"/>
        <v>dnt601,5_4</v>
      </c>
      <c r="AS60" s="190">
        <f t="shared" si="19"/>
        <v>0</v>
      </c>
      <c r="AT60" s="562"/>
      <c r="AU60" s="562"/>
      <c r="AV60" s="562"/>
      <c r="AW60" s="562"/>
      <c r="AX60" s="594" t="str">
        <f>'Overview (Design)'!A51</f>
        <v>Passive Solar:</v>
      </c>
      <c r="AY60" s="562">
        <f>'Overview (Design)'!G51</f>
        <v>0</v>
      </c>
    </row>
    <row r="61" spans="1:51" ht="16" thickTop="1" x14ac:dyDescent="0.2">
      <c r="B61" s="48">
        <v>601.6</v>
      </c>
      <c r="C61" s="14"/>
      <c r="D61" s="14"/>
      <c r="E61" s="14"/>
      <c r="F61" s="14"/>
      <c r="G61" s="14"/>
      <c r="H61" s="441"/>
      <c r="I61" s="131" t="s">
        <v>2429</v>
      </c>
      <c r="J61" s="132"/>
      <c r="K61" s="133"/>
      <c r="L61" s="819" t="s">
        <v>2430</v>
      </c>
      <c r="M61" s="827" t="s">
        <v>2431</v>
      </c>
      <c r="N61" s="132"/>
      <c r="O61" s="823">
        <f ca="1">IFERROR(INDEX({4,6,8},MATCH(W62,INDIRECT(U62),0)),0)</f>
        <v>0</v>
      </c>
      <c r="P61" s="74"/>
      <c r="Q61" s="74"/>
      <c r="R61" s="74"/>
      <c r="S61" s="74"/>
      <c r="T61" s="74"/>
      <c r="U61" s="74"/>
      <c r="V61" s="74"/>
      <c r="W61" s="74"/>
      <c r="X61" s="802"/>
      <c r="Y61" s="562"/>
      <c r="Z61" s="562"/>
      <c r="AA61" s="562"/>
      <c r="AB61" s="562"/>
      <c r="AC61" s="562"/>
      <c r="AD61" s="562"/>
      <c r="AE61" s="562"/>
      <c r="AF61" s="562"/>
      <c r="AG61" s="562"/>
      <c r="AH61" s="562"/>
      <c r="AI61" s="562"/>
      <c r="AJ61" s="562"/>
      <c r="AK61" s="562"/>
      <c r="AL61" s="190" t="str">
        <f t="shared" si="13"/>
        <v>dpa601,6</v>
      </c>
      <c r="AM61" s="190" t="str">
        <f t="shared" si="14"/>
        <v>8 Max</v>
      </c>
      <c r="AN61" s="190" t="str">
        <f t="shared" si="15"/>
        <v>dpc601,6</v>
      </c>
      <c r="AO61" s="190">
        <f t="shared" ca="1" si="16"/>
        <v>0</v>
      </c>
      <c r="AP61" s="562"/>
      <c r="AQ61" s="562"/>
      <c r="AR61" s="562" t="str">
        <f t="shared" si="18"/>
        <v>dnt601,6</v>
      </c>
      <c r="AS61" s="190">
        <f t="shared" si="19"/>
        <v>0</v>
      </c>
      <c r="AT61" s="562"/>
      <c r="AU61" s="562"/>
      <c r="AV61" s="562"/>
      <c r="AW61" s="562"/>
      <c r="AX61" s="594" t="str">
        <f>'Overview (Design)'!A52</f>
        <v>Mass Walls:</v>
      </c>
      <c r="AY61" s="562">
        <f>'Overview (Design)'!G52</f>
        <v>0</v>
      </c>
    </row>
    <row r="62" spans="1:51" x14ac:dyDescent="0.2">
      <c r="B62" s="48">
        <v>601.6</v>
      </c>
      <c r="C62" s="14"/>
      <c r="D62" s="14"/>
      <c r="E62" s="14"/>
      <c r="F62" s="14"/>
      <c r="G62" s="14"/>
      <c r="H62" s="441"/>
      <c r="I62" s="99"/>
      <c r="J62" s="98"/>
      <c r="K62" s="65"/>
      <c r="L62" s="820"/>
      <c r="M62" s="800"/>
      <c r="N62" s="98"/>
      <c r="O62" s="793"/>
      <c r="P62" s="562" t="b">
        <v>1</v>
      </c>
      <c r="Q62" s="562" t="b">
        <v>0</v>
      </c>
      <c r="R62" s="64" t="b">
        <v>0</v>
      </c>
      <c r="S62" s="64" t="b">
        <v>1</v>
      </c>
      <c r="T62" s="64" t="b">
        <v>0</v>
      </c>
      <c r="U62" s="64" t="str">
        <f>SUBSTITUTE(SUBSTITUTE(SUBSTITUTE("dd"&amp;B62&amp;C62&amp;D62&amp;E62&amp;F62,".","_"),"(","_"),")","")</f>
        <v>dd601,6</v>
      </c>
      <c r="V62" s="64"/>
      <c r="W62" s="78"/>
      <c r="X62" s="798"/>
      <c r="Y62" s="562"/>
      <c r="Z62" s="562"/>
      <c r="AA62" s="562"/>
      <c r="AB62" s="562"/>
      <c r="AC62" s="562"/>
      <c r="AD62" s="562"/>
      <c r="AE62" s="562"/>
      <c r="AF62" s="562"/>
      <c r="AG62" s="562"/>
      <c r="AH62" s="562"/>
      <c r="AI62" s="562"/>
      <c r="AJ62" s="562"/>
      <c r="AK62" s="562"/>
      <c r="AL62" s="562"/>
      <c r="AM62" s="562"/>
      <c r="AN62" s="562"/>
      <c r="AO62" s="562"/>
      <c r="AP62" s="562" t="str">
        <f t="shared" ref="AP62" si="20">SUBSTITUTE(SUBSTITUTE(SUBSTITUTE("dch"&amp;$B62&amp;$C62&amp;$D62&amp;$E62&amp;$F62,".","_"),"(","_"),")","")</f>
        <v>dch601,6</v>
      </c>
      <c r="AQ62" s="190">
        <f>W62</f>
        <v>0</v>
      </c>
      <c r="AR62" s="562"/>
      <c r="AS62" s="562"/>
      <c r="AT62" s="562"/>
      <c r="AU62" s="562"/>
      <c r="AV62" s="562"/>
      <c r="AW62" s="562"/>
      <c r="AX62" s="594" t="str">
        <f>'Overview (Design)'!A53</f>
        <v>Ductless:</v>
      </c>
      <c r="AY62" s="562">
        <f>'Overview (Design)'!G53</f>
        <v>0</v>
      </c>
    </row>
    <row r="63" spans="1:51" x14ac:dyDescent="0.2">
      <c r="B63" s="48">
        <v>601.6</v>
      </c>
      <c r="C63" s="14"/>
      <c r="D63" s="14"/>
      <c r="E63" s="14"/>
      <c r="F63" s="14"/>
      <c r="G63" s="14"/>
      <c r="H63" s="441"/>
      <c r="I63" s="99"/>
      <c r="J63" s="98"/>
      <c r="K63" s="65"/>
      <c r="L63" s="820"/>
      <c r="M63" s="800"/>
      <c r="N63" s="98"/>
      <c r="O63" s="793"/>
      <c r="P63" s="64"/>
      <c r="Q63" s="64"/>
      <c r="R63" s="64"/>
      <c r="S63" s="64"/>
      <c r="T63" s="64"/>
      <c r="U63" s="64"/>
      <c r="V63" s="64"/>
      <c r="W63" s="64"/>
      <c r="X63" s="798"/>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94" t="str">
        <f>'Overview (Design)'!A54</f>
        <v>Radiant/Hydronic:</v>
      </c>
      <c r="AY63" s="562">
        <f>'Overview (Design)'!G54</f>
        <v>0</v>
      </c>
    </row>
    <row r="64" spans="1:51" x14ac:dyDescent="0.2">
      <c r="B64" s="48">
        <v>601.6</v>
      </c>
      <c r="C64" s="14"/>
      <c r="D64" s="14"/>
      <c r="E64" s="14" t="s">
        <v>2181</v>
      </c>
      <c r="F64" s="14"/>
      <c r="G64" s="14"/>
      <c r="H64" s="441"/>
      <c r="I64" s="99"/>
      <c r="J64" s="159" t="s">
        <v>2181</v>
      </c>
      <c r="K64" s="126"/>
      <c r="L64" s="599" t="s">
        <v>2432</v>
      </c>
      <c r="M64" s="611">
        <v>4</v>
      </c>
      <c r="N64" s="98"/>
      <c r="O64" s="607"/>
      <c r="P64" s="64"/>
      <c r="Q64" s="64"/>
      <c r="R64" s="64"/>
      <c r="S64" s="64"/>
      <c r="T64" s="64"/>
      <c r="U64" s="64"/>
      <c r="V64" s="64"/>
      <c r="W64" s="64"/>
      <c r="X64" s="798"/>
      <c r="Y64" s="562"/>
      <c r="Z64" s="562"/>
      <c r="AA64" s="562"/>
      <c r="AB64" s="562"/>
      <c r="AC64" s="562"/>
      <c r="AD64" s="562"/>
      <c r="AE64" s="562"/>
      <c r="AF64" s="562"/>
      <c r="AG64" s="562"/>
      <c r="AH64" s="562"/>
      <c r="AI64" s="562"/>
      <c r="AJ64" s="562"/>
      <c r="AK64" s="562"/>
      <c r="AL64" s="190" t="str">
        <f t="shared" ref="AL64:AL66" si="21">SUBSTITUTE(SUBSTITUTE(SUBSTITUTE("dpa"&amp;$B64&amp;$C64&amp;$D64&amp;$E64&amp;$F64,".","_"),"(","_"),")","")</f>
        <v>dpa601,6_1</v>
      </c>
      <c r="AM64" s="190">
        <f>M64</f>
        <v>4</v>
      </c>
      <c r="AN64" s="562"/>
      <c r="AO64" s="562"/>
      <c r="AP64" s="562"/>
      <c r="AQ64" s="562"/>
      <c r="AR64" s="562"/>
      <c r="AS64" s="562"/>
      <c r="AT64" s="562"/>
      <c r="AU64" s="562"/>
      <c r="AV64" s="562"/>
      <c r="AW64" s="562"/>
      <c r="AX64" s="594" t="str">
        <f>'Overview (Design)'!A55</f>
        <v>Tankless Water Heater:</v>
      </c>
      <c r="AY64" s="562">
        <f>'Overview (Design)'!G55</f>
        <v>0</v>
      </c>
    </row>
    <row r="65" spans="1:51" ht="16" thickBot="1" x14ac:dyDescent="0.25">
      <c r="B65" s="48">
        <v>601.6</v>
      </c>
      <c r="C65" s="14"/>
      <c r="D65" s="14"/>
      <c r="E65" s="14" t="s">
        <v>2183</v>
      </c>
      <c r="F65" s="14"/>
      <c r="G65" s="14"/>
      <c r="H65" s="441"/>
      <c r="I65" s="99"/>
      <c r="J65" s="134" t="s">
        <v>2183</v>
      </c>
      <c r="K65" s="65"/>
      <c r="L65" s="598" t="s">
        <v>2433</v>
      </c>
      <c r="M65" s="610">
        <v>2</v>
      </c>
      <c r="N65" s="98"/>
      <c r="O65" s="607"/>
      <c r="P65" s="64"/>
      <c r="Q65" s="64"/>
      <c r="R65" s="64"/>
      <c r="S65" s="64"/>
      <c r="T65" s="64"/>
      <c r="U65" s="64"/>
      <c r="V65" s="64"/>
      <c r="W65" s="64"/>
      <c r="X65" s="825"/>
      <c r="Y65" s="562"/>
      <c r="Z65" s="562"/>
      <c r="AA65" s="562"/>
      <c r="AB65" s="562"/>
      <c r="AC65" s="562"/>
      <c r="AD65" s="562"/>
      <c r="AE65" s="562"/>
      <c r="AF65" s="562"/>
      <c r="AG65" s="562"/>
      <c r="AH65" s="562"/>
      <c r="AI65" s="562"/>
      <c r="AJ65" s="562"/>
      <c r="AK65" s="562"/>
      <c r="AL65" s="190" t="str">
        <f t="shared" si="21"/>
        <v>dpa601,6_2</v>
      </c>
      <c r="AM65" s="190">
        <f>M65</f>
        <v>2</v>
      </c>
      <c r="AN65" s="562"/>
      <c r="AO65" s="562"/>
      <c r="AP65" s="562"/>
      <c r="AQ65" s="562"/>
      <c r="AR65" s="562"/>
      <c r="AS65" s="562"/>
      <c r="AT65" s="562"/>
      <c r="AU65" s="562"/>
      <c r="AV65" s="562"/>
      <c r="AW65" s="562"/>
      <c r="AX65" s="594" t="str">
        <f>'Overview (Design)'!A56</f>
        <v>Composting Toilet:</v>
      </c>
      <c r="AY65" s="562">
        <f>'Overview (Design)'!G56</f>
        <v>0</v>
      </c>
    </row>
    <row r="66" spans="1:51" ht="16" thickTop="1" x14ac:dyDescent="0.2">
      <c r="B66" s="48">
        <v>601.70000000000005</v>
      </c>
      <c r="C66" s="14"/>
      <c r="D66" s="14"/>
      <c r="E66" s="14"/>
      <c r="F66" s="14"/>
      <c r="G66" s="14"/>
      <c r="H66" s="441"/>
      <c r="I66" s="131" t="s">
        <v>2434</v>
      </c>
      <c r="J66" s="132"/>
      <c r="K66" s="133"/>
      <c r="L66" s="819" t="s">
        <v>2435</v>
      </c>
      <c r="M66" s="827" t="s">
        <v>2436</v>
      </c>
      <c r="N66" s="132"/>
      <c r="O66" s="823">
        <f ca="1">MIN(12,IFERROR(INDEX({1,2,5},MATCH(W69,INDIRECT(U69),0)),0)+IFERROR(INDEX({1,2,5},MATCH(W70,INDIRECT(U70),0)),0)+IFERROR(INDEX({1,2,5},MATCH(W71,INDIRECT(U71),0)),0)+IFERROR(INDEX({1,2,5},MATCH(W75,INDIRECT(U75),0)),0)+IFERROR(INDEX({1,2,5},MATCH(W77,INDIRECT(U77),0)),0))</f>
        <v>0</v>
      </c>
      <c r="P66" s="74"/>
      <c r="Q66" s="74"/>
      <c r="R66" s="74"/>
      <c r="S66" s="74"/>
      <c r="T66" s="74"/>
      <c r="U66" s="74"/>
      <c r="V66" s="74"/>
      <c r="W66" s="74"/>
      <c r="X66" s="796"/>
      <c r="Y66" s="562"/>
      <c r="Z66" s="562"/>
      <c r="AA66" s="562"/>
      <c r="AB66" s="562"/>
      <c r="AC66" s="562"/>
      <c r="AD66" s="562"/>
      <c r="AE66" s="562"/>
      <c r="AF66" s="562"/>
      <c r="AG66" s="562"/>
      <c r="AH66" s="562"/>
      <c r="AI66" s="562"/>
      <c r="AJ66" s="562"/>
      <c r="AK66" s="562"/>
      <c r="AL66" s="190" t="str">
        <f t="shared" si="21"/>
        <v>dpa601,7</v>
      </c>
      <c r="AM66" s="190" t="str">
        <f>M66</f>
        <v>12 Max</v>
      </c>
      <c r="AN66" s="190" t="str">
        <f>SUBSTITUTE(SUBSTITUTE(SUBSTITUTE("dpc"&amp;$B66&amp;$C66&amp;$D66&amp;$E66&amp;$F66,".","_"),"(","_"),")","")</f>
        <v>dpc601,7</v>
      </c>
      <c r="AO66" s="190">
        <f ca="1">O66</f>
        <v>0</v>
      </c>
      <c r="AP66" s="562"/>
      <c r="AQ66" s="562"/>
      <c r="AR66" s="562" t="str">
        <f>SUBSTITUTE(SUBSTITUTE(SUBSTITUTE("dnt"&amp;$B66&amp;$C66&amp;$D66&amp;$E66&amp;$F66,".","_"),"(","_"),")","")</f>
        <v>dnt601,7</v>
      </c>
      <c r="AS66" s="190">
        <f>X66</f>
        <v>0</v>
      </c>
      <c r="AT66" s="562"/>
      <c r="AU66" s="562"/>
      <c r="AV66" s="562"/>
      <c r="AW66" s="562"/>
      <c r="AX66" s="594"/>
      <c r="AY66" s="562"/>
    </row>
    <row r="67" spans="1:51" x14ac:dyDescent="0.2">
      <c r="B67" s="48">
        <v>601.70000000000005</v>
      </c>
      <c r="C67" s="14"/>
      <c r="D67" s="14"/>
      <c r="E67" s="14"/>
      <c r="F67" s="14"/>
      <c r="G67" s="14"/>
      <c r="H67" s="441"/>
      <c r="I67" s="99"/>
      <c r="J67" s="98"/>
      <c r="K67" s="65"/>
      <c r="L67" s="820"/>
      <c r="M67" s="800"/>
      <c r="N67" s="98"/>
      <c r="O67" s="793"/>
      <c r="P67" s="64"/>
      <c r="Q67" s="64"/>
      <c r="R67" s="64"/>
      <c r="S67" s="64"/>
      <c r="T67" s="64"/>
      <c r="U67" s="64"/>
      <c r="V67" s="64"/>
      <c r="W67" s="64"/>
      <c r="X67" s="797"/>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94" t="str">
        <f>'Overview (Design)'!A58</f>
        <v>Local Energy Code:</v>
      </c>
      <c r="AY67" s="562">
        <f>'Overview (Design)'!G58</f>
        <v>0</v>
      </c>
    </row>
    <row r="68" spans="1:51" x14ac:dyDescent="0.2">
      <c r="B68" s="48">
        <v>601.70000000000005</v>
      </c>
      <c r="C68" s="14"/>
      <c r="D68" s="14"/>
      <c r="E68" s="14"/>
      <c r="F68" s="14"/>
      <c r="G68" s="14"/>
      <c r="H68" s="441"/>
      <c r="I68" s="99"/>
      <c r="J68" s="98"/>
      <c r="K68" s="65"/>
      <c r="L68" s="631" t="s">
        <v>2437</v>
      </c>
      <c r="M68" s="610"/>
      <c r="N68" s="98"/>
      <c r="O68" s="607"/>
      <c r="P68" s="64"/>
      <c r="Q68" s="64"/>
      <c r="R68" s="64"/>
      <c r="S68" s="64"/>
      <c r="T68" s="64"/>
      <c r="U68" s="64"/>
      <c r="V68" s="64"/>
      <c r="W68" s="64"/>
      <c r="X68" s="797"/>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94" t="str">
        <f>'Overview (Design)'!A59</f>
        <v>Local Building Code:</v>
      </c>
      <c r="AY68" s="562">
        <f>'Overview (Design)'!G59</f>
        <v>0</v>
      </c>
    </row>
    <row r="69" spans="1:51" s="100" customFormat="1" x14ac:dyDescent="0.2">
      <c r="A69" s="13"/>
      <c r="B69" s="48">
        <v>601.70000000000005</v>
      </c>
      <c r="C69" s="14"/>
      <c r="D69" s="14"/>
      <c r="E69" s="14"/>
      <c r="F69" s="14" t="s">
        <v>2196</v>
      </c>
      <c r="G69" s="14"/>
      <c r="H69" s="441"/>
      <c r="I69" s="99"/>
      <c r="J69" s="98"/>
      <c r="K69" s="125" t="s">
        <v>2196</v>
      </c>
      <c r="L69" s="599" t="s">
        <v>2438</v>
      </c>
      <c r="M69" s="610"/>
      <c r="N69" s="98"/>
      <c r="O69" s="607"/>
      <c r="P69" s="64" t="b">
        <v>1</v>
      </c>
      <c r="Q69" s="64" t="b">
        <v>1</v>
      </c>
      <c r="R69" s="64" t="b">
        <v>0</v>
      </c>
      <c r="S69" s="64" t="b">
        <v>1</v>
      </c>
      <c r="T69" s="64" t="b">
        <v>0</v>
      </c>
      <c r="U69" s="64" t="str">
        <f>SUBSTITUTE(SUBSTITUTE(SUBSTITUTE("dd"&amp;B69&amp;C69&amp;D69&amp;E69&amp;F69,".","_"),"(","_"),")","")</f>
        <v>dd601,7_a</v>
      </c>
      <c r="V69" s="64"/>
      <c r="W69" s="78"/>
      <c r="X69" s="797"/>
      <c r="Y69" s="562"/>
      <c r="Z69" s="562"/>
      <c r="AA69" s="562"/>
      <c r="AB69" s="562"/>
      <c r="AC69" s="562"/>
      <c r="AD69" s="562"/>
      <c r="AE69" s="562"/>
      <c r="AF69" s="562"/>
      <c r="AG69" s="562"/>
      <c r="AH69" s="562"/>
      <c r="AI69" s="562"/>
      <c r="AJ69" s="562"/>
      <c r="AK69" s="562"/>
      <c r="AL69" s="562"/>
      <c r="AM69" s="562"/>
      <c r="AN69" s="562"/>
      <c r="AO69" s="562"/>
      <c r="AP69" s="562" t="str">
        <f t="shared" ref="AP69:AP71" si="22">SUBSTITUTE(SUBSTITUTE(SUBSTITUTE("dch"&amp;$B69&amp;$C69&amp;$D69&amp;$E69&amp;$F69,".","_"),"(","_"),")","")</f>
        <v>dch601,7_a</v>
      </c>
      <c r="AQ69" s="190">
        <f>W69</f>
        <v>0</v>
      </c>
      <c r="AR69" s="562"/>
      <c r="AS69" s="562"/>
      <c r="AT69" s="562"/>
      <c r="AU69" s="562"/>
      <c r="AV69" s="562"/>
      <c r="AW69" s="562"/>
      <c r="AX69" s="562"/>
      <c r="AY69" s="562"/>
    </row>
    <row r="70" spans="1:51" x14ac:dyDescent="0.2">
      <c r="B70" s="48">
        <v>601.70000000000005</v>
      </c>
      <c r="C70" s="14"/>
      <c r="D70" s="14"/>
      <c r="E70" s="14"/>
      <c r="F70" s="14" t="s">
        <v>2198</v>
      </c>
      <c r="G70" s="14"/>
      <c r="H70" s="441"/>
      <c r="I70" s="99"/>
      <c r="J70" s="98"/>
      <c r="K70" s="167" t="s">
        <v>2198</v>
      </c>
      <c r="L70" s="205" t="s">
        <v>2439</v>
      </c>
      <c r="M70" s="610"/>
      <c r="N70" s="98"/>
      <c r="O70" s="607"/>
      <c r="P70" s="64" t="b">
        <v>1</v>
      </c>
      <c r="Q70" s="64" t="b">
        <v>1</v>
      </c>
      <c r="R70" s="64" t="b">
        <v>0</v>
      </c>
      <c r="S70" s="64" t="b">
        <v>1</v>
      </c>
      <c r="T70" s="64" t="b">
        <v>0</v>
      </c>
      <c r="U70" s="64" t="str">
        <f>SUBSTITUTE(SUBSTITUTE(SUBSTITUTE("dd"&amp;B70&amp;C70&amp;D70&amp;E70&amp;F70,".","_"),"(","_"),")","")</f>
        <v>dd601,7_b</v>
      </c>
      <c r="V70" s="64"/>
      <c r="W70" s="78"/>
      <c r="X70" s="797"/>
      <c r="Y70" s="562"/>
      <c r="Z70" s="562"/>
      <c r="AA70" s="562"/>
      <c r="AB70" s="562"/>
      <c r="AC70" s="562"/>
      <c r="AD70" s="562"/>
      <c r="AE70" s="562"/>
      <c r="AF70" s="562"/>
      <c r="AG70" s="562"/>
      <c r="AH70" s="562"/>
      <c r="AI70" s="562"/>
      <c r="AJ70" s="562"/>
      <c r="AK70" s="562"/>
      <c r="AL70" s="562"/>
      <c r="AM70" s="562"/>
      <c r="AN70" s="562"/>
      <c r="AO70" s="562"/>
      <c r="AP70" s="562" t="str">
        <f t="shared" si="22"/>
        <v>dch601,7_b</v>
      </c>
      <c r="AQ70" s="190">
        <f>W70</f>
        <v>0</v>
      </c>
      <c r="AR70" s="562"/>
      <c r="AS70" s="562"/>
      <c r="AT70" s="562"/>
      <c r="AU70" s="562"/>
      <c r="AV70" s="562"/>
      <c r="AW70" s="562"/>
      <c r="AX70" s="562"/>
      <c r="AY70" s="562"/>
    </row>
    <row r="71" spans="1:51" x14ac:dyDescent="0.2">
      <c r="B71" s="48">
        <v>601.70000000000005</v>
      </c>
      <c r="C71" s="14"/>
      <c r="D71" s="14"/>
      <c r="E71" s="14"/>
      <c r="F71" s="19" t="s">
        <v>2200</v>
      </c>
      <c r="G71" s="19"/>
      <c r="H71" s="442"/>
      <c r="I71" s="99"/>
      <c r="J71" s="98"/>
      <c r="K71" s="168" t="s">
        <v>2200</v>
      </c>
      <c r="L71" s="858" t="s">
        <v>2440</v>
      </c>
      <c r="M71" s="610"/>
      <c r="N71" s="98"/>
      <c r="O71" s="607"/>
      <c r="P71" s="64" t="b">
        <v>1</v>
      </c>
      <c r="Q71" s="64" t="b">
        <v>1</v>
      </c>
      <c r="R71" s="64" t="b">
        <v>0</v>
      </c>
      <c r="S71" s="64" t="b">
        <v>1</v>
      </c>
      <c r="T71" s="64" t="b">
        <v>0</v>
      </c>
      <c r="U71" s="64" t="str">
        <f>SUBSTITUTE(SUBSTITUTE(SUBSTITUTE("dd"&amp;B71&amp;C71&amp;D71&amp;E71&amp;F71,".","_"),"(","_"),")","")</f>
        <v>dd601,7_c</v>
      </c>
      <c r="V71" s="64"/>
      <c r="W71" s="78"/>
      <c r="X71" s="797"/>
      <c r="Y71" s="562"/>
      <c r="Z71" s="562"/>
      <c r="AA71" s="562"/>
      <c r="AB71" s="562"/>
      <c r="AC71" s="562"/>
      <c r="AD71" s="562"/>
      <c r="AE71" s="562"/>
      <c r="AF71" s="562"/>
      <c r="AG71" s="562"/>
      <c r="AH71" s="562"/>
      <c r="AI71" s="562"/>
      <c r="AJ71" s="562"/>
      <c r="AK71" s="562"/>
      <c r="AL71" s="562"/>
      <c r="AM71" s="562"/>
      <c r="AN71" s="562"/>
      <c r="AO71" s="562"/>
      <c r="AP71" s="562" t="str">
        <f t="shared" si="22"/>
        <v>dch601,7_c</v>
      </c>
      <c r="AQ71" s="190">
        <f>W71</f>
        <v>0</v>
      </c>
      <c r="AR71" s="562"/>
      <c r="AS71" s="562"/>
      <c r="AT71" s="562"/>
      <c r="AU71" s="562"/>
      <c r="AV71" s="562"/>
      <c r="AW71" s="562"/>
      <c r="AX71" s="562"/>
      <c r="AY71" s="562"/>
    </row>
    <row r="72" spans="1:51" x14ac:dyDescent="0.2">
      <c r="B72" s="48">
        <v>601.70000000000005</v>
      </c>
      <c r="C72" s="14"/>
      <c r="D72" s="14"/>
      <c r="E72" s="14"/>
      <c r="F72" s="19" t="s">
        <v>2200</v>
      </c>
      <c r="G72" s="19"/>
      <c r="H72" s="442"/>
      <c r="I72" s="99"/>
      <c r="J72" s="98"/>
      <c r="K72" s="65"/>
      <c r="L72" s="859"/>
      <c r="M72" s="610"/>
      <c r="N72" s="98"/>
      <c r="O72" s="607"/>
      <c r="P72" s="64"/>
      <c r="Q72" s="64"/>
      <c r="R72" s="64"/>
      <c r="S72" s="64"/>
      <c r="T72" s="64"/>
      <c r="U72" s="64"/>
      <c r="V72" s="64"/>
      <c r="W72" s="64"/>
      <c r="X72" s="797"/>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row>
    <row r="73" spans="1:51" x14ac:dyDescent="0.2">
      <c r="B73" s="48">
        <v>601.70000000000005</v>
      </c>
      <c r="C73" s="14"/>
      <c r="D73" s="14"/>
      <c r="E73" s="14"/>
      <c r="F73" s="19" t="s">
        <v>2200</v>
      </c>
      <c r="G73" s="19"/>
      <c r="H73" s="442"/>
      <c r="I73" s="99"/>
      <c r="J73" s="98"/>
      <c r="K73" s="65"/>
      <c r="L73" s="206" t="s">
        <v>2441</v>
      </c>
      <c r="M73" s="610"/>
      <c r="N73" s="98"/>
      <c r="O73" s="607"/>
      <c r="P73" s="64"/>
      <c r="Q73" s="64"/>
      <c r="R73" s="64"/>
      <c r="S73" s="64"/>
      <c r="T73" s="64"/>
      <c r="U73" s="64"/>
      <c r="V73" s="64"/>
      <c r="W73" s="64"/>
      <c r="X73" s="797"/>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row>
    <row r="74" spans="1:51" x14ac:dyDescent="0.2">
      <c r="B74" s="48">
        <v>601.70000000000005</v>
      </c>
      <c r="C74" s="14"/>
      <c r="D74" s="14"/>
      <c r="E74" s="14"/>
      <c r="F74" s="19" t="s">
        <v>2200</v>
      </c>
      <c r="G74" s="19"/>
      <c r="H74" s="442"/>
      <c r="I74" s="99"/>
      <c r="J74" s="98"/>
      <c r="K74" s="126"/>
      <c r="L74" s="606" t="s">
        <v>2442</v>
      </c>
      <c r="M74" s="610"/>
      <c r="N74" s="98"/>
      <c r="O74" s="607"/>
      <c r="P74" s="64"/>
      <c r="Q74" s="64"/>
      <c r="R74" s="64"/>
      <c r="S74" s="64"/>
      <c r="T74" s="64"/>
      <c r="U74" s="64"/>
      <c r="V74" s="64"/>
      <c r="W74" s="64"/>
      <c r="X74" s="797"/>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row>
    <row r="75" spans="1:51" x14ac:dyDescent="0.2">
      <c r="B75" s="48">
        <v>601.70000000000005</v>
      </c>
      <c r="C75" s="14"/>
      <c r="D75" s="14"/>
      <c r="E75" s="14"/>
      <c r="F75" s="14" t="s">
        <v>2247</v>
      </c>
      <c r="G75" s="14"/>
      <c r="H75" s="441"/>
      <c r="I75" s="99"/>
      <c r="J75" s="98"/>
      <c r="K75" s="169" t="s">
        <v>2247</v>
      </c>
      <c r="L75" s="831" t="s">
        <v>2443</v>
      </c>
      <c r="M75" s="610"/>
      <c r="N75" s="98"/>
      <c r="O75" s="607"/>
      <c r="P75" s="64" t="b">
        <v>1</v>
      </c>
      <c r="Q75" s="64" t="b">
        <v>1</v>
      </c>
      <c r="R75" s="64" t="b">
        <v>0</v>
      </c>
      <c r="S75" s="64" t="b">
        <v>1</v>
      </c>
      <c r="T75" s="64" t="b">
        <v>0</v>
      </c>
      <c r="U75" s="64" t="str">
        <f>SUBSTITUTE(SUBSTITUTE(SUBSTITUTE("dd"&amp;B75&amp;C75&amp;D75&amp;E75&amp;F75,".","_"),"(","_"),")","")</f>
        <v>dd601,7_d</v>
      </c>
      <c r="V75" s="64"/>
      <c r="W75" s="78"/>
      <c r="X75" s="797"/>
      <c r="Y75" s="562"/>
      <c r="Z75" s="562"/>
      <c r="AA75" s="562"/>
      <c r="AB75" s="562"/>
      <c r="AC75" s="562"/>
      <c r="AD75" s="562"/>
      <c r="AE75" s="562"/>
      <c r="AF75" s="562"/>
      <c r="AG75" s="562"/>
      <c r="AH75" s="562"/>
      <c r="AI75" s="562"/>
      <c r="AJ75" s="562"/>
      <c r="AK75" s="562"/>
      <c r="AL75" s="562"/>
      <c r="AM75" s="562"/>
      <c r="AN75" s="562"/>
      <c r="AO75" s="562"/>
      <c r="AP75" s="562" t="str">
        <f t="shared" ref="AP75" si="23">SUBSTITUTE(SUBSTITUTE(SUBSTITUTE("dch"&amp;$B75&amp;$C75&amp;$D75&amp;$E75&amp;$F75,".","_"),"(","_"),")","")</f>
        <v>dch601,7_d</v>
      </c>
      <c r="AQ75" s="190">
        <f>W75</f>
        <v>0</v>
      </c>
      <c r="AR75" s="562"/>
      <c r="AS75" s="562"/>
      <c r="AT75" s="562"/>
      <c r="AU75" s="562"/>
      <c r="AV75" s="562"/>
      <c r="AW75" s="562"/>
      <c r="AX75" s="562"/>
      <c r="AY75" s="562"/>
    </row>
    <row r="76" spans="1:51" x14ac:dyDescent="0.2">
      <c r="B76" s="48">
        <v>601.70000000000005</v>
      </c>
      <c r="C76" s="14"/>
      <c r="D76" s="14"/>
      <c r="E76" s="14"/>
      <c r="F76" s="14" t="s">
        <v>2247</v>
      </c>
      <c r="G76" s="14"/>
      <c r="H76" s="441"/>
      <c r="I76" s="99"/>
      <c r="J76" s="98"/>
      <c r="K76" s="126"/>
      <c r="L76" s="792"/>
      <c r="M76" s="610"/>
      <c r="N76" s="98"/>
      <c r="O76" s="607"/>
      <c r="P76" s="64"/>
      <c r="Q76" s="64"/>
      <c r="R76" s="64"/>
      <c r="S76" s="64"/>
      <c r="T76" s="64"/>
      <c r="U76" s="64"/>
      <c r="V76" s="64"/>
      <c r="W76" s="64"/>
      <c r="X76" s="797"/>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row>
    <row r="77" spans="1:51" x14ac:dyDescent="0.2">
      <c r="B77" s="48">
        <v>601.70000000000005</v>
      </c>
      <c r="C77" s="14"/>
      <c r="D77" s="14"/>
      <c r="E77" s="14"/>
      <c r="F77" s="14" t="s">
        <v>2444</v>
      </c>
      <c r="G77" s="14"/>
      <c r="H77" s="441"/>
      <c r="I77" s="99"/>
      <c r="J77" s="98"/>
      <c r="K77" s="169" t="s">
        <v>2444</v>
      </c>
      <c r="L77" s="831" t="s">
        <v>2445</v>
      </c>
      <c r="M77" s="610"/>
      <c r="N77" s="98"/>
      <c r="O77" s="607"/>
      <c r="P77" s="64" t="b">
        <v>1</v>
      </c>
      <c r="Q77" s="64" t="b">
        <v>1</v>
      </c>
      <c r="R77" s="64" t="b">
        <v>0</v>
      </c>
      <c r="S77" s="64" t="b">
        <v>1</v>
      </c>
      <c r="T77" s="64" t="b">
        <v>0</v>
      </c>
      <c r="U77" s="64" t="str">
        <f>SUBSTITUTE(SUBSTITUTE(SUBSTITUTE("dd"&amp;B77&amp;C77&amp;D77&amp;E77&amp;F77,".","_"),"(","_"),")","")</f>
        <v>dd601,7_e</v>
      </c>
      <c r="V77" s="64"/>
      <c r="W77" s="78"/>
      <c r="X77" s="797"/>
      <c r="Y77" s="562"/>
      <c r="Z77" s="562"/>
      <c r="AA77" s="562"/>
      <c r="AB77" s="562"/>
      <c r="AC77" s="562"/>
      <c r="AD77" s="562"/>
      <c r="AE77" s="562"/>
      <c r="AF77" s="562"/>
      <c r="AG77" s="562"/>
      <c r="AH77" s="562"/>
      <c r="AI77" s="562"/>
      <c r="AJ77" s="562"/>
      <c r="AK77" s="562"/>
      <c r="AL77" s="562"/>
      <c r="AM77" s="562"/>
      <c r="AN77" s="562"/>
      <c r="AO77" s="562"/>
      <c r="AP77" s="562" t="str">
        <f t="shared" ref="AP77" si="24">SUBSTITUTE(SUBSTITUTE(SUBSTITUTE("dch"&amp;$B77&amp;$C77&amp;$D77&amp;$E77&amp;$F77,".","_"),"(","_"),")","")</f>
        <v>dch601,7_e</v>
      </c>
      <c r="AQ77" s="190">
        <f>W77</f>
        <v>0</v>
      </c>
      <c r="AR77" s="562"/>
      <c r="AS77" s="562"/>
      <c r="AT77" s="562"/>
      <c r="AU77" s="562"/>
      <c r="AV77" s="562"/>
      <c r="AW77" s="562"/>
      <c r="AX77" s="562"/>
      <c r="AY77" s="562"/>
    </row>
    <row r="78" spans="1:51" x14ac:dyDescent="0.2">
      <c r="B78" s="48">
        <v>601.70000000000005</v>
      </c>
      <c r="C78" s="14"/>
      <c r="D78" s="14"/>
      <c r="E78" s="14"/>
      <c r="F78" s="14" t="s">
        <v>2444</v>
      </c>
      <c r="G78" s="14"/>
      <c r="H78" s="441"/>
      <c r="I78" s="99"/>
      <c r="J78" s="98"/>
      <c r="K78" s="126"/>
      <c r="L78" s="792"/>
      <c r="M78" s="610"/>
      <c r="N78" s="98"/>
      <c r="O78" s="607"/>
      <c r="P78" s="64"/>
      <c r="Q78" s="64"/>
      <c r="R78" s="64"/>
      <c r="S78" s="64"/>
      <c r="T78" s="64"/>
      <c r="U78" s="64"/>
      <c r="V78" s="64"/>
      <c r="W78" s="64"/>
      <c r="X78" s="797"/>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row>
    <row r="79" spans="1:51" x14ac:dyDescent="0.2">
      <c r="B79" s="48">
        <v>601.70000000000005</v>
      </c>
      <c r="C79" s="14"/>
      <c r="D79" s="14"/>
      <c r="E79" s="14" t="s">
        <v>2181</v>
      </c>
      <c r="F79" s="14"/>
      <c r="G79" s="14"/>
      <c r="H79" s="441"/>
      <c r="I79" s="99"/>
      <c r="J79" s="159" t="s">
        <v>2181</v>
      </c>
      <c r="K79" s="65"/>
      <c r="L79" s="599" t="s">
        <v>2446</v>
      </c>
      <c r="M79" s="611">
        <v>5</v>
      </c>
      <c r="N79" s="98"/>
      <c r="O79" s="607"/>
      <c r="P79" s="64"/>
      <c r="Q79" s="64"/>
      <c r="R79" s="64"/>
      <c r="S79" s="64"/>
      <c r="T79" s="64"/>
      <c r="U79" s="64"/>
      <c r="V79" s="64"/>
      <c r="W79" s="64"/>
      <c r="X79" s="797"/>
      <c r="Y79" s="562"/>
      <c r="Z79" s="562"/>
      <c r="AA79" s="562"/>
      <c r="AB79" s="562"/>
      <c r="AC79" s="562"/>
      <c r="AD79" s="562"/>
      <c r="AE79" s="562"/>
      <c r="AF79" s="562"/>
      <c r="AG79" s="562"/>
      <c r="AH79" s="562"/>
      <c r="AI79" s="562"/>
      <c r="AJ79" s="562"/>
      <c r="AK79" s="562"/>
      <c r="AL79" s="190" t="str">
        <f t="shared" ref="AL79:AL80" si="25">SUBSTITUTE(SUBSTITUTE(SUBSTITUTE("dpa"&amp;$B79&amp;$C79&amp;$D79&amp;$E79&amp;$F79,".","_"),"(","_"),")","")</f>
        <v>dpa601,7_1</v>
      </c>
      <c r="AM79" s="190">
        <f>M79</f>
        <v>5</v>
      </c>
      <c r="AN79" s="562"/>
      <c r="AO79" s="562"/>
      <c r="AP79" s="562"/>
      <c r="AQ79" s="562"/>
      <c r="AR79" s="562"/>
      <c r="AS79" s="562"/>
      <c r="AT79" s="562"/>
      <c r="AU79" s="562"/>
      <c r="AV79" s="562"/>
      <c r="AW79" s="562"/>
      <c r="AX79" s="562"/>
      <c r="AY79" s="562"/>
    </row>
    <row r="80" spans="1:51" x14ac:dyDescent="0.2">
      <c r="B80" s="48">
        <v>601.70000000000005</v>
      </c>
      <c r="C80" s="14"/>
      <c r="D80" s="14"/>
      <c r="E80" s="14" t="s">
        <v>2183</v>
      </c>
      <c r="F80" s="14"/>
      <c r="G80" s="14"/>
      <c r="H80" s="441"/>
      <c r="I80" s="99"/>
      <c r="J80" s="134" t="s">
        <v>2183</v>
      </c>
      <c r="K80" s="148"/>
      <c r="L80" s="857" t="s">
        <v>2447</v>
      </c>
      <c r="M80" s="824">
        <v>2</v>
      </c>
      <c r="N80" s="98"/>
      <c r="O80" s="607"/>
      <c r="P80" s="64"/>
      <c r="Q80" s="64"/>
      <c r="R80" s="64"/>
      <c r="S80" s="64"/>
      <c r="T80" s="64"/>
      <c r="U80" s="64"/>
      <c r="V80" s="64"/>
      <c r="W80" s="64"/>
      <c r="X80" s="797"/>
      <c r="Y80" s="562"/>
      <c r="Z80" s="562"/>
      <c r="AA80" s="562"/>
      <c r="AB80" s="562"/>
      <c r="AC80" s="562"/>
      <c r="AD80" s="562"/>
      <c r="AE80" s="562"/>
      <c r="AF80" s="562"/>
      <c r="AG80" s="562"/>
      <c r="AH80" s="562"/>
      <c r="AI80" s="562"/>
      <c r="AJ80" s="562"/>
      <c r="AK80" s="562"/>
      <c r="AL80" s="190" t="str">
        <f t="shared" si="25"/>
        <v>dpa601,7_2</v>
      </c>
      <c r="AM80" s="190">
        <f>M80</f>
        <v>2</v>
      </c>
      <c r="AN80" s="562"/>
      <c r="AO80" s="562"/>
      <c r="AP80" s="562"/>
      <c r="AQ80" s="562"/>
      <c r="AR80" s="562"/>
      <c r="AS80" s="562"/>
      <c r="AT80" s="562"/>
      <c r="AU80" s="562"/>
      <c r="AV80" s="562"/>
      <c r="AW80" s="562"/>
      <c r="AX80" s="562"/>
      <c r="AY80" s="562"/>
    </row>
    <row r="81" spans="1:51" x14ac:dyDescent="0.2">
      <c r="B81" s="48">
        <v>601.70000000000005</v>
      </c>
      <c r="C81" s="14"/>
      <c r="D81" s="14"/>
      <c r="E81" s="14"/>
      <c r="F81" s="14"/>
      <c r="G81" s="14"/>
      <c r="H81" s="441"/>
      <c r="I81" s="99"/>
      <c r="J81" s="129"/>
      <c r="K81" s="126"/>
      <c r="L81" s="777"/>
      <c r="M81" s="801"/>
      <c r="N81" s="98"/>
      <c r="O81" s="607"/>
      <c r="P81" s="64"/>
      <c r="Q81" s="64"/>
      <c r="R81" s="64"/>
      <c r="S81" s="64"/>
      <c r="T81" s="64"/>
      <c r="U81" s="64"/>
      <c r="V81" s="64"/>
      <c r="W81" s="64"/>
      <c r="X81" s="797"/>
      <c r="Y81" s="562"/>
      <c r="Z81" s="562"/>
      <c r="AA81" s="562"/>
      <c r="AB81" s="562"/>
      <c r="AC81" s="562"/>
      <c r="AD81" s="562"/>
      <c r="AE81" s="562"/>
      <c r="AF81" s="562"/>
      <c r="AG81" s="562"/>
      <c r="AH81" s="562"/>
      <c r="AI81" s="562"/>
      <c r="AJ81" s="562"/>
      <c r="AK81" s="562"/>
      <c r="AL81" s="190"/>
      <c r="AM81" s="190"/>
      <c r="AN81" s="562"/>
      <c r="AO81" s="562"/>
      <c r="AP81" s="562"/>
      <c r="AQ81" s="562"/>
      <c r="AR81" s="562"/>
      <c r="AS81" s="562"/>
      <c r="AT81" s="562"/>
      <c r="AU81" s="562"/>
      <c r="AV81" s="562"/>
      <c r="AW81" s="562"/>
      <c r="AX81" s="562"/>
      <c r="AY81" s="562"/>
    </row>
    <row r="82" spans="1:51" s="201" customFormat="1" x14ac:dyDescent="0.2">
      <c r="A82" s="13"/>
      <c r="B82" s="48">
        <v>601.70000000000005</v>
      </c>
      <c r="C82" s="14"/>
      <c r="D82" s="14"/>
      <c r="E82" s="14" t="s">
        <v>2185</v>
      </c>
      <c r="F82" s="14"/>
      <c r="G82" s="14"/>
      <c r="H82" s="441"/>
      <c r="I82" s="99"/>
      <c r="J82" s="134" t="s">
        <v>2185</v>
      </c>
      <c r="K82" s="65"/>
      <c r="L82" s="776" t="s">
        <v>2448</v>
      </c>
      <c r="M82" s="610">
        <v>1</v>
      </c>
      <c r="N82" s="98"/>
      <c r="O82" s="607"/>
      <c r="P82" s="64"/>
      <c r="Q82" s="64"/>
      <c r="R82" s="64"/>
      <c r="S82" s="64"/>
      <c r="T82" s="64"/>
      <c r="U82" s="64"/>
      <c r="V82" s="64"/>
      <c r="W82" s="562"/>
      <c r="X82" s="797"/>
      <c r="Y82" s="562"/>
      <c r="Z82" s="562"/>
      <c r="AA82" s="562"/>
      <c r="AB82" s="562"/>
      <c r="AC82" s="562"/>
      <c r="AD82" s="562"/>
      <c r="AE82" s="562"/>
      <c r="AF82" s="562"/>
      <c r="AG82" s="562"/>
      <c r="AH82" s="562"/>
      <c r="AI82" s="562"/>
      <c r="AJ82" s="562"/>
      <c r="AK82" s="562"/>
      <c r="AL82" s="190" t="str">
        <f>SUBSTITUTE(SUBSTITUTE(SUBSTITUTE("dpa"&amp;$B82&amp;$C82&amp;$D82&amp;$E82&amp;$F82,".","_"),"(","_"),")","")</f>
        <v>dpa601,7_3</v>
      </c>
      <c r="AM82" s="190">
        <f>M82</f>
        <v>1</v>
      </c>
      <c r="AN82" s="562"/>
      <c r="AO82" s="562"/>
      <c r="AP82" s="562"/>
      <c r="AQ82" s="562"/>
      <c r="AR82" s="562"/>
      <c r="AS82" s="562"/>
      <c r="AT82" s="562"/>
      <c r="AU82" s="562"/>
      <c r="AV82" s="562"/>
      <c r="AW82" s="562"/>
      <c r="AX82" s="562"/>
      <c r="AY82" s="562"/>
    </row>
    <row r="83" spans="1:51" ht="16" thickBot="1" x14ac:dyDescent="0.25">
      <c r="B83" s="48">
        <v>601.70000000000005</v>
      </c>
      <c r="C83" s="14"/>
      <c r="D83" s="14"/>
      <c r="E83" s="14"/>
      <c r="F83" s="14"/>
      <c r="G83" s="14"/>
      <c r="H83" s="441"/>
      <c r="I83" s="99"/>
      <c r="J83" s="134"/>
      <c r="K83" s="65"/>
      <c r="L83" s="828"/>
      <c r="M83" s="610"/>
      <c r="N83" s="98"/>
      <c r="O83" s="607"/>
      <c r="P83" s="64"/>
      <c r="Q83" s="64"/>
      <c r="R83" s="64"/>
      <c r="S83" s="64"/>
      <c r="T83" s="64"/>
      <c r="U83" s="64"/>
      <c r="V83" s="64"/>
      <c r="W83" s="81"/>
      <c r="X83" s="826"/>
      <c r="Y83" s="562"/>
      <c r="Z83" s="562"/>
      <c r="AA83" s="562"/>
      <c r="AB83" s="562"/>
      <c r="AC83" s="562"/>
      <c r="AD83" s="562"/>
      <c r="AE83" s="562"/>
      <c r="AF83" s="562"/>
      <c r="AG83" s="562"/>
      <c r="AH83" s="562"/>
      <c r="AI83" s="562"/>
      <c r="AJ83" s="562"/>
      <c r="AK83" s="562"/>
      <c r="AL83" s="190"/>
      <c r="AM83" s="190"/>
      <c r="AN83" s="562"/>
      <c r="AO83" s="562"/>
      <c r="AP83" s="562"/>
      <c r="AQ83" s="562"/>
      <c r="AR83" s="562"/>
      <c r="AS83" s="562"/>
      <c r="AT83" s="562"/>
      <c r="AU83" s="562"/>
      <c r="AV83" s="562"/>
      <c r="AW83" s="562"/>
      <c r="AX83" s="562"/>
      <c r="AY83" s="562"/>
    </row>
    <row r="84" spans="1:51" s="201" customFormat="1" ht="16" thickTop="1" x14ac:dyDescent="0.2">
      <c r="A84" s="13"/>
      <c r="B84" s="48">
        <v>601.79999999999995</v>
      </c>
      <c r="C84" s="14"/>
      <c r="D84" s="14"/>
      <c r="E84" s="14"/>
      <c r="F84" s="14"/>
      <c r="G84" s="14"/>
      <c r="H84" s="441"/>
      <c r="I84" s="131" t="s">
        <v>2449</v>
      </c>
      <c r="J84" s="132"/>
      <c r="K84" s="133"/>
      <c r="L84" s="819" t="s">
        <v>2450</v>
      </c>
      <c r="M84" s="827">
        <v>3</v>
      </c>
      <c r="N84" s="132"/>
      <c r="O84" s="823">
        <f>M84*S84*W84</f>
        <v>0</v>
      </c>
      <c r="P84" s="562" t="b">
        <v>1</v>
      </c>
      <c r="Q84" s="562" t="b">
        <v>0</v>
      </c>
      <c r="R84" s="74" t="b">
        <v>0</v>
      </c>
      <c r="S84" s="74" t="b">
        <f>NOT(AZ33=1)</f>
        <v>1</v>
      </c>
      <c r="T84" s="64" t="b">
        <f>AND(NOT(S84),W84=TRUE)</f>
        <v>0</v>
      </c>
      <c r="U84" s="74"/>
      <c r="V84" s="74"/>
      <c r="W84" s="91"/>
      <c r="X84" s="802"/>
      <c r="Y84" s="562"/>
      <c r="Z84" s="562"/>
      <c r="AA84" s="562"/>
      <c r="AB84" s="562"/>
      <c r="AC84" s="562" t="b">
        <f>OR(AD84:AE84)</f>
        <v>0</v>
      </c>
      <c r="AD84" s="562" t="b">
        <v>0</v>
      </c>
      <c r="AE84" s="562" t="b">
        <f>AND(W84=TRUE,LEN(X84)=0)</f>
        <v>0</v>
      </c>
      <c r="AF84" s="562"/>
      <c r="AG84" s="562"/>
      <c r="AH84" s="562"/>
      <c r="AI84" s="562"/>
      <c r="AJ84" s="562"/>
      <c r="AK84" s="562"/>
      <c r="AL84" s="190" t="str">
        <f>SUBSTITUTE(SUBSTITUTE(SUBSTITUTE("dpa"&amp;$B84&amp;$C84&amp;$D84&amp;$E84&amp;$F84,".","_"),"(","_"),")","")</f>
        <v>dpa601,8</v>
      </c>
      <c r="AM84" s="190">
        <f>M84</f>
        <v>3</v>
      </c>
      <c r="AN84" s="190" t="str">
        <f>SUBSTITUTE(SUBSTITUTE(SUBSTITUTE("dpc"&amp;$B84&amp;$C84&amp;$D84&amp;$E84&amp;$F84,".","_"),"(","_"),")","")</f>
        <v>dpc601,8</v>
      </c>
      <c r="AO84" s="190">
        <f>O84</f>
        <v>0</v>
      </c>
      <c r="AP84" s="562" t="str">
        <f t="shared" ref="AP84" si="26">SUBSTITUTE(SUBSTITUTE(SUBSTITUTE("dch"&amp;$B84&amp;$C84&amp;$D84&amp;$E84&amp;$F84,".","_"),"(","_"),")","")</f>
        <v>dch601,8</v>
      </c>
      <c r="AQ84" s="190">
        <f>W84</f>
        <v>0</v>
      </c>
      <c r="AR84" s="562" t="str">
        <f>SUBSTITUTE(SUBSTITUTE(SUBSTITUTE("dnt"&amp;$B84&amp;$C84&amp;$D84&amp;$E84&amp;$F84,".","_"),"(","_"),")","")</f>
        <v>dnt601,8</v>
      </c>
      <c r="AS84" s="190">
        <f>X84</f>
        <v>0</v>
      </c>
      <c r="AT84" s="562"/>
      <c r="AU84" s="562"/>
      <c r="AV84" s="562"/>
      <c r="AW84" s="562"/>
      <c r="AX84" s="562"/>
      <c r="AY84" s="562"/>
    </row>
    <row r="85" spans="1:51" x14ac:dyDescent="0.2">
      <c r="B85" s="48">
        <v>601.79999999999995</v>
      </c>
      <c r="C85" s="14"/>
      <c r="D85" s="14"/>
      <c r="E85" s="14"/>
      <c r="F85" s="14"/>
      <c r="G85" s="14"/>
      <c r="H85" s="441"/>
      <c r="I85" s="99"/>
      <c r="J85" s="98"/>
      <c r="K85" s="65"/>
      <c r="L85" s="820"/>
      <c r="M85" s="800"/>
      <c r="N85" s="98"/>
      <c r="O85" s="793"/>
      <c r="P85" s="64"/>
      <c r="Q85" s="64"/>
      <c r="R85" s="64"/>
      <c r="S85" s="64"/>
      <c r="T85" s="64"/>
      <c r="U85" s="64"/>
      <c r="V85" s="64"/>
      <c r="W85" s="64"/>
      <c r="X85" s="798"/>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row>
    <row r="86" spans="1:51" x14ac:dyDescent="0.2">
      <c r="B86" s="48">
        <v>601.79999999999995</v>
      </c>
      <c r="C86" s="14"/>
      <c r="D86" s="14"/>
      <c r="E86" s="14"/>
      <c r="F86" s="14"/>
      <c r="G86" s="14"/>
      <c r="H86" s="441"/>
      <c r="I86" s="99"/>
      <c r="J86" s="98"/>
      <c r="K86" s="65"/>
      <c r="L86" s="820"/>
      <c r="M86" s="800"/>
      <c r="N86" s="98"/>
      <c r="O86" s="793"/>
      <c r="P86" s="64"/>
      <c r="Q86" s="64"/>
      <c r="R86" s="64"/>
      <c r="S86" s="64"/>
      <c r="T86" s="64"/>
      <c r="U86" s="64"/>
      <c r="V86" s="64"/>
      <c r="W86" s="64"/>
      <c r="X86" s="798"/>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row>
    <row r="87" spans="1:51" x14ac:dyDescent="0.2">
      <c r="B87" s="48">
        <v>601.79999999999995</v>
      </c>
      <c r="C87" s="14"/>
      <c r="D87" s="14"/>
      <c r="E87" s="14"/>
      <c r="F87" s="14"/>
      <c r="G87" s="14"/>
      <c r="H87" s="441"/>
      <c r="I87" s="99"/>
      <c r="J87" s="98"/>
      <c r="K87" s="65"/>
      <c r="L87" s="820"/>
      <c r="M87" s="800"/>
      <c r="N87" s="98"/>
      <c r="O87" s="793"/>
      <c r="P87" s="64"/>
      <c r="Q87" s="64"/>
      <c r="R87" s="64"/>
      <c r="S87" s="64"/>
      <c r="T87" s="64"/>
      <c r="U87" s="64"/>
      <c r="V87" s="64"/>
      <c r="W87" s="64"/>
      <c r="X87" s="798"/>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row>
    <row r="88" spans="1:51" x14ac:dyDescent="0.2">
      <c r="B88" s="48">
        <v>601.79999999999995</v>
      </c>
      <c r="C88" s="14"/>
      <c r="D88" s="14"/>
      <c r="E88" s="14"/>
      <c r="F88" s="14"/>
      <c r="G88" s="14"/>
      <c r="H88" s="441"/>
      <c r="I88" s="99"/>
      <c r="J88" s="98"/>
      <c r="K88" s="65"/>
      <c r="L88" s="820"/>
      <c r="M88" s="800"/>
      <c r="N88" s="98"/>
      <c r="O88" s="793"/>
      <c r="P88" s="64"/>
      <c r="Q88" s="64"/>
      <c r="R88" s="64"/>
      <c r="S88" s="64"/>
      <c r="T88" s="64"/>
      <c r="U88" s="64"/>
      <c r="V88" s="64"/>
      <c r="W88" s="64"/>
      <c r="X88" s="798"/>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row>
    <row r="89" spans="1:51" x14ac:dyDescent="0.2">
      <c r="B89" s="48">
        <v>601.79999999999995</v>
      </c>
      <c r="C89" s="14"/>
      <c r="D89" s="14"/>
      <c r="E89" s="14"/>
      <c r="F89" s="14"/>
      <c r="G89" s="14"/>
      <c r="H89" s="441"/>
      <c r="I89" s="99"/>
      <c r="J89" s="98"/>
      <c r="K89" s="65"/>
      <c r="L89" s="849" t="s">
        <v>2451</v>
      </c>
      <c r="M89" s="800"/>
      <c r="N89" s="98"/>
      <c r="O89" s="793"/>
      <c r="P89" s="64"/>
      <c r="Q89" s="64"/>
      <c r="R89" s="64"/>
      <c r="S89" s="64"/>
      <c r="T89" s="64"/>
      <c r="U89" s="64"/>
      <c r="V89" s="64"/>
      <c r="W89" s="64"/>
      <c r="X89" s="798"/>
      <c r="Y89" s="562"/>
      <c r="Z89" s="562"/>
      <c r="AA89" s="562"/>
      <c r="AB89" s="562"/>
      <c r="AC89" s="562"/>
      <c r="AD89" s="562"/>
      <c r="AE89" s="562"/>
      <c r="AF89" s="562"/>
      <c r="AG89" s="562"/>
      <c r="AH89" s="562"/>
      <c r="AI89" s="562"/>
      <c r="AJ89" s="562"/>
      <c r="AK89" s="562"/>
      <c r="AL89" s="562"/>
      <c r="AM89" s="562"/>
      <c r="AN89" s="562"/>
      <c r="AO89" s="562"/>
      <c r="AP89" s="562"/>
      <c r="AQ89" s="562"/>
      <c r="AR89" s="562"/>
      <c r="AS89" s="562"/>
      <c r="AT89" s="562"/>
      <c r="AU89" s="562"/>
      <c r="AV89" s="562"/>
      <c r="AW89" s="562"/>
      <c r="AX89" s="562"/>
      <c r="AY89" s="562"/>
    </row>
    <row r="90" spans="1:51" x14ac:dyDescent="0.2">
      <c r="B90" s="48">
        <v>601.79999999999995</v>
      </c>
      <c r="C90" s="14"/>
      <c r="D90" s="14"/>
      <c r="E90" s="14"/>
      <c r="F90" s="14"/>
      <c r="G90" s="14"/>
      <c r="H90" s="441"/>
      <c r="I90" s="99"/>
      <c r="J90" s="98"/>
      <c r="K90" s="65"/>
      <c r="L90" s="849"/>
      <c r="M90" s="800"/>
      <c r="N90" s="98"/>
      <c r="O90" s="793"/>
      <c r="P90" s="64"/>
      <c r="Q90" s="64"/>
      <c r="R90" s="64"/>
      <c r="S90" s="64"/>
      <c r="T90" s="64"/>
      <c r="U90" s="64"/>
      <c r="V90" s="64"/>
      <c r="W90" s="64"/>
      <c r="X90" s="798"/>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row>
    <row r="91" spans="1:51" ht="16" thickBot="1" x14ac:dyDescent="0.25">
      <c r="B91" s="48">
        <v>601.79999999999995</v>
      </c>
      <c r="C91" s="14"/>
      <c r="D91" s="14"/>
      <c r="E91" s="14"/>
      <c r="F91" s="14"/>
      <c r="G91" s="14"/>
      <c r="H91" s="441"/>
      <c r="I91" s="99"/>
      <c r="J91" s="98"/>
      <c r="K91" s="65"/>
      <c r="L91" s="833"/>
      <c r="M91" s="800"/>
      <c r="N91" s="98"/>
      <c r="O91" s="793"/>
      <c r="P91" s="64"/>
      <c r="Q91" s="64"/>
      <c r="R91" s="64"/>
      <c r="S91" s="64"/>
      <c r="T91" s="64"/>
      <c r="U91" s="64"/>
      <c r="V91" s="64"/>
      <c r="W91" s="81"/>
      <c r="X91" s="825"/>
      <c r="Y91" s="562"/>
      <c r="Z91" s="562"/>
      <c r="AA91" s="562"/>
      <c r="AB91" s="562"/>
      <c r="AC91" s="562"/>
      <c r="AD91" s="562"/>
      <c r="AE91" s="562"/>
      <c r="AF91" s="562"/>
      <c r="AG91" s="562"/>
      <c r="AH91" s="562"/>
      <c r="AI91" s="562"/>
      <c r="AJ91" s="562"/>
      <c r="AK91" s="562"/>
      <c r="AL91" s="562"/>
      <c r="AM91" s="562"/>
      <c r="AN91" s="562"/>
      <c r="AO91" s="562"/>
      <c r="AP91" s="562"/>
      <c r="AQ91" s="562"/>
      <c r="AR91" s="562"/>
      <c r="AS91" s="562"/>
      <c r="AT91" s="562"/>
      <c r="AU91" s="562"/>
      <c r="AV91" s="562"/>
      <c r="AW91" s="562"/>
      <c r="AX91" s="562"/>
      <c r="AY91" s="562"/>
    </row>
    <row r="92" spans="1:51" ht="20" thickTop="1" x14ac:dyDescent="0.25">
      <c r="B92" s="48">
        <v>602</v>
      </c>
      <c r="C92" s="14"/>
      <c r="D92" s="14"/>
      <c r="E92" s="14"/>
      <c r="F92" s="14"/>
      <c r="G92" s="14"/>
      <c r="H92" s="441"/>
      <c r="I92" s="45" t="s">
        <v>2452</v>
      </c>
      <c r="J92" s="45"/>
      <c r="K92" s="45"/>
      <c r="L92" s="180"/>
      <c r="M92" s="225"/>
      <c r="N92" s="266"/>
      <c r="O92" s="264"/>
      <c r="P92" s="16"/>
      <c r="Q92" s="16"/>
      <c r="R92" s="16"/>
      <c r="S92" s="16"/>
      <c r="T92" s="16"/>
      <c r="U92" s="16"/>
      <c r="V92" s="16"/>
      <c r="W92" s="16"/>
      <c r="X92" s="16"/>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562"/>
      <c r="AW92" s="562"/>
      <c r="AX92" s="562"/>
      <c r="AY92" s="562"/>
    </row>
    <row r="93" spans="1:51" x14ac:dyDescent="0.2">
      <c r="B93" s="48" t="s">
        <v>2453</v>
      </c>
      <c r="C93" s="14"/>
      <c r="D93" s="14"/>
      <c r="E93" s="14"/>
      <c r="F93" s="14"/>
      <c r="G93" s="14"/>
      <c r="H93" s="441"/>
      <c r="I93" s="49" t="s">
        <v>2454</v>
      </c>
      <c r="J93" s="3"/>
      <c r="K93" s="53"/>
      <c r="L93" s="775" t="s">
        <v>2455</v>
      </c>
      <c r="M93" s="616"/>
      <c r="N93" s="3"/>
      <c r="O93" s="609"/>
      <c r="P93" s="562"/>
      <c r="Q93" s="562"/>
      <c r="R93" s="562"/>
      <c r="S93" s="562"/>
      <c r="T93" s="562"/>
      <c r="U93" s="562"/>
      <c r="V93" s="562"/>
      <c r="W93" s="562"/>
      <c r="X93" s="562"/>
      <c r="Y93" s="562"/>
      <c r="Z93" s="562"/>
      <c r="AA93" s="562"/>
      <c r="AB93" s="562"/>
      <c r="AC93" s="562"/>
      <c r="AD93" s="562"/>
      <c r="AE93" s="562"/>
      <c r="AF93" s="562"/>
      <c r="AG93" s="562"/>
      <c r="AH93" s="562"/>
      <c r="AI93" s="562"/>
      <c r="AJ93" s="562"/>
      <c r="AK93" s="562"/>
      <c r="AL93" s="562"/>
      <c r="AM93" s="562"/>
      <c r="AN93" s="562"/>
      <c r="AO93" s="562"/>
      <c r="AP93" s="562"/>
      <c r="AQ93" s="562"/>
      <c r="AR93" s="562"/>
      <c r="AS93" s="562"/>
      <c r="AT93" s="562"/>
      <c r="AU93" s="562"/>
      <c r="AV93" s="562"/>
      <c r="AW93" s="562"/>
      <c r="AX93" s="562"/>
      <c r="AY93" s="562"/>
    </row>
    <row r="94" spans="1:51" ht="16" thickBot="1" x14ac:dyDescent="0.25">
      <c r="B94" s="48" t="s">
        <v>2453</v>
      </c>
      <c r="C94" s="14"/>
      <c r="D94" s="14"/>
      <c r="E94" s="14"/>
      <c r="F94" s="14"/>
      <c r="G94" s="14"/>
      <c r="H94" s="441"/>
      <c r="I94" s="40"/>
      <c r="J94" s="3"/>
      <c r="K94" s="53"/>
      <c r="L94" s="775"/>
      <c r="M94" s="616"/>
      <c r="N94" s="3"/>
      <c r="O94" s="609"/>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562"/>
      <c r="AW94" s="562"/>
      <c r="AX94" s="562"/>
      <c r="AY94" s="562"/>
    </row>
    <row r="95" spans="1:51" ht="17" thickTop="1" thickBot="1" x14ac:dyDescent="0.25">
      <c r="B95" s="48">
        <v>602.1</v>
      </c>
      <c r="C95" s="14"/>
      <c r="D95" s="14"/>
      <c r="E95" s="14"/>
      <c r="F95" s="14"/>
      <c r="G95" s="14"/>
      <c r="H95" s="441"/>
      <c r="I95" s="131" t="s">
        <v>2456</v>
      </c>
      <c r="J95" s="132"/>
      <c r="K95" s="133"/>
      <c r="L95" s="646" t="s">
        <v>2457</v>
      </c>
      <c r="M95" s="625"/>
      <c r="N95" s="132"/>
      <c r="O95" s="623"/>
      <c r="P95" s="74"/>
      <c r="Q95" s="74"/>
      <c r="R95" s="74"/>
      <c r="S95" s="74"/>
      <c r="T95" s="74"/>
      <c r="U95" s="74"/>
      <c r="V95" s="74"/>
      <c r="W95" s="74"/>
      <c r="X95" s="74"/>
      <c r="Y95" s="562"/>
      <c r="Z95" s="562"/>
      <c r="AA95" s="562"/>
      <c r="AB95" s="562"/>
      <c r="AC95" s="562"/>
      <c r="AD95" s="562"/>
      <c r="AE95" s="562"/>
      <c r="AF95" s="562"/>
      <c r="AG95" s="562"/>
      <c r="AH95" s="562"/>
      <c r="AI95" s="562"/>
      <c r="AJ95" s="562"/>
      <c r="AK95" s="562"/>
      <c r="AL95" s="562"/>
      <c r="AM95" s="562"/>
      <c r="AN95" s="562"/>
      <c r="AO95" s="562"/>
      <c r="AP95" s="562"/>
      <c r="AQ95" s="562"/>
      <c r="AR95" s="562"/>
      <c r="AS95" s="562"/>
      <c r="AT95" s="562"/>
      <c r="AU95" s="562"/>
      <c r="AV95" s="562"/>
      <c r="AW95" s="562"/>
      <c r="AX95" s="562"/>
      <c r="AY95" s="562"/>
    </row>
    <row r="96" spans="1:51" ht="16" thickTop="1" x14ac:dyDescent="0.2">
      <c r="B96" s="48" t="s">
        <v>2458</v>
      </c>
      <c r="C96" s="14"/>
      <c r="D96" s="14"/>
      <c r="E96" s="14"/>
      <c r="F96" s="14"/>
      <c r="G96" s="14"/>
      <c r="H96" s="441"/>
      <c r="I96" s="131" t="s">
        <v>2459</v>
      </c>
      <c r="J96" s="132"/>
      <c r="K96" s="133"/>
      <c r="L96" s="646" t="s">
        <v>2460</v>
      </c>
      <c r="M96" s="625"/>
      <c r="N96" s="132"/>
      <c r="O96" s="623"/>
      <c r="P96" s="74"/>
      <c r="Q96" s="74"/>
      <c r="R96" s="74"/>
      <c r="S96" s="74"/>
      <c r="T96" s="74"/>
      <c r="U96" s="74"/>
      <c r="V96" s="74"/>
      <c r="W96" s="74"/>
      <c r="X96" s="74"/>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562"/>
      <c r="AW96" s="562"/>
      <c r="AX96" s="562"/>
      <c r="AY96" s="562"/>
    </row>
    <row r="97" spans="1:45" x14ac:dyDescent="0.2">
      <c r="B97" s="48" t="s">
        <v>2461</v>
      </c>
      <c r="C97" s="48"/>
      <c r="D97" s="14"/>
      <c r="E97" s="14"/>
      <c r="F97" s="14"/>
      <c r="G97" s="14"/>
      <c r="H97" s="441"/>
      <c r="I97" s="99" t="s">
        <v>2462</v>
      </c>
      <c r="J97" s="98"/>
      <c r="K97" s="65"/>
      <c r="L97" s="820" t="s">
        <v>2463</v>
      </c>
      <c r="M97" s="838" t="str">
        <f>IF(R97,"Mandatory","N/A")</f>
        <v>Mandatory</v>
      </c>
      <c r="N97" s="3"/>
      <c r="O97" s="609"/>
      <c r="P97" s="562" t="b">
        <v>1</v>
      </c>
      <c r="Q97" s="562" t="b">
        <v>0</v>
      </c>
      <c r="R97" s="562" t="b">
        <f>S97</f>
        <v>1</v>
      </c>
      <c r="S97" s="562" t="b">
        <f>IF(OR(AZ33=2,AZ33=3),FALSE,TRUE)</f>
        <v>1</v>
      </c>
      <c r="T97" s="64" t="b">
        <f>AND(NOT(S97),LEN(W97)&gt;0)</f>
        <v>0</v>
      </c>
      <c r="U97" s="64" t="str">
        <f>SUBSTITUTE(SUBSTITUTE(SUBSTITUTE("dd"&amp;B97&amp;C97&amp;D97&amp;E97&amp;F97,".","_"),"(","_"),")","")</f>
        <v>dd602_1_1_1</v>
      </c>
      <c r="V97" s="562"/>
      <c r="W97" s="6"/>
      <c r="X97" s="825"/>
      <c r="Y97" s="562"/>
      <c r="Z97" s="562"/>
      <c r="AA97" s="562"/>
      <c r="AB97" s="562"/>
      <c r="AC97" s="562" t="b">
        <f>OR(AD97:AE97)</f>
        <v>1</v>
      </c>
      <c r="AD97" s="562" t="b">
        <f>T97</f>
        <v>0</v>
      </c>
      <c r="AE97" s="562" t="b">
        <f>AND(R97,NOT(W97="Met"),NOT(W97="N/A"))</f>
        <v>1</v>
      </c>
      <c r="AF97" s="562"/>
      <c r="AG97" s="562"/>
      <c r="AH97" s="562"/>
      <c r="AI97" s="562"/>
      <c r="AJ97" s="562"/>
      <c r="AK97" s="562"/>
      <c r="AL97" s="190" t="str">
        <f>SUBSTITUTE(SUBSTITUTE(SUBSTITUTE("dpa"&amp;$B97&amp;$C97&amp;$D97&amp;$E97&amp;$F97,".","_"),"(","_"),")","")</f>
        <v>dpa602_1_1_1</v>
      </c>
      <c r="AM97" s="190" t="str">
        <f>M97</f>
        <v>Mandatory</v>
      </c>
      <c r="AN97" s="562"/>
      <c r="AO97" s="562"/>
      <c r="AP97" s="562" t="str">
        <f t="shared" ref="AP97" si="27">SUBSTITUTE(SUBSTITUTE(SUBSTITUTE("dch"&amp;$B97&amp;$C97&amp;$D97&amp;$E97&amp;$F97,".","_"),"(","_"),")","")</f>
        <v>dch602_1_1_1</v>
      </c>
      <c r="AQ97" s="190">
        <f>W97</f>
        <v>0</v>
      </c>
      <c r="AR97" s="562" t="str">
        <f>SUBSTITUTE(SUBSTITUTE(SUBSTITUTE("dnt"&amp;$B97&amp;$C97&amp;$D97&amp;$E97&amp;$F97,".","_"),"(","_"),")","")</f>
        <v>dnt602_1_1_1</v>
      </c>
      <c r="AS97" s="190">
        <f>X97</f>
        <v>0</v>
      </c>
    </row>
    <row r="98" spans="1:45" x14ac:dyDescent="0.2">
      <c r="B98" s="48" t="s">
        <v>2461</v>
      </c>
      <c r="C98" s="48"/>
      <c r="D98" s="14"/>
      <c r="E98" s="14"/>
      <c r="F98" s="14"/>
      <c r="G98" s="14"/>
      <c r="H98" s="441"/>
      <c r="I98" s="99"/>
      <c r="J98" s="98"/>
      <c r="K98" s="65"/>
      <c r="L98" s="820"/>
      <c r="M98" s="838"/>
      <c r="N98" s="3"/>
      <c r="O98" s="609"/>
      <c r="P98" s="562"/>
      <c r="Q98" s="562"/>
      <c r="R98" s="562"/>
      <c r="S98" s="562"/>
      <c r="T98" s="562"/>
      <c r="U98" s="562"/>
      <c r="V98" s="562"/>
      <c r="W98" s="562"/>
      <c r="X98" s="797"/>
      <c r="Y98" s="562"/>
      <c r="Z98" s="562"/>
      <c r="AA98" s="562"/>
      <c r="AB98" s="562"/>
      <c r="AC98" s="562"/>
      <c r="AD98" s="562"/>
      <c r="AE98" s="562"/>
      <c r="AF98" s="562"/>
      <c r="AG98" s="562"/>
      <c r="AH98" s="562"/>
      <c r="AI98" s="562"/>
      <c r="AJ98" s="562"/>
      <c r="AK98" s="562"/>
      <c r="AL98" s="562"/>
      <c r="AM98" s="562"/>
      <c r="AN98" s="562"/>
      <c r="AO98" s="562"/>
      <c r="AP98" s="562"/>
      <c r="AQ98" s="562"/>
      <c r="AR98" s="562"/>
      <c r="AS98" s="562"/>
    </row>
    <row r="99" spans="1:45" x14ac:dyDescent="0.2">
      <c r="B99" s="48" t="s">
        <v>2461</v>
      </c>
      <c r="C99" s="48"/>
      <c r="D99" s="14"/>
      <c r="E99" s="14"/>
      <c r="F99" s="14"/>
      <c r="G99" s="14"/>
      <c r="H99" s="441"/>
      <c r="I99" s="99"/>
      <c r="J99" s="98"/>
      <c r="K99" s="65"/>
      <c r="L99" s="820"/>
      <c r="M99" s="838"/>
      <c r="N99" s="3"/>
      <c r="O99" s="609"/>
      <c r="P99" s="562"/>
      <c r="Q99" s="562"/>
      <c r="R99" s="562"/>
      <c r="S99" s="562"/>
      <c r="T99" s="562"/>
      <c r="U99" s="562"/>
      <c r="V99" s="562"/>
      <c r="W99" s="562"/>
      <c r="X99" s="797"/>
      <c r="Y99" s="562"/>
      <c r="Z99" s="562"/>
      <c r="AA99" s="562"/>
      <c r="AB99" s="562"/>
      <c r="AC99" s="562"/>
      <c r="AD99" s="562"/>
      <c r="AE99" s="562"/>
      <c r="AF99" s="562"/>
      <c r="AG99" s="562"/>
      <c r="AH99" s="562"/>
      <c r="AI99" s="562"/>
      <c r="AJ99" s="562"/>
      <c r="AK99" s="562"/>
      <c r="AL99" s="562"/>
      <c r="AM99" s="562"/>
      <c r="AN99" s="562"/>
      <c r="AO99" s="562"/>
      <c r="AP99" s="562"/>
      <c r="AQ99" s="562"/>
      <c r="AR99" s="562"/>
      <c r="AS99" s="562"/>
    </row>
    <row r="100" spans="1:45" s="481" customFormat="1" x14ac:dyDescent="0.2">
      <c r="A100" s="13"/>
      <c r="B100" s="48" t="s">
        <v>2461</v>
      </c>
      <c r="C100" s="48"/>
      <c r="D100" s="14"/>
      <c r="E100" s="14"/>
      <c r="F100" s="14"/>
      <c r="G100" s="14"/>
      <c r="H100" s="441"/>
      <c r="I100" s="170"/>
      <c r="J100" s="165"/>
      <c r="K100" s="126"/>
      <c r="L100" s="637" t="s">
        <v>2464</v>
      </c>
      <c r="M100" s="483"/>
      <c r="N100" s="3"/>
      <c r="O100" s="609"/>
      <c r="P100" s="562"/>
      <c r="Q100" s="562"/>
      <c r="R100" s="562"/>
      <c r="S100" s="562"/>
      <c r="T100" s="562"/>
      <c r="U100" s="562"/>
      <c r="V100" s="562"/>
      <c r="W100" s="562"/>
      <c r="X100" s="786"/>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row>
    <row r="101" spans="1:45" x14ac:dyDescent="0.2">
      <c r="B101" s="48" t="s">
        <v>2465</v>
      </c>
      <c r="C101" s="48"/>
      <c r="D101" s="14"/>
      <c r="E101" s="14"/>
      <c r="F101" s="14"/>
      <c r="G101" s="14"/>
      <c r="H101" s="441"/>
      <c r="I101" s="40" t="s">
        <v>2466</v>
      </c>
      <c r="J101" s="3"/>
      <c r="K101" s="53"/>
      <c r="L101" s="775" t="s">
        <v>2467</v>
      </c>
      <c r="M101" s="814">
        <v>3</v>
      </c>
      <c r="N101" s="3"/>
      <c r="O101" s="795">
        <f>M101*S101*W101</f>
        <v>0</v>
      </c>
      <c r="P101" s="562" t="b">
        <v>1</v>
      </c>
      <c r="Q101" s="562" t="b">
        <v>0</v>
      </c>
      <c r="R101" s="562" t="b">
        <v>0</v>
      </c>
      <c r="S101" s="562" t="b">
        <v>1</v>
      </c>
      <c r="T101" s="562" t="b">
        <v>0</v>
      </c>
      <c r="U101" s="562"/>
      <c r="V101" s="562"/>
      <c r="W101" s="18"/>
      <c r="X101" s="787"/>
      <c r="Y101" s="562"/>
      <c r="Z101" s="562"/>
      <c r="AA101" s="562"/>
      <c r="AB101" s="562"/>
      <c r="AC101" s="562"/>
      <c r="AD101" s="562"/>
      <c r="AE101" s="562"/>
      <c r="AF101" s="562"/>
      <c r="AG101" s="562"/>
      <c r="AH101" s="562"/>
      <c r="AI101" s="562"/>
      <c r="AJ101" s="562"/>
      <c r="AK101" s="562"/>
      <c r="AL101" s="190" t="str">
        <f>SUBSTITUTE(SUBSTITUTE(SUBSTITUTE("dpa"&amp;$B101&amp;$C101&amp;$D101&amp;$E101&amp;$F101,".","_"),"(","_"),")","")</f>
        <v xml:space="preserve">dpa602_1_1_2 </v>
      </c>
      <c r="AM101" s="190">
        <f>M101</f>
        <v>3</v>
      </c>
      <c r="AN101" s="190" t="str">
        <f>SUBSTITUTE(SUBSTITUTE(SUBSTITUTE("dpc"&amp;$B101&amp;$C101&amp;$D101&amp;$E101&amp;$F101,".","_"),"(","_"),")","")</f>
        <v xml:space="preserve">dpc602_1_1_2 </v>
      </c>
      <c r="AO101" s="190">
        <f>O101</f>
        <v>0</v>
      </c>
      <c r="AP101" s="562" t="str">
        <f t="shared" ref="AP101" si="28">SUBSTITUTE(SUBSTITUTE(SUBSTITUTE("dch"&amp;$B101&amp;$C101&amp;$D101&amp;$E101&amp;$F101,".","_"),"(","_"),")","")</f>
        <v xml:space="preserve">dch602_1_1_2 </v>
      </c>
      <c r="AQ101" s="190">
        <f>W101</f>
        <v>0</v>
      </c>
      <c r="AR101" s="562" t="str">
        <f>SUBSTITUTE(SUBSTITUTE(SUBSTITUTE("dnt"&amp;$B101&amp;$C101&amp;$D101&amp;$E101&amp;$F101,".","_"),"(","_"),")","")</f>
        <v xml:space="preserve">dnt602_1_1_2 </v>
      </c>
      <c r="AS101" s="190">
        <f>X101</f>
        <v>0</v>
      </c>
    </row>
    <row r="102" spans="1:45" s="498" customFormat="1" x14ac:dyDescent="0.2">
      <c r="A102" s="13"/>
      <c r="B102" s="48" t="s">
        <v>2465</v>
      </c>
      <c r="C102" s="48"/>
      <c r="D102" s="14"/>
      <c r="E102" s="14"/>
      <c r="F102" s="14"/>
      <c r="G102" s="14"/>
      <c r="H102" s="441"/>
      <c r="I102" s="40"/>
      <c r="J102" s="3"/>
      <c r="K102" s="53"/>
      <c r="L102" s="775"/>
      <c r="M102" s="814"/>
      <c r="N102" s="3"/>
      <c r="O102" s="795"/>
      <c r="P102" s="562"/>
      <c r="Q102" s="562"/>
      <c r="R102" s="562"/>
      <c r="S102" s="562"/>
      <c r="T102" s="562"/>
      <c r="U102" s="562"/>
      <c r="V102" s="562"/>
      <c r="W102" s="562"/>
      <c r="X102" s="787"/>
      <c r="Y102" s="562"/>
      <c r="Z102" s="562"/>
      <c r="AA102" s="562"/>
      <c r="AB102" s="562"/>
      <c r="AC102" s="562"/>
      <c r="AD102" s="562"/>
      <c r="AE102" s="562"/>
      <c r="AF102" s="562"/>
      <c r="AG102" s="562"/>
      <c r="AH102" s="562"/>
      <c r="AI102" s="562"/>
      <c r="AJ102" s="562"/>
      <c r="AK102" s="562"/>
      <c r="AL102" s="190"/>
      <c r="AM102" s="190"/>
      <c r="AN102" s="190"/>
      <c r="AO102" s="190"/>
      <c r="AP102" s="562"/>
      <c r="AQ102" s="190"/>
      <c r="AR102" s="562"/>
      <c r="AS102" s="190"/>
    </row>
    <row r="103" spans="1:45" ht="16" thickBot="1" x14ac:dyDescent="0.25">
      <c r="B103" s="48" t="s">
        <v>2465</v>
      </c>
      <c r="C103" s="48"/>
      <c r="D103" s="14"/>
      <c r="E103" s="14"/>
      <c r="F103" s="14"/>
      <c r="G103" s="14"/>
      <c r="H103" s="441"/>
      <c r="I103" s="40"/>
      <c r="J103" s="3"/>
      <c r="K103" s="53"/>
      <c r="L103" s="775"/>
      <c r="M103" s="814"/>
      <c r="N103" s="3"/>
      <c r="O103" s="795"/>
      <c r="P103" s="562"/>
      <c r="Q103" s="562"/>
      <c r="R103" s="562"/>
      <c r="S103" s="562"/>
      <c r="T103" s="562"/>
      <c r="U103" s="562"/>
      <c r="V103" s="562"/>
      <c r="W103" s="562"/>
      <c r="X103" s="825"/>
      <c r="Y103" s="562"/>
      <c r="Z103" s="562"/>
      <c r="AA103" s="562"/>
      <c r="AB103" s="562"/>
      <c r="AC103" s="562"/>
      <c r="AD103" s="562"/>
      <c r="AE103" s="562"/>
      <c r="AF103" s="562"/>
      <c r="AG103" s="562"/>
      <c r="AH103" s="562"/>
      <c r="AI103" s="562"/>
      <c r="AJ103" s="562"/>
      <c r="AK103" s="562"/>
      <c r="AL103" s="562"/>
      <c r="AM103" s="562"/>
      <c r="AN103" s="562"/>
      <c r="AO103" s="562"/>
      <c r="AP103" s="562"/>
      <c r="AQ103" s="562"/>
      <c r="AR103" s="562"/>
      <c r="AS103" s="562"/>
    </row>
    <row r="104" spans="1:45" ht="16" thickTop="1" x14ac:dyDescent="0.2">
      <c r="B104" s="435" t="s">
        <v>2468</v>
      </c>
      <c r="C104" s="14"/>
      <c r="D104" s="14"/>
      <c r="E104" s="14"/>
      <c r="F104" s="14"/>
      <c r="G104" s="14"/>
      <c r="H104" s="441"/>
      <c r="I104" s="131" t="s">
        <v>2469</v>
      </c>
      <c r="J104" s="132"/>
      <c r="K104" s="133"/>
      <c r="L104" s="819" t="s">
        <v>2470</v>
      </c>
      <c r="M104" s="827">
        <v>4</v>
      </c>
      <c r="N104" s="132"/>
      <c r="O104" s="823">
        <f>M104*OR(S107*W107,S108*W108)</f>
        <v>0</v>
      </c>
      <c r="P104" s="74"/>
      <c r="Q104" s="74"/>
      <c r="R104" s="74"/>
      <c r="S104" s="74"/>
      <c r="T104" s="74"/>
      <c r="U104" s="74"/>
      <c r="V104" s="74"/>
      <c r="W104" s="74"/>
      <c r="X104" s="802"/>
      <c r="Y104" s="562"/>
      <c r="Z104" s="562"/>
      <c r="AA104" s="562"/>
      <c r="AB104" s="562"/>
      <c r="AC104" s="562"/>
      <c r="AD104" s="562"/>
      <c r="AE104" s="562"/>
      <c r="AF104" s="562"/>
      <c r="AG104" s="562"/>
      <c r="AH104" s="562"/>
      <c r="AI104" s="562"/>
      <c r="AJ104" s="562"/>
      <c r="AK104" s="562"/>
      <c r="AL104" s="190" t="str">
        <f>SUBSTITUTE(SUBSTITUTE(SUBSTITUTE("dpa"&amp;$B104&amp;$C104&amp;$D104&amp;$E104&amp;$F104,".","_"),"(","_"),")","")</f>
        <v xml:space="preserve">dpa602_1_2 </v>
      </c>
      <c r="AM104" s="190">
        <f>M104</f>
        <v>4</v>
      </c>
      <c r="AN104" s="190" t="str">
        <f>SUBSTITUTE(SUBSTITUTE(SUBSTITUTE("dpc"&amp;$B104&amp;$C104&amp;$D104&amp;$E104&amp;$F104,".","_"),"(","_"),")","")</f>
        <v xml:space="preserve">dpc602_1_2 </v>
      </c>
      <c r="AO104" s="190">
        <f>O104</f>
        <v>0</v>
      </c>
      <c r="AP104" s="562"/>
      <c r="AQ104" s="562"/>
      <c r="AR104" s="562" t="str">
        <f>SUBSTITUTE(SUBSTITUTE(SUBSTITUTE("dnt"&amp;$B104&amp;$C104&amp;$D104&amp;$E104&amp;$F104,".","_"),"(","_"),")","")</f>
        <v xml:space="preserve">dnt602_1_2 </v>
      </c>
      <c r="AS104" s="190">
        <f>X104</f>
        <v>0</v>
      </c>
    </row>
    <row r="105" spans="1:45" s="498" customFormat="1" x14ac:dyDescent="0.2">
      <c r="A105" s="13"/>
      <c r="B105" s="435" t="s">
        <v>2468</v>
      </c>
      <c r="C105" s="14"/>
      <c r="D105" s="14"/>
      <c r="E105" s="14"/>
      <c r="F105" s="14"/>
      <c r="G105" s="14"/>
      <c r="H105" s="441"/>
      <c r="I105" s="99"/>
      <c r="J105" s="98"/>
      <c r="K105" s="65"/>
      <c r="L105" s="820"/>
      <c r="M105" s="800"/>
      <c r="N105" s="98"/>
      <c r="O105" s="793"/>
      <c r="P105" s="64"/>
      <c r="Q105" s="64"/>
      <c r="R105" s="64"/>
      <c r="S105" s="64"/>
      <c r="T105" s="64"/>
      <c r="U105" s="64"/>
      <c r="V105" s="64"/>
      <c r="W105" s="64"/>
      <c r="X105" s="786"/>
      <c r="Y105" s="562"/>
      <c r="Z105" s="562"/>
      <c r="AA105" s="562"/>
      <c r="AB105" s="562"/>
      <c r="AC105" s="562"/>
      <c r="AD105" s="562"/>
      <c r="AE105" s="562"/>
      <c r="AF105" s="562"/>
      <c r="AG105" s="562"/>
      <c r="AH105" s="562"/>
      <c r="AI105" s="562"/>
      <c r="AJ105" s="562"/>
      <c r="AK105" s="562"/>
      <c r="AL105" s="190"/>
      <c r="AM105" s="190"/>
      <c r="AN105" s="190"/>
      <c r="AO105" s="190"/>
      <c r="AP105" s="562"/>
      <c r="AQ105" s="562"/>
      <c r="AR105" s="562"/>
      <c r="AS105" s="190"/>
    </row>
    <row r="106" spans="1:45" x14ac:dyDescent="0.2">
      <c r="B106" s="435" t="s">
        <v>2468</v>
      </c>
      <c r="C106" s="14"/>
      <c r="D106" s="14"/>
      <c r="E106" s="14"/>
      <c r="F106" s="14"/>
      <c r="G106" s="14"/>
      <c r="H106" s="441"/>
      <c r="I106" s="99"/>
      <c r="J106" s="98"/>
      <c r="K106" s="65"/>
      <c r="L106" s="820"/>
      <c r="M106" s="800"/>
      <c r="N106" s="98"/>
      <c r="O106" s="793"/>
      <c r="P106" s="64"/>
      <c r="Q106" s="64"/>
      <c r="R106" s="64"/>
      <c r="S106" s="64"/>
      <c r="T106" s="64"/>
      <c r="U106" s="64"/>
      <c r="V106" s="64"/>
      <c r="W106" s="64"/>
      <c r="X106" s="798"/>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row>
    <row r="107" spans="1:45" x14ac:dyDescent="0.2">
      <c r="B107" s="435" t="s">
        <v>2468</v>
      </c>
      <c r="C107" s="14"/>
      <c r="D107" s="14"/>
      <c r="E107" s="14" t="s">
        <v>2181</v>
      </c>
      <c r="F107" s="14"/>
      <c r="G107" s="14"/>
      <c r="H107" s="441"/>
      <c r="I107" s="99"/>
      <c r="J107" s="159" t="s">
        <v>2181</v>
      </c>
      <c r="K107" s="126"/>
      <c r="L107" s="599" t="s">
        <v>2471</v>
      </c>
      <c r="M107" s="800"/>
      <c r="N107" s="98"/>
      <c r="O107" s="793"/>
      <c r="P107" s="562" t="b">
        <v>1</v>
      </c>
      <c r="Q107" s="562" t="b">
        <v>0</v>
      </c>
      <c r="R107" s="64" t="b">
        <v>0</v>
      </c>
      <c r="S107" s="64" t="b">
        <f>NOT(AZ33=4)</f>
        <v>1</v>
      </c>
      <c r="T107" s="64" t="b">
        <f>AND(NOT(S107),W107=TRUE)</f>
        <v>0</v>
      </c>
      <c r="U107" s="64"/>
      <c r="V107" s="64"/>
      <c r="W107" s="18"/>
      <c r="X107" s="798"/>
      <c r="Y107" s="562"/>
      <c r="Z107" s="562"/>
      <c r="AA107" s="562"/>
      <c r="AB107" s="562"/>
      <c r="AC107" s="562" t="b">
        <f>OR(AD107:AE107)</f>
        <v>0</v>
      </c>
      <c r="AD107" s="562" t="b">
        <f>T107</f>
        <v>0</v>
      </c>
      <c r="AE107" s="562"/>
      <c r="AF107" s="562"/>
      <c r="AG107" s="562"/>
      <c r="AH107" s="562"/>
      <c r="AI107" s="562"/>
      <c r="AJ107" s="562"/>
      <c r="AK107" s="562"/>
      <c r="AL107" s="562"/>
      <c r="AM107" s="562"/>
      <c r="AN107" s="562"/>
      <c r="AO107" s="562"/>
      <c r="AP107" s="190" t="str">
        <f t="shared" ref="AP107:AP108" si="29">SUBSTITUTE(SUBSTITUTE(SUBSTITUTE("dch"&amp;$B107&amp;$C107&amp;$D107&amp;$E107&amp;$F107,".","_"),"(","_"),")","")</f>
        <v>dch602_1_2 _1</v>
      </c>
      <c r="AQ107" s="190">
        <f>W107</f>
        <v>0</v>
      </c>
      <c r="AR107" s="562"/>
      <c r="AS107" s="562"/>
    </row>
    <row r="108" spans="1:45" ht="16" thickBot="1" x14ac:dyDescent="0.25">
      <c r="B108" s="435" t="s">
        <v>2468</v>
      </c>
      <c r="C108" s="14"/>
      <c r="D108" s="14"/>
      <c r="E108" s="14" t="s">
        <v>2183</v>
      </c>
      <c r="F108" s="14"/>
      <c r="G108" s="14"/>
      <c r="H108" s="441"/>
      <c r="I108" s="142"/>
      <c r="J108" s="143" t="s">
        <v>2183</v>
      </c>
      <c r="K108" s="67"/>
      <c r="L108" s="626" t="s">
        <v>2472</v>
      </c>
      <c r="M108" s="813"/>
      <c r="N108" s="185"/>
      <c r="O108" s="821"/>
      <c r="P108" s="68"/>
      <c r="Q108" s="68"/>
      <c r="R108" s="68" t="b">
        <v>0</v>
      </c>
      <c r="S108" s="68" t="b">
        <f>NOT(AZ33=4)</f>
        <v>1</v>
      </c>
      <c r="T108" s="64" t="b">
        <f>AND(NOT(S108),W108=TRUE)</f>
        <v>0</v>
      </c>
      <c r="U108" s="68"/>
      <c r="V108" s="68"/>
      <c r="W108" s="18"/>
      <c r="X108" s="799"/>
      <c r="Y108" s="562"/>
      <c r="Z108" s="562"/>
      <c r="AA108" s="562"/>
      <c r="AB108" s="562"/>
      <c r="AC108" s="562" t="b">
        <f>OR(AD108:AE108)</f>
        <v>0</v>
      </c>
      <c r="AD108" s="562" t="b">
        <f>T108</f>
        <v>0</v>
      </c>
      <c r="AE108" s="562"/>
      <c r="AF108" s="562"/>
      <c r="AG108" s="562"/>
      <c r="AH108" s="562"/>
      <c r="AI108" s="562"/>
      <c r="AJ108" s="562"/>
      <c r="AK108" s="562"/>
      <c r="AL108" s="562"/>
      <c r="AM108" s="562"/>
      <c r="AN108" s="562"/>
      <c r="AO108" s="562"/>
      <c r="AP108" s="190" t="str">
        <f t="shared" si="29"/>
        <v>dch602_1_2 _2</v>
      </c>
      <c r="AQ108" s="190">
        <f>W108</f>
        <v>0</v>
      </c>
      <c r="AR108" s="562"/>
      <c r="AS108" s="562"/>
    </row>
    <row r="109" spans="1:45" ht="16" thickTop="1" x14ac:dyDescent="0.2">
      <c r="B109" s="48" t="s">
        <v>2473</v>
      </c>
      <c r="C109" s="14"/>
      <c r="D109" s="14"/>
      <c r="E109" s="14"/>
      <c r="F109" s="14"/>
      <c r="G109" s="14"/>
      <c r="H109" s="441"/>
      <c r="I109" s="131" t="s">
        <v>2474</v>
      </c>
      <c r="J109" s="132"/>
      <c r="K109" s="133"/>
      <c r="L109" s="646" t="s">
        <v>2475</v>
      </c>
      <c r="M109" s="625"/>
      <c r="N109" s="132"/>
      <c r="O109" s="623"/>
      <c r="P109" s="74"/>
      <c r="Q109" s="74"/>
      <c r="R109" s="74"/>
      <c r="S109" s="74"/>
      <c r="T109" s="74"/>
      <c r="U109" s="74"/>
      <c r="V109" s="74"/>
      <c r="W109" s="198"/>
      <c r="X109" s="74"/>
      <c r="Y109" s="562"/>
      <c r="Z109" s="562"/>
      <c r="AA109" s="562"/>
      <c r="AB109" s="562"/>
      <c r="AC109" s="562"/>
      <c r="AD109" s="562"/>
      <c r="AE109" s="562"/>
      <c r="AF109" s="562"/>
      <c r="AG109" s="562"/>
      <c r="AH109" s="562"/>
      <c r="AI109" s="562"/>
      <c r="AJ109" s="562"/>
      <c r="AK109" s="562"/>
      <c r="AL109" s="562"/>
      <c r="AM109" s="562"/>
      <c r="AN109" s="562"/>
      <c r="AO109" s="562"/>
      <c r="AP109" s="562"/>
      <c r="AQ109" s="562"/>
      <c r="AR109" s="562"/>
      <c r="AS109" s="562"/>
    </row>
    <row r="110" spans="1:45" x14ac:dyDescent="0.2">
      <c r="B110" s="48" t="s">
        <v>2476</v>
      </c>
      <c r="C110" s="48"/>
      <c r="D110" s="14"/>
      <c r="E110" s="14"/>
      <c r="F110" s="14"/>
      <c r="G110" s="14"/>
      <c r="H110" s="441"/>
      <c r="I110" s="99" t="s">
        <v>2477</v>
      </c>
      <c r="J110" s="98"/>
      <c r="K110" s="65"/>
      <c r="L110" s="820" t="s">
        <v>2478</v>
      </c>
      <c r="M110" s="838" t="str">
        <f>IF(R110,"Mandatory","N/A")</f>
        <v>N/A</v>
      </c>
      <c r="N110" s="3"/>
      <c r="O110" s="609"/>
      <c r="P110" s="562" t="b">
        <v>1</v>
      </c>
      <c r="Q110" s="562" t="b">
        <v>0</v>
      </c>
      <c r="R110" s="562" t="b">
        <f>S110</f>
        <v>0</v>
      </c>
      <c r="S110" s="562" t="b">
        <f>OR(AZ33=1,AZ33=5,AZ33=6)</f>
        <v>0</v>
      </c>
      <c r="T110" s="64" t="b">
        <f>AND(NOT(S110),LEN(W110)&gt;0)</f>
        <v>0</v>
      </c>
      <c r="U110" s="64" t="str">
        <f>SUBSTITUTE(SUBSTITUTE(SUBSTITUTE("dd"&amp;B110&amp;C110&amp;D110&amp;E110&amp;F110,".","_"),"(","_"),")","")</f>
        <v>dd602_1_3_1</v>
      </c>
      <c r="V110" s="562"/>
      <c r="W110" s="6"/>
      <c r="X110" s="825"/>
      <c r="Y110" s="562"/>
      <c r="Z110" s="562"/>
      <c r="AA110" s="562"/>
      <c r="AB110" s="562"/>
      <c r="AC110" s="562" t="b">
        <f>OR(AD110:AE110)</f>
        <v>0</v>
      </c>
      <c r="AD110" s="562" t="b">
        <f>T110</f>
        <v>0</v>
      </c>
      <c r="AE110" s="562" t="b">
        <f>AND(R110,NOT(W110="Met"),NOT(W110="N/A"))</f>
        <v>0</v>
      </c>
      <c r="AF110" s="562"/>
      <c r="AG110" s="562"/>
      <c r="AH110" s="562"/>
      <c r="AI110" s="562"/>
      <c r="AJ110" s="562"/>
      <c r="AK110" s="562"/>
      <c r="AL110" s="190" t="str">
        <f>SUBSTITUTE(SUBSTITUTE(SUBSTITUTE("dpa"&amp;$B110&amp;$C110&amp;$D110&amp;$E110&amp;$F110,".","_"),"(","_"),")","")</f>
        <v>dpa602_1_3_1</v>
      </c>
      <c r="AM110" s="190" t="str">
        <f>M110</f>
        <v>N/A</v>
      </c>
      <c r="AN110" s="562"/>
      <c r="AO110" s="562"/>
      <c r="AP110" s="190" t="str">
        <f t="shared" ref="AP110" si="30">SUBSTITUTE(SUBSTITUTE(SUBSTITUTE("dch"&amp;$B110&amp;$C110&amp;$D110&amp;$E110&amp;$F110,".","_"),"(","_"),")","")</f>
        <v>dch602_1_3_1</v>
      </c>
      <c r="AQ110" s="190">
        <f>W110</f>
        <v>0</v>
      </c>
      <c r="AR110" s="562" t="str">
        <f>SUBSTITUTE(SUBSTITUTE(SUBSTITUTE("dnt"&amp;$B110&amp;$C110&amp;$D110&amp;$E110&amp;$F110,".","_"),"(","_"),")","")</f>
        <v>dnt602_1_3_1</v>
      </c>
      <c r="AS110" s="190">
        <f>X110</f>
        <v>0</v>
      </c>
    </row>
    <row r="111" spans="1:45" x14ac:dyDescent="0.2">
      <c r="B111" s="48" t="s">
        <v>2476</v>
      </c>
      <c r="C111" s="48"/>
      <c r="D111" s="14"/>
      <c r="E111" s="14"/>
      <c r="F111" s="14"/>
      <c r="G111" s="14"/>
      <c r="H111" s="441"/>
      <c r="I111" s="99"/>
      <c r="J111" s="98"/>
      <c r="K111" s="65"/>
      <c r="L111" s="820"/>
      <c r="M111" s="838"/>
      <c r="N111" s="3"/>
      <c r="O111" s="609"/>
      <c r="P111" s="562"/>
      <c r="Q111" s="562"/>
      <c r="R111" s="562"/>
      <c r="S111" s="562"/>
      <c r="T111" s="562"/>
      <c r="U111" s="562"/>
      <c r="V111" s="562"/>
      <c r="W111" s="562"/>
      <c r="X111" s="797"/>
      <c r="Y111" s="562"/>
      <c r="Z111" s="562"/>
      <c r="AA111" s="562"/>
      <c r="AB111" s="562"/>
      <c r="AC111" s="562"/>
      <c r="AD111" s="562"/>
      <c r="AE111" s="562"/>
      <c r="AF111" s="562"/>
      <c r="AG111" s="562"/>
      <c r="AH111" s="562"/>
      <c r="AI111" s="562"/>
      <c r="AJ111" s="562"/>
      <c r="AK111" s="562"/>
      <c r="AL111" s="562"/>
      <c r="AM111" s="562"/>
      <c r="AN111" s="562"/>
      <c r="AO111" s="562"/>
      <c r="AP111" s="562"/>
      <c r="AQ111" s="562"/>
      <c r="AR111" s="562"/>
      <c r="AS111" s="562"/>
    </row>
    <row r="112" spans="1:45" s="482" customFormat="1" x14ac:dyDescent="0.2">
      <c r="A112" s="13"/>
      <c r="B112" s="48" t="s">
        <v>2476</v>
      </c>
      <c r="C112" s="48"/>
      <c r="D112" s="14"/>
      <c r="E112" s="14"/>
      <c r="F112" s="14"/>
      <c r="G112" s="14"/>
      <c r="H112" s="441"/>
      <c r="I112" s="170"/>
      <c r="J112" s="165"/>
      <c r="K112" s="126"/>
      <c r="L112" s="637" t="s">
        <v>2479</v>
      </c>
      <c r="M112" s="483"/>
      <c r="N112" s="3"/>
      <c r="O112" s="609"/>
      <c r="P112" s="562"/>
      <c r="Q112" s="562"/>
      <c r="R112" s="562"/>
      <c r="S112" s="562"/>
      <c r="T112" s="562"/>
      <c r="U112" s="562"/>
      <c r="V112" s="562"/>
      <c r="W112" s="562"/>
      <c r="X112" s="786"/>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row>
    <row r="113" spans="1:51" x14ac:dyDescent="0.2">
      <c r="B113" s="358" t="s">
        <v>2480</v>
      </c>
      <c r="C113" s="358"/>
      <c r="D113" s="14"/>
      <c r="E113" s="14"/>
      <c r="F113" s="14"/>
      <c r="G113" s="14"/>
      <c r="H113" s="441"/>
      <c r="I113" s="40" t="s">
        <v>2481</v>
      </c>
      <c r="J113" s="3"/>
      <c r="K113" s="53"/>
      <c r="L113" s="775" t="s">
        <v>2482</v>
      </c>
      <c r="M113" s="814">
        <v>4</v>
      </c>
      <c r="N113" s="3"/>
      <c r="O113" s="795">
        <f>M113*S113*W113</f>
        <v>0</v>
      </c>
      <c r="P113" s="562" t="b">
        <v>1</v>
      </c>
      <c r="Q113" s="562" t="b">
        <v>0</v>
      </c>
      <c r="R113" s="562" t="b">
        <v>0</v>
      </c>
      <c r="S113" s="562" t="b">
        <v>1</v>
      </c>
      <c r="T113" s="562" t="b">
        <v>0</v>
      </c>
      <c r="U113" s="562"/>
      <c r="V113" s="562"/>
      <c r="W113" s="18"/>
      <c r="X113" s="787"/>
      <c r="Y113" s="562"/>
      <c r="Z113" s="562"/>
      <c r="AA113" s="562"/>
      <c r="AB113" s="562"/>
      <c r="AC113" s="562"/>
      <c r="AD113" s="562"/>
      <c r="AE113" s="562"/>
      <c r="AF113" s="562"/>
      <c r="AG113" s="562"/>
      <c r="AH113" s="562"/>
      <c r="AI113" s="562"/>
      <c r="AJ113" s="562"/>
      <c r="AK113" s="562"/>
      <c r="AL113" s="190" t="str">
        <f>SUBSTITUTE(SUBSTITUTE(SUBSTITUTE("dpa"&amp;$B113&amp;$C113&amp;$D113&amp;$E113&amp;$F113,".","_"),"(","_"),")","")</f>
        <v>dpa602_1_3_2</v>
      </c>
      <c r="AM113" s="190">
        <f>M113</f>
        <v>4</v>
      </c>
      <c r="AN113" s="190" t="str">
        <f>SUBSTITUTE(SUBSTITUTE(SUBSTITUTE("dpc"&amp;$B113&amp;$C113&amp;$D113&amp;$E113&amp;$F113,".","_"),"(","_"),")","")</f>
        <v>dpc602_1_3_2</v>
      </c>
      <c r="AO113" s="190">
        <f>O113</f>
        <v>0</v>
      </c>
      <c r="AP113" s="190" t="str">
        <f t="shared" ref="AP113" si="31">SUBSTITUTE(SUBSTITUTE(SUBSTITUTE("dch"&amp;$B113&amp;$C113&amp;$D113&amp;$E113&amp;$F113,".","_"),"(","_"),")","")</f>
        <v>dch602_1_3_2</v>
      </c>
      <c r="AQ113" s="190">
        <f>W113</f>
        <v>0</v>
      </c>
      <c r="AR113" s="562" t="str">
        <f>SUBSTITUTE(SUBSTITUTE(SUBSTITUTE("dnt"&amp;$B113&amp;$C113&amp;$D113&amp;$E113&amp;$F113,".","_"),"(","_"),")","")</f>
        <v>dnt602_1_3_2</v>
      </c>
      <c r="AS113" s="190">
        <f>X113</f>
        <v>0</v>
      </c>
      <c r="AT113" s="562"/>
      <c r="AU113" s="562"/>
      <c r="AV113" s="562"/>
      <c r="AW113" s="562"/>
      <c r="AX113" s="562"/>
      <c r="AY113" s="562"/>
    </row>
    <row r="114" spans="1:51" s="498" customFormat="1" x14ac:dyDescent="0.2">
      <c r="A114" s="13"/>
      <c r="B114" s="358" t="s">
        <v>2480</v>
      </c>
      <c r="C114" s="358"/>
      <c r="D114" s="14"/>
      <c r="E114" s="14"/>
      <c r="F114" s="14"/>
      <c r="G114" s="14"/>
      <c r="H114" s="441"/>
      <c r="I114" s="40"/>
      <c r="J114" s="3"/>
      <c r="K114" s="53"/>
      <c r="L114" s="775"/>
      <c r="M114" s="814"/>
      <c r="N114" s="3"/>
      <c r="O114" s="795"/>
      <c r="P114" s="562"/>
      <c r="Q114" s="562"/>
      <c r="R114" s="562"/>
      <c r="S114" s="562"/>
      <c r="T114" s="562"/>
      <c r="U114" s="562"/>
      <c r="V114" s="562"/>
      <c r="W114" s="562"/>
      <c r="X114" s="787"/>
      <c r="Y114" s="562"/>
      <c r="Z114" s="562"/>
      <c r="AA114" s="562"/>
      <c r="AB114" s="562"/>
      <c r="AC114" s="562"/>
      <c r="AD114" s="562"/>
      <c r="AE114" s="562"/>
      <c r="AF114" s="562"/>
      <c r="AG114" s="562"/>
      <c r="AH114" s="562"/>
      <c r="AI114" s="562"/>
      <c r="AJ114" s="562"/>
      <c r="AK114" s="562"/>
      <c r="AL114" s="190"/>
      <c r="AM114" s="190"/>
      <c r="AN114" s="190"/>
      <c r="AO114" s="190"/>
      <c r="AP114" s="190"/>
      <c r="AQ114" s="190"/>
      <c r="AR114" s="562"/>
      <c r="AS114" s="190"/>
      <c r="AT114" s="562"/>
      <c r="AU114" s="562"/>
      <c r="AV114" s="562"/>
      <c r="AW114" s="562"/>
      <c r="AX114" s="562"/>
      <c r="AY114" s="562"/>
    </row>
    <row r="115" spans="1:51" ht="16" thickBot="1" x14ac:dyDescent="0.25">
      <c r="B115" s="358" t="s">
        <v>2480</v>
      </c>
      <c r="C115" s="358"/>
      <c r="D115" s="14"/>
      <c r="E115" s="14"/>
      <c r="F115" s="14"/>
      <c r="G115" s="14"/>
      <c r="H115" s="441"/>
      <c r="I115" s="40"/>
      <c r="J115" s="3"/>
      <c r="K115" s="53"/>
      <c r="L115" s="775"/>
      <c r="M115" s="814"/>
      <c r="N115" s="3"/>
      <c r="O115" s="795"/>
      <c r="P115" s="562"/>
      <c r="Q115" s="562"/>
      <c r="R115" s="562"/>
      <c r="S115" s="562"/>
      <c r="T115" s="562"/>
      <c r="U115" s="562"/>
      <c r="V115" s="562"/>
      <c r="W115" s="562"/>
      <c r="X115" s="825"/>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row>
    <row r="116" spans="1:51" ht="16" thickTop="1" x14ac:dyDescent="0.2">
      <c r="B116" s="48" t="s">
        <v>2483</v>
      </c>
      <c r="C116" s="14"/>
      <c r="D116" s="14"/>
      <c r="E116" s="14"/>
      <c r="F116" s="14"/>
      <c r="G116" s="14"/>
      <c r="H116" s="441"/>
      <c r="I116" s="131" t="s">
        <v>2484</v>
      </c>
      <c r="J116" s="132"/>
      <c r="K116" s="133"/>
      <c r="L116" s="646" t="s">
        <v>2485</v>
      </c>
      <c r="M116" s="625"/>
      <c r="N116" s="132"/>
      <c r="O116" s="623"/>
      <c r="P116" s="74"/>
      <c r="Q116" s="74"/>
      <c r="R116" s="74"/>
      <c r="S116" s="74"/>
      <c r="T116" s="74"/>
      <c r="U116" s="74"/>
      <c r="V116" s="74"/>
      <c r="W116" s="74"/>
      <c r="X116" s="74"/>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row>
    <row r="117" spans="1:51" x14ac:dyDescent="0.2">
      <c r="B117" s="358" t="s">
        <v>2486</v>
      </c>
      <c r="C117" s="358"/>
      <c r="D117" s="14"/>
      <c r="E117" s="14"/>
      <c r="F117" s="14"/>
      <c r="G117" s="14"/>
      <c r="H117" s="441"/>
      <c r="I117" s="40" t="s">
        <v>2487</v>
      </c>
      <c r="J117" s="3"/>
      <c r="K117" s="53"/>
      <c r="L117" s="775" t="s">
        <v>2488</v>
      </c>
      <c r="M117" s="616"/>
      <c r="N117" s="3"/>
      <c r="O117" s="609"/>
      <c r="P117" s="562"/>
      <c r="Q117" s="562"/>
      <c r="R117" s="562"/>
      <c r="S117" s="562"/>
      <c r="T117" s="562"/>
      <c r="U117" s="562"/>
      <c r="V117" s="562"/>
      <c r="W117" s="562"/>
      <c r="X117" s="562"/>
      <c r="Y117" s="562"/>
      <c r="Z117" s="562"/>
      <c r="AA117" s="562"/>
      <c r="AB117" s="562"/>
      <c r="AC117" s="562"/>
      <c r="AD117" s="562"/>
      <c r="AE117" s="562"/>
      <c r="AF117" s="562"/>
      <c r="AG117" s="562"/>
      <c r="AH117" s="562"/>
      <c r="AI117" s="562"/>
      <c r="AJ117" s="562"/>
      <c r="AK117" s="562"/>
      <c r="AL117" s="562"/>
      <c r="AM117" s="562"/>
      <c r="AN117" s="562"/>
      <c r="AO117" s="562"/>
      <c r="AP117" s="562"/>
      <c r="AQ117" s="562"/>
      <c r="AR117" s="562"/>
      <c r="AS117" s="562"/>
      <c r="AT117" s="562"/>
      <c r="AU117" s="562"/>
      <c r="AV117" s="562"/>
      <c r="AW117" s="562"/>
      <c r="AX117" s="562"/>
      <c r="AY117" s="562"/>
    </row>
    <row r="118" spans="1:51" x14ac:dyDescent="0.2">
      <c r="B118" s="358" t="s">
        <v>2486</v>
      </c>
      <c r="C118" s="358"/>
      <c r="D118" s="14"/>
      <c r="E118" s="14"/>
      <c r="F118" s="14"/>
      <c r="G118" s="14"/>
      <c r="H118" s="441"/>
      <c r="I118" s="40"/>
      <c r="J118" s="3"/>
      <c r="K118" s="53"/>
      <c r="L118" s="775"/>
      <c r="M118" s="616"/>
      <c r="N118" s="3"/>
      <c r="O118" s="609"/>
      <c r="P118" s="562"/>
      <c r="Q118" s="562"/>
      <c r="R118" s="562"/>
      <c r="S118" s="562"/>
      <c r="T118" s="562"/>
      <c r="U118" s="562"/>
      <c r="V118" s="562"/>
      <c r="W118" s="562"/>
      <c r="X118" s="562"/>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row>
    <row r="119" spans="1:51" s="498" customFormat="1" x14ac:dyDescent="0.2">
      <c r="A119" s="13"/>
      <c r="B119" s="358" t="s">
        <v>2486</v>
      </c>
      <c r="C119" s="358"/>
      <c r="D119" s="14"/>
      <c r="E119" s="14"/>
      <c r="F119" s="14"/>
      <c r="G119" s="14"/>
      <c r="H119" s="441"/>
      <c r="I119" s="40"/>
      <c r="J119" s="3"/>
      <c r="K119" s="53"/>
      <c r="L119" s="775"/>
      <c r="M119" s="616"/>
      <c r="N119" s="3"/>
      <c r="O119" s="609"/>
      <c r="P119" s="562"/>
      <c r="Q119" s="562"/>
      <c r="R119" s="562"/>
      <c r="S119" s="562"/>
      <c r="T119" s="562"/>
      <c r="U119" s="562"/>
      <c r="V119" s="562"/>
      <c r="W119" s="562"/>
      <c r="X119" s="562"/>
      <c r="Y119" s="562"/>
      <c r="Z119" s="562"/>
      <c r="AA119" s="562"/>
      <c r="AB119" s="562"/>
      <c r="AC119" s="562"/>
      <c r="AD119" s="562"/>
      <c r="AE119" s="562"/>
      <c r="AF119" s="562"/>
      <c r="AG119" s="562"/>
      <c r="AH119" s="562"/>
      <c r="AI119" s="562"/>
      <c r="AJ119" s="562"/>
      <c r="AK119" s="562"/>
      <c r="AL119" s="562"/>
      <c r="AM119" s="562"/>
      <c r="AN119" s="562"/>
      <c r="AO119" s="562"/>
      <c r="AP119" s="562"/>
      <c r="AQ119" s="562"/>
      <c r="AR119" s="562"/>
      <c r="AS119" s="562"/>
      <c r="AT119" s="562"/>
      <c r="AU119" s="562"/>
      <c r="AV119" s="562"/>
      <c r="AW119" s="562"/>
      <c r="AX119" s="562"/>
      <c r="AY119" s="562"/>
    </row>
    <row r="120" spans="1:51" s="108" customFormat="1" x14ac:dyDescent="0.2">
      <c r="A120" s="13"/>
      <c r="B120" s="358" t="s">
        <v>2486</v>
      </c>
      <c r="C120" s="358"/>
      <c r="D120" s="14"/>
      <c r="E120" s="14"/>
      <c r="F120" s="14"/>
      <c r="G120" s="14"/>
      <c r="H120" s="441"/>
      <c r="I120" s="40"/>
      <c r="J120" s="3"/>
      <c r="K120" s="53"/>
      <c r="L120" s="775"/>
      <c r="M120" s="616"/>
      <c r="N120" s="3"/>
      <c r="O120" s="609"/>
      <c r="P120" s="562"/>
      <c r="Q120" s="562"/>
      <c r="R120" s="562"/>
      <c r="S120" s="562"/>
      <c r="T120" s="562"/>
      <c r="U120" s="562"/>
      <c r="V120" s="562"/>
      <c r="W120" s="562"/>
      <c r="X120" s="562"/>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row>
    <row r="121" spans="1:51" x14ac:dyDescent="0.2">
      <c r="B121" s="358" t="s">
        <v>2486</v>
      </c>
      <c r="C121" s="358"/>
      <c r="D121" s="14"/>
      <c r="E121" s="14" t="s">
        <v>2181</v>
      </c>
      <c r="F121" s="14"/>
      <c r="G121" s="14"/>
      <c r="H121" s="441"/>
      <c r="I121" s="40"/>
      <c r="J121" s="134" t="s">
        <v>2181</v>
      </c>
      <c r="K121" s="65"/>
      <c r="L121" s="791" t="s">
        <v>2489</v>
      </c>
      <c r="M121" s="800">
        <v>6</v>
      </c>
      <c r="N121" s="98"/>
      <c r="O121" s="793">
        <f>M121*S121*W121</f>
        <v>0</v>
      </c>
      <c r="P121" s="562" t="b">
        <v>1</v>
      </c>
      <c r="Q121" s="562" t="b">
        <v>0</v>
      </c>
      <c r="R121" s="562" t="b">
        <v>0</v>
      </c>
      <c r="S121" s="562" t="b">
        <f>OR(AZ33=2,AZ33=7)</f>
        <v>0</v>
      </c>
      <c r="T121" s="64" t="b">
        <f>AND(NOT(S121),W121=TRUE)</f>
        <v>0</v>
      </c>
      <c r="U121" s="562"/>
      <c r="V121" s="562"/>
      <c r="W121" s="18"/>
      <c r="X121" s="787"/>
      <c r="Y121" s="562"/>
      <c r="Z121" s="562"/>
      <c r="AA121" s="562"/>
      <c r="AB121" s="562"/>
      <c r="AC121" s="562" t="b">
        <f>OR(AD121:AE121)</f>
        <v>0</v>
      </c>
      <c r="AD121" s="562" t="b">
        <f>T121</f>
        <v>0</v>
      </c>
      <c r="AE121" s="562"/>
      <c r="AF121" s="562"/>
      <c r="AG121" s="562"/>
      <c r="AH121" s="562"/>
      <c r="AI121" s="562"/>
      <c r="AJ121" s="562"/>
      <c r="AK121" s="562"/>
      <c r="AL121" s="190" t="str">
        <f>SUBSTITUTE(SUBSTITUTE(SUBSTITUTE("dpa"&amp;$B121&amp;$C121&amp;$D121&amp;$E121&amp;$F121,".","_"),"(","_"),")","")</f>
        <v>dpa602_1_4_1_1</v>
      </c>
      <c r="AM121" s="190">
        <f>M121</f>
        <v>6</v>
      </c>
      <c r="AN121" s="190" t="str">
        <f>SUBSTITUTE(SUBSTITUTE(SUBSTITUTE("dpc"&amp;$B121&amp;$C121&amp;$D121&amp;$E121&amp;$F121,".","_"),"(","_"),")","")</f>
        <v>dpc602_1_4_1_1</v>
      </c>
      <c r="AO121" s="190">
        <f>O121</f>
        <v>0</v>
      </c>
      <c r="AP121" s="190" t="str">
        <f t="shared" ref="AP121" si="32">SUBSTITUTE(SUBSTITUTE(SUBSTITUTE("dch"&amp;$B121&amp;$C121&amp;$D121&amp;$E121&amp;$F121,".","_"),"(","_"),")","")</f>
        <v>dch602_1_4_1_1</v>
      </c>
      <c r="AQ121" s="190">
        <f>W121</f>
        <v>0</v>
      </c>
      <c r="AR121" s="562" t="str">
        <f>SUBSTITUTE(SUBSTITUTE(SUBSTITUTE("dnt"&amp;$B121&amp;$C121&amp;$D121&amp;$E121&amp;$F121,".","_"),"(","_"),")","")</f>
        <v>dnt602_1_4_1_1</v>
      </c>
      <c r="AS121" s="190">
        <f>X121</f>
        <v>0</v>
      </c>
      <c r="AT121" s="562"/>
      <c r="AU121" s="562"/>
      <c r="AV121" s="562"/>
      <c r="AW121" s="562"/>
      <c r="AX121" s="562"/>
      <c r="AY121" s="562"/>
    </row>
    <row r="122" spans="1:51" x14ac:dyDescent="0.2">
      <c r="B122" s="358" t="s">
        <v>2486</v>
      </c>
      <c r="C122" s="358"/>
      <c r="D122" s="14"/>
      <c r="E122" s="14" t="s">
        <v>2181</v>
      </c>
      <c r="F122" s="14"/>
      <c r="G122" s="14"/>
      <c r="H122" s="441"/>
      <c r="I122" s="40"/>
      <c r="J122" s="165"/>
      <c r="K122" s="126"/>
      <c r="L122" s="792"/>
      <c r="M122" s="801"/>
      <c r="N122" s="165"/>
      <c r="O122" s="794"/>
      <c r="P122" s="562"/>
      <c r="Q122" s="562"/>
      <c r="R122" s="562"/>
      <c r="S122" s="562"/>
      <c r="T122" s="562"/>
      <c r="U122" s="562"/>
      <c r="V122" s="562"/>
      <c r="W122" s="562"/>
      <c r="X122" s="787"/>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row>
    <row r="123" spans="1:51" x14ac:dyDescent="0.2">
      <c r="B123" s="358" t="s">
        <v>2486</v>
      </c>
      <c r="C123" s="358"/>
      <c r="D123" s="14"/>
      <c r="E123" s="14" t="s">
        <v>2183</v>
      </c>
      <c r="F123" s="14"/>
      <c r="G123" s="14"/>
      <c r="H123" s="441"/>
      <c r="I123" s="99"/>
      <c r="J123" s="134" t="s">
        <v>2183</v>
      </c>
      <c r="K123" s="65"/>
      <c r="L123" s="598" t="s">
        <v>2490</v>
      </c>
      <c r="M123" s="630" t="str">
        <f>IF(R123,"Mandatory","N/A")</f>
        <v>N/A</v>
      </c>
      <c r="N123" s="3"/>
      <c r="O123" s="609"/>
      <c r="P123" s="562" t="b">
        <v>1</v>
      </c>
      <c r="Q123" s="562" t="b">
        <v>0</v>
      </c>
      <c r="R123" s="562" t="b">
        <f>S123</f>
        <v>0</v>
      </c>
      <c r="S123" s="562" t="b">
        <f>OR(AZ33=2,AZ33=7)</f>
        <v>0</v>
      </c>
      <c r="T123" s="64" t="b">
        <f>AND(NOT(S123),LEN(W123)&gt;0)</f>
        <v>0</v>
      </c>
      <c r="U123" s="64" t="str">
        <f>SUBSTITUTE(SUBSTITUTE(SUBSTITUTE("dd"&amp;B123&amp;C123&amp;D123&amp;E123&amp;F123,".","_"),"(","_"),")","")</f>
        <v>dd602_1_4_1_2</v>
      </c>
      <c r="V123" s="562"/>
      <c r="W123" s="6"/>
      <c r="X123" s="825"/>
      <c r="Y123" s="562"/>
      <c r="Z123" s="562"/>
      <c r="AA123" s="562"/>
      <c r="AB123" s="562"/>
      <c r="AC123" s="562" t="b">
        <f>OR(AD123:AE123)</f>
        <v>0</v>
      </c>
      <c r="AD123" s="562" t="b">
        <f>T123</f>
        <v>0</v>
      </c>
      <c r="AE123" s="562" t="b">
        <f>AND(R123,NOT(W123="Met"),NOT(W123="N/A"))</f>
        <v>0</v>
      </c>
      <c r="AF123" s="562"/>
      <c r="AG123" s="562"/>
      <c r="AH123" s="562"/>
      <c r="AI123" s="562"/>
      <c r="AJ123" s="562"/>
      <c r="AK123" s="562"/>
      <c r="AL123" s="190" t="str">
        <f>SUBSTITUTE(SUBSTITUTE(SUBSTITUTE("dpa"&amp;$B123&amp;$C123&amp;$D123&amp;$E123&amp;$F123,".","_"),"(","_"),")","")</f>
        <v>dpa602_1_4_1_2</v>
      </c>
      <c r="AM123" s="190" t="str">
        <f>M123</f>
        <v>N/A</v>
      </c>
      <c r="AN123" s="562"/>
      <c r="AO123" s="562"/>
      <c r="AP123" s="190" t="str">
        <f t="shared" ref="AP123" si="33">SUBSTITUTE(SUBSTITUTE(SUBSTITUTE("dch"&amp;$B123&amp;$C123&amp;$D123&amp;$E123&amp;$F123,".","_"),"(","_"),")","")</f>
        <v>dch602_1_4_1_2</v>
      </c>
      <c r="AQ123" s="190">
        <f>W123</f>
        <v>0</v>
      </c>
      <c r="AR123" s="562" t="str">
        <f>SUBSTITUTE(SUBSTITUTE(SUBSTITUTE("dnt"&amp;$B123&amp;$C123&amp;$D123&amp;$E123&amp;$F123,".","_"),"(","_"),")","")</f>
        <v>dnt602_1_4_1_2</v>
      </c>
      <c r="AS123" s="190">
        <f>X123</f>
        <v>0</v>
      </c>
      <c r="AT123" s="562"/>
      <c r="AU123" s="562"/>
      <c r="AV123" s="562"/>
      <c r="AW123" s="562"/>
      <c r="AX123" s="562"/>
      <c r="AY123" s="562"/>
    </row>
    <row r="124" spans="1:51" s="484" customFormat="1" x14ac:dyDescent="0.2">
      <c r="A124" s="13"/>
      <c r="B124" s="358" t="s">
        <v>2486</v>
      </c>
      <c r="C124" s="358"/>
      <c r="D124" s="14"/>
      <c r="E124" s="14" t="s">
        <v>2183</v>
      </c>
      <c r="F124" s="14"/>
      <c r="G124" s="14"/>
      <c r="H124" s="441"/>
      <c r="I124" s="170"/>
      <c r="J124" s="159"/>
      <c r="K124" s="126"/>
      <c r="L124" s="637" t="s">
        <v>2491</v>
      </c>
      <c r="M124" s="483"/>
      <c r="N124" s="3"/>
      <c r="O124" s="609"/>
      <c r="P124" s="562"/>
      <c r="Q124" s="562"/>
      <c r="R124" s="562"/>
      <c r="S124" s="562"/>
      <c r="T124" s="64"/>
      <c r="U124" s="64"/>
      <c r="V124" s="562"/>
      <c r="W124" s="562"/>
      <c r="X124" s="786"/>
      <c r="Y124" s="562"/>
      <c r="Z124" s="562"/>
      <c r="AA124" s="562"/>
      <c r="AB124" s="562"/>
      <c r="AC124" s="562"/>
      <c r="AD124" s="562"/>
      <c r="AE124" s="562"/>
      <c r="AF124" s="562"/>
      <c r="AG124" s="562"/>
      <c r="AH124" s="562"/>
      <c r="AI124" s="562"/>
      <c r="AJ124" s="562"/>
      <c r="AK124" s="562"/>
      <c r="AL124" s="190"/>
      <c r="AM124" s="190"/>
      <c r="AN124" s="562"/>
      <c r="AO124" s="562"/>
      <c r="AP124" s="190"/>
      <c r="AQ124" s="190"/>
      <c r="AR124" s="562"/>
      <c r="AS124" s="190"/>
      <c r="AT124" s="562"/>
      <c r="AU124" s="562"/>
      <c r="AV124" s="562"/>
      <c r="AW124" s="562"/>
      <c r="AX124" s="562"/>
      <c r="AY124" s="562"/>
    </row>
    <row r="125" spans="1:51" x14ac:dyDescent="0.2">
      <c r="B125" s="48" t="s">
        <v>2492</v>
      </c>
      <c r="C125" s="14"/>
      <c r="D125" s="14"/>
      <c r="E125" s="14"/>
      <c r="F125" s="14"/>
      <c r="G125" s="14"/>
      <c r="H125" s="441"/>
      <c r="I125" s="40" t="s">
        <v>2493</v>
      </c>
      <c r="J125" s="3"/>
      <c r="K125" s="53"/>
      <c r="L125" s="775" t="s">
        <v>2494</v>
      </c>
      <c r="M125" s="616"/>
      <c r="N125" s="3"/>
      <c r="O125" s="609"/>
      <c r="P125" s="562"/>
      <c r="Q125" s="562"/>
      <c r="R125" s="562"/>
      <c r="S125" s="562"/>
      <c r="T125" s="562"/>
      <c r="U125" s="562"/>
      <c r="V125" s="562"/>
      <c r="W125" s="562"/>
      <c r="X125" s="562"/>
      <c r="Y125" s="562"/>
      <c r="Z125" s="562"/>
      <c r="AA125" s="562"/>
      <c r="AB125" s="562"/>
      <c r="AC125" s="562"/>
      <c r="AD125" s="562"/>
      <c r="AE125" s="562"/>
      <c r="AF125" s="562"/>
      <c r="AG125" s="562"/>
      <c r="AH125" s="562"/>
      <c r="AI125" s="562"/>
      <c r="AJ125" s="562"/>
      <c r="AK125" s="562"/>
      <c r="AL125" s="562"/>
      <c r="AM125" s="562"/>
      <c r="AN125" s="562"/>
      <c r="AO125" s="562"/>
      <c r="AP125" s="562"/>
      <c r="AQ125" s="562"/>
      <c r="AR125" s="562"/>
      <c r="AS125" s="562"/>
      <c r="AT125" s="562"/>
      <c r="AU125" s="562"/>
      <c r="AV125" s="562"/>
      <c r="AW125" s="562"/>
      <c r="AX125" s="562"/>
      <c r="AY125" s="562"/>
    </row>
    <row r="126" spans="1:51" ht="15" customHeight="1" x14ac:dyDescent="0.2">
      <c r="B126" s="48" t="s">
        <v>2492</v>
      </c>
      <c r="C126" s="14"/>
      <c r="D126" s="14"/>
      <c r="E126" s="14"/>
      <c r="F126" s="14"/>
      <c r="G126" s="14"/>
      <c r="H126" s="441"/>
      <c r="I126" s="40"/>
      <c r="J126" s="3"/>
      <c r="K126" s="53"/>
      <c r="L126" s="775"/>
      <c r="M126" s="616"/>
      <c r="N126" s="3"/>
      <c r="O126" s="609"/>
      <c r="P126" s="562"/>
      <c r="Q126" s="562"/>
      <c r="R126" s="562"/>
      <c r="S126" s="562"/>
      <c r="T126" s="562"/>
      <c r="U126" s="562"/>
      <c r="V126" s="562"/>
      <c r="W126" s="562"/>
      <c r="X126" s="562"/>
      <c r="Y126" s="562"/>
      <c r="Z126" s="562"/>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row>
    <row r="127" spans="1:51" s="498" customFormat="1" ht="15" customHeight="1" x14ac:dyDescent="0.2">
      <c r="A127" s="13"/>
      <c r="B127" s="48" t="s">
        <v>2492</v>
      </c>
      <c r="C127" s="14"/>
      <c r="D127" s="14"/>
      <c r="E127" s="14"/>
      <c r="F127" s="14"/>
      <c r="G127" s="14"/>
      <c r="H127" s="441"/>
      <c r="I127" s="40"/>
      <c r="J127" s="3"/>
      <c r="K127" s="53"/>
      <c r="L127" s="775"/>
      <c r="M127" s="616"/>
      <c r="N127" s="3"/>
      <c r="O127" s="609"/>
      <c r="P127" s="562"/>
      <c r="Q127" s="562"/>
      <c r="R127" s="562"/>
      <c r="S127" s="562"/>
      <c r="T127" s="562"/>
      <c r="U127" s="562"/>
      <c r="V127" s="562"/>
      <c r="W127" s="562"/>
      <c r="X127" s="562"/>
      <c r="Y127" s="562"/>
      <c r="Z127" s="562"/>
      <c r="AA127" s="562"/>
      <c r="AB127" s="562"/>
      <c r="AC127" s="562"/>
      <c r="AD127" s="562"/>
      <c r="AE127" s="562"/>
      <c r="AF127" s="562"/>
      <c r="AG127" s="562"/>
      <c r="AH127" s="562"/>
      <c r="AI127" s="562"/>
      <c r="AJ127" s="562"/>
      <c r="AK127" s="562"/>
      <c r="AL127" s="562"/>
      <c r="AM127" s="562"/>
      <c r="AN127" s="562"/>
      <c r="AO127" s="562"/>
      <c r="AP127" s="562"/>
      <c r="AQ127" s="562"/>
      <c r="AR127" s="562"/>
      <c r="AS127" s="562"/>
      <c r="AT127" s="562"/>
      <c r="AU127" s="562"/>
      <c r="AV127" s="562"/>
      <c r="AW127" s="562"/>
      <c r="AX127" s="562"/>
      <c r="AY127" s="562"/>
    </row>
    <row r="128" spans="1:51" s="498" customFormat="1" ht="15" customHeight="1" x14ac:dyDescent="0.2">
      <c r="A128" s="13"/>
      <c r="B128" s="48" t="s">
        <v>2492</v>
      </c>
      <c r="C128" s="14"/>
      <c r="D128" s="14"/>
      <c r="E128" s="14"/>
      <c r="F128" s="14"/>
      <c r="G128" s="14"/>
      <c r="H128" s="441"/>
      <c r="I128" s="40"/>
      <c r="J128" s="3"/>
      <c r="K128" s="53"/>
      <c r="L128" s="775"/>
      <c r="M128" s="616"/>
      <c r="N128" s="3"/>
      <c r="O128" s="609"/>
      <c r="P128" s="562"/>
      <c r="Q128" s="562"/>
      <c r="R128" s="562"/>
      <c r="S128" s="562"/>
      <c r="T128" s="562"/>
      <c r="U128" s="562"/>
      <c r="V128" s="562"/>
      <c r="W128" s="562"/>
      <c r="X128" s="562"/>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row>
    <row r="129" spans="1:51" s="108" customFormat="1" x14ac:dyDescent="0.2">
      <c r="A129" s="13"/>
      <c r="B129" s="48" t="s">
        <v>2492</v>
      </c>
      <c r="C129" s="14"/>
      <c r="D129" s="14"/>
      <c r="E129" s="14"/>
      <c r="F129" s="14"/>
      <c r="G129" s="14"/>
      <c r="H129" s="441"/>
      <c r="I129" s="40"/>
      <c r="J129" s="3"/>
      <c r="K129" s="53"/>
      <c r="L129" s="775"/>
      <c r="M129" s="616"/>
      <c r="N129" s="3"/>
      <c r="O129" s="609"/>
      <c r="P129" s="562"/>
      <c r="Q129" s="562"/>
      <c r="R129" s="562"/>
      <c r="S129" s="562"/>
      <c r="T129" s="562"/>
      <c r="U129" s="562"/>
      <c r="V129" s="562"/>
      <c r="W129" s="562"/>
      <c r="X129" s="562"/>
      <c r="Y129" s="562"/>
      <c r="Z129" s="562"/>
      <c r="AA129" s="562"/>
      <c r="AB129" s="562"/>
      <c r="AC129" s="562"/>
      <c r="AD129" s="562"/>
      <c r="AE129" s="562"/>
      <c r="AF129" s="562"/>
      <c r="AG129" s="562"/>
      <c r="AH129" s="562"/>
      <c r="AI129" s="562"/>
      <c r="AJ129" s="562"/>
      <c r="AK129" s="562"/>
      <c r="AL129" s="562"/>
      <c r="AM129" s="562"/>
      <c r="AN129" s="562"/>
      <c r="AO129" s="562"/>
      <c r="AP129" s="562"/>
      <c r="AQ129" s="562"/>
      <c r="AR129" s="562"/>
      <c r="AS129" s="562"/>
      <c r="AT129" s="562"/>
      <c r="AU129" s="562"/>
      <c r="AV129" s="562"/>
      <c r="AW129" s="562"/>
      <c r="AX129" s="562"/>
      <c r="AY129" s="562"/>
    </row>
    <row r="130" spans="1:51" s="108" customFormat="1" x14ac:dyDescent="0.2">
      <c r="A130" s="13"/>
      <c r="B130" s="48" t="s">
        <v>2492</v>
      </c>
      <c r="C130" s="14"/>
      <c r="D130" s="14"/>
      <c r="E130" s="14" t="s">
        <v>2181</v>
      </c>
      <c r="F130" s="14"/>
      <c r="G130" s="14"/>
      <c r="H130" s="441"/>
      <c r="I130" s="40"/>
      <c r="J130" s="134" t="s">
        <v>2181</v>
      </c>
      <c r="K130" s="65"/>
      <c r="L130" s="791" t="s">
        <v>2495</v>
      </c>
      <c r="M130" s="800">
        <v>8</v>
      </c>
      <c r="N130" s="98"/>
      <c r="O130" s="793">
        <f>M130*S130*W130</f>
        <v>0</v>
      </c>
      <c r="P130" s="562" t="b">
        <v>1</v>
      </c>
      <c r="Q130" s="562" t="b">
        <v>0</v>
      </c>
      <c r="R130" s="562" t="b">
        <v>0</v>
      </c>
      <c r="S130" s="562" t="b">
        <f>OR(AZ33=3,AZ33=7)</f>
        <v>0</v>
      </c>
      <c r="T130" s="64" t="b">
        <f>AND(NOT(S130),W130=TRUE)</f>
        <v>0</v>
      </c>
      <c r="U130" s="562"/>
      <c r="V130" s="562"/>
      <c r="W130" s="18"/>
      <c r="X130" s="787"/>
      <c r="Y130" s="562"/>
      <c r="Z130" s="562"/>
      <c r="AA130" s="562"/>
      <c r="AB130" s="562"/>
      <c r="AC130" s="562" t="b">
        <f>OR(AD130:AE130)</f>
        <v>0</v>
      </c>
      <c r="AD130" s="562" t="b">
        <f>T130</f>
        <v>0</v>
      </c>
      <c r="AE130" s="562"/>
      <c r="AF130" s="562"/>
      <c r="AG130" s="562"/>
      <c r="AH130" s="562"/>
      <c r="AI130" s="562"/>
      <c r="AJ130" s="562"/>
      <c r="AK130" s="562"/>
      <c r="AL130" s="190" t="str">
        <f>SUBSTITUTE(SUBSTITUTE(SUBSTITUTE("dpa"&amp;$B130&amp;$C130&amp;$D130&amp;$E130&amp;$F130,".","_"),"(","_"),")","")</f>
        <v>dpa602_1_4_2_1</v>
      </c>
      <c r="AM130" s="190">
        <f>M130</f>
        <v>8</v>
      </c>
      <c r="AN130" s="190" t="str">
        <f>SUBSTITUTE(SUBSTITUTE(SUBSTITUTE("dpc"&amp;$B130&amp;$C130&amp;$D130&amp;$E130&amp;$F130,".","_"),"(","_"),")","")</f>
        <v>dpc602_1_4_2_1</v>
      </c>
      <c r="AO130" s="190">
        <f>O130</f>
        <v>0</v>
      </c>
      <c r="AP130" s="190" t="str">
        <f t="shared" ref="AP130" si="34">SUBSTITUTE(SUBSTITUTE(SUBSTITUTE("dch"&amp;$B130&amp;$C130&amp;$D130&amp;$E130&amp;$F130,".","_"),"(","_"),")","")</f>
        <v>dch602_1_4_2_1</v>
      </c>
      <c r="AQ130" s="190">
        <f>W130</f>
        <v>0</v>
      </c>
      <c r="AR130" s="562" t="str">
        <f>SUBSTITUTE(SUBSTITUTE(SUBSTITUTE("dnt"&amp;$B130&amp;$C130&amp;$D130&amp;$E130&amp;$F130,".","_"),"(","_"),")","")</f>
        <v>dnt602_1_4_2_1</v>
      </c>
      <c r="AS130" s="190">
        <f>X130</f>
        <v>0</v>
      </c>
      <c r="AT130" s="562"/>
      <c r="AU130" s="562"/>
      <c r="AV130" s="562"/>
      <c r="AW130" s="562"/>
      <c r="AX130" s="562"/>
      <c r="AY130" s="562"/>
    </row>
    <row r="131" spans="1:51" s="108" customFormat="1" ht="15" customHeight="1" x14ac:dyDescent="0.2">
      <c r="A131" s="13"/>
      <c r="B131" s="48" t="s">
        <v>2492</v>
      </c>
      <c r="C131" s="14"/>
      <c r="D131" s="14"/>
      <c r="E131" s="14" t="s">
        <v>2181</v>
      </c>
      <c r="F131" s="14"/>
      <c r="G131" s="14"/>
      <c r="H131" s="441"/>
      <c r="I131" s="40"/>
      <c r="J131" s="165"/>
      <c r="K131" s="126"/>
      <c r="L131" s="792"/>
      <c r="M131" s="801"/>
      <c r="N131" s="165"/>
      <c r="O131" s="794"/>
      <c r="P131" s="562"/>
      <c r="Q131" s="562"/>
      <c r="R131" s="562"/>
      <c r="S131" s="562"/>
      <c r="T131" s="562"/>
      <c r="U131" s="562"/>
      <c r="V131" s="562"/>
      <c r="W131" s="562"/>
      <c r="X131" s="787"/>
      <c r="Y131" s="562"/>
      <c r="Z131" s="562"/>
      <c r="AA131" s="562"/>
      <c r="AB131" s="562"/>
      <c r="AC131" s="562"/>
      <c r="AD131" s="562"/>
      <c r="AE131" s="562"/>
      <c r="AF131" s="562"/>
      <c r="AG131" s="562"/>
      <c r="AH131" s="562"/>
      <c r="AI131" s="562"/>
      <c r="AJ131" s="562"/>
      <c r="AK131" s="562"/>
      <c r="AL131" s="562"/>
      <c r="AM131" s="562"/>
      <c r="AN131" s="562"/>
      <c r="AO131" s="562"/>
      <c r="AP131" s="562"/>
      <c r="AQ131" s="562"/>
      <c r="AR131" s="562"/>
      <c r="AS131" s="562"/>
      <c r="AT131" s="562"/>
      <c r="AU131" s="562"/>
      <c r="AV131" s="562"/>
      <c r="AW131" s="562"/>
      <c r="AX131" s="562"/>
      <c r="AY131" s="562"/>
    </row>
    <row r="132" spans="1:51" s="108" customFormat="1" x14ac:dyDescent="0.2">
      <c r="A132" s="13"/>
      <c r="B132" s="48" t="s">
        <v>2492</v>
      </c>
      <c r="C132" s="14"/>
      <c r="D132" s="14"/>
      <c r="E132" s="14" t="s">
        <v>2183</v>
      </c>
      <c r="F132" s="14"/>
      <c r="G132" s="14"/>
      <c r="H132" s="441"/>
      <c r="I132" s="40"/>
      <c r="J132" s="20" t="s">
        <v>2183</v>
      </c>
      <c r="K132" s="53"/>
      <c r="L132" s="817" t="s">
        <v>2496</v>
      </c>
      <c r="M132" s="837" t="str">
        <f>IF(R132,"Mandatory","N/A")</f>
        <v>N/A</v>
      </c>
      <c r="N132" s="3"/>
      <c r="O132" s="609"/>
      <c r="P132" s="562" t="b">
        <v>1</v>
      </c>
      <c r="Q132" s="562" t="b">
        <v>0</v>
      </c>
      <c r="R132" s="562" t="b">
        <f>S132</f>
        <v>0</v>
      </c>
      <c r="S132" s="562" t="b">
        <f>OR(AZ33=3,AZ33=7)</f>
        <v>0</v>
      </c>
      <c r="T132" s="64" t="b">
        <f>AND(NOT(S132),LEN(W132)&gt;0)</f>
        <v>0</v>
      </c>
      <c r="U132" s="64" t="str">
        <f>SUBSTITUTE(SUBSTITUTE(SUBSTITUTE("dd"&amp;B132&amp;C132&amp;D132&amp;E132&amp;F132,".","_"),"(","_"),")","")</f>
        <v>dd602_1_4_2_2</v>
      </c>
      <c r="V132" s="562"/>
      <c r="W132" s="6"/>
      <c r="X132" s="787"/>
      <c r="Y132" s="562"/>
      <c r="Z132" s="562"/>
      <c r="AA132" s="562"/>
      <c r="AB132" s="562"/>
      <c r="AC132" s="562" t="b">
        <f>OR(AD132:AE132)</f>
        <v>0</v>
      </c>
      <c r="AD132" s="562" t="b">
        <f>T132</f>
        <v>0</v>
      </c>
      <c r="AE132" s="562" t="b">
        <f>AND(R132,NOT(W132="Met"),NOT(W132="N/A"))</f>
        <v>0</v>
      </c>
      <c r="AF132" s="562"/>
      <c r="AG132" s="562"/>
      <c r="AH132" s="562"/>
      <c r="AI132" s="562"/>
      <c r="AJ132" s="562"/>
      <c r="AK132" s="562"/>
      <c r="AL132" s="190" t="str">
        <f>SUBSTITUTE(SUBSTITUTE(SUBSTITUTE("dpa"&amp;$B132&amp;$C132&amp;$D132&amp;$E132&amp;$F132,".","_"),"(","_"),")","")</f>
        <v>dpa602_1_4_2_2</v>
      </c>
      <c r="AM132" s="190" t="str">
        <f>M132</f>
        <v>N/A</v>
      </c>
      <c r="AN132" s="562"/>
      <c r="AO132" s="562"/>
      <c r="AP132" s="190" t="str">
        <f t="shared" ref="AP132" si="35">SUBSTITUTE(SUBSTITUTE(SUBSTITUTE("dch"&amp;$B132&amp;$C132&amp;$D132&amp;$E132&amp;$F132,".","_"),"(","_"),")","")</f>
        <v>dch602_1_4_2_2</v>
      </c>
      <c r="AQ132" s="190">
        <f>W132</f>
        <v>0</v>
      </c>
      <c r="AR132" s="562" t="str">
        <f>SUBSTITUTE(SUBSTITUTE(SUBSTITUTE("dnt"&amp;$B132&amp;$C132&amp;$D132&amp;$E132&amp;$F132,".","_"),"(","_"),")","")</f>
        <v>dnt602_1_4_2_2</v>
      </c>
      <c r="AS132" s="190">
        <f>X132</f>
        <v>0</v>
      </c>
      <c r="AT132" s="562"/>
      <c r="AU132" s="562"/>
      <c r="AV132" s="562"/>
      <c r="AW132" s="562"/>
      <c r="AX132" s="562"/>
      <c r="AY132" s="562"/>
    </row>
    <row r="133" spans="1:51" s="108" customFormat="1" x14ac:dyDescent="0.2">
      <c r="A133" s="13"/>
      <c r="B133" s="48" t="s">
        <v>2492</v>
      </c>
      <c r="C133" s="14"/>
      <c r="D133" s="14"/>
      <c r="E133" s="14" t="s">
        <v>2183</v>
      </c>
      <c r="F133" s="14"/>
      <c r="G133" s="14"/>
      <c r="H133" s="441"/>
      <c r="I133" s="40"/>
      <c r="J133" s="3"/>
      <c r="K133" s="53"/>
      <c r="L133" s="817"/>
      <c r="M133" s="837"/>
      <c r="N133" s="3"/>
      <c r="O133" s="609"/>
      <c r="P133" s="562"/>
      <c r="Q133" s="562"/>
      <c r="R133" s="562"/>
      <c r="S133" s="562"/>
      <c r="T133" s="562"/>
      <c r="U133" s="562"/>
      <c r="V133" s="562"/>
      <c r="W133" s="562"/>
      <c r="X133" s="787"/>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c r="AT133" s="562"/>
      <c r="AU133" s="562"/>
      <c r="AV133" s="562"/>
      <c r="AW133" s="562"/>
      <c r="AX133" s="562"/>
      <c r="AY133" s="562"/>
    </row>
    <row r="134" spans="1:51" s="484" customFormat="1" x14ac:dyDescent="0.2">
      <c r="A134" s="13"/>
      <c r="B134" s="48" t="s">
        <v>2492</v>
      </c>
      <c r="C134" s="14"/>
      <c r="D134" s="14"/>
      <c r="E134" s="14" t="s">
        <v>2183</v>
      </c>
      <c r="F134" s="14"/>
      <c r="G134" s="14"/>
      <c r="H134" s="441"/>
      <c r="I134" s="40"/>
      <c r="J134" s="3"/>
      <c r="K134" s="53"/>
      <c r="L134" s="851" t="s">
        <v>2497</v>
      </c>
      <c r="M134" s="486"/>
      <c r="N134" s="3"/>
      <c r="O134" s="609"/>
      <c r="P134" s="562"/>
      <c r="Q134" s="562"/>
      <c r="R134" s="562"/>
      <c r="S134" s="562"/>
      <c r="T134" s="562"/>
      <c r="U134" s="562"/>
      <c r="V134" s="562"/>
      <c r="W134" s="562"/>
      <c r="X134" s="787"/>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row>
    <row r="135" spans="1:51" s="484" customFormat="1" ht="16" thickBot="1" x14ac:dyDescent="0.25">
      <c r="A135" s="13"/>
      <c r="B135" s="48" t="s">
        <v>2492</v>
      </c>
      <c r="C135" s="14"/>
      <c r="D135" s="14"/>
      <c r="E135" s="14" t="s">
        <v>2183</v>
      </c>
      <c r="F135" s="14"/>
      <c r="G135" s="14"/>
      <c r="H135" s="441"/>
      <c r="I135" s="40"/>
      <c r="J135" s="3"/>
      <c r="K135" s="53"/>
      <c r="L135" s="860"/>
      <c r="M135" s="486"/>
      <c r="N135" s="3"/>
      <c r="O135" s="609"/>
      <c r="P135" s="562"/>
      <c r="Q135" s="562"/>
      <c r="R135" s="562"/>
      <c r="S135" s="562"/>
      <c r="T135" s="562"/>
      <c r="U135" s="562"/>
      <c r="V135" s="562"/>
      <c r="W135" s="562"/>
      <c r="X135" s="787"/>
      <c r="Y135" s="562"/>
      <c r="Z135" s="562"/>
      <c r="AA135" s="562"/>
      <c r="AB135" s="562"/>
      <c r="AC135" s="562"/>
      <c r="AD135" s="562"/>
      <c r="AE135" s="562"/>
      <c r="AF135" s="562"/>
      <c r="AG135" s="562"/>
      <c r="AH135" s="562"/>
      <c r="AI135" s="562"/>
      <c r="AJ135" s="562"/>
      <c r="AK135" s="562"/>
      <c r="AL135" s="562"/>
      <c r="AM135" s="562"/>
      <c r="AN135" s="562"/>
      <c r="AO135" s="562"/>
      <c r="AP135" s="562"/>
      <c r="AQ135" s="562"/>
      <c r="AR135" s="562"/>
      <c r="AS135" s="562"/>
      <c r="AT135" s="562"/>
      <c r="AU135" s="562"/>
      <c r="AV135" s="562"/>
      <c r="AW135" s="562"/>
      <c r="AX135" s="562"/>
      <c r="AY135" s="562"/>
    </row>
    <row r="136" spans="1:51" ht="16" thickTop="1" x14ac:dyDescent="0.2">
      <c r="B136" s="48" t="s">
        <v>2498</v>
      </c>
      <c r="C136" s="14"/>
      <c r="D136" s="14"/>
      <c r="E136" s="14"/>
      <c r="F136" s="14"/>
      <c r="G136" s="14"/>
      <c r="H136" s="441"/>
      <c r="I136" s="131" t="s">
        <v>2499</v>
      </c>
      <c r="J136" s="132"/>
      <c r="K136" s="133"/>
      <c r="L136" s="620" t="s">
        <v>2500</v>
      </c>
      <c r="M136" s="625"/>
      <c r="N136" s="132"/>
      <c r="O136" s="623"/>
      <c r="P136" s="74"/>
      <c r="Q136" s="74"/>
      <c r="R136" s="74"/>
      <c r="S136" s="74"/>
      <c r="T136" s="74"/>
      <c r="U136" s="74"/>
      <c r="V136" s="74"/>
      <c r="W136" s="74" t="s">
        <v>2501</v>
      </c>
      <c r="X136" s="74"/>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row>
    <row r="137" spans="1:51" x14ac:dyDescent="0.2">
      <c r="B137" s="48" t="s">
        <v>2498</v>
      </c>
      <c r="C137" s="14"/>
      <c r="D137" s="14"/>
      <c r="E137" s="14"/>
      <c r="F137" s="14"/>
      <c r="G137" s="14"/>
      <c r="H137" s="441"/>
      <c r="I137" s="40"/>
      <c r="J137" s="3"/>
      <c r="K137" s="53"/>
      <c r="L137" s="706" t="s">
        <v>2502</v>
      </c>
      <c r="M137" s="616"/>
      <c r="N137" s="3"/>
      <c r="O137" s="609"/>
      <c r="P137" s="562" t="b">
        <v>1</v>
      </c>
      <c r="Q137" s="562" t="b">
        <v>0</v>
      </c>
      <c r="R137" s="562" t="b">
        <v>0</v>
      </c>
      <c r="S137" s="562" t="b">
        <v>1</v>
      </c>
      <c r="T137" s="562" t="b">
        <v>0</v>
      </c>
      <c r="U137" s="64" t="str">
        <f>SUBSTITUTE(SUBSTITUTE(SUBSTITUTE("dd"&amp;B137&amp;C137&amp;D137&amp;E137&amp;F137,".","_"),"(","_"),")","")</f>
        <v>dd602_1_5</v>
      </c>
      <c r="V137" s="562"/>
      <c r="W137" s="6"/>
      <c r="X137" s="787"/>
      <c r="Y137" s="562"/>
      <c r="Z137" s="562"/>
      <c r="AA137" s="562"/>
      <c r="AB137" s="562"/>
      <c r="AC137" s="562"/>
      <c r="AD137" s="562"/>
      <c r="AE137" s="562"/>
      <c r="AF137" s="562"/>
      <c r="AG137" s="562"/>
      <c r="AH137" s="562"/>
      <c r="AI137" s="562"/>
      <c r="AJ137" s="562"/>
      <c r="AK137" s="562"/>
      <c r="AL137" s="562"/>
      <c r="AM137" s="562"/>
      <c r="AN137" s="562"/>
      <c r="AO137" s="562"/>
      <c r="AP137" s="190" t="str">
        <f t="shared" ref="AP137:AP138" si="36">SUBSTITUTE(SUBSTITUTE(SUBSTITUTE("dch"&amp;$B137&amp;$C137&amp;$D137&amp;$E137&amp;$F137,".","_"),"(","_"),")","")</f>
        <v>dch602_1_5</v>
      </c>
      <c r="AQ137" s="190">
        <f>W137</f>
        <v>0</v>
      </c>
      <c r="AR137" s="562" t="str">
        <f>SUBSTITUTE(SUBSTITUTE(SUBSTITUTE("dnt"&amp;$B137&amp;$C137&amp;$D137&amp;$E137&amp;$F137,".","_"),"(","_"),")","")</f>
        <v>dnt602_1_5</v>
      </c>
      <c r="AS137" s="190">
        <f>X137</f>
        <v>0</v>
      </c>
      <c r="AT137" s="562"/>
      <c r="AU137" s="562"/>
      <c r="AV137" s="562"/>
      <c r="AW137" s="562"/>
      <c r="AX137" s="562"/>
      <c r="AY137" s="562"/>
    </row>
    <row r="138" spans="1:51" s="100" customFormat="1" x14ac:dyDescent="0.2">
      <c r="A138" s="13"/>
      <c r="B138" s="48" t="s">
        <v>2498</v>
      </c>
      <c r="C138" s="14"/>
      <c r="D138" s="14"/>
      <c r="E138" s="14" t="s">
        <v>2181</v>
      </c>
      <c r="F138" s="14"/>
      <c r="G138" s="14"/>
      <c r="H138" s="441"/>
      <c r="I138" s="40"/>
      <c r="J138" s="134" t="s">
        <v>2181</v>
      </c>
      <c r="K138" s="65"/>
      <c r="L138" s="791" t="s">
        <v>2503</v>
      </c>
      <c r="M138" s="800">
        <v>4</v>
      </c>
      <c r="N138" s="98"/>
      <c r="O138" s="793">
        <f ca="1">M138*S138*W138</f>
        <v>0</v>
      </c>
      <c r="P138" s="562" t="b">
        <v>1</v>
      </c>
      <c r="Q138" s="562" t="b">
        <v>0</v>
      </c>
      <c r="R138" s="562" t="b">
        <v>0</v>
      </c>
      <c r="S138" s="562" t="b">
        <f ca="1">IF(IFERROR(MATCH(W137,INDIRECT(U137),0),0)=3,TRUE,FALSE)</f>
        <v>0</v>
      </c>
      <c r="T138" s="64" t="b">
        <f ca="1">AND(NOT(S138),W138=TRUE)</f>
        <v>0</v>
      </c>
      <c r="U138" s="562"/>
      <c r="V138" s="562"/>
      <c r="W138" s="18"/>
      <c r="X138" s="787"/>
      <c r="Y138" s="562"/>
      <c r="Z138" s="562"/>
      <c r="AA138" s="562"/>
      <c r="AB138" s="562"/>
      <c r="AC138" s="562" t="b">
        <f ca="1">OR(AD138:AE138)</f>
        <v>0</v>
      </c>
      <c r="AD138" s="562" t="b">
        <f ca="1">T138</f>
        <v>0</v>
      </c>
      <c r="AE138" s="562" t="b">
        <v>0</v>
      </c>
      <c r="AF138" s="562"/>
      <c r="AG138" s="562"/>
      <c r="AH138" s="562"/>
      <c r="AI138" s="562"/>
      <c r="AJ138" s="562"/>
      <c r="AK138" s="562"/>
      <c r="AL138" s="190" t="str">
        <f>SUBSTITUTE(SUBSTITUTE(SUBSTITUTE("dpa"&amp;$B138&amp;$C138&amp;$D138&amp;$E138&amp;$F138,".","_"),"(","_"),")","")</f>
        <v>dpa602_1_5_1</v>
      </c>
      <c r="AM138" s="190">
        <f>M138</f>
        <v>4</v>
      </c>
      <c r="AN138" s="190" t="str">
        <f>SUBSTITUTE(SUBSTITUTE(SUBSTITUTE("dpc"&amp;$B138&amp;$C138&amp;$D138&amp;$E138&amp;$F138,".","_"),"(","_"),")","")</f>
        <v>dpc602_1_5_1</v>
      </c>
      <c r="AO138" s="190">
        <f ca="1">O138</f>
        <v>0</v>
      </c>
      <c r="AP138" s="190" t="str">
        <f t="shared" si="36"/>
        <v>dch602_1_5_1</v>
      </c>
      <c r="AQ138" s="190">
        <f>W138</f>
        <v>0</v>
      </c>
      <c r="AR138" s="562"/>
      <c r="AS138" s="562"/>
      <c r="AT138" s="562"/>
      <c r="AU138" s="562"/>
      <c r="AV138" s="562"/>
      <c r="AW138" s="562"/>
      <c r="AX138" s="562"/>
      <c r="AY138" s="562"/>
    </row>
    <row r="139" spans="1:51" x14ac:dyDescent="0.2">
      <c r="B139" s="48" t="s">
        <v>2498</v>
      </c>
      <c r="C139" s="14"/>
      <c r="D139" s="14"/>
      <c r="E139" s="14" t="s">
        <v>2181</v>
      </c>
      <c r="F139" s="14"/>
      <c r="G139" s="14"/>
      <c r="H139" s="441"/>
      <c r="I139" s="40"/>
      <c r="J139" s="165"/>
      <c r="K139" s="126"/>
      <c r="L139" s="792"/>
      <c r="M139" s="801"/>
      <c r="N139" s="165"/>
      <c r="O139" s="794"/>
      <c r="P139" s="562"/>
      <c r="Q139" s="562"/>
      <c r="R139" s="562"/>
      <c r="S139" s="562"/>
      <c r="T139" s="562"/>
      <c r="U139" s="562"/>
      <c r="V139" s="562"/>
      <c r="W139" s="562"/>
      <c r="X139" s="787"/>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c r="AT139" s="562"/>
      <c r="AU139" s="562"/>
      <c r="AV139" s="562"/>
      <c r="AW139" s="562"/>
      <c r="AX139" s="562"/>
      <c r="AY139" s="562"/>
    </row>
    <row r="140" spans="1:51" x14ac:dyDescent="0.2">
      <c r="B140" s="48" t="s">
        <v>2498</v>
      </c>
      <c r="C140" s="14"/>
      <c r="D140" s="14"/>
      <c r="E140" s="14" t="s">
        <v>2183</v>
      </c>
      <c r="F140" s="14"/>
      <c r="G140" s="14"/>
      <c r="H140" s="441"/>
      <c r="I140" s="40"/>
      <c r="J140" s="20" t="s">
        <v>2183</v>
      </c>
      <c r="K140" s="53"/>
      <c r="L140" s="817" t="s">
        <v>2504</v>
      </c>
      <c r="M140" s="814">
        <v>4</v>
      </c>
      <c r="N140" s="3"/>
      <c r="O140" s="795">
        <f ca="1">M140*S140*W140</f>
        <v>0</v>
      </c>
      <c r="P140" s="562" t="b">
        <v>1</v>
      </c>
      <c r="Q140" s="562" t="b">
        <v>0</v>
      </c>
      <c r="R140" s="562" t="b">
        <v>0</v>
      </c>
      <c r="S140" s="562" t="b">
        <f ca="1">IF(IFERROR(MATCH(W137,INDIRECT(U137),0),0)=4,TRUE,FALSE)</f>
        <v>0</v>
      </c>
      <c r="T140" s="64" t="b">
        <f ca="1">AND(NOT(S140),W140=TRUE)</f>
        <v>0</v>
      </c>
      <c r="U140" s="562"/>
      <c r="V140" s="562"/>
      <c r="W140" s="18"/>
      <c r="X140" s="787"/>
      <c r="Y140" s="562"/>
      <c r="Z140" s="562"/>
      <c r="AA140" s="562"/>
      <c r="AB140" s="562"/>
      <c r="AC140" s="562" t="b">
        <f ca="1">OR(AD140:AE140)</f>
        <v>0</v>
      </c>
      <c r="AD140" s="562" t="b">
        <f ca="1">T140</f>
        <v>0</v>
      </c>
      <c r="AE140" s="562" t="b">
        <v>0</v>
      </c>
      <c r="AF140" s="562"/>
      <c r="AG140" s="562"/>
      <c r="AH140" s="562"/>
      <c r="AI140" s="562"/>
      <c r="AJ140" s="562"/>
      <c r="AK140" s="562"/>
      <c r="AL140" s="190" t="str">
        <f>SUBSTITUTE(SUBSTITUTE(SUBSTITUTE("dpa"&amp;$B140&amp;$C140&amp;$D140&amp;$E140&amp;$F140,".","_"),"(","_"),")","")</f>
        <v>dpa602_1_5_2</v>
      </c>
      <c r="AM140" s="190">
        <f>M140</f>
        <v>4</v>
      </c>
      <c r="AN140" s="190" t="str">
        <f>SUBSTITUTE(SUBSTITUTE(SUBSTITUTE("dpc"&amp;$B140&amp;$C140&amp;$D140&amp;$E140&amp;$F140,".","_"),"(","_"),")","")</f>
        <v>dpc602_1_5_2</v>
      </c>
      <c r="AO140" s="190">
        <f ca="1">O140</f>
        <v>0</v>
      </c>
      <c r="AP140" s="190" t="str">
        <f t="shared" ref="AP140" si="37">SUBSTITUTE(SUBSTITUTE(SUBSTITUTE("dch"&amp;$B140&amp;$C140&amp;$D140&amp;$E140&amp;$F140,".","_"),"(","_"),")","")</f>
        <v>dch602_1_5_2</v>
      </c>
      <c r="AQ140" s="190">
        <f>W140</f>
        <v>0</v>
      </c>
      <c r="AR140" s="562"/>
      <c r="AS140" s="562"/>
      <c r="AT140" s="562"/>
      <c r="AU140" s="562"/>
      <c r="AV140" s="562"/>
      <c r="AW140" s="562"/>
      <c r="AX140" s="562"/>
      <c r="AY140" s="562"/>
    </row>
    <row r="141" spans="1:51" x14ac:dyDescent="0.2">
      <c r="B141" s="48" t="s">
        <v>2498</v>
      </c>
      <c r="C141" s="14"/>
      <c r="D141" s="14"/>
      <c r="E141" s="14" t="s">
        <v>2183</v>
      </c>
      <c r="F141" s="14"/>
      <c r="G141" s="14"/>
      <c r="H141" s="441"/>
      <c r="I141" s="40"/>
      <c r="J141" s="3"/>
      <c r="K141" s="53"/>
      <c r="L141" s="817"/>
      <c r="M141" s="814"/>
      <c r="N141" s="3"/>
      <c r="O141" s="795"/>
      <c r="P141" s="562"/>
      <c r="Q141" s="562"/>
      <c r="R141" s="562"/>
      <c r="S141" s="562"/>
      <c r="T141" s="562"/>
      <c r="U141" s="562"/>
      <c r="V141" s="562"/>
      <c r="W141" s="562"/>
      <c r="X141" s="787"/>
      <c r="Y141" s="562"/>
      <c r="Z141" s="562"/>
      <c r="AA141" s="562"/>
      <c r="AB141" s="562"/>
      <c r="AC141" s="562"/>
      <c r="AD141" s="562"/>
      <c r="AE141" s="562"/>
      <c r="AF141" s="562"/>
      <c r="AG141" s="562"/>
      <c r="AH141" s="562"/>
      <c r="AI141" s="562"/>
      <c r="AJ141" s="562"/>
      <c r="AK141" s="562"/>
      <c r="AL141" s="562"/>
      <c r="AM141" s="562"/>
      <c r="AN141" s="562"/>
      <c r="AO141" s="562"/>
      <c r="AP141" s="562"/>
      <c r="AQ141" s="562"/>
      <c r="AR141" s="562"/>
      <c r="AS141" s="562"/>
      <c r="AT141" s="562"/>
      <c r="AU141" s="562"/>
      <c r="AV141" s="562"/>
      <c r="AW141" s="562"/>
      <c r="AX141" s="562"/>
      <c r="AY141" s="562"/>
    </row>
    <row r="142" spans="1:51" ht="16" thickBot="1" x14ac:dyDescent="0.25">
      <c r="B142" s="48" t="s">
        <v>2498</v>
      </c>
      <c r="C142" s="14"/>
      <c r="D142" s="14"/>
      <c r="E142" s="14" t="s">
        <v>2183</v>
      </c>
      <c r="F142" s="14"/>
      <c r="G142" s="14"/>
      <c r="H142" s="441"/>
      <c r="I142" s="40"/>
      <c r="J142" s="3"/>
      <c r="K142" s="53"/>
      <c r="L142" s="817"/>
      <c r="M142" s="814"/>
      <c r="N142" s="3"/>
      <c r="O142" s="795"/>
      <c r="P142" s="562"/>
      <c r="Q142" s="562"/>
      <c r="R142" s="562"/>
      <c r="S142" s="562"/>
      <c r="T142" s="562"/>
      <c r="U142" s="562"/>
      <c r="V142" s="562"/>
      <c r="W142" s="562"/>
      <c r="X142" s="787"/>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row>
    <row r="143" spans="1:51" s="120" customFormat="1" ht="16" thickTop="1" x14ac:dyDescent="0.2">
      <c r="A143" s="13"/>
      <c r="B143" s="48" t="s">
        <v>2505</v>
      </c>
      <c r="C143" s="14"/>
      <c r="D143" s="14"/>
      <c r="E143" s="14"/>
      <c r="F143" s="14"/>
      <c r="G143" s="14"/>
      <c r="H143" s="441"/>
      <c r="I143" s="131" t="s">
        <v>2506</v>
      </c>
      <c r="J143" s="132"/>
      <c r="K143" s="133"/>
      <c r="L143" s="819" t="s">
        <v>2507</v>
      </c>
      <c r="M143" s="625"/>
      <c r="N143" s="132"/>
      <c r="O143" s="623"/>
      <c r="P143" s="74"/>
      <c r="Q143" s="74"/>
      <c r="R143" s="74"/>
      <c r="S143" s="74"/>
      <c r="T143" s="74"/>
      <c r="U143" s="74"/>
      <c r="V143" s="74"/>
      <c r="W143" s="74"/>
      <c r="X143" s="74"/>
      <c r="Y143" s="562"/>
      <c r="Z143" s="562"/>
      <c r="AA143" s="562"/>
      <c r="AB143" s="562"/>
      <c r="AC143" s="562"/>
      <c r="AD143" s="562"/>
      <c r="AE143" s="562"/>
      <c r="AF143" s="562"/>
      <c r="AG143" s="562"/>
      <c r="AH143" s="562"/>
      <c r="AI143" s="562"/>
      <c r="AJ143" s="562"/>
      <c r="AK143" s="562"/>
      <c r="AL143" s="562"/>
      <c r="AM143" s="562"/>
      <c r="AN143" s="562"/>
      <c r="AO143" s="562"/>
      <c r="AP143" s="562"/>
      <c r="AQ143" s="562"/>
      <c r="AR143" s="562"/>
      <c r="AS143" s="562"/>
      <c r="AT143" s="562"/>
      <c r="AU143" s="562"/>
      <c r="AV143" s="562"/>
      <c r="AW143" s="562"/>
      <c r="AX143" s="562"/>
      <c r="AY143" s="562"/>
    </row>
    <row r="144" spans="1:51" ht="15" customHeight="1" x14ac:dyDescent="0.2">
      <c r="B144" s="48" t="s">
        <v>2505</v>
      </c>
      <c r="C144" s="14"/>
      <c r="D144" s="14"/>
      <c r="E144" s="14"/>
      <c r="F144" s="14"/>
      <c r="G144" s="14"/>
      <c r="H144" s="441"/>
      <c r="I144" s="99"/>
      <c r="J144" s="98"/>
      <c r="K144" s="65"/>
      <c r="L144" s="820"/>
      <c r="M144" s="610"/>
      <c r="N144" s="98"/>
      <c r="O144" s="607"/>
      <c r="P144" s="64"/>
      <c r="Q144" s="64"/>
      <c r="R144" s="64"/>
      <c r="S144" s="64"/>
      <c r="T144" s="64"/>
      <c r="U144" s="64"/>
      <c r="V144" s="64"/>
      <c r="W144" s="64"/>
      <c r="X144" s="64"/>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row>
    <row r="145" spans="1:51" s="105" customFormat="1" x14ac:dyDescent="0.2">
      <c r="A145" s="13"/>
      <c r="B145" s="48" t="s">
        <v>2505</v>
      </c>
      <c r="C145" s="14"/>
      <c r="D145" s="14"/>
      <c r="E145" s="14"/>
      <c r="F145" s="14"/>
      <c r="G145" s="14"/>
      <c r="H145" s="441"/>
      <c r="I145" s="40"/>
      <c r="J145" s="3"/>
      <c r="K145" s="53"/>
      <c r="L145" s="706" t="s">
        <v>2502</v>
      </c>
      <c r="M145" s="616"/>
      <c r="N145" s="3"/>
      <c r="O145" s="609"/>
      <c r="P145" s="562"/>
      <c r="Q145" s="562"/>
      <c r="R145" s="562"/>
      <c r="S145" s="562"/>
      <c r="T145" s="562"/>
      <c r="U145" s="64"/>
      <c r="V145" s="562"/>
      <c r="W145" s="562"/>
      <c r="X145" s="562"/>
      <c r="Y145" s="562"/>
      <c r="Z145" s="562"/>
      <c r="AA145" s="562"/>
      <c r="AB145" s="562"/>
      <c r="AC145" s="562"/>
      <c r="AD145" s="562"/>
      <c r="AE145" s="562"/>
      <c r="AF145" s="562"/>
      <c r="AG145" s="562"/>
      <c r="AH145" s="562"/>
      <c r="AI145" s="562"/>
      <c r="AJ145" s="562"/>
      <c r="AK145" s="562"/>
      <c r="AL145" s="562"/>
      <c r="AM145" s="562"/>
      <c r="AN145" s="562"/>
      <c r="AO145" s="562"/>
      <c r="AP145" s="562"/>
      <c r="AQ145" s="562"/>
      <c r="AR145" s="562"/>
      <c r="AS145" s="562"/>
      <c r="AT145" s="562"/>
      <c r="AU145" s="562"/>
      <c r="AV145" s="562"/>
      <c r="AW145" s="562"/>
      <c r="AX145" s="562"/>
      <c r="AY145" s="562"/>
    </row>
    <row r="146" spans="1:51" x14ac:dyDescent="0.2">
      <c r="B146" s="48" t="s">
        <v>2505</v>
      </c>
      <c r="C146" s="14"/>
      <c r="D146" s="14"/>
      <c r="E146" s="14" t="s">
        <v>2181</v>
      </c>
      <c r="F146" s="14"/>
      <c r="G146" s="14"/>
      <c r="H146" s="441"/>
      <c r="I146" s="40"/>
      <c r="J146" s="134" t="s">
        <v>2181</v>
      </c>
      <c r="K146" s="65"/>
      <c r="L146" s="791" t="s">
        <v>2508</v>
      </c>
      <c r="M146" s="800">
        <v>2</v>
      </c>
      <c r="N146" s="98"/>
      <c r="O146" s="793">
        <f ca="1">M146*S146*W146</f>
        <v>0</v>
      </c>
      <c r="P146" s="562" t="b">
        <v>1</v>
      </c>
      <c r="Q146" s="562" t="b">
        <v>1</v>
      </c>
      <c r="R146" s="562" t="b">
        <v>0</v>
      </c>
      <c r="S146" s="562" t="b">
        <f ca="1">IF(IFERROR(MATCH(W137,INDIRECT(U137),0),0)=2,TRUE,FALSE)</f>
        <v>0</v>
      </c>
      <c r="T146" s="64" t="b">
        <f ca="1">AND(NOT(S146),W146=TRUE)</f>
        <v>0</v>
      </c>
      <c r="U146" s="562"/>
      <c r="V146" s="562"/>
      <c r="W146" s="18"/>
      <c r="X146" s="787"/>
      <c r="Y146" s="562"/>
      <c r="Z146" s="562"/>
      <c r="AA146" s="562"/>
      <c r="AB146" s="562"/>
      <c r="AC146" s="562" t="b">
        <f ca="1">OR(AD146:AE146)</f>
        <v>0</v>
      </c>
      <c r="AD146" s="562" t="b">
        <f ca="1">T146</f>
        <v>0</v>
      </c>
      <c r="AE146" s="562" t="b">
        <v>0</v>
      </c>
      <c r="AF146" s="562"/>
      <c r="AG146" s="562"/>
      <c r="AH146" s="562"/>
      <c r="AI146" s="562"/>
      <c r="AJ146" s="562"/>
      <c r="AK146" s="562"/>
      <c r="AL146" s="190" t="str">
        <f>SUBSTITUTE(SUBSTITUTE(SUBSTITUTE("dpa"&amp;$B146&amp;$C146&amp;$D146&amp;$E146&amp;$F146,".","_"),"(","_"),")","")</f>
        <v>dpa602_1_6_1</v>
      </c>
      <c r="AM146" s="190">
        <f>M146</f>
        <v>2</v>
      </c>
      <c r="AN146" s="190" t="str">
        <f>SUBSTITUTE(SUBSTITUTE(SUBSTITUTE("dpc"&amp;$B146&amp;$C146&amp;$D146&amp;$E146&amp;$F146,".","_"),"(","_"),")","")</f>
        <v>dpc602_1_6_1</v>
      </c>
      <c r="AO146" s="190">
        <f ca="1">O146</f>
        <v>0</v>
      </c>
      <c r="AP146" s="190" t="str">
        <f t="shared" ref="AP146" si="38">SUBSTITUTE(SUBSTITUTE(SUBSTITUTE("dch"&amp;$B146&amp;$C146&amp;$D146&amp;$E146&amp;$F146,".","_"),"(","_"),")","")</f>
        <v>dch602_1_6_1</v>
      </c>
      <c r="AQ146" s="190">
        <f>W146</f>
        <v>0</v>
      </c>
      <c r="AR146" s="562" t="str">
        <f>SUBSTITUTE(SUBSTITUTE(SUBSTITUTE("dnt"&amp;$B146&amp;$C146&amp;$D146&amp;$E146&amp;$F146,".","_"),"(","_"),")","")</f>
        <v>dnt602_1_6_1</v>
      </c>
      <c r="AS146" s="190">
        <f>X146</f>
        <v>0</v>
      </c>
      <c r="AT146" s="562"/>
      <c r="AU146" s="562"/>
      <c r="AV146" s="562"/>
      <c r="AW146" s="562"/>
      <c r="AX146" s="562"/>
      <c r="AY146" s="562"/>
    </row>
    <row r="147" spans="1:51" x14ac:dyDescent="0.2">
      <c r="B147" s="48" t="s">
        <v>2505</v>
      </c>
      <c r="C147" s="14"/>
      <c r="D147" s="14"/>
      <c r="E147" s="14" t="s">
        <v>2181</v>
      </c>
      <c r="F147" s="14"/>
      <c r="G147" s="14"/>
      <c r="H147" s="441"/>
      <c r="I147" s="40"/>
      <c r="J147" s="98"/>
      <c r="K147" s="65"/>
      <c r="L147" s="791"/>
      <c r="M147" s="800"/>
      <c r="N147" s="98"/>
      <c r="O147" s="793"/>
      <c r="P147" s="562"/>
      <c r="Q147" s="562"/>
      <c r="R147" s="562"/>
      <c r="S147" s="562"/>
      <c r="T147" s="562"/>
      <c r="U147" s="562"/>
      <c r="V147" s="562"/>
      <c r="W147" s="562"/>
      <c r="X147" s="787"/>
      <c r="Y147" s="562"/>
      <c r="Z147" s="562"/>
      <c r="AA147" s="562"/>
      <c r="AB147" s="562"/>
      <c r="AC147" s="562"/>
      <c r="AD147" s="562"/>
      <c r="AE147" s="562"/>
      <c r="AF147" s="562"/>
      <c r="AG147" s="562"/>
      <c r="AH147" s="562"/>
      <c r="AI147" s="562"/>
      <c r="AJ147" s="562"/>
      <c r="AK147" s="562"/>
      <c r="AL147" s="562"/>
      <c r="AM147" s="562"/>
      <c r="AN147" s="562"/>
      <c r="AO147" s="562"/>
      <c r="AP147" s="562"/>
      <c r="AQ147" s="562"/>
      <c r="AR147" s="562"/>
      <c r="AS147" s="562"/>
      <c r="AT147" s="562"/>
      <c r="AU147" s="562"/>
      <c r="AV147" s="562"/>
      <c r="AW147" s="562"/>
      <c r="AX147" s="562"/>
      <c r="AY147" s="562"/>
    </row>
    <row r="148" spans="1:51" x14ac:dyDescent="0.2">
      <c r="B148" s="48" t="s">
        <v>2505</v>
      </c>
      <c r="C148" s="14"/>
      <c r="D148" s="14"/>
      <c r="E148" s="14" t="s">
        <v>2181</v>
      </c>
      <c r="F148" s="14"/>
      <c r="G148" s="14"/>
      <c r="H148" s="441"/>
      <c r="I148" s="40"/>
      <c r="J148" s="98"/>
      <c r="K148" s="65"/>
      <c r="L148" s="791"/>
      <c r="M148" s="800"/>
      <c r="N148" s="98"/>
      <c r="O148" s="793"/>
      <c r="P148" s="562"/>
      <c r="Q148" s="562"/>
      <c r="R148" s="562"/>
      <c r="S148" s="562"/>
      <c r="T148" s="562"/>
      <c r="U148" s="562"/>
      <c r="V148" s="562"/>
      <c r="W148" s="562"/>
      <c r="X148" s="787"/>
      <c r="Y148" s="562"/>
      <c r="Z148" s="562"/>
      <c r="AA148" s="562"/>
      <c r="AB148" s="562"/>
      <c r="AC148" s="562"/>
      <c r="AD148" s="562"/>
      <c r="AE148" s="562"/>
      <c r="AF148" s="562"/>
      <c r="AG148" s="562"/>
      <c r="AH148" s="562"/>
      <c r="AI148" s="562"/>
      <c r="AJ148" s="562"/>
      <c r="AK148" s="562"/>
      <c r="AL148" s="562"/>
      <c r="AM148" s="562"/>
      <c r="AN148" s="562"/>
      <c r="AO148" s="562"/>
      <c r="AP148" s="562"/>
      <c r="AQ148" s="562"/>
      <c r="AR148" s="562"/>
      <c r="AS148" s="562"/>
      <c r="AT148" s="562"/>
      <c r="AU148" s="562"/>
      <c r="AV148" s="562"/>
      <c r="AW148" s="562"/>
      <c r="AX148" s="562"/>
      <c r="AY148" s="562"/>
    </row>
    <row r="149" spans="1:51" x14ac:dyDescent="0.2">
      <c r="B149" s="48" t="s">
        <v>2505</v>
      </c>
      <c r="C149" s="14"/>
      <c r="D149" s="14"/>
      <c r="E149" s="14" t="s">
        <v>2181</v>
      </c>
      <c r="F149" s="14"/>
      <c r="G149" s="14"/>
      <c r="H149" s="441"/>
      <c r="I149" s="40"/>
      <c r="J149" s="165"/>
      <c r="K149" s="126"/>
      <c r="L149" s="792"/>
      <c r="M149" s="801"/>
      <c r="N149" s="165"/>
      <c r="O149" s="794"/>
      <c r="P149" s="562"/>
      <c r="Q149" s="562"/>
      <c r="R149" s="562"/>
      <c r="S149" s="562"/>
      <c r="T149" s="562"/>
      <c r="U149" s="562"/>
      <c r="V149" s="562"/>
      <c r="W149" s="562"/>
      <c r="X149" s="787"/>
      <c r="Y149" s="562"/>
      <c r="Z149" s="562"/>
      <c r="AA149" s="562"/>
      <c r="AB149" s="562"/>
      <c r="AC149" s="562"/>
      <c r="AD149" s="562"/>
      <c r="AE149" s="562"/>
      <c r="AF149" s="562"/>
      <c r="AG149" s="562"/>
      <c r="AH149" s="562"/>
      <c r="AI149" s="562"/>
      <c r="AJ149" s="562"/>
      <c r="AK149" s="562"/>
      <c r="AL149" s="562"/>
      <c r="AM149" s="562"/>
      <c r="AN149" s="562"/>
      <c r="AO149" s="562"/>
      <c r="AP149" s="562"/>
      <c r="AQ149" s="562"/>
      <c r="AR149" s="562"/>
      <c r="AS149" s="562"/>
      <c r="AT149" s="562"/>
      <c r="AU149" s="562"/>
      <c r="AV149" s="562"/>
      <c r="AW149" s="562"/>
      <c r="AX149" s="562"/>
      <c r="AY149" s="562"/>
    </row>
    <row r="150" spans="1:51" s="100" customFormat="1" x14ac:dyDescent="0.2">
      <c r="A150" s="13"/>
      <c r="B150" s="48" t="s">
        <v>2505</v>
      </c>
      <c r="C150" s="14"/>
      <c r="D150" s="14"/>
      <c r="E150" s="14" t="s">
        <v>2183</v>
      </c>
      <c r="F150" s="14"/>
      <c r="G150" s="14"/>
      <c r="H150" s="441"/>
      <c r="I150" s="40"/>
      <c r="J150" s="164" t="s">
        <v>2183</v>
      </c>
      <c r="K150" s="147"/>
      <c r="L150" s="831" t="s">
        <v>2509</v>
      </c>
      <c r="M150" s="824">
        <v>4</v>
      </c>
      <c r="N150" s="146"/>
      <c r="O150" s="815">
        <f ca="1">M150*S150*W150</f>
        <v>0</v>
      </c>
      <c r="P150" s="562" t="b">
        <v>1</v>
      </c>
      <c r="Q150" s="562" t="b">
        <v>1</v>
      </c>
      <c r="R150" s="562" t="b">
        <v>0</v>
      </c>
      <c r="S150" s="562" t="b">
        <f ca="1">IF(IFERROR(MATCH(W137,INDIRECT(U137),0),0)=3,TRUE,FALSE)</f>
        <v>0</v>
      </c>
      <c r="T150" s="64" t="b">
        <f ca="1">AND(NOT(S150),W150=TRUE)</f>
        <v>0</v>
      </c>
      <c r="U150" s="562"/>
      <c r="V150" s="562"/>
      <c r="W150" s="18"/>
      <c r="X150" s="787"/>
      <c r="Y150" s="562"/>
      <c r="Z150" s="562"/>
      <c r="AA150" s="562"/>
      <c r="AB150" s="562"/>
      <c r="AC150" s="562" t="b">
        <f ca="1">OR(AD150:AE150)</f>
        <v>0</v>
      </c>
      <c r="AD150" s="562" t="b">
        <f ca="1">T150</f>
        <v>0</v>
      </c>
      <c r="AE150" s="562" t="b">
        <v>0</v>
      </c>
      <c r="AF150" s="562"/>
      <c r="AG150" s="562"/>
      <c r="AH150" s="562"/>
      <c r="AI150" s="562"/>
      <c r="AJ150" s="562"/>
      <c r="AK150" s="562"/>
      <c r="AL150" s="190" t="str">
        <f>SUBSTITUTE(SUBSTITUTE(SUBSTITUTE("dpa"&amp;$B150&amp;$C150&amp;$D150&amp;$E150&amp;$F150,".","_"),"(","_"),")","")</f>
        <v>dpa602_1_6_2</v>
      </c>
      <c r="AM150" s="190">
        <f>M150</f>
        <v>4</v>
      </c>
      <c r="AN150" s="190" t="str">
        <f>SUBSTITUTE(SUBSTITUTE(SUBSTITUTE("dpc"&amp;$B150&amp;$C150&amp;$D150&amp;$E150&amp;$F150,".","_"),"(","_"),")","")</f>
        <v>dpc602_1_6_2</v>
      </c>
      <c r="AO150" s="190">
        <f ca="1">O150</f>
        <v>0</v>
      </c>
      <c r="AP150" s="190" t="str">
        <f t="shared" ref="AP150" si="39">SUBSTITUTE(SUBSTITUTE(SUBSTITUTE("dch"&amp;$B150&amp;$C150&amp;$D150&amp;$E150&amp;$F150,".","_"),"(","_"),")","")</f>
        <v>dch602_1_6_2</v>
      </c>
      <c r="AQ150" s="190">
        <f>W150</f>
        <v>0</v>
      </c>
      <c r="AR150" s="562"/>
      <c r="AS150" s="562"/>
      <c r="AT150" s="562"/>
      <c r="AU150" s="562"/>
      <c r="AV150" s="562"/>
      <c r="AW150" s="562"/>
      <c r="AX150" s="562"/>
      <c r="AY150" s="562"/>
    </row>
    <row r="151" spans="1:51" x14ac:dyDescent="0.2">
      <c r="B151" s="48" t="s">
        <v>2505</v>
      </c>
      <c r="C151" s="14"/>
      <c r="D151" s="14"/>
      <c r="E151" s="14" t="s">
        <v>2183</v>
      </c>
      <c r="F151" s="14"/>
      <c r="G151" s="14"/>
      <c r="H151" s="441"/>
      <c r="I151" s="40"/>
      <c r="J151" s="98"/>
      <c r="K151" s="65"/>
      <c r="L151" s="791"/>
      <c r="M151" s="800"/>
      <c r="N151" s="98"/>
      <c r="O151" s="793"/>
      <c r="P151" s="562"/>
      <c r="Q151" s="562"/>
      <c r="R151" s="562"/>
      <c r="S151" s="562"/>
      <c r="T151" s="562"/>
      <c r="U151" s="562"/>
      <c r="V151" s="562"/>
      <c r="W151" s="562"/>
      <c r="X151" s="787"/>
      <c r="Y151" s="562"/>
      <c r="Z151" s="562"/>
      <c r="AA151" s="562"/>
      <c r="AB151" s="562"/>
      <c r="AC151" s="562"/>
      <c r="AD151" s="562"/>
      <c r="AE151" s="562"/>
      <c r="AF151" s="562"/>
      <c r="AG151" s="562"/>
      <c r="AH151" s="562"/>
      <c r="AI151" s="562"/>
      <c r="AJ151" s="562"/>
      <c r="AK151" s="562"/>
      <c r="AL151" s="562"/>
      <c r="AM151" s="562"/>
      <c r="AN151" s="562"/>
      <c r="AO151" s="562"/>
      <c r="AP151" s="562"/>
      <c r="AQ151" s="562"/>
      <c r="AR151" s="562"/>
      <c r="AS151" s="562"/>
      <c r="AT151" s="562"/>
      <c r="AU151" s="562"/>
      <c r="AV151" s="562"/>
      <c r="AW151" s="562"/>
      <c r="AX151" s="562"/>
      <c r="AY151" s="562"/>
    </row>
    <row r="152" spans="1:51" x14ac:dyDescent="0.2">
      <c r="B152" s="48" t="s">
        <v>2505</v>
      </c>
      <c r="C152" s="14"/>
      <c r="D152" s="14"/>
      <c r="E152" s="14" t="s">
        <v>2183</v>
      </c>
      <c r="F152" s="14"/>
      <c r="G152" s="14"/>
      <c r="H152" s="441"/>
      <c r="I152" s="40"/>
      <c r="J152" s="98"/>
      <c r="K152" s="65"/>
      <c r="L152" s="791"/>
      <c r="M152" s="800"/>
      <c r="N152" s="98"/>
      <c r="O152" s="793"/>
      <c r="P152" s="562"/>
      <c r="Q152" s="562"/>
      <c r="R152" s="562"/>
      <c r="S152" s="562"/>
      <c r="T152" s="562"/>
      <c r="U152" s="562"/>
      <c r="V152" s="562"/>
      <c r="W152" s="562"/>
      <c r="X152" s="787"/>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c r="AT152" s="562"/>
      <c r="AU152" s="562"/>
      <c r="AV152" s="562"/>
      <c r="AW152" s="562"/>
      <c r="AX152" s="562"/>
      <c r="AY152" s="562"/>
    </row>
    <row r="153" spans="1:51" x14ac:dyDescent="0.2">
      <c r="B153" s="48" t="s">
        <v>2505</v>
      </c>
      <c r="C153" s="14"/>
      <c r="D153" s="14"/>
      <c r="E153" s="14" t="s">
        <v>2183</v>
      </c>
      <c r="F153" s="14"/>
      <c r="G153" s="14"/>
      <c r="H153" s="441"/>
      <c r="I153" s="40"/>
      <c r="J153" s="165"/>
      <c r="K153" s="126"/>
      <c r="L153" s="792"/>
      <c r="M153" s="801"/>
      <c r="N153" s="165"/>
      <c r="O153" s="794"/>
      <c r="P153" s="562"/>
      <c r="Q153" s="562"/>
      <c r="R153" s="562"/>
      <c r="S153" s="562"/>
      <c r="T153" s="562"/>
      <c r="U153" s="562"/>
      <c r="V153" s="562"/>
      <c r="W153" s="562"/>
      <c r="X153" s="787"/>
      <c r="Y153" s="562"/>
      <c r="Z153" s="562"/>
      <c r="AA153" s="562"/>
      <c r="AB153" s="562"/>
      <c r="AC153" s="562"/>
      <c r="AD153" s="562"/>
      <c r="AE153" s="562"/>
      <c r="AF153" s="562"/>
      <c r="AG153" s="562"/>
      <c r="AH153" s="562"/>
      <c r="AI153" s="562"/>
      <c r="AJ153" s="562"/>
      <c r="AK153" s="562"/>
      <c r="AL153" s="562"/>
      <c r="AM153" s="562"/>
      <c r="AN153" s="562"/>
      <c r="AO153" s="562"/>
      <c r="AP153" s="562"/>
      <c r="AQ153" s="562"/>
      <c r="AR153" s="562"/>
      <c r="AS153" s="562"/>
      <c r="AT153" s="562"/>
      <c r="AU153" s="562"/>
      <c r="AV153" s="562"/>
      <c r="AW153" s="562"/>
      <c r="AX153" s="562"/>
      <c r="AY153" s="562"/>
    </row>
    <row r="154" spans="1:51" s="100" customFormat="1" x14ac:dyDescent="0.2">
      <c r="A154" s="13"/>
      <c r="B154" s="48" t="s">
        <v>2505</v>
      </c>
      <c r="C154" s="14"/>
      <c r="D154" s="14"/>
      <c r="E154" s="14" t="s">
        <v>2185</v>
      </c>
      <c r="F154" s="14"/>
      <c r="G154" s="14"/>
      <c r="H154" s="441"/>
      <c r="I154" s="40"/>
      <c r="J154" s="20" t="s">
        <v>2185</v>
      </c>
      <c r="K154" s="53"/>
      <c r="L154" s="817" t="s">
        <v>2510</v>
      </c>
      <c r="M154" s="814">
        <v>6</v>
      </c>
      <c r="N154" s="3"/>
      <c r="O154" s="795">
        <f ca="1">M154*S154*W154</f>
        <v>0</v>
      </c>
      <c r="P154" s="562" t="b">
        <v>1</v>
      </c>
      <c r="Q154" s="562" t="b">
        <v>1</v>
      </c>
      <c r="R154" s="562" t="b">
        <v>0</v>
      </c>
      <c r="S154" s="562" t="b">
        <f ca="1">IF(IFERROR(MATCH(W137,INDIRECT(U137),0),0)=4,TRUE,FALSE)</f>
        <v>0</v>
      </c>
      <c r="T154" s="64" t="b">
        <f ca="1">AND(NOT(S154),W154=TRUE)</f>
        <v>0</v>
      </c>
      <c r="U154" s="562"/>
      <c r="V154" s="562"/>
      <c r="W154" s="18"/>
      <c r="X154" s="787"/>
      <c r="Y154" s="562"/>
      <c r="Z154" s="562"/>
      <c r="AA154" s="562"/>
      <c r="AB154" s="562"/>
      <c r="AC154" s="562" t="b">
        <f ca="1">OR(AD154:AE154)</f>
        <v>0</v>
      </c>
      <c r="AD154" s="562" t="b">
        <f ca="1">T154</f>
        <v>0</v>
      </c>
      <c r="AE154" s="562" t="b">
        <v>0</v>
      </c>
      <c r="AF154" s="562"/>
      <c r="AG154" s="562"/>
      <c r="AH154" s="562"/>
      <c r="AI154" s="562"/>
      <c r="AJ154" s="562"/>
      <c r="AK154" s="562"/>
      <c r="AL154" s="190" t="str">
        <f>SUBSTITUTE(SUBSTITUTE(SUBSTITUTE("dpa"&amp;$B154&amp;$C154&amp;$D154&amp;$E154&amp;$F154,".","_"),"(","_"),")","")</f>
        <v>dpa602_1_6_3</v>
      </c>
      <c r="AM154" s="190">
        <f>M154</f>
        <v>6</v>
      </c>
      <c r="AN154" s="190" t="str">
        <f>SUBSTITUTE(SUBSTITUTE(SUBSTITUTE("dpc"&amp;$B154&amp;$C154&amp;$D154&amp;$E154&amp;$F154,".","_"),"(","_"),")","")</f>
        <v>dpc602_1_6_3</v>
      </c>
      <c r="AO154" s="190">
        <f ca="1">O154</f>
        <v>0</v>
      </c>
      <c r="AP154" s="190" t="str">
        <f t="shared" ref="AP154" si="40">SUBSTITUTE(SUBSTITUTE(SUBSTITUTE("dch"&amp;$B154&amp;$C154&amp;$D154&amp;$E154&amp;$F154,".","_"),"(","_"),")","")</f>
        <v>dch602_1_6_3</v>
      </c>
      <c r="AQ154" s="190">
        <f>W154</f>
        <v>0</v>
      </c>
      <c r="AR154" s="562"/>
      <c r="AS154" s="562"/>
      <c r="AT154" s="562"/>
      <c r="AU154" s="562"/>
      <c r="AV154" s="562"/>
      <c r="AW154" s="562"/>
      <c r="AX154" s="562"/>
      <c r="AY154" s="562"/>
    </row>
    <row r="155" spans="1:51" x14ac:dyDescent="0.2">
      <c r="B155" s="48" t="s">
        <v>2505</v>
      </c>
      <c r="C155" s="14"/>
      <c r="D155" s="14"/>
      <c r="E155" s="14" t="s">
        <v>2185</v>
      </c>
      <c r="F155" s="14"/>
      <c r="G155" s="14"/>
      <c r="H155" s="441"/>
      <c r="I155" s="40"/>
      <c r="J155" s="3"/>
      <c r="K155" s="53"/>
      <c r="L155" s="817"/>
      <c r="M155" s="814"/>
      <c r="N155" s="3"/>
      <c r="O155" s="795"/>
      <c r="P155" s="562"/>
      <c r="Q155" s="562"/>
      <c r="R155" s="562"/>
      <c r="S155" s="562"/>
      <c r="T155" s="562"/>
      <c r="U155" s="562"/>
      <c r="V155" s="562"/>
      <c r="W155" s="562"/>
      <c r="X155" s="787"/>
      <c r="Y155" s="562"/>
      <c r="Z155" s="562"/>
      <c r="AA155" s="562"/>
      <c r="AB155" s="562"/>
      <c r="AC155" s="562"/>
      <c r="AD155" s="562"/>
      <c r="AE155" s="562"/>
      <c r="AF155" s="562"/>
      <c r="AG155" s="562"/>
      <c r="AH155" s="562"/>
      <c r="AI155" s="562"/>
      <c r="AJ155" s="562"/>
      <c r="AK155" s="562"/>
      <c r="AL155" s="562"/>
      <c r="AM155" s="562"/>
      <c r="AN155" s="562"/>
      <c r="AO155" s="562"/>
      <c r="AP155" s="562"/>
      <c r="AQ155" s="562"/>
      <c r="AR155" s="562"/>
      <c r="AS155" s="562"/>
      <c r="AT155" s="562"/>
      <c r="AU155" s="562"/>
      <c r="AV155" s="562"/>
      <c r="AW155" s="562"/>
      <c r="AX155" s="562"/>
      <c r="AY155" s="562"/>
    </row>
    <row r="156" spans="1:51" ht="16" thickBot="1" x14ac:dyDescent="0.25">
      <c r="B156" s="48" t="s">
        <v>2505</v>
      </c>
      <c r="C156" s="14"/>
      <c r="D156" s="14"/>
      <c r="E156" s="14" t="s">
        <v>2185</v>
      </c>
      <c r="F156" s="14"/>
      <c r="G156" s="14"/>
      <c r="H156" s="441"/>
      <c r="I156" s="40"/>
      <c r="J156" s="3"/>
      <c r="K156" s="53"/>
      <c r="L156" s="817"/>
      <c r="M156" s="814"/>
      <c r="N156" s="3"/>
      <c r="O156" s="795"/>
      <c r="P156" s="562"/>
      <c r="Q156" s="562"/>
      <c r="R156" s="562"/>
      <c r="S156" s="562"/>
      <c r="T156" s="562"/>
      <c r="U156" s="562"/>
      <c r="V156" s="562"/>
      <c r="W156" s="562"/>
      <c r="X156" s="825"/>
      <c r="Y156" s="562"/>
      <c r="Z156" s="562"/>
      <c r="AA156" s="562"/>
      <c r="AB156" s="562"/>
      <c r="AC156" s="562"/>
      <c r="AD156" s="562"/>
      <c r="AE156" s="562"/>
      <c r="AF156" s="562"/>
      <c r="AG156" s="562"/>
      <c r="AH156" s="562"/>
      <c r="AI156" s="562"/>
      <c r="AJ156" s="562"/>
      <c r="AK156" s="562"/>
      <c r="AL156" s="562"/>
      <c r="AM156" s="562"/>
      <c r="AN156" s="562"/>
      <c r="AO156" s="562"/>
      <c r="AP156" s="562"/>
      <c r="AQ156" s="562"/>
      <c r="AR156" s="562"/>
      <c r="AS156" s="562"/>
      <c r="AT156" s="562"/>
      <c r="AU156" s="562"/>
      <c r="AV156" s="562"/>
      <c r="AW156" s="562"/>
      <c r="AX156" s="562"/>
      <c r="AY156" s="562"/>
    </row>
    <row r="157" spans="1:51" ht="16" thickTop="1" x14ac:dyDescent="0.2">
      <c r="B157" s="48" t="s">
        <v>2511</v>
      </c>
      <c r="C157" s="14"/>
      <c r="D157" s="14"/>
      <c r="E157" s="14"/>
      <c r="F157" s="14"/>
      <c r="G157" s="14"/>
      <c r="H157" s="441"/>
      <c r="I157" s="131" t="s">
        <v>2512</v>
      </c>
      <c r="J157" s="132"/>
      <c r="K157" s="133"/>
      <c r="L157" s="646" t="s">
        <v>2513</v>
      </c>
      <c r="M157" s="625"/>
      <c r="N157" s="132"/>
      <c r="O157" s="623"/>
      <c r="P157" s="74"/>
      <c r="Q157" s="74"/>
      <c r="R157" s="74"/>
      <c r="S157" s="74"/>
      <c r="T157" s="74"/>
      <c r="U157" s="74"/>
      <c r="V157" s="74"/>
      <c r="W157" s="74"/>
      <c r="X157" s="74"/>
      <c r="Y157" s="562"/>
      <c r="Z157" s="562"/>
      <c r="AA157" s="562"/>
      <c r="AB157" s="562"/>
      <c r="AC157" s="562"/>
      <c r="AD157" s="562"/>
      <c r="AE157" s="562"/>
      <c r="AF157" s="562"/>
      <c r="AG157" s="562"/>
      <c r="AH157" s="562"/>
      <c r="AI157" s="562"/>
      <c r="AJ157" s="562"/>
      <c r="AK157" s="562"/>
      <c r="AL157" s="562"/>
      <c r="AM157" s="562"/>
      <c r="AN157" s="562"/>
      <c r="AO157" s="562"/>
      <c r="AP157" s="562"/>
      <c r="AQ157" s="562"/>
      <c r="AR157" s="562"/>
      <c r="AS157" s="562"/>
      <c r="AT157" s="562"/>
      <c r="AU157" s="562"/>
      <c r="AV157" s="562"/>
      <c r="AW157" s="562"/>
      <c r="AX157" s="562"/>
      <c r="AY157" s="562"/>
    </row>
    <row r="158" spans="1:51" x14ac:dyDescent="0.2">
      <c r="B158" s="358" t="s">
        <v>2514</v>
      </c>
      <c r="C158" s="358"/>
      <c r="D158" s="14"/>
      <c r="E158" s="14"/>
      <c r="F158" s="14"/>
      <c r="G158" s="14"/>
      <c r="H158" s="441"/>
      <c r="I158" s="40" t="s">
        <v>2515</v>
      </c>
      <c r="J158" s="3"/>
      <c r="K158" s="53"/>
      <c r="L158" s="654" t="s">
        <v>2516</v>
      </c>
      <c r="M158" s="616"/>
      <c r="N158" s="3"/>
      <c r="O158" s="609"/>
      <c r="P158" s="562"/>
      <c r="Q158" s="562"/>
      <c r="R158" s="562"/>
      <c r="S158" s="562"/>
      <c r="T158" s="562"/>
      <c r="U158" s="562"/>
      <c r="V158" s="562"/>
      <c r="W158" s="562"/>
      <c r="X158" s="562"/>
      <c r="Y158" s="562"/>
      <c r="Z158" s="562"/>
      <c r="AA158" s="562"/>
      <c r="AB158" s="562"/>
      <c r="AC158" s="562"/>
      <c r="AD158" s="562"/>
      <c r="AE158" s="562"/>
      <c r="AF158" s="562"/>
      <c r="AG158" s="562"/>
      <c r="AH158" s="562"/>
      <c r="AI158" s="562"/>
      <c r="AJ158" s="562"/>
      <c r="AK158" s="562"/>
      <c r="AL158" s="562"/>
      <c r="AM158" s="562"/>
      <c r="AN158" s="562"/>
      <c r="AO158" s="562"/>
      <c r="AP158" s="562"/>
      <c r="AQ158" s="562"/>
      <c r="AR158" s="562"/>
      <c r="AS158" s="562"/>
      <c r="AT158" s="562"/>
      <c r="AU158" s="562"/>
      <c r="AV158" s="562"/>
      <c r="AW158" s="562"/>
      <c r="AX158" s="562"/>
      <c r="AY158" s="562"/>
    </row>
    <row r="159" spans="1:51" x14ac:dyDescent="0.2">
      <c r="B159" s="358" t="s">
        <v>2514</v>
      </c>
      <c r="C159" s="358"/>
      <c r="D159" s="14"/>
      <c r="E159" s="14" t="s">
        <v>2181</v>
      </c>
      <c r="F159" s="14"/>
      <c r="G159" s="14"/>
      <c r="H159" s="441"/>
      <c r="I159" s="40"/>
      <c r="J159" s="134" t="s">
        <v>2181</v>
      </c>
      <c r="K159" s="65"/>
      <c r="L159" s="791" t="s">
        <v>2517</v>
      </c>
      <c r="M159" s="800">
        <v>2</v>
      </c>
      <c r="N159" s="98"/>
      <c r="O159" s="793">
        <f>M159*S159*W159</f>
        <v>0</v>
      </c>
      <c r="P159" s="562" t="b">
        <v>1</v>
      </c>
      <c r="Q159" s="562" t="b">
        <v>0</v>
      </c>
      <c r="R159" s="562" t="b">
        <v>0</v>
      </c>
      <c r="S159" s="562" t="b">
        <v>1</v>
      </c>
      <c r="T159" s="562" t="b">
        <v>0</v>
      </c>
      <c r="U159" s="562"/>
      <c r="V159" s="562"/>
      <c r="W159" s="18"/>
      <c r="X159" s="787"/>
      <c r="Y159" s="562"/>
      <c r="Z159" s="562"/>
      <c r="AA159" s="562"/>
      <c r="AB159" s="562"/>
      <c r="AC159" s="562"/>
      <c r="AD159" s="562"/>
      <c r="AE159" s="562"/>
      <c r="AF159" s="562"/>
      <c r="AG159" s="562"/>
      <c r="AH159" s="562"/>
      <c r="AI159" s="562"/>
      <c r="AJ159" s="562"/>
      <c r="AK159" s="562"/>
      <c r="AL159" s="190" t="str">
        <f>SUBSTITUTE(SUBSTITUTE(SUBSTITUTE("dpa"&amp;$B159&amp;$C159&amp;$D159&amp;$E159&amp;$F159,".","_"),"(","_"),")","")</f>
        <v>dpa602_1_7_1_1</v>
      </c>
      <c r="AM159" s="190">
        <f>M159</f>
        <v>2</v>
      </c>
      <c r="AN159" s="190" t="str">
        <f>SUBSTITUTE(SUBSTITUTE(SUBSTITUTE("dpc"&amp;$B159&amp;$C159&amp;$D159&amp;$E159&amp;$F159,".","_"),"(","_"),")","")</f>
        <v>dpc602_1_7_1_1</v>
      </c>
      <c r="AO159" s="190">
        <f>O159</f>
        <v>0</v>
      </c>
      <c r="AP159" s="190" t="str">
        <f t="shared" ref="AP159" si="41">SUBSTITUTE(SUBSTITUTE(SUBSTITUTE("dch"&amp;$B159&amp;$C159&amp;$D159&amp;$E159&amp;$F159,".","_"),"(","_"),")","")</f>
        <v>dch602_1_7_1_1</v>
      </c>
      <c r="AQ159" s="190">
        <f>W159</f>
        <v>0</v>
      </c>
      <c r="AR159" s="562" t="str">
        <f>SUBSTITUTE(SUBSTITUTE(SUBSTITUTE("dnt"&amp;$B159&amp;$C159&amp;$D159&amp;$E159&amp;$F159,".","_"),"(","_"),")","")</f>
        <v>dnt602_1_7_1_1</v>
      </c>
      <c r="AS159" s="190">
        <f>X159</f>
        <v>0</v>
      </c>
      <c r="AT159" s="562"/>
      <c r="AU159" s="562"/>
      <c r="AV159" s="562"/>
      <c r="AW159" s="562"/>
      <c r="AX159" s="562"/>
      <c r="AY159" s="562"/>
    </row>
    <row r="160" spans="1:51" x14ac:dyDescent="0.2">
      <c r="B160" s="358" t="s">
        <v>2514</v>
      </c>
      <c r="C160" s="358"/>
      <c r="D160" s="14"/>
      <c r="E160" s="14" t="s">
        <v>2181</v>
      </c>
      <c r="F160" s="14"/>
      <c r="G160" s="14"/>
      <c r="H160" s="441"/>
      <c r="I160" s="40"/>
      <c r="J160" s="165"/>
      <c r="K160" s="126"/>
      <c r="L160" s="792"/>
      <c r="M160" s="801"/>
      <c r="N160" s="165"/>
      <c r="O160" s="794"/>
      <c r="P160" s="562"/>
      <c r="Q160" s="562"/>
      <c r="R160" s="562"/>
      <c r="S160" s="562"/>
      <c r="T160" s="562"/>
      <c r="U160" s="562"/>
      <c r="V160" s="562"/>
      <c r="W160" s="562"/>
      <c r="X160" s="787"/>
      <c r="Y160" s="562"/>
      <c r="Z160" s="562"/>
      <c r="AA160" s="562"/>
      <c r="AB160" s="562"/>
      <c r="AC160" s="562"/>
      <c r="AD160" s="562"/>
      <c r="AE160" s="562"/>
      <c r="AF160" s="562"/>
      <c r="AG160" s="562"/>
      <c r="AH160" s="562"/>
      <c r="AI160" s="562"/>
      <c r="AJ160" s="562"/>
      <c r="AK160" s="562"/>
      <c r="AL160" s="562"/>
      <c r="AM160" s="562"/>
      <c r="AN160" s="562"/>
      <c r="AO160" s="562"/>
      <c r="AP160" s="562"/>
      <c r="AQ160" s="562"/>
      <c r="AR160" s="562"/>
      <c r="AS160" s="562"/>
      <c r="AT160" s="562"/>
      <c r="AU160" s="562"/>
      <c r="AV160" s="562"/>
      <c r="AW160" s="562"/>
      <c r="AX160" s="562"/>
      <c r="AY160" s="562"/>
    </row>
    <row r="161" spans="1:51" x14ac:dyDescent="0.2">
      <c r="B161" s="358" t="s">
        <v>2514</v>
      </c>
      <c r="C161" s="358"/>
      <c r="D161" s="14"/>
      <c r="E161" s="14" t="s">
        <v>2183</v>
      </c>
      <c r="F161" s="14"/>
      <c r="G161" s="14"/>
      <c r="H161" s="441"/>
      <c r="I161" s="40"/>
      <c r="J161" s="134" t="s">
        <v>2183</v>
      </c>
      <c r="K161" s="65"/>
      <c r="L161" s="791" t="s">
        <v>2518</v>
      </c>
      <c r="M161" s="829" t="str">
        <f>IF(R161,"Mandatory
2","N/A")</f>
        <v>Mandatory
2</v>
      </c>
      <c r="N161" s="98"/>
      <c r="O161" s="793">
        <f>IF(AND(S161,W161="Met"),2,0)</f>
        <v>0</v>
      </c>
      <c r="P161" s="562" t="b">
        <v>1</v>
      </c>
      <c r="Q161" s="562" t="b">
        <v>0</v>
      </c>
      <c r="R161" s="562" t="b">
        <f>S161</f>
        <v>1</v>
      </c>
      <c r="S161" s="562" t="b">
        <v>1</v>
      </c>
      <c r="T161" s="562" t="b">
        <v>0</v>
      </c>
      <c r="U161" s="64" t="str">
        <f>SUBSTITUTE(SUBSTITUTE(SUBSTITUTE("dd"&amp;B161&amp;C161&amp;D161&amp;E161&amp;F161,".","_"),"(","_"),")","")</f>
        <v>dd602_1_7_1_2</v>
      </c>
      <c r="V161" s="562"/>
      <c r="W161" s="6"/>
      <c r="X161" s="787"/>
      <c r="Y161" s="562"/>
      <c r="Z161" s="562"/>
      <c r="AA161" s="562"/>
      <c r="AB161" s="562"/>
      <c r="AC161" s="562" t="b">
        <f>OR(AD161:AE161)</f>
        <v>1</v>
      </c>
      <c r="AD161" s="562" t="b">
        <f>T161</f>
        <v>0</v>
      </c>
      <c r="AE161" s="562" t="b">
        <f>OR(AND(R161,NOT(W161="Met"),NOT(W161="N/A")),AND(W161="N/A",ISBLANK(X161)))</f>
        <v>1</v>
      </c>
      <c r="AF161" s="562"/>
      <c r="AG161" s="562"/>
      <c r="AH161" s="562"/>
      <c r="AI161" s="562"/>
      <c r="AJ161" s="562"/>
      <c r="AK161" s="562"/>
      <c r="AL161" s="190" t="str">
        <f>SUBSTITUTE(SUBSTITUTE(SUBSTITUTE("dpa"&amp;$B161&amp;$C161&amp;$D161&amp;$E161&amp;$F161,".","_"),"(","_"),")","")</f>
        <v>dpa602_1_7_1_2</v>
      </c>
      <c r="AM161" s="190" t="str">
        <f>M161</f>
        <v>Mandatory
2</v>
      </c>
      <c r="AN161" s="190" t="str">
        <f>SUBSTITUTE(SUBSTITUTE(SUBSTITUTE("dpc"&amp;$B161&amp;$C161&amp;$D161&amp;$E161&amp;$F161,".","_"),"(","_"),")","")</f>
        <v>dpc602_1_7_1_2</v>
      </c>
      <c r="AO161" s="190">
        <f>O161</f>
        <v>0</v>
      </c>
      <c r="AP161" s="190" t="str">
        <f t="shared" ref="AP161" si="42">SUBSTITUTE(SUBSTITUTE(SUBSTITUTE("dch"&amp;$B161&amp;$C161&amp;$D161&amp;$E161&amp;$F161,".","_"),"(","_"),")","")</f>
        <v>dch602_1_7_1_2</v>
      </c>
      <c r="AQ161" s="190">
        <f>W161</f>
        <v>0</v>
      </c>
      <c r="AR161" s="562" t="str">
        <f>SUBSTITUTE(SUBSTITUTE(SUBSTITUTE("dnt"&amp;$B161&amp;$C161&amp;$D161&amp;$E161&amp;$F161,".","_"),"(","_"),")","")</f>
        <v>dnt602_1_7_1_2</v>
      </c>
      <c r="AS161" s="190">
        <f>X161</f>
        <v>0</v>
      </c>
      <c r="AT161" s="562"/>
      <c r="AU161" s="562"/>
      <c r="AV161" s="562"/>
      <c r="AW161" s="562"/>
      <c r="AX161" s="562"/>
      <c r="AY161" s="562"/>
    </row>
    <row r="162" spans="1:51" x14ac:dyDescent="0.2">
      <c r="B162" s="358" t="s">
        <v>2514</v>
      </c>
      <c r="C162" s="358"/>
      <c r="D162" s="14"/>
      <c r="E162" s="14" t="s">
        <v>2183</v>
      </c>
      <c r="F162" s="14"/>
      <c r="G162" s="14"/>
      <c r="H162" s="441"/>
      <c r="I162" s="40"/>
      <c r="J162" s="98"/>
      <c r="K162" s="65"/>
      <c r="L162" s="791"/>
      <c r="M162" s="829"/>
      <c r="N162" s="98"/>
      <c r="O162" s="793"/>
      <c r="P162" s="562"/>
      <c r="Q162" s="562"/>
      <c r="R162" s="562"/>
      <c r="S162" s="562"/>
      <c r="T162" s="562"/>
      <c r="U162" s="562"/>
      <c r="V162" s="562"/>
      <c r="W162" s="562"/>
      <c r="X162" s="787"/>
      <c r="Y162" s="562"/>
      <c r="Z162" s="562"/>
      <c r="AA162" s="562"/>
      <c r="AB162" s="562"/>
      <c r="AC162" s="562"/>
      <c r="AD162" s="562"/>
      <c r="AE162" s="562"/>
      <c r="AF162" s="562"/>
      <c r="AG162" s="562"/>
      <c r="AH162" s="562"/>
      <c r="AI162" s="562"/>
      <c r="AJ162" s="562"/>
      <c r="AK162" s="562"/>
      <c r="AL162" s="562"/>
      <c r="AM162" s="562"/>
      <c r="AN162" s="562"/>
      <c r="AO162" s="562"/>
      <c r="AP162" s="562"/>
      <c r="AQ162" s="562"/>
      <c r="AR162" s="562"/>
      <c r="AS162" s="562"/>
      <c r="AT162" s="562"/>
      <c r="AU162" s="562"/>
      <c r="AV162" s="562"/>
      <c r="AW162" s="562"/>
      <c r="AX162" s="562"/>
      <c r="AY162" s="562"/>
    </row>
    <row r="163" spans="1:51" x14ac:dyDescent="0.2">
      <c r="B163" s="358" t="s">
        <v>2514</v>
      </c>
      <c r="C163" s="358"/>
      <c r="D163" s="14"/>
      <c r="E163" s="14" t="s">
        <v>2183</v>
      </c>
      <c r="F163" s="14"/>
      <c r="G163" s="14"/>
      <c r="H163" s="441"/>
      <c r="I163" s="40"/>
      <c r="J163" s="165"/>
      <c r="K163" s="126"/>
      <c r="L163" s="634" t="s">
        <v>2519</v>
      </c>
      <c r="M163" s="830"/>
      <c r="N163" s="165"/>
      <c r="O163" s="794"/>
      <c r="P163" s="562"/>
      <c r="Q163" s="562"/>
      <c r="R163" s="562"/>
      <c r="S163" s="562"/>
      <c r="T163" s="562"/>
      <c r="U163" s="562"/>
      <c r="V163" s="562"/>
      <c r="W163" s="562"/>
      <c r="X163" s="787"/>
      <c r="Y163" s="562"/>
      <c r="Z163" s="562"/>
      <c r="AA163" s="562"/>
      <c r="AB163" s="562"/>
      <c r="AC163" s="562"/>
      <c r="AD163" s="562"/>
      <c r="AE163" s="562"/>
      <c r="AF163" s="562"/>
      <c r="AG163" s="562"/>
      <c r="AH163" s="562"/>
      <c r="AI163" s="562"/>
      <c r="AJ163" s="562"/>
      <c r="AK163" s="562"/>
      <c r="AL163" s="562"/>
      <c r="AM163" s="562"/>
      <c r="AN163" s="562"/>
      <c r="AO163" s="562"/>
      <c r="AP163" s="562"/>
      <c r="AQ163" s="562"/>
      <c r="AR163" s="562"/>
      <c r="AS163" s="562"/>
      <c r="AT163" s="562"/>
      <c r="AU163" s="562"/>
      <c r="AV163" s="562"/>
      <c r="AW163" s="562"/>
      <c r="AX163" s="562"/>
      <c r="AY163" s="562"/>
    </row>
    <row r="164" spans="1:51" s="100" customFormat="1" x14ac:dyDescent="0.2">
      <c r="A164" s="13"/>
      <c r="B164" s="358" t="s">
        <v>2514</v>
      </c>
      <c r="C164" s="358"/>
      <c r="D164" s="14"/>
      <c r="E164" s="14" t="s">
        <v>2185</v>
      </c>
      <c r="F164" s="14"/>
      <c r="G164" s="14"/>
      <c r="H164" s="441"/>
      <c r="I164" s="99"/>
      <c r="J164" s="134" t="s">
        <v>2185</v>
      </c>
      <c r="K164" s="65"/>
      <c r="L164" s="791" t="s">
        <v>2520</v>
      </c>
      <c r="M164" s="836">
        <v>4</v>
      </c>
      <c r="N164" s="98"/>
      <c r="O164" s="793">
        <f>M164*S164*W164</f>
        <v>0</v>
      </c>
      <c r="P164" s="562" t="b">
        <v>1</v>
      </c>
      <c r="Q164" s="562" t="b">
        <v>0</v>
      </c>
      <c r="R164" s="562" t="b">
        <v>0</v>
      </c>
      <c r="S164" s="562" t="b">
        <v>1</v>
      </c>
      <c r="T164" s="562" t="b">
        <v>0</v>
      </c>
      <c r="U164" s="562"/>
      <c r="V164" s="562"/>
      <c r="W164" s="18"/>
      <c r="X164" s="787"/>
      <c r="Y164" s="562"/>
      <c r="Z164" s="562"/>
      <c r="AA164" s="562"/>
      <c r="AB164" s="562"/>
      <c r="AC164" s="562"/>
      <c r="AD164" s="562"/>
      <c r="AE164" s="562"/>
      <c r="AF164" s="562"/>
      <c r="AG164" s="562"/>
      <c r="AH164" s="562"/>
      <c r="AI164" s="562"/>
      <c r="AJ164" s="562"/>
      <c r="AK164" s="562"/>
      <c r="AL164" s="190" t="str">
        <f>SUBSTITUTE(SUBSTITUTE(SUBSTITUTE("dpa"&amp;$B164&amp;$C164&amp;$D164&amp;$E164&amp;$F164,".","_"),"(","_"),")","")</f>
        <v>dpa602_1_7_1_3</v>
      </c>
      <c r="AM164" s="190">
        <f>M164</f>
        <v>4</v>
      </c>
      <c r="AN164" s="190" t="str">
        <f>SUBSTITUTE(SUBSTITUTE(SUBSTITUTE("dpc"&amp;$B164&amp;$C164&amp;$D164&amp;$E164&amp;$F164,".","_"),"(","_"),")","")</f>
        <v>dpc602_1_7_1_3</v>
      </c>
      <c r="AO164" s="190">
        <f>O164</f>
        <v>0</v>
      </c>
      <c r="AP164" s="190" t="str">
        <f t="shared" ref="AP164" si="43">SUBSTITUTE(SUBSTITUTE(SUBSTITUTE("dch"&amp;$B164&amp;$C164&amp;$D164&amp;$E164&amp;$F164,".","_"),"(","_"),")","")</f>
        <v>dch602_1_7_1_3</v>
      </c>
      <c r="AQ164" s="190">
        <f>W164</f>
        <v>0</v>
      </c>
      <c r="AR164" s="562" t="str">
        <f>SUBSTITUTE(SUBSTITUTE(SUBSTITUTE("dnt"&amp;$B164&amp;$C164&amp;$D164&amp;$E164&amp;$F164,".","_"),"(","_"),")","")</f>
        <v>dnt602_1_7_1_3</v>
      </c>
      <c r="AS164" s="190">
        <f>X164</f>
        <v>0</v>
      </c>
      <c r="AT164" s="562"/>
      <c r="AU164" s="562"/>
      <c r="AV164" s="562"/>
      <c r="AW164" s="562"/>
      <c r="AX164" s="562"/>
      <c r="AY164" s="562"/>
    </row>
    <row r="165" spans="1:51" x14ac:dyDescent="0.2">
      <c r="B165" s="358" t="s">
        <v>2514</v>
      </c>
      <c r="C165" s="358"/>
      <c r="D165" s="14"/>
      <c r="E165" s="14" t="s">
        <v>2185</v>
      </c>
      <c r="F165" s="14"/>
      <c r="G165" s="14"/>
      <c r="H165" s="441"/>
      <c r="I165" s="170"/>
      <c r="J165" s="165"/>
      <c r="K165" s="126"/>
      <c r="L165" s="792"/>
      <c r="M165" s="856"/>
      <c r="N165" s="165"/>
      <c r="O165" s="794"/>
      <c r="P165" s="562"/>
      <c r="Q165" s="562"/>
      <c r="R165" s="562"/>
      <c r="S165" s="562"/>
      <c r="T165" s="562"/>
      <c r="U165" s="562"/>
      <c r="V165" s="562"/>
      <c r="W165" s="562"/>
      <c r="X165" s="787"/>
      <c r="Y165" s="562"/>
      <c r="Z165" s="562"/>
      <c r="AA165" s="562"/>
      <c r="AB165" s="562"/>
      <c r="AC165" s="562"/>
      <c r="AD165" s="562"/>
      <c r="AE165" s="562"/>
      <c r="AF165" s="562"/>
      <c r="AG165" s="562"/>
      <c r="AH165" s="562"/>
      <c r="AI165" s="562"/>
      <c r="AJ165" s="562"/>
      <c r="AK165" s="562"/>
      <c r="AL165" s="562"/>
      <c r="AM165" s="562"/>
      <c r="AN165" s="562"/>
      <c r="AO165" s="562"/>
      <c r="AP165" s="562"/>
      <c r="AQ165" s="562"/>
      <c r="AR165" s="562"/>
      <c r="AS165" s="562"/>
      <c r="AT165" s="562"/>
      <c r="AU165" s="562"/>
      <c r="AV165" s="562"/>
      <c r="AW165" s="562"/>
      <c r="AX165" s="562"/>
      <c r="AY165" s="562"/>
    </row>
    <row r="166" spans="1:51" x14ac:dyDescent="0.2">
      <c r="B166" s="358" t="s">
        <v>2521</v>
      </c>
      <c r="C166" s="358"/>
      <c r="D166" s="14"/>
      <c r="E166" s="14"/>
      <c r="F166" s="14"/>
      <c r="G166" s="14"/>
      <c r="H166" s="441"/>
      <c r="I166" s="145" t="s">
        <v>2522</v>
      </c>
      <c r="J166" s="146"/>
      <c r="K166" s="147"/>
      <c r="L166" s="847" t="s">
        <v>2523</v>
      </c>
      <c r="M166" s="824">
        <v>2</v>
      </c>
      <c r="N166" s="146"/>
      <c r="O166" s="815">
        <f>M166*S166*W166</f>
        <v>0</v>
      </c>
      <c r="P166" s="562" t="b">
        <v>1</v>
      </c>
      <c r="Q166" s="562" t="b">
        <v>1</v>
      </c>
      <c r="R166" s="562" t="b">
        <v>0</v>
      </c>
      <c r="S166" s="562" t="b">
        <v>1</v>
      </c>
      <c r="T166" s="562" t="b">
        <v>0</v>
      </c>
      <c r="U166" s="562"/>
      <c r="V166" s="562"/>
      <c r="W166" s="18"/>
      <c r="X166" s="787"/>
      <c r="Y166" s="562"/>
      <c r="Z166" s="562"/>
      <c r="AA166" s="562"/>
      <c r="AB166" s="562"/>
      <c r="AC166" s="562"/>
      <c r="AD166" s="562"/>
      <c r="AE166" s="562"/>
      <c r="AF166" s="562"/>
      <c r="AG166" s="562"/>
      <c r="AH166" s="562"/>
      <c r="AI166" s="562"/>
      <c r="AJ166" s="562"/>
      <c r="AK166" s="562"/>
      <c r="AL166" s="190" t="str">
        <f>SUBSTITUTE(SUBSTITUTE(SUBSTITUTE("dpa"&amp;$B166&amp;$C166&amp;$D166&amp;$E166&amp;$F166,".","_"),"(","_"),")","")</f>
        <v>dpa602_1_7_2</v>
      </c>
      <c r="AM166" s="190">
        <f>M166</f>
        <v>2</v>
      </c>
      <c r="AN166" s="190" t="str">
        <f>SUBSTITUTE(SUBSTITUTE(SUBSTITUTE("dpc"&amp;$B166&amp;$C166&amp;$D166&amp;$E166&amp;$F166,".","_"),"(","_"),")","")</f>
        <v>dpc602_1_7_2</v>
      </c>
      <c r="AO166" s="190">
        <f>O166</f>
        <v>0</v>
      </c>
      <c r="AP166" s="190" t="str">
        <f t="shared" ref="AP166" si="44">SUBSTITUTE(SUBSTITUTE(SUBSTITUTE("dch"&amp;$B166&amp;$C166&amp;$D166&amp;$E166&amp;$F166,".","_"),"(","_"),")","")</f>
        <v>dch602_1_7_2</v>
      </c>
      <c r="AQ166" s="190">
        <f>W166</f>
        <v>0</v>
      </c>
      <c r="AR166" s="562" t="str">
        <f>SUBSTITUTE(SUBSTITUTE(SUBSTITUTE("dnt"&amp;$B166&amp;$C166&amp;$D166&amp;$E166&amp;$F166,".","_"),"(","_"),")","")</f>
        <v>dnt602_1_7_2</v>
      </c>
      <c r="AS166" s="190">
        <f>X166</f>
        <v>0</v>
      </c>
      <c r="AT166" s="562"/>
      <c r="AU166" s="562"/>
      <c r="AV166" s="562"/>
      <c r="AW166" s="562"/>
      <c r="AX166" s="562"/>
      <c r="AY166" s="562"/>
    </row>
    <row r="167" spans="1:51" ht="15" customHeight="1" x14ac:dyDescent="0.2">
      <c r="B167" s="48" t="s">
        <v>2521</v>
      </c>
      <c r="C167" s="48"/>
      <c r="D167" s="14"/>
      <c r="E167" s="14"/>
      <c r="F167" s="14"/>
      <c r="G167" s="14"/>
      <c r="H167" s="441"/>
      <c r="I167" s="170"/>
      <c r="J167" s="165"/>
      <c r="K167" s="126"/>
      <c r="L167" s="832"/>
      <c r="M167" s="801"/>
      <c r="N167" s="165"/>
      <c r="O167" s="794"/>
      <c r="P167" s="562"/>
      <c r="Q167" s="562"/>
      <c r="R167" s="562"/>
      <c r="S167" s="562"/>
      <c r="T167" s="562"/>
      <c r="U167" s="562"/>
      <c r="V167" s="562"/>
      <c r="W167" s="562"/>
      <c r="X167" s="787"/>
      <c r="Y167" s="562"/>
      <c r="Z167" s="562"/>
      <c r="AA167" s="562"/>
      <c r="AB167" s="562"/>
      <c r="AC167" s="562"/>
      <c r="AD167" s="562"/>
      <c r="AE167" s="562"/>
      <c r="AF167" s="562"/>
      <c r="AG167" s="562"/>
      <c r="AH167" s="562"/>
      <c r="AI167" s="562"/>
      <c r="AJ167" s="562"/>
      <c r="AK167" s="562"/>
      <c r="AL167" s="562"/>
      <c r="AM167" s="562"/>
      <c r="AN167" s="562"/>
      <c r="AO167" s="562"/>
      <c r="AP167" s="562"/>
      <c r="AQ167" s="562"/>
      <c r="AR167" s="562"/>
      <c r="AS167" s="562"/>
      <c r="AT167" s="562"/>
      <c r="AU167" s="562"/>
      <c r="AV167" s="562"/>
      <c r="AW167" s="562"/>
      <c r="AX167" s="562"/>
      <c r="AY167" s="562"/>
    </row>
    <row r="168" spans="1:51" x14ac:dyDescent="0.2">
      <c r="B168" s="48" t="s">
        <v>2524</v>
      </c>
      <c r="C168" s="48"/>
      <c r="D168" s="14"/>
      <c r="E168" s="14"/>
      <c r="F168" s="14"/>
      <c r="G168" s="14"/>
      <c r="H168" s="441"/>
      <c r="I168" s="40" t="s">
        <v>2525</v>
      </c>
      <c r="J168" s="3"/>
      <c r="K168" s="53"/>
      <c r="L168" s="775" t="s">
        <v>2526</v>
      </c>
      <c r="M168" s="814">
        <v>4</v>
      </c>
      <c r="N168" s="3"/>
      <c r="O168" s="795">
        <f>M168*S168*W168</f>
        <v>0</v>
      </c>
      <c r="P168" s="562" t="b">
        <v>1</v>
      </c>
      <c r="Q168" s="562" t="b">
        <v>0</v>
      </c>
      <c r="R168" s="562" t="b">
        <v>0</v>
      </c>
      <c r="S168" s="562" t="b">
        <v>1</v>
      </c>
      <c r="T168" s="562" t="b">
        <v>0</v>
      </c>
      <c r="U168" s="562"/>
      <c r="V168" s="562"/>
      <c r="W168" s="18"/>
      <c r="X168" s="787"/>
      <c r="Y168" s="562"/>
      <c r="Z168" s="562"/>
      <c r="AA168" s="562"/>
      <c r="AB168" s="562"/>
      <c r="AC168" s="562"/>
      <c r="AD168" s="562"/>
      <c r="AE168" s="562"/>
      <c r="AF168" s="562"/>
      <c r="AG168" s="562"/>
      <c r="AH168" s="562"/>
      <c r="AI168" s="562"/>
      <c r="AJ168" s="562"/>
      <c r="AK168" s="562"/>
      <c r="AL168" s="190" t="str">
        <f>SUBSTITUTE(SUBSTITUTE(SUBSTITUTE("dpa"&amp;$B168&amp;$C168&amp;$D168&amp;$E168&amp;$F168,".","_"),"(","_"),")","")</f>
        <v>dpa602_1_7_3</v>
      </c>
      <c r="AM168" s="190">
        <f>M168</f>
        <v>4</v>
      </c>
      <c r="AN168" s="190" t="str">
        <f>SUBSTITUTE(SUBSTITUTE(SUBSTITUTE("dpc"&amp;$B168&amp;$C168&amp;$D168&amp;$E168&amp;$F168,".","_"),"(","_"),")","")</f>
        <v>dpc602_1_7_3</v>
      </c>
      <c r="AO168" s="190">
        <f>O168</f>
        <v>0</v>
      </c>
      <c r="AP168" s="190" t="str">
        <f t="shared" ref="AP168" si="45">SUBSTITUTE(SUBSTITUTE(SUBSTITUTE("dch"&amp;$B168&amp;$C168&amp;$D168&amp;$E168&amp;$F168,".","_"),"(","_"),")","")</f>
        <v>dch602_1_7_3</v>
      </c>
      <c r="AQ168" s="190">
        <f>W168</f>
        <v>0</v>
      </c>
      <c r="AR168" s="562" t="str">
        <f>SUBSTITUTE(SUBSTITUTE(SUBSTITUTE("dnt"&amp;$B168&amp;$C168&amp;$D168&amp;$E168&amp;$F168,".","_"),"(","_"),")","")</f>
        <v>dnt602_1_7_3</v>
      </c>
      <c r="AS168" s="190">
        <f>X168</f>
        <v>0</v>
      </c>
      <c r="AT168" s="562"/>
      <c r="AU168" s="562"/>
      <c r="AV168" s="562"/>
      <c r="AW168" s="562"/>
      <c r="AX168" s="562"/>
      <c r="AY168" s="562"/>
    </row>
    <row r="169" spans="1:51" x14ac:dyDescent="0.2">
      <c r="B169" s="48" t="s">
        <v>2524</v>
      </c>
      <c r="C169" s="48"/>
      <c r="D169" s="14"/>
      <c r="E169" s="14"/>
      <c r="F169" s="14"/>
      <c r="G169" s="14"/>
      <c r="H169" s="441"/>
      <c r="I169" s="40"/>
      <c r="J169" s="3"/>
      <c r="K169" s="53"/>
      <c r="L169" s="775"/>
      <c r="M169" s="814"/>
      <c r="N169" s="3"/>
      <c r="O169" s="795"/>
      <c r="P169" s="562"/>
      <c r="Q169" s="562"/>
      <c r="R169" s="562"/>
      <c r="S169" s="562"/>
      <c r="T169" s="562"/>
      <c r="U169" s="562"/>
      <c r="V169" s="562"/>
      <c r="W169" s="562"/>
      <c r="X169" s="787"/>
      <c r="Y169" s="562"/>
      <c r="Z169" s="562"/>
      <c r="AA169" s="562"/>
      <c r="AB169" s="562"/>
      <c r="AC169" s="562"/>
      <c r="AD169" s="562"/>
      <c r="AE169" s="562"/>
      <c r="AF169" s="562"/>
      <c r="AG169" s="562"/>
      <c r="AH169" s="562"/>
      <c r="AI169" s="562"/>
      <c r="AJ169" s="562"/>
      <c r="AK169" s="562"/>
      <c r="AL169" s="562"/>
      <c r="AM169" s="562"/>
      <c r="AN169" s="562"/>
      <c r="AO169" s="562"/>
      <c r="AP169" s="562"/>
      <c r="AQ169" s="562"/>
      <c r="AR169" s="562"/>
      <c r="AS169" s="562"/>
      <c r="AT169" s="562"/>
      <c r="AU169" s="562"/>
      <c r="AV169" s="562"/>
      <c r="AW169" s="562"/>
      <c r="AX169" s="562"/>
      <c r="AY169" s="562"/>
    </row>
    <row r="170" spans="1:51" x14ac:dyDescent="0.2">
      <c r="B170" s="48" t="s">
        <v>2524</v>
      </c>
      <c r="C170" s="48"/>
      <c r="D170" s="14"/>
      <c r="E170" s="14"/>
      <c r="F170" s="14"/>
      <c r="G170" s="14"/>
      <c r="H170" s="441"/>
      <c r="I170" s="40"/>
      <c r="J170" s="3"/>
      <c r="K170" s="53"/>
      <c r="L170" s="775"/>
      <c r="M170" s="814"/>
      <c r="N170" s="3"/>
      <c r="O170" s="795"/>
      <c r="P170" s="562"/>
      <c r="Q170" s="562"/>
      <c r="R170" s="562"/>
      <c r="S170" s="562"/>
      <c r="T170" s="562"/>
      <c r="U170" s="562"/>
      <c r="V170" s="562"/>
      <c r="W170" s="562"/>
      <c r="X170" s="787"/>
      <c r="Y170" s="562"/>
      <c r="Z170" s="562"/>
      <c r="AA170" s="562"/>
      <c r="AB170" s="562"/>
      <c r="AC170" s="562"/>
      <c r="AD170" s="562"/>
      <c r="AE170" s="562"/>
      <c r="AF170" s="562"/>
      <c r="AG170" s="562"/>
      <c r="AH170" s="562"/>
      <c r="AI170" s="562"/>
      <c r="AJ170" s="562"/>
      <c r="AK170" s="562"/>
      <c r="AL170" s="562"/>
      <c r="AM170" s="562"/>
      <c r="AN170" s="562"/>
      <c r="AO170" s="562"/>
      <c r="AP170" s="562"/>
      <c r="AQ170" s="562"/>
      <c r="AR170" s="562"/>
      <c r="AS170" s="562"/>
      <c r="AT170" s="562"/>
      <c r="AU170" s="562"/>
      <c r="AV170" s="562"/>
      <c r="AW170" s="562"/>
      <c r="AX170" s="562"/>
      <c r="AY170" s="562"/>
    </row>
    <row r="171" spans="1:51" ht="16" thickBot="1" x14ac:dyDescent="0.25">
      <c r="B171" s="48" t="s">
        <v>2524</v>
      </c>
      <c r="C171" s="48"/>
      <c r="D171" s="14"/>
      <c r="E171" s="14"/>
      <c r="F171" s="14"/>
      <c r="G171" s="14"/>
      <c r="H171" s="441"/>
      <c r="I171" s="40"/>
      <c r="J171" s="3"/>
      <c r="K171" s="53"/>
      <c r="L171" s="775"/>
      <c r="M171" s="814"/>
      <c r="N171" s="3"/>
      <c r="O171" s="795"/>
      <c r="P171" s="562"/>
      <c r="Q171" s="562"/>
      <c r="R171" s="562"/>
      <c r="S171" s="562"/>
      <c r="T171" s="562"/>
      <c r="U171" s="562"/>
      <c r="V171" s="562"/>
      <c r="W171" s="81"/>
      <c r="X171" s="825"/>
      <c r="Y171" s="562"/>
      <c r="Z171" s="562"/>
      <c r="AA171" s="562"/>
      <c r="AB171" s="562"/>
      <c r="AC171" s="562"/>
      <c r="AD171" s="562"/>
      <c r="AE171" s="562"/>
      <c r="AF171" s="562"/>
      <c r="AG171" s="562"/>
      <c r="AH171" s="562"/>
      <c r="AI171" s="562"/>
      <c r="AJ171" s="562"/>
      <c r="AK171" s="562"/>
      <c r="AL171" s="562"/>
      <c r="AM171" s="562"/>
      <c r="AN171" s="562"/>
      <c r="AO171" s="562"/>
      <c r="AP171" s="562"/>
      <c r="AQ171" s="562"/>
      <c r="AR171" s="562"/>
      <c r="AS171" s="562"/>
      <c r="AT171" s="562"/>
      <c r="AU171" s="562"/>
      <c r="AV171" s="562"/>
      <c r="AW171" s="562"/>
      <c r="AX171" s="562"/>
      <c r="AY171" s="562"/>
    </row>
    <row r="172" spans="1:51" ht="16" thickTop="1" x14ac:dyDescent="0.2">
      <c r="B172" s="48" t="s">
        <v>2527</v>
      </c>
      <c r="C172" s="14"/>
      <c r="D172" s="14"/>
      <c r="E172" s="14"/>
      <c r="F172" s="14"/>
      <c r="G172" s="14"/>
      <c r="H172" s="441"/>
      <c r="I172" s="131" t="s">
        <v>2528</v>
      </c>
      <c r="J172" s="132"/>
      <c r="K172" s="133"/>
      <c r="L172" s="819" t="s">
        <v>2529</v>
      </c>
      <c r="M172" s="843" t="str">
        <f>IF(R172,"Mandatory","N/A")</f>
        <v>Mandatory</v>
      </c>
      <c r="N172" s="132"/>
      <c r="O172" s="623"/>
      <c r="P172" s="562" t="b">
        <v>1</v>
      </c>
      <c r="Q172" s="562" t="b">
        <v>0</v>
      </c>
      <c r="R172" s="74" t="b">
        <f>S172</f>
        <v>1</v>
      </c>
      <c r="S172" s="74" t="b">
        <v>1</v>
      </c>
      <c r="T172" s="74" t="b">
        <v>0</v>
      </c>
      <c r="U172" s="74" t="str">
        <f>SUBSTITUTE(SUBSTITUTE(SUBSTITUTE("dd"&amp;B172&amp;C172&amp;D172&amp;E172&amp;F172,".","_"),"(","_"),")","")</f>
        <v>dd602_1_8</v>
      </c>
      <c r="V172" s="74"/>
      <c r="W172" s="192"/>
      <c r="X172" s="802"/>
      <c r="Y172" s="562"/>
      <c r="Z172" s="562"/>
      <c r="AA172" s="562"/>
      <c r="AB172" s="562"/>
      <c r="AC172" s="562" t="b">
        <f>OR(AD172:AE172)</f>
        <v>1</v>
      </c>
      <c r="AD172" s="562" t="b">
        <f>T172</f>
        <v>0</v>
      </c>
      <c r="AE172" s="562" t="b">
        <f>OR(AND(R172,NOT(W172="Met"),NOT(W172="N/A")),AND(W172="N/A",ISBLANK(X172)))</f>
        <v>1</v>
      </c>
      <c r="AF172" s="562"/>
      <c r="AG172" s="562"/>
      <c r="AH172" s="562"/>
      <c r="AI172" s="562"/>
      <c r="AJ172" s="562"/>
      <c r="AK172" s="562"/>
      <c r="AL172" s="190" t="str">
        <f>SUBSTITUTE(SUBSTITUTE(SUBSTITUTE("dpa"&amp;$B172&amp;$C172&amp;$D172&amp;$E172&amp;$F172,".","_"),"(","_"),")","")</f>
        <v>dpa602_1_8</v>
      </c>
      <c r="AM172" s="190" t="str">
        <f>M172</f>
        <v>Mandatory</v>
      </c>
      <c r="AN172" s="562"/>
      <c r="AO172" s="562"/>
      <c r="AP172" s="190" t="str">
        <f t="shared" ref="AP172" si="46">SUBSTITUTE(SUBSTITUTE(SUBSTITUTE("dch"&amp;$B172&amp;$C172&amp;$D172&amp;$E172&amp;$F172,".","_"),"(","_"),")","")</f>
        <v>dch602_1_8</v>
      </c>
      <c r="AQ172" s="190">
        <f>W172</f>
        <v>0</v>
      </c>
      <c r="AR172" s="562" t="str">
        <f>SUBSTITUTE(SUBSTITUTE(SUBSTITUTE("dnt"&amp;$B172&amp;$C172&amp;$D172&amp;$E172&amp;$F172,".","_"),"(","_"),")","")</f>
        <v>dnt602_1_8</v>
      </c>
      <c r="AS172" s="190">
        <f>X172</f>
        <v>0</v>
      </c>
      <c r="AT172" s="562"/>
      <c r="AU172" s="562"/>
      <c r="AV172" s="562"/>
      <c r="AW172" s="562"/>
      <c r="AX172" s="562"/>
      <c r="AY172" s="562"/>
    </row>
    <row r="173" spans="1:51" s="498" customFormat="1" x14ac:dyDescent="0.2">
      <c r="A173" s="13"/>
      <c r="B173" s="48" t="s">
        <v>2527</v>
      </c>
      <c r="C173" s="14"/>
      <c r="D173" s="14"/>
      <c r="E173" s="14"/>
      <c r="F173" s="14"/>
      <c r="G173" s="14"/>
      <c r="H173" s="441"/>
      <c r="I173" s="99"/>
      <c r="J173" s="98"/>
      <c r="K173" s="65"/>
      <c r="L173" s="820"/>
      <c r="M173" s="838"/>
      <c r="N173" s="98"/>
      <c r="O173" s="607"/>
      <c r="P173" s="562"/>
      <c r="Q173" s="562"/>
      <c r="R173" s="64"/>
      <c r="S173" s="64"/>
      <c r="T173" s="64"/>
      <c r="U173" s="64"/>
      <c r="V173" s="64"/>
      <c r="W173" s="562"/>
      <c r="X173" s="786"/>
      <c r="Y173" s="562"/>
      <c r="Z173" s="562"/>
      <c r="AA173" s="562"/>
      <c r="AB173" s="562"/>
      <c r="AC173" s="562"/>
      <c r="AD173" s="562"/>
      <c r="AE173" s="562"/>
      <c r="AF173" s="562"/>
      <c r="AG173" s="562"/>
      <c r="AH173" s="562"/>
      <c r="AI173" s="562"/>
      <c r="AJ173" s="562"/>
      <c r="AK173" s="562"/>
      <c r="AL173" s="190"/>
      <c r="AM173" s="190"/>
      <c r="AN173" s="562"/>
      <c r="AO173" s="562"/>
      <c r="AP173" s="190"/>
      <c r="AQ173" s="190"/>
      <c r="AR173" s="562"/>
      <c r="AS173" s="190"/>
      <c r="AT173" s="562"/>
      <c r="AU173" s="562"/>
      <c r="AV173" s="562"/>
      <c r="AW173" s="562"/>
      <c r="AX173" s="562"/>
      <c r="AY173" s="562"/>
    </row>
    <row r="174" spans="1:51" x14ac:dyDescent="0.2">
      <c r="B174" s="48" t="s">
        <v>2527</v>
      </c>
      <c r="C174" s="14"/>
      <c r="D174" s="14"/>
      <c r="E174" s="14"/>
      <c r="F174" s="14"/>
      <c r="G174" s="14"/>
      <c r="H174" s="441"/>
      <c r="I174" s="99"/>
      <c r="J174" s="98"/>
      <c r="K174" s="65"/>
      <c r="L174" s="820"/>
      <c r="M174" s="838"/>
      <c r="N174" s="98"/>
      <c r="O174" s="607"/>
      <c r="P174" s="64"/>
      <c r="Q174" s="64"/>
      <c r="R174" s="64"/>
      <c r="S174" s="64"/>
      <c r="T174" s="64"/>
      <c r="U174" s="64"/>
      <c r="V174" s="64"/>
      <c r="W174" s="64"/>
      <c r="X174" s="798"/>
      <c r="Y174" s="562"/>
      <c r="Z174" s="562"/>
      <c r="AA174" s="562"/>
      <c r="AB174" s="562"/>
      <c r="AC174" s="562"/>
      <c r="AD174" s="562"/>
      <c r="AE174" s="562"/>
      <c r="AF174" s="562"/>
      <c r="AG174" s="562"/>
      <c r="AH174" s="562"/>
      <c r="AI174" s="562"/>
      <c r="AJ174" s="562"/>
      <c r="AK174" s="562"/>
      <c r="AL174" s="562"/>
      <c r="AM174" s="562"/>
      <c r="AN174" s="562"/>
      <c r="AO174" s="562"/>
      <c r="AP174" s="562"/>
      <c r="AQ174" s="562"/>
      <c r="AR174" s="562"/>
      <c r="AS174" s="562"/>
      <c r="AT174" s="562"/>
      <c r="AU174" s="562"/>
      <c r="AV174" s="562"/>
      <c r="AW174" s="562"/>
      <c r="AX174" s="562"/>
      <c r="AY174" s="562"/>
    </row>
    <row r="175" spans="1:51" ht="16" thickBot="1" x14ac:dyDescent="0.25">
      <c r="B175" s="48" t="s">
        <v>2527</v>
      </c>
      <c r="C175" s="14"/>
      <c r="D175" s="14"/>
      <c r="E175" s="14"/>
      <c r="F175" s="14"/>
      <c r="G175" s="14"/>
      <c r="H175" s="441"/>
      <c r="I175" s="99"/>
      <c r="J175" s="98"/>
      <c r="K175" s="65"/>
      <c r="L175" s="629" t="s">
        <v>2519</v>
      </c>
      <c r="M175" s="838"/>
      <c r="N175" s="98"/>
      <c r="O175" s="607"/>
      <c r="P175" s="64"/>
      <c r="Q175" s="64"/>
      <c r="R175" s="64"/>
      <c r="S175" s="64"/>
      <c r="T175" s="64"/>
      <c r="U175" s="64"/>
      <c r="V175" s="64"/>
      <c r="W175" s="64"/>
      <c r="X175" s="825"/>
      <c r="Y175" s="562"/>
      <c r="Z175" s="562"/>
      <c r="AA175" s="562"/>
      <c r="AB175" s="562"/>
      <c r="AC175" s="562"/>
      <c r="AD175" s="562"/>
      <c r="AE175" s="562"/>
      <c r="AF175" s="562"/>
      <c r="AG175" s="562"/>
      <c r="AH175" s="562"/>
      <c r="AI175" s="562"/>
      <c r="AJ175" s="562"/>
      <c r="AK175" s="562"/>
      <c r="AL175" s="562"/>
      <c r="AM175" s="562"/>
      <c r="AN175" s="562"/>
      <c r="AO175" s="562"/>
      <c r="AP175" s="562"/>
      <c r="AQ175" s="562"/>
      <c r="AR175" s="562"/>
      <c r="AS175" s="562"/>
      <c r="AT175" s="562"/>
      <c r="AU175" s="562"/>
      <c r="AV175" s="562"/>
      <c r="AW175" s="562"/>
      <c r="AX175" s="562"/>
      <c r="AY175" s="562"/>
    </row>
    <row r="176" spans="1:51" s="108" customFormat="1" ht="16" thickTop="1" x14ac:dyDescent="0.2">
      <c r="A176" s="13"/>
      <c r="B176" s="48" t="s">
        <v>2530</v>
      </c>
      <c r="C176" s="14"/>
      <c r="D176" s="14"/>
      <c r="E176" s="14"/>
      <c r="F176" s="14"/>
      <c r="G176" s="14"/>
      <c r="H176" s="441"/>
      <c r="I176" s="131" t="s">
        <v>2531</v>
      </c>
      <c r="J176" s="132"/>
      <c r="K176" s="133"/>
      <c r="L176" s="819" t="s">
        <v>2532</v>
      </c>
      <c r="M176" s="625"/>
      <c r="N176" s="132"/>
      <c r="O176" s="623"/>
      <c r="P176" s="74"/>
      <c r="Q176" s="74"/>
      <c r="R176" s="74"/>
      <c r="S176" s="74"/>
      <c r="T176" s="74"/>
      <c r="U176" s="74"/>
      <c r="V176" s="74"/>
      <c r="W176" s="74"/>
      <c r="X176" s="74"/>
      <c r="Y176" s="562"/>
      <c r="Z176" s="562"/>
      <c r="AA176" s="562"/>
      <c r="AB176" s="562"/>
      <c r="AC176" s="562"/>
      <c r="AD176" s="562"/>
      <c r="AE176" s="562"/>
      <c r="AF176" s="562"/>
      <c r="AG176" s="562"/>
      <c r="AH176" s="562"/>
      <c r="AI176" s="562"/>
      <c r="AJ176" s="562"/>
      <c r="AK176" s="562"/>
      <c r="AL176" s="562"/>
      <c r="AM176" s="562"/>
      <c r="AN176" s="562"/>
      <c r="AO176" s="562"/>
      <c r="AP176" s="562"/>
      <c r="AQ176" s="562"/>
      <c r="AR176" s="562"/>
      <c r="AS176" s="562"/>
      <c r="AT176" s="562"/>
      <c r="AU176" s="562"/>
      <c r="AV176" s="562"/>
      <c r="AW176" s="562"/>
      <c r="AX176" s="562"/>
      <c r="AY176" s="562"/>
    </row>
    <row r="177" spans="1:45" x14ac:dyDescent="0.2">
      <c r="B177" s="48" t="s">
        <v>2530</v>
      </c>
      <c r="C177" s="14"/>
      <c r="D177" s="14"/>
      <c r="E177" s="14"/>
      <c r="F177" s="14"/>
      <c r="G177" s="14"/>
      <c r="H177" s="441"/>
      <c r="I177" s="99"/>
      <c r="J177" s="98"/>
      <c r="K177" s="65"/>
      <c r="L177" s="820"/>
      <c r="M177" s="610"/>
      <c r="N177" s="98"/>
      <c r="O177" s="607"/>
      <c r="P177" s="64"/>
      <c r="Q177" s="64"/>
      <c r="R177" s="64"/>
      <c r="S177" s="64"/>
      <c r="T177" s="64"/>
      <c r="U177" s="64"/>
      <c r="V177" s="64"/>
      <c r="W177" s="64"/>
      <c r="X177" s="64"/>
      <c r="Y177" s="562"/>
      <c r="Z177" s="562"/>
      <c r="AA177" s="562"/>
      <c r="AB177" s="562"/>
      <c r="AC177" s="562"/>
      <c r="AD177" s="562"/>
      <c r="AE177" s="562"/>
      <c r="AF177" s="562"/>
      <c r="AG177" s="562"/>
      <c r="AH177" s="562"/>
      <c r="AI177" s="562"/>
      <c r="AJ177" s="562"/>
      <c r="AK177" s="562"/>
      <c r="AL177" s="562"/>
      <c r="AM177" s="562"/>
      <c r="AN177" s="562"/>
      <c r="AO177" s="562"/>
      <c r="AP177" s="562"/>
      <c r="AQ177" s="562"/>
      <c r="AR177" s="562"/>
      <c r="AS177" s="562"/>
    </row>
    <row r="178" spans="1:45" x14ac:dyDescent="0.2">
      <c r="B178" s="48" t="s">
        <v>2530</v>
      </c>
      <c r="C178" s="14"/>
      <c r="D178" s="14"/>
      <c r="E178" s="14"/>
      <c r="F178" s="14"/>
      <c r="G178" s="14"/>
      <c r="H178" s="441"/>
      <c r="I178" s="99"/>
      <c r="J178" s="98"/>
      <c r="K178" s="65"/>
      <c r="L178" s="820"/>
      <c r="M178" s="610"/>
      <c r="N178" s="98"/>
      <c r="O178" s="607"/>
      <c r="P178" s="64"/>
      <c r="Q178" s="64"/>
      <c r="R178" s="64"/>
      <c r="S178" s="64"/>
      <c r="T178" s="64"/>
      <c r="U178" s="64"/>
      <c r="V178" s="64"/>
      <c r="W178" s="64"/>
      <c r="X178" s="64"/>
      <c r="Y178" s="562"/>
      <c r="Z178" s="562"/>
      <c r="AA178" s="562"/>
      <c r="AB178" s="562"/>
      <c r="AC178" s="562"/>
      <c r="AD178" s="562"/>
      <c r="AE178" s="562"/>
      <c r="AF178" s="562"/>
      <c r="AG178" s="562"/>
      <c r="AH178" s="562"/>
      <c r="AI178" s="562"/>
      <c r="AJ178" s="562"/>
      <c r="AK178" s="562"/>
      <c r="AL178" s="562"/>
      <c r="AM178" s="562"/>
      <c r="AN178" s="562"/>
      <c r="AO178" s="562"/>
      <c r="AP178" s="562"/>
      <c r="AQ178" s="562"/>
      <c r="AR178" s="562"/>
      <c r="AS178" s="562"/>
    </row>
    <row r="179" spans="1:45" x14ac:dyDescent="0.2">
      <c r="B179" s="48" t="s">
        <v>2530</v>
      </c>
      <c r="C179" s="14"/>
      <c r="D179" s="14"/>
      <c r="E179" s="14"/>
      <c r="F179" s="14"/>
      <c r="G179" s="14"/>
      <c r="H179" s="441"/>
      <c r="I179" s="99"/>
      <c r="J179" s="98"/>
      <c r="K179" s="65"/>
      <c r="L179" s="820"/>
      <c r="M179" s="610"/>
      <c r="N179" s="98"/>
      <c r="O179" s="607"/>
      <c r="P179" s="64"/>
      <c r="Q179" s="64"/>
      <c r="R179" s="64"/>
      <c r="S179" s="64"/>
      <c r="T179" s="64"/>
      <c r="U179" s="64"/>
      <c r="V179" s="64"/>
      <c r="W179" s="64"/>
      <c r="X179" s="64"/>
      <c r="Y179" s="562"/>
      <c r="Z179" s="562"/>
      <c r="AA179" s="562"/>
      <c r="AB179" s="562"/>
      <c r="AC179" s="562"/>
      <c r="AD179" s="562"/>
      <c r="AE179" s="562"/>
      <c r="AF179" s="562"/>
      <c r="AG179" s="562"/>
      <c r="AH179" s="562"/>
      <c r="AI179" s="562"/>
      <c r="AJ179" s="562"/>
      <c r="AK179" s="562"/>
      <c r="AL179" s="562"/>
      <c r="AM179" s="562"/>
      <c r="AN179" s="562"/>
      <c r="AO179" s="562"/>
      <c r="AP179" s="562"/>
      <c r="AQ179" s="562"/>
      <c r="AR179" s="562"/>
      <c r="AS179" s="562"/>
    </row>
    <row r="180" spans="1:45" x14ac:dyDescent="0.2">
      <c r="B180" s="48" t="s">
        <v>2530</v>
      </c>
      <c r="C180" s="14"/>
      <c r="D180" s="14"/>
      <c r="E180" s="14"/>
      <c r="F180" s="14"/>
      <c r="G180" s="14"/>
      <c r="H180" s="441"/>
      <c r="I180" s="99"/>
      <c r="J180" s="98"/>
      <c r="K180" s="65"/>
      <c r="L180" s="820"/>
      <c r="M180" s="610"/>
      <c r="N180" s="98"/>
      <c r="O180" s="607"/>
      <c r="P180" s="64"/>
      <c r="Q180" s="64"/>
      <c r="R180" s="64"/>
      <c r="S180" s="64"/>
      <c r="T180" s="64"/>
      <c r="U180" s="64"/>
      <c r="V180" s="64"/>
      <c r="W180" s="64"/>
      <c r="X180" s="64"/>
      <c r="Y180" s="562"/>
      <c r="Z180" s="562"/>
      <c r="AA180" s="562"/>
      <c r="AB180" s="562"/>
      <c r="AC180" s="562"/>
      <c r="AD180" s="562"/>
      <c r="AE180" s="562"/>
      <c r="AF180" s="562"/>
      <c r="AG180" s="562"/>
      <c r="AH180" s="562"/>
      <c r="AI180" s="562"/>
      <c r="AJ180" s="562"/>
      <c r="AK180" s="562"/>
      <c r="AL180" s="562"/>
      <c r="AM180" s="562"/>
      <c r="AN180" s="562"/>
      <c r="AO180" s="562"/>
      <c r="AP180" s="562"/>
      <c r="AQ180" s="562"/>
      <c r="AR180" s="562"/>
      <c r="AS180" s="562"/>
    </row>
    <row r="181" spans="1:45" s="484" customFormat="1" x14ac:dyDescent="0.2">
      <c r="A181" s="13"/>
      <c r="B181" s="48" t="s">
        <v>2530</v>
      </c>
      <c r="C181" s="14"/>
      <c r="D181" s="14"/>
      <c r="E181" s="14"/>
      <c r="F181" s="14"/>
      <c r="G181" s="14"/>
      <c r="H181" s="441"/>
      <c r="I181" s="99"/>
      <c r="J181" s="98"/>
      <c r="K181" s="65"/>
      <c r="L181" s="846" t="s">
        <v>2533</v>
      </c>
      <c r="M181" s="610"/>
      <c r="N181" s="98"/>
      <c r="O181" s="607"/>
      <c r="P181" s="64"/>
      <c r="Q181" s="64"/>
      <c r="R181" s="64"/>
      <c r="S181" s="64"/>
      <c r="T181" s="64"/>
      <c r="U181" s="64"/>
      <c r="V181" s="64"/>
      <c r="W181" s="64"/>
      <c r="X181" s="64"/>
      <c r="Y181" s="562"/>
      <c r="Z181" s="562"/>
      <c r="AA181" s="562"/>
      <c r="AB181" s="562"/>
      <c r="AC181" s="562"/>
      <c r="AD181" s="562"/>
      <c r="AE181" s="562"/>
      <c r="AF181" s="562"/>
      <c r="AG181" s="562"/>
      <c r="AH181" s="562"/>
      <c r="AI181" s="562"/>
      <c r="AJ181" s="562"/>
      <c r="AK181" s="562"/>
      <c r="AL181" s="562"/>
      <c r="AM181" s="562"/>
      <c r="AN181" s="562"/>
      <c r="AO181" s="562"/>
      <c r="AP181" s="562"/>
      <c r="AQ181" s="562"/>
      <c r="AR181" s="562"/>
      <c r="AS181" s="562"/>
    </row>
    <row r="182" spans="1:45" s="484" customFormat="1" x14ac:dyDescent="0.2">
      <c r="A182" s="13"/>
      <c r="B182" s="48" t="s">
        <v>2530</v>
      </c>
      <c r="C182" s="14"/>
      <c r="D182" s="14"/>
      <c r="E182" s="14"/>
      <c r="F182" s="14"/>
      <c r="G182" s="14"/>
      <c r="H182" s="441"/>
      <c r="I182" s="99"/>
      <c r="J182" s="98"/>
      <c r="K182" s="65"/>
      <c r="L182" s="846"/>
      <c r="M182" s="610"/>
      <c r="N182" s="98"/>
      <c r="O182" s="607"/>
      <c r="P182" s="64"/>
      <c r="Q182" s="64"/>
      <c r="R182" s="64"/>
      <c r="S182" s="64"/>
      <c r="T182" s="64"/>
      <c r="U182" s="64"/>
      <c r="V182" s="64"/>
      <c r="W182" s="64"/>
      <c r="X182" s="64"/>
      <c r="Y182" s="562"/>
      <c r="Z182" s="562"/>
      <c r="AA182" s="562"/>
      <c r="AB182" s="562"/>
      <c r="AC182" s="562"/>
      <c r="AD182" s="562"/>
      <c r="AE182" s="562"/>
      <c r="AF182" s="562"/>
      <c r="AG182" s="562"/>
      <c r="AH182" s="562"/>
      <c r="AI182" s="562"/>
      <c r="AJ182" s="562"/>
      <c r="AK182" s="562"/>
      <c r="AL182" s="562"/>
      <c r="AM182" s="562"/>
      <c r="AN182" s="562"/>
      <c r="AO182" s="562"/>
      <c r="AP182" s="562"/>
      <c r="AQ182" s="562"/>
      <c r="AR182" s="562"/>
      <c r="AS182" s="562"/>
    </row>
    <row r="183" spans="1:45" s="484" customFormat="1" x14ac:dyDescent="0.2">
      <c r="A183" s="13"/>
      <c r="B183" s="48" t="s">
        <v>2530</v>
      </c>
      <c r="C183" s="14"/>
      <c r="D183" s="14"/>
      <c r="E183" s="14"/>
      <c r="F183" s="14"/>
      <c r="G183" s="14"/>
      <c r="H183" s="441"/>
      <c r="I183" s="99"/>
      <c r="J183" s="98"/>
      <c r="K183" s="65"/>
      <c r="L183" s="846"/>
      <c r="M183" s="610"/>
      <c r="N183" s="98"/>
      <c r="O183" s="607"/>
      <c r="P183" s="64"/>
      <c r="Q183" s="64"/>
      <c r="R183" s="64"/>
      <c r="S183" s="64"/>
      <c r="T183" s="64"/>
      <c r="U183" s="64"/>
      <c r="V183" s="64"/>
      <c r="W183" s="64"/>
      <c r="X183" s="64"/>
      <c r="Y183" s="562"/>
      <c r="Z183" s="562"/>
      <c r="AA183" s="562"/>
      <c r="AB183" s="562"/>
      <c r="AC183" s="562"/>
      <c r="AD183" s="562"/>
      <c r="AE183" s="562"/>
      <c r="AF183" s="562"/>
      <c r="AG183" s="562"/>
      <c r="AH183" s="562"/>
      <c r="AI183" s="562"/>
      <c r="AJ183" s="562"/>
      <c r="AK183" s="562"/>
      <c r="AL183" s="562"/>
      <c r="AM183" s="562"/>
      <c r="AN183" s="562"/>
      <c r="AO183" s="562"/>
      <c r="AP183" s="562"/>
      <c r="AQ183" s="562"/>
      <c r="AR183" s="562"/>
      <c r="AS183" s="562"/>
    </row>
    <row r="184" spans="1:45" x14ac:dyDescent="0.2">
      <c r="B184" s="48" t="s">
        <v>2530</v>
      </c>
      <c r="C184" s="14"/>
      <c r="D184" s="14"/>
      <c r="E184" s="14" t="s">
        <v>2181</v>
      </c>
      <c r="F184" s="14"/>
      <c r="G184" s="14"/>
      <c r="H184" s="441"/>
      <c r="I184" s="40"/>
      <c r="J184" s="134" t="s">
        <v>2181</v>
      </c>
      <c r="K184" s="65"/>
      <c r="L184" s="598" t="s">
        <v>2534</v>
      </c>
      <c r="M184" s="838" t="str">
        <f>IF(R184,"Mandatory","N/A")</f>
        <v>Mandatory</v>
      </c>
      <c r="N184" s="3"/>
      <c r="O184" s="609"/>
      <c r="P184" s="562" t="b">
        <v>1</v>
      </c>
      <c r="Q184" s="562" t="b">
        <v>0</v>
      </c>
      <c r="R184" s="562" t="b">
        <f>S184</f>
        <v>1</v>
      </c>
      <c r="S184" s="562" t="b">
        <v>1</v>
      </c>
      <c r="T184" s="562" t="b">
        <v>0</v>
      </c>
      <c r="U184" s="64" t="str">
        <f>SUBSTITUTE(SUBSTITUTE(SUBSTITUTE("dd"&amp;B184&amp;C184&amp;D184&amp;E184&amp;F184,".","_"),"(","_"),")","")</f>
        <v>dd602_1_9_1</v>
      </c>
      <c r="V184" s="562"/>
      <c r="W184" s="6"/>
      <c r="X184" s="825"/>
      <c r="Y184" s="562"/>
      <c r="Z184" s="562"/>
      <c r="AA184" s="562"/>
      <c r="AB184" s="562"/>
      <c r="AC184" s="562" t="b">
        <f>OR(AD184:AE184)</f>
        <v>1</v>
      </c>
      <c r="AD184" s="562" t="b">
        <f>T184</f>
        <v>0</v>
      </c>
      <c r="AE184" s="562" t="b">
        <f>AND(R184,NOT(W184="Met"),NOT(W184="N/A"))</f>
        <v>1</v>
      </c>
      <c r="AF184" s="562"/>
      <c r="AG184" s="562"/>
      <c r="AH184" s="562"/>
      <c r="AI184" s="562"/>
      <c r="AJ184" s="562"/>
      <c r="AK184" s="562"/>
      <c r="AL184" s="190" t="str">
        <f>SUBSTITUTE(SUBSTITUTE(SUBSTITUTE("dpa"&amp;$B184&amp;$C184&amp;$D184&amp;$E184&amp;$F184,".","_"),"(","_"),")","")</f>
        <v>dpa602_1_9_1</v>
      </c>
      <c r="AM184" s="190" t="str">
        <f>M184</f>
        <v>Mandatory</v>
      </c>
      <c r="AN184" s="562"/>
      <c r="AO184" s="562"/>
      <c r="AP184" s="190" t="str">
        <f t="shared" ref="AP184" si="47">SUBSTITUTE(SUBSTITUTE(SUBSTITUTE("dch"&amp;$B184&amp;$C184&amp;$D184&amp;$E184&amp;$F184,".","_"),"(","_"),")","")</f>
        <v>dch602_1_9_1</v>
      </c>
      <c r="AQ184" s="190">
        <f>W184</f>
        <v>0</v>
      </c>
      <c r="AR184" s="562" t="str">
        <f>SUBSTITUTE(SUBSTITUTE(SUBSTITUTE("dnt"&amp;$B184&amp;$C184&amp;$D184&amp;$E184&amp;$F184,".","_"),"(","_"),")","")</f>
        <v>dnt602_1_9_1</v>
      </c>
      <c r="AS184" s="190">
        <f>X184</f>
        <v>0</v>
      </c>
    </row>
    <row r="185" spans="1:45" x14ac:dyDescent="0.2">
      <c r="B185" s="48" t="s">
        <v>2530</v>
      </c>
      <c r="C185" s="14"/>
      <c r="D185" s="14"/>
      <c r="E185" s="14" t="s">
        <v>2181</v>
      </c>
      <c r="F185" s="14" t="s">
        <v>2196</v>
      </c>
      <c r="G185" s="14"/>
      <c r="H185" s="441"/>
      <c r="I185" s="40"/>
      <c r="J185" s="98"/>
      <c r="K185" s="61" t="s">
        <v>2196</v>
      </c>
      <c r="L185" s="598" t="s">
        <v>2535</v>
      </c>
      <c r="M185" s="838"/>
      <c r="N185" s="3"/>
      <c r="O185" s="609"/>
      <c r="P185" s="562"/>
      <c r="Q185" s="562"/>
      <c r="R185" s="562"/>
      <c r="S185" s="562"/>
      <c r="T185" s="562"/>
      <c r="U185" s="562"/>
      <c r="V185" s="562"/>
      <c r="W185" s="562"/>
      <c r="X185" s="797"/>
      <c r="Y185" s="562"/>
      <c r="Z185" s="562"/>
      <c r="AA185" s="562"/>
      <c r="AB185" s="562"/>
      <c r="AC185" s="562"/>
      <c r="AD185" s="562"/>
      <c r="AE185" s="562"/>
      <c r="AF185" s="562"/>
      <c r="AG185" s="562"/>
      <c r="AH185" s="562"/>
      <c r="AI185" s="562"/>
      <c r="AJ185" s="562"/>
      <c r="AK185" s="562"/>
      <c r="AL185" s="562"/>
      <c r="AM185" s="562"/>
      <c r="AN185" s="562"/>
      <c r="AO185" s="562"/>
      <c r="AP185" s="562"/>
      <c r="AQ185" s="562"/>
      <c r="AR185" s="562"/>
      <c r="AS185" s="562"/>
    </row>
    <row r="186" spans="1:45" x14ac:dyDescent="0.2">
      <c r="B186" s="48" t="s">
        <v>2530</v>
      </c>
      <c r="C186" s="14"/>
      <c r="D186" s="14"/>
      <c r="E186" s="14" t="s">
        <v>2181</v>
      </c>
      <c r="F186" s="14" t="s">
        <v>2198</v>
      </c>
      <c r="G186" s="14"/>
      <c r="H186" s="441"/>
      <c r="I186" s="40"/>
      <c r="J186" s="98"/>
      <c r="K186" s="61" t="s">
        <v>2198</v>
      </c>
      <c r="L186" s="598" t="s">
        <v>2536</v>
      </c>
      <c r="M186" s="838"/>
      <c r="N186" s="3"/>
      <c r="O186" s="609"/>
      <c r="P186" s="562"/>
      <c r="Q186" s="562"/>
      <c r="R186" s="562"/>
      <c r="S186" s="562"/>
      <c r="T186" s="562"/>
      <c r="U186" s="562"/>
      <c r="V186" s="562"/>
      <c r="W186" s="562"/>
      <c r="X186" s="797"/>
      <c r="Y186" s="562"/>
      <c r="Z186" s="562"/>
      <c r="AA186" s="562"/>
      <c r="AB186" s="562"/>
      <c r="AC186" s="562"/>
      <c r="AD186" s="562"/>
      <c r="AE186" s="562"/>
      <c r="AF186" s="562"/>
      <c r="AG186" s="562"/>
      <c r="AH186" s="562"/>
      <c r="AI186" s="562"/>
      <c r="AJ186" s="562"/>
      <c r="AK186" s="562"/>
      <c r="AL186" s="562"/>
      <c r="AM186" s="562"/>
      <c r="AN186" s="562"/>
      <c r="AO186" s="562"/>
      <c r="AP186" s="562"/>
      <c r="AQ186" s="562"/>
      <c r="AR186" s="562"/>
      <c r="AS186" s="562"/>
    </row>
    <row r="187" spans="1:45" x14ac:dyDescent="0.2">
      <c r="B187" s="48" t="s">
        <v>2530</v>
      </c>
      <c r="C187" s="14"/>
      <c r="D187" s="14"/>
      <c r="E187" s="14" t="s">
        <v>2181</v>
      </c>
      <c r="F187" s="19" t="s">
        <v>2200</v>
      </c>
      <c r="G187" s="19"/>
      <c r="H187" s="442"/>
      <c r="I187" s="40"/>
      <c r="J187" s="98"/>
      <c r="K187" s="79" t="s">
        <v>2200</v>
      </c>
      <c r="L187" s="598" t="s">
        <v>2537</v>
      </c>
      <c r="M187" s="838"/>
      <c r="N187" s="3"/>
      <c r="O187" s="609"/>
      <c r="P187" s="562"/>
      <c r="Q187" s="562"/>
      <c r="R187" s="562"/>
      <c r="S187" s="562"/>
      <c r="T187" s="562"/>
      <c r="U187" s="562"/>
      <c r="V187" s="562"/>
      <c r="W187" s="562"/>
      <c r="X187" s="797"/>
      <c r="Y187" s="562"/>
      <c r="Z187" s="562"/>
      <c r="AA187" s="562"/>
      <c r="AB187" s="562"/>
      <c r="AC187" s="562"/>
      <c r="AD187" s="562"/>
      <c r="AE187" s="562"/>
      <c r="AF187" s="562"/>
      <c r="AG187" s="562"/>
      <c r="AH187" s="562"/>
      <c r="AI187" s="562"/>
      <c r="AJ187" s="562"/>
      <c r="AK187" s="562"/>
      <c r="AL187" s="562"/>
      <c r="AM187" s="562"/>
      <c r="AN187" s="562"/>
      <c r="AO187" s="562"/>
      <c r="AP187" s="562"/>
      <c r="AQ187" s="562"/>
      <c r="AR187" s="562"/>
      <c r="AS187" s="562"/>
    </row>
    <row r="188" spans="1:45" x14ac:dyDescent="0.2">
      <c r="B188" s="48" t="s">
        <v>2530</v>
      </c>
      <c r="C188" s="14"/>
      <c r="D188" s="14"/>
      <c r="E188" s="14" t="s">
        <v>2181</v>
      </c>
      <c r="F188" s="14" t="s">
        <v>2247</v>
      </c>
      <c r="G188" s="14"/>
      <c r="H188" s="441"/>
      <c r="I188" s="40"/>
      <c r="J188" s="98"/>
      <c r="K188" s="140" t="s">
        <v>2247</v>
      </c>
      <c r="L188" s="791" t="s">
        <v>2538</v>
      </c>
      <c r="M188" s="838"/>
      <c r="N188" s="3"/>
      <c r="O188" s="609"/>
      <c r="P188" s="562"/>
      <c r="Q188" s="562"/>
      <c r="R188" s="562"/>
      <c r="S188" s="562"/>
      <c r="T188" s="562"/>
      <c r="U188" s="562"/>
      <c r="V188" s="562"/>
      <c r="W188" s="562"/>
      <c r="X188" s="797"/>
      <c r="Y188" s="562"/>
      <c r="Z188" s="562"/>
      <c r="AA188" s="562"/>
      <c r="AB188" s="562"/>
      <c r="AC188" s="562"/>
      <c r="AD188" s="562"/>
      <c r="AE188" s="562"/>
      <c r="AF188" s="562"/>
      <c r="AG188" s="562"/>
      <c r="AH188" s="562"/>
      <c r="AI188" s="562"/>
      <c r="AJ188" s="562"/>
      <c r="AK188" s="562"/>
      <c r="AL188" s="562"/>
      <c r="AM188" s="562"/>
      <c r="AN188" s="562"/>
      <c r="AO188" s="562"/>
      <c r="AP188" s="562"/>
      <c r="AQ188" s="562"/>
      <c r="AR188" s="562"/>
      <c r="AS188" s="562"/>
    </row>
    <row r="189" spans="1:45" x14ac:dyDescent="0.2">
      <c r="B189" s="48" t="s">
        <v>2530</v>
      </c>
      <c r="C189" s="14"/>
      <c r="D189" s="14"/>
      <c r="E189" s="14" t="s">
        <v>2181</v>
      </c>
      <c r="F189" s="14" t="s">
        <v>2247</v>
      </c>
      <c r="G189" s="14"/>
      <c r="H189" s="441"/>
      <c r="I189" s="40"/>
      <c r="J189" s="98"/>
      <c r="K189" s="65"/>
      <c r="L189" s="791"/>
      <c r="M189" s="838"/>
      <c r="N189" s="3"/>
      <c r="O189" s="609"/>
      <c r="P189" s="562"/>
      <c r="Q189" s="562"/>
      <c r="R189" s="562"/>
      <c r="S189" s="562"/>
      <c r="T189" s="562"/>
      <c r="U189" s="562"/>
      <c r="V189" s="562"/>
      <c r="W189" s="562"/>
      <c r="X189" s="797"/>
      <c r="Y189" s="562"/>
      <c r="Z189" s="562"/>
      <c r="AA189" s="562"/>
      <c r="AB189" s="562"/>
      <c r="AC189" s="562"/>
      <c r="AD189" s="562"/>
      <c r="AE189" s="562"/>
      <c r="AF189" s="562"/>
      <c r="AG189" s="562"/>
      <c r="AH189" s="562"/>
      <c r="AI189" s="562"/>
      <c r="AJ189" s="562"/>
      <c r="AK189" s="562"/>
      <c r="AL189" s="562"/>
      <c r="AM189" s="562"/>
      <c r="AN189" s="562"/>
      <c r="AO189" s="562"/>
      <c r="AP189" s="562"/>
      <c r="AQ189" s="562"/>
      <c r="AR189" s="562"/>
      <c r="AS189" s="562"/>
    </row>
    <row r="190" spans="1:45" x14ac:dyDescent="0.2">
      <c r="B190" s="48" t="s">
        <v>2530</v>
      </c>
      <c r="C190" s="14"/>
      <c r="D190" s="14"/>
      <c r="E190" s="14" t="s">
        <v>2181</v>
      </c>
      <c r="F190" s="14" t="s">
        <v>2444</v>
      </c>
      <c r="G190" s="14"/>
      <c r="H190" s="441"/>
      <c r="I190" s="40"/>
      <c r="J190" s="98"/>
      <c r="K190" s="140" t="s">
        <v>2444</v>
      </c>
      <c r="L190" s="598" t="s">
        <v>2539</v>
      </c>
      <c r="M190" s="838"/>
      <c r="N190" s="3"/>
      <c r="O190" s="609"/>
      <c r="P190" s="562"/>
      <c r="Q190" s="562"/>
      <c r="R190" s="562"/>
      <c r="S190" s="562"/>
      <c r="T190" s="562"/>
      <c r="U190" s="562"/>
      <c r="V190" s="562"/>
      <c r="W190" s="562"/>
      <c r="X190" s="797"/>
      <c r="Y190" s="562"/>
      <c r="Z190" s="562"/>
      <c r="AA190" s="562"/>
      <c r="AB190" s="562"/>
      <c r="AC190" s="562"/>
      <c r="AD190" s="562"/>
      <c r="AE190" s="562"/>
      <c r="AF190" s="562"/>
      <c r="AG190" s="562"/>
      <c r="AH190" s="562"/>
      <c r="AI190" s="562"/>
      <c r="AJ190" s="562"/>
      <c r="AK190" s="562"/>
      <c r="AL190" s="562"/>
      <c r="AM190" s="562"/>
      <c r="AN190" s="562"/>
      <c r="AO190" s="562"/>
      <c r="AP190" s="562"/>
      <c r="AQ190" s="562"/>
      <c r="AR190" s="562"/>
      <c r="AS190" s="562"/>
    </row>
    <row r="191" spans="1:45" x14ac:dyDescent="0.2">
      <c r="B191" s="48" t="s">
        <v>2530</v>
      </c>
      <c r="C191" s="14"/>
      <c r="D191" s="14"/>
      <c r="E191" s="14" t="s">
        <v>2181</v>
      </c>
      <c r="F191" s="19" t="s">
        <v>2540</v>
      </c>
      <c r="G191" s="19"/>
      <c r="H191" s="442"/>
      <c r="I191" s="40"/>
      <c r="J191" s="98"/>
      <c r="K191" s="79" t="s">
        <v>2540</v>
      </c>
      <c r="L191" s="598" t="s">
        <v>2541</v>
      </c>
      <c r="M191" s="838"/>
      <c r="N191" s="3"/>
      <c r="O191" s="609"/>
      <c r="P191" s="562"/>
      <c r="Q191" s="562"/>
      <c r="R191" s="562"/>
      <c r="S191" s="562"/>
      <c r="T191" s="562"/>
      <c r="U191" s="562"/>
      <c r="V191" s="562"/>
      <c r="W191" s="562"/>
      <c r="X191" s="797"/>
      <c r="Y191" s="562"/>
      <c r="Z191" s="562"/>
      <c r="AA191" s="562"/>
      <c r="AB191" s="562"/>
      <c r="AC191" s="562"/>
      <c r="AD191" s="562"/>
      <c r="AE191" s="562"/>
      <c r="AF191" s="562"/>
      <c r="AG191" s="562"/>
      <c r="AH191" s="562"/>
      <c r="AI191" s="562"/>
      <c r="AJ191" s="562"/>
      <c r="AK191" s="562"/>
      <c r="AL191" s="562"/>
      <c r="AM191" s="562"/>
      <c r="AN191" s="562"/>
      <c r="AO191" s="562"/>
      <c r="AP191" s="562"/>
      <c r="AQ191" s="562"/>
      <c r="AR191" s="562"/>
      <c r="AS191" s="562"/>
    </row>
    <row r="192" spans="1:45" x14ac:dyDescent="0.2">
      <c r="B192" s="48" t="s">
        <v>2530</v>
      </c>
      <c r="C192" s="14"/>
      <c r="D192" s="14"/>
      <c r="E192" s="14" t="s">
        <v>2181</v>
      </c>
      <c r="F192" s="14" t="s">
        <v>2542</v>
      </c>
      <c r="G192" s="14"/>
      <c r="H192" s="441"/>
      <c r="I192" s="40"/>
      <c r="J192" s="98"/>
      <c r="K192" s="140" t="s">
        <v>2542</v>
      </c>
      <c r="L192" s="598" t="s">
        <v>2543</v>
      </c>
      <c r="M192" s="838"/>
      <c r="N192" s="3"/>
      <c r="O192" s="609"/>
      <c r="P192" s="562"/>
      <c r="Q192" s="562"/>
      <c r="R192" s="562"/>
      <c r="S192" s="562"/>
      <c r="T192" s="562"/>
      <c r="U192" s="562"/>
      <c r="V192" s="562"/>
      <c r="W192" s="562"/>
      <c r="X192" s="797"/>
      <c r="Y192" s="562"/>
      <c r="Z192" s="562"/>
      <c r="AA192" s="562"/>
      <c r="AB192" s="562"/>
      <c r="AC192" s="562"/>
      <c r="AD192" s="562"/>
      <c r="AE192" s="562"/>
      <c r="AF192" s="562"/>
      <c r="AG192" s="562"/>
      <c r="AH192" s="562"/>
      <c r="AI192" s="562"/>
      <c r="AJ192" s="562"/>
      <c r="AK192" s="562"/>
      <c r="AL192" s="562"/>
      <c r="AM192" s="562"/>
      <c r="AN192" s="562"/>
      <c r="AO192" s="562"/>
      <c r="AP192" s="562"/>
      <c r="AQ192" s="562"/>
      <c r="AR192" s="562"/>
      <c r="AS192" s="562"/>
    </row>
    <row r="193" spans="1:51" x14ac:dyDescent="0.2">
      <c r="B193" s="48" t="s">
        <v>2530</v>
      </c>
      <c r="C193" s="14"/>
      <c r="D193" s="14"/>
      <c r="E193" s="14" t="s">
        <v>2181</v>
      </c>
      <c r="F193" s="14" t="s">
        <v>2544</v>
      </c>
      <c r="G193" s="14"/>
      <c r="H193" s="441"/>
      <c r="I193" s="40"/>
      <c r="J193" s="98"/>
      <c r="K193" s="140" t="s">
        <v>2544</v>
      </c>
      <c r="L193" s="598" t="s">
        <v>2545</v>
      </c>
      <c r="M193" s="838"/>
      <c r="N193" s="3"/>
      <c r="O193" s="609"/>
      <c r="P193" s="562"/>
      <c r="Q193" s="562"/>
      <c r="R193" s="562"/>
      <c r="S193" s="562"/>
      <c r="T193" s="562"/>
      <c r="U193" s="562"/>
      <c r="V193" s="562"/>
      <c r="W193" s="562"/>
      <c r="X193" s="797"/>
      <c r="Y193" s="562"/>
      <c r="Z193" s="562"/>
      <c r="AA193" s="562"/>
      <c r="AB193" s="562"/>
      <c r="AC193" s="562"/>
      <c r="AD193" s="562"/>
      <c r="AE193" s="562"/>
      <c r="AF193" s="562"/>
      <c r="AG193" s="562"/>
      <c r="AH193" s="562"/>
      <c r="AI193" s="562"/>
      <c r="AJ193" s="562"/>
      <c r="AK193" s="562"/>
      <c r="AL193" s="562"/>
      <c r="AM193" s="562"/>
      <c r="AN193" s="562"/>
      <c r="AO193" s="562"/>
      <c r="AP193" s="562"/>
      <c r="AQ193" s="562"/>
      <c r="AR193" s="562"/>
      <c r="AS193" s="562"/>
      <c r="AT193" s="562"/>
      <c r="AU193" s="562"/>
      <c r="AV193" s="562"/>
      <c r="AW193" s="562"/>
      <c r="AX193" s="562"/>
      <c r="AY193" s="562"/>
    </row>
    <row r="194" spans="1:51" s="484" customFormat="1" x14ac:dyDescent="0.2">
      <c r="A194" s="13"/>
      <c r="B194" s="48" t="s">
        <v>2530</v>
      </c>
      <c r="C194" s="14"/>
      <c r="D194" s="14"/>
      <c r="E194" s="14" t="s">
        <v>2181</v>
      </c>
      <c r="F194" s="14"/>
      <c r="G194" s="14"/>
      <c r="H194" s="441"/>
      <c r="I194" s="40"/>
      <c r="J194" s="98"/>
      <c r="K194" s="140"/>
      <c r="L194" s="846" t="s">
        <v>2546</v>
      </c>
      <c r="M194" s="488"/>
      <c r="N194" s="3"/>
      <c r="O194" s="609"/>
      <c r="P194" s="562"/>
      <c r="Q194" s="562"/>
      <c r="R194" s="562"/>
      <c r="S194" s="562"/>
      <c r="T194" s="562"/>
      <c r="U194" s="562"/>
      <c r="V194" s="562"/>
      <c r="W194" s="562"/>
      <c r="X194" s="797"/>
      <c r="Y194" s="562"/>
      <c r="Z194" s="562"/>
      <c r="AA194" s="562"/>
      <c r="AB194" s="562"/>
      <c r="AC194" s="562"/>
      <c r="AD194" s="562"/>
      <c r="AE194" s="562"/>
      <c r="AF194" s="562"/>
      <c r="AG194" s="562"/>
      <c r="AH194" s="562"/>
      <c r="AI194" s="562"/>
      <c r="AJ194" s="562"/>
      <c r="AK194" s="562"/>
      <c r="AL194" s="562"/>
      <c r="AM194" s="562"/>
      <c r="AN194" s="562"/>
      <c r="AO194" s="562"/>
      <c r="AP194" s="562"/>
      <c r="AQ194" s="562"/>
      <c r="AR194" s="562"/>
      <c r="AS194" s="562"/>
      <c r="AT194" s="562"/>
      <c r="AU194" s="562"/>
      <c r="AV194" s="562"/>
      <c r="AW194" s="562"/>
      <c r="AX194" s="562"/>
      <c r="AY194" s="562"/>
    </row>
    <row r="195" spans="1:51" s="484" customFormat="1" x14ac:dyDescent="0.2">
      <c r="A195" s="13"/>
      <c r="B195" s="48" t="s">
        <v>2530</v>
      </c>
      <c r="C195" s="14"/>
      <c r="D195" s="14"/>
      <c r="E195" s="14" t="s">
        <v>2181</v>
      </c>
      <c r="F195" s="14"/>
      <c r="G195" s="14"/>
      <c r="H195" s="441"/>
      <c r="I195" s="40"/>
      <c r="J195" s="165"/>
      <c r="K195" s="171"/>
      <c r="L195" s="855"/>
      <c r="M195" s="483"/>
      <c r="N195" s="3"/>
      <c r="O195" s="609"/>
      <c r="P195" s="562"/>
      <c r="Q195" s="562"/>
      <c r="R195" s="562"/>
      <c r="S195" s="562"/>
      <c r="T195" s="562"/>
      <c r="U195" s="562"/>
      <c r="V195" s="562"/>
      <c r="W195" s="562"/>
      <c r="X195" s="786"/>
      <c r="Y195" s="562"/>
      <c r="Z195" s="562"/>
      <c r="AA195" s="562"/>
      <c r="AB195" s="562"/>
      <c r="AC195" s="562"/>
      <c r="AD195" s="562"/>
      <c r="AE195" s="562"/>
      <c r="AF195" s="562"/>
      <c r="AG195" s="562"/>
      <c r="AH195" s="562"/>
      <c r="AI195" s="562"/>
      <c r="AJ195" s="562"/>
      <c r="AK195" s="562"/>
      <c r="AL195" s="562"/>
      <c r="AM195" s="562"/>
      <c r="AN195" s="562"/>
      <c r="AO195" s="562"/>
      <c r="AP195" s="562"/>
      <c r="AQ195" s="562"/>
      <c r="AR195" s="562"/>
      <c r="AS195" s="562"/>
      <c r="AT195" s="562"/>
      <c r="AU195" s="562"/>
      <c r="AV195" s="562"/>
      <c r="AW195" s="562"/>
      <c r="AX195" s="562"/>
      <c r="AY195" s="562"/>
    </row>
    <row r="196" spans="1:51" x14ac:dyDescent="0.2">
      <c r="B196" s="48" t="s">
        <v>2530</v>
      </c>
      <c r="C196" s="14"/>
      <c r="D196" s="14"/>
      <c r="E196" s="14" t="s">
        <v>2183</v>
      </c>
      <c r="F196" s="48"/>
      <c r="G196" s="48"/>
      <c r="H196" s="444"/>
      <c r="I196" s="40"/>
      <c r="J196" s="134" t="s">
        <v>2183</v>
      </c>
      <c r="K196" s="65"/>
      <c r="L196" s="791" t="s">
        <v>2547</v>
      </c>
      <c r="M196" s="800">
        <v>2</v>
      </c>
      <c r="N196" s="98"/>
      <c r="O196" s="793">
        <f>M196*S196*W196</f>
        <v>0</v>
      </c>
      <c r="P196" s="562" t="b">
        <v>1</v>
      </c>
      <c r="Q196" s="562" t="b">
        <v>0</v>
      </c>
      <c r="R196" s="562" t="b">
        <v>0</v>
      </c>
      <c r="S196" s="562" t="b">
        <v>1</v>
      </c>
      <c r="T196" s="562" t="b">
        <v>0</v>
      </c>
      <c r="U196" s="562"/>
      <c r="V196" s="562"/>
      <c r="W196" s="18"/>
      <c r="X196" s="787"/>
      <c r="Y196" s="562"/>
      <c r="Z196" s="562"/>
      <c r="AA196" s="562"/>
      <c r="AB196" s="562"/>
      <c r="AC196" s="562"/>
      <c r="AD196" s="562"/>
      <c r="AE196" s="562"/>
      <c r="AF196" s="562"/>
      <c r="AG196" s="562"/>
      <c r="AH196" s="562"/>
      <c r="AI196" s="562"/>
      <c r="AJ196" s="562"/>
      <c r="AK196" s="562"/>
      <c r="AL196" s="190" t="str">
        <f>SUBSTITUTE(SUBSTITUTE(SUBSTITUTE("dpa"&amp;$B196&amp;$C196&amp;$D196&amp;$E196&amp;$F196,".","_"),"(","_"),")","")</f>
        <v>dpa602_1_9_2</v>
      </c>
      <c r="AM196" s="190">
        <f>M196</f>
        <v>2</v>
      </c>
      <c r="AN196" s="190" t="str">
        <f>SUBSTITUTE(SUBSTITUTE(SUBSTITUTE("dpc"&amp;$B196&amp;$C196&amp;$D196&amp;$E196&amp;$F196,".","_"),"(","_"),")","")</f>
        <v>dpc602_1_9_2</v>
      </c>
      <c r="AO196" s="190">
        <f>O196</f>
        <v>0</v>
      </c>
      <c r="AP196" s="190" t="str">
        <f t="shared" ref="AP196" si="48">SUBSTITUTE(SUBSTITUTE(SUBSTITUTE("dch"&amp;$B196&amp;$C196&amp;$D196&amp;$E196&amp;$F196,".","_"),"(","_"),")","")</f>
        <v>dch602_1_9_2</v>
      </c>
      <c r="AQ196" s="190">
        <f>W196</f>
        <v>0</v>
      </c>
      <c r="AR196" s="562" t="str">
        <f>SUBSTITUTE(SUBSTITUTE(SUBSTITUTE("dnt"&amp;$B196&amp;$C196&amp;$D196&amp;$E196&amp;$F196,".","_"),"(","_"),")","")</f>
        <v>dnt602_1_9_2</v>
      </c>
      <c r="AS196" s="190">
        <f>X196</f>
        <v>0</v>
      </c>
      <c r="AT196" s="562"/>
      <c r="AU196" s="562"/>
      <c r="AV196" s="562"/>
      <c r="AW196" s="562"/>
      <c r="AX196" s="562"/>
      <c r="AY196" s="562"/>
    </row>
    <row r="197" spans="1:51" x14ac:dyDescent="0.2">
      <c r="B197" s="48" t="s">
        <v>2530</v>
      </c>
      <c r="C197" s="14"/>
      <c r="D197" s="14"/>
      <c r="E197" s="14" t="s">
        <v>2183</v>
      </c>
      <c r="F197" s="48"/>
      <c r="G197" s="48"/>
      <c r="H197" s="444"/>
      <c r="I197" s="40"/>
      <c r="J197" s="98"/>
      <c r="K197" s="65"/>
      <c r="L197" s="791"/>
      <c r="M197" s="800"/>
      <c r="N197" s="98"/>
      <c r="O197" s="793"/>
      <c r="P197" s="562"/>
      <c r="Q197" s="562"/>
      <c r="R197" s="562"/>
      <c r="S197" s="562"/>
      <c r="T197" s="562"/>
      <c r="U197" s="562"/>
      <c r="V197" s="562"/>
      <c r="W197" s="562"/>
      <c r="X197" s="787"/>
      <c r="Y197" s="562"/>
      <c r="Z197" s="562"/>
      <c r="AA197" s="562"/>
      <c r="AB197" s="562"/>
      <c r="AC197" s="562"/>
      <c r="AD197" s="562"/>
      <c r="AE197" s="562"/>
      <c r="AF197" s="562"/>
      <c r="AG197" s="562"/>
      <c r="AH197" s="562"/>
      <c r="AI197" s="562"/>
      <c r="AJ197" s="562"/>
      <c r="AK197" s="562"/>
      <c r="AL197" s="562"/>
      <c r="AM197" s="562"/>
      <c r="AN197" s="562"/>
      <c r="AO197" s="562"/>
      <c r="AP197" s="562"/>
      <c r="AQ197" s="562"/>
      <c r="AR197" s="562"/>
      <c r="AS197" s="562"/>
      <c r="AT197" s="562"/>
      <c r="AU197" s="562"/>
      <c r="AV197" s="562"/>
      <c r="AW197" s="562"/>
      <c r="AX197" s="562"/>
      <c r="AY197" s="562"/>
    </row>
    <row r="198" spans="1:51" x14ac:dyDescent="0.2">
      <c r="B198" s="48" t="s">
        <v>2530</v>
      </c>
      <c r="C198" s="14"/>
      <c r="D198" s="14"/>
      <c r="E198" s="14" t="s">
        <v>2183</v>
      </c>
      <c r="F198" s="48"/>
      <c r="G198" s="48"/>
      <c r="H198" s="444"/>
      <c r="I198" s="40"/>
      <c r="J198" s="165"/>
      <c r="K198" s="126"/>
      <c r="L198" s="792"/>
      <c r="M198" s="801"/>
      <c r="N198" s="165"/>
      <c r="O198" s="794"/>
      <c r="P198" s="562"/>
      <c r="Q198" s="562"/>
      <c r="R198" s="562"/>
      <c r="S198" s="562"/>
      <c r="T198" s="562"/>
      <c r="U198" s="562"/>
      <c r="V198" s="562"/>
      <c r="W198" s="562"/>
      <c r="X198" s="787"/>
      <c r="Y198" s="562"/>
      <c r="Z198" s="562"/>
      <c r="AA198" s="562"/>
      <c r="AB198" s="562"/>
      <c r="AC198" s="562"/>
      <c r="AD198" s="562"/>
      <c r="AE198" s="562"/>
      <c r="AF198" s="562"/>
      <c r="AG198" s="562"/>
      <c r="AH198" s="562"/>
      <c r="AI198" s="562"/>
      <c r="AJ198" s="562"/>
      <c r="AK198" s="562"/>
      <c r="AL198" s="562"/>
      <c r="AM198" s="562"/>
      <c r="AN198" s="562"/>
      <c r="AO198" s="562"/>
      <c r="AP198" s="562"/>
      <c r="AQ198" s="562"/>
      <c r="AR198" s="562"/>
      <c r="AS198" s="562"/>
      <c r="AT198" s="562"/>
      <c r="AU198" s="562"/>
      <c r="AV198" s="562"/>
      <c r="AW198" s="562"/>
      <c r="AX198" s="562"/>
      <c r="AY198" s="562"/>
    </row>
    <row r="199" spans="1:51" x14ac:dyDescent="0.2">
      <c r="B199" s="48" t="s">
        <v>2530</v>
      </c>
      <c r="C199" s="14"/>
      <c r="D199" s="14"/>
      <c r="E199" s="14" t="s">
        <v>2185</v>
      </c>
      <c r="F199" s="48"/>
      <c r="G199" s="48"/>
      <c r="H199" s="444"/>
      <c r="I199" s="40"/>
      <c r="J199" s="161" t="s">
        <v>2185</v>
      </c>
      <c r="K199" s="162"/>
      <c r="L199" s="205" t="s">
        <v>2548</v>
      </c>
      <c r="M199" s="249">
        <v>3</v>
      </c>
      <c r="N199" s="186"/>
      <c r="O199" s="248">
        <f>M199*S199*W199</f>
        <v>0</v>
      </c>
      <c r="P199" s="562" t="b">
        <v>1</v>
      </c>
      <c r="Q199" s="562" t="b">
        <v>0</v>
      </c>
      <c r="R199" s="562" t="b">
        <v>0</v>
      </c>
      <c r="S199" s="562" t="b">
        <v>1</v>
      </c>
      <c r="T199" s="562" t="b">
        <v>0</v>
      </c>
      <c r="U199" s="562"/>
      <c r="V199" s="562"/>
      <c r="W199" s="18"/>
      <c r="X199" s="563"/>
      <c r="Y199" s="562"/>
      <c r="Z199" s="562"/>
      <c r="AA199" s="562"/>
      <c r="AB199" s="562"/>
      <c r="AC199" s="562"/>
      <c r="AD199" s="562"/>
      <c r="AE199" s="562"/>
      <c r="AF199" s="562"/>
      <c r="AG199" s="562"/>
      <c r="AH199" s="562"/>
      <c r="AI199" s="562"/>
      <c r="AJ199" s="562"/>
      <c r="AK199" s="562"/>
      <c r="AL199" s="190" t="str">
        <f t="shared" ref="AL199:AL200" si="49">SUBSTITUTE(SUBSTITUTE(SUBSTITUTE("dpa"&amp;$B199&amp;$C199&amp;$D199&amp;$E199&amp;$F199,".","_"),"(","_"),")","")</f>
        <v>dpa602_1_9_3</v>
      </c>
      <c r="AM199" s="190">
        <f>M199</f>
        <v>3</v>
      </c>
      <c r="AN199" s="190" t="str">
        <f t="shared" ref="AN199:AN200" si="50">SUBSTITUTE(SUBSTITUTE(SUBSTITUTE("dpc"&amp;$B199&amp;$C199&amp;$D199&amp;$E199&amp;$F199,".","_"),"(","_"),")","")</f>
        <v>dpc602_1_9_3</v>
      </c>
      <c r="AO199" s="190">
        <f>O199</f>
        <v>0</v>
      </c>
      <c r="AP199" s="190" t="str">
        <f t="shared" ref="AP199:AP200" si="51">SUBSTITUTE(SUBSTITUTE(SUBSTITUTE("dch"&amp;$B199&amp;$C199&amp;$D199&amp;$E199&amp;$F199,".","_"),"(","_"),")","")</f>
        <v>dch602_1_9_3</v>
      </c>
      <c r="AQ199" s="190">
        <f>W199</f>
        <v>0</v>
      </c>
      <c r="AR199" s="562" t="str">
        <f>SUBSTITUTE(SUBSTITUTE(SUBSTITUTE("dnt"&amp;$B199&amp;$C199&amp;$D199&amp;$E199&amp;$F199,".","_"),"(","_"),")","")</f>
        <v>dnt602_1_9_3</v>
      </c>
      <c r="AS199" s="190">
        <f>X199</f>
        <v>0</v>
      </c>
      <c r="AT199" s="562"/>
      <c r="AU199" s="562"/>
      <c r="AV199" s="562"/>
      <c r="AW199" s="562"/>
      <c r="AX199" s="562"/>
      <c r="AY199" s="562"/>
    </row>
    <row r="200" spans="1:51" x14ac:dyDescent="0.2">
      <c r="B200" s="48" t="s">
        <v>2530</v>
      </c>
      <c r="C200" s="14"/>
      <c r="D200" s="14"/>
      <c r="E200" s="14" t="s">
        <v>2192</v>
      </c>
      <c r="F200" s="48"/>
      <c r="G200" s="48"/>
      <c r="H200" s="444"/>
      <c r="I200" s="40"/>
      <c r="J200" s="164" t="s">
        <v>2192</v>
      </c>
      <c r="K200" s="147"/>
      <c r="L200" s="831" t="s">
        <v>2549</v>
      </c>
      <c r="M200" s="824">
        <v>3</v>
      </c>
      <c r="N200" s="146"/>
      <c r="O200" s="815">
        <f>M200*S200*W200</f>
        <v>0</v>
      </c>
      <c r="P200" s="562" t="b">
        <v>1</v>
      </c>
      <c r="Q200" s="562" t="b">
        <v>0</v>
      </c>
      <c r="R200" s="562" t="b">
        <v>0</v>
      </c>
      <c r="S200" s="562" t="b">
        <v>1</v>
      </c>
      <c r="T200" s="562" t="b">
        <v>0</v>
      </c>
      <c r="U200" s="562"/>
      <c r="V200" s="562"/>
      <c r="W200" s="18"/>
      <c r="X200" s="787"/>
      <c r="Y200" s="562"/>
      <c r="Z200" s="562"/>
      <c r="AA200" s="562"/>
      <c r="AB200" s="562"/>
      <c r="AC200" s="562"/>
      <c r="AD200" s="562"/>
      <c r="AE200" s="562"/>
      <c r="AF200" s="562"/>
      <c r="AG200" s="562"/>
      <c r="AH200" s="562"/>
      <c r="AI200" s="562"/>
      <c r="AJ200" s="562"/>
      <c r="AK200" s="562"/>
      <c r="AL200" s="190" t="str">
        <f t="shared" si="49"/>
        <v>dpa602_1_9_4</v>
      </c>
      <c r="AM200" s="190">
        <f>M200</f>
        <v>3</v>
      </c>
      <c r="AN200" s="190" t="str">
        <f t="shared" si="50"/>
        <v>dpc602_1_9_4</v>
      </c>
      <c r="AO200" s="190">
        <f>O200</f>
        <v>0</v>
      </c>
      <c r="AP200" s="190" t="str">
        <f t="shared" si="51"/>
        <v>dch602_1_9_4</v>
      </c>
      <c r="AQ200" s="190">
        <f>W200</f>
        <v>0</v>
      </c>
      <c r="AR200" s="562" t="str">
        <f>SUBSTITUTE(SUBSTITUTE(SUBSTITUTE("dnt"&amp;$B200&amp;$C200&amp;$D200&amp;$E200&amp;$F200,".","_"),"(","_"),")","")</f>
        <v>dnt602_1_9_4</v>
      </c>
      <c r="AS200" s="190">
        <f>X200</f>
        <v>0</v>
      </c>
      <c r="AT200" s="562"/>
      <c r="AU200" s="562"/>
      <c r="AV200" s="562"/>
      <c r="AW200" s="562"/>
      <c r="AX200" s="562"/>
      <c r="AY200" s="562"/>
    </row>
    <row r="201" spans="1:51" x14ac:dyDescent="0.2">
      <c r="B201" s="48" t="s">
        <v>2530</v>
      </c>
      <c r="C201" s="14"/>
      <c r="D201" s="14"/>
      <c r="E201" s="14" t="s">
        <v>2192</v>
      </c>
      <c r="F201" s="48"/>
      <c r="G201" s="48"/>
      <c r="H201" s="444"/>
      <c r="I201" s="40"/>
      <c r="J201" s="98"/>
      <c r="K201" s="65"/>
      <c r="L201" s="791"/>
      <c r="M201" s="800"/>
      <c r="N201" s="98"/>
      <c r="O201" s="793"/>
      <c r="P201" s="562"/>
      <c r="Q201" s="562"/>
      <c r="R201" s="562"/>
      <c r="S201" s="562"/>
      <c r="T201" s="562"/>
      <c r="U201" s="562"/>
      <c r="V201" s="562"/>
      <c r="W201" s="562"/>
      <c r="X201" s="787"/>
      <c r="Y201" s="562"/>
      <c r="Z201" s="562"/>
      <c r="AA201" s="562"/>
      <c r="AB201" s="562"/>
      <c r="AC201" s="562"/>
      <c r="AD201" s="562"/>
      <c r="AE201" s="562"/>
      <c r="AF201" s="562"/>
      <c r="AG201" s="562"/>
      <c r="AH201" s="562"/>
      <c r="AI201" s="562"/>
      <c r="AJ201" s="562"/>
      <c r="AK201" s="562"/>
      <c r="AL201" s="562"/>
      <c r="AM201" s="562"/>
      <c r="AN201" s="562"/>
      <c r="AO201" s="562"/>
      <c r="AP201" s="562"/>
      <c r="AQ201" s="562"/>
      <c r="AR201" s="562"/>
      <c r="AS201" s="562"/>
      <c r="AT201" s="562"/>
      <c r="AU201" s="562"/>
      <c r="AV201" s="562"/>
      <c r="AW201" s="562"/>
      <c r="AX201" s="562"/>
      <c r="AY201" s="562"/>
    </row>
    <row r="202" spans="1:51" x14ac:dyDescent="0.2">
      <c r="B202" s="48" t="s">
        <v>2530</v>
      </c>
      <c r="C202" s="14"/>
      <c r="D202" s="14"/>
      <c r="E202" s="14" t="s">
        <v>2192</v>
      </c>
      <c r="F202" s="48"/>
      <c r="G202" s="48"/>
      <c r="H202" s="444"/>
      <c r="I202" s="40"/>
      <c r="J202" s="98"/>
      <c r="K202" s="65"/>
      <c r="L202" s="791"/>
      <c r="M202" s="800"/>
      <c r="N202" s="98"/>
      <c r="O202" s="793"/>
      <c r="P202" s="562"/>
      <c r="Q202" s="562"/>
      <c r="R202" s="562"/>
      <c r="S202" s="562"/>
      <c r="T202" s="562"/>
      <c r="U202" s="562"/>
      <c r="V202" s="562"/>
      <c r="W202" s="562"/>
      <c r="X202" s="787"/>
      <c r="Y202" s="562"/>
      <c r="Z202" s="562"/>
      <c r="AA202" s="562"/>
      <c r="AB202" s="562"/>
      <c r="AC202" s="562"/>
      <c r="AD202" s="562"/>
      <c r="AE202" s="562"/>
      <c r="AF202" s="562"/>
      <c r="AG202" s="562"/>
      <c r="AH202" s="562"/>
      <c r="AI202" s="562"/>
      <c r="AJ202" s="562"/>
      <c r="AK202" s="562"/>
      <c r="AL202" s="562"/>
      <c r="AM202" s="562"/>
      <c r="AN202" s="562"/>
      <c r="AO202" s="562"/>
      <c r="AP202" s="562"/>
      <c r="AQ202" s="562"/>
      <c r="AR202" s="562"/>
      <c r="AS202" s="562"/>
      <c r="AT202" s="562"/>
      <c r="AU202" s="562"/>
      <c r="AV202" s="562"/>
      <c r="AW202" s="562"/>
      <c r="AX202" s="562"/>
      <c r="AY202" s="562"/>
    </row>
    <row r="203" spans="1:51" x14ac:dyDescent="0.2">
      <c r="B203" s="48" t="s">
        <v>2530</v>
      </c>
      <c r="C203" s="14"/>
      <c r="D203" s="14"/>
      <c r="E203" s="14" t="s">
        <v>2192</v>
      </c>
      <c r="F203" s="48"/>
      <c r="G203" s="48"/>
      <c r="H203" s="444"/>
      <c r="I203" s="40"/>
      <c r="J203" s="165"/>
      <c r="K203" s="126"/>
      <c r="L203" s="792"/>
      <c r="M203" s="801"/>
      <c r="N203" s="165"/>
      <c r="O203" s="794"/>
      <c r="P203" s="562"/>
      <c r="Q203" s="562"/>
      <c r="R203" s="562"/>
      <c r="S203" s="562"/>
      <c r="T203" s="562"/>
      <c r="U203" s="562"/>
      <c r="V203" s="562"/>
      <c r="W203" s="562"/>
      <c r="X203" s="787"/>
      <c r="Y203" s="562"/>
      <c r="Z203" s="562"/>
      <c r="AA203" s="562"/>
      <c r="AB203" s="562"/>
      <c r="AC203" s="562"/>
      <c r="AD203" s="562"/>
      <c r="AE203" s="562"/>
      <c r="AF203" s="562"/>
      <c r="AG203" s="562"/>
      <c r="AH203" s="562"/>
      <c r="AI203" s="562"/>
      <c r="AJ203" s="562"/>
      <c r="AK203" s="562"/>
      <c r="AL203" s="562"/>
      <c r="AM203" s="562"/>
      <c r="AN203" s="562"/>
      <c r="AO203" s="562"/>
      <c r="AP203" s="562"/>
      <c r="AQ203" s="562"/>
      <c r="AR203" s="562"/>
      <c r="AS203" s="562"/>
      <c r="AT203" s="562"/>
      <c r="AU203" s="562"/>
      <c r="AV203" s="562"/>
      <c r="AW203" s="562"/>
      <c r="AX203" s="562"/>
      <c r="AY203" s="562"/>
    </row>
    <row r="204" spans="1:51" x14ac:dyDescent="0.2">
      <c r="B204" s="48" t="s">
        <v>2530</v>
      </c>
      <c r="C204" s="14"/>
      <c r="D204" s="14"/>
      <c r="E204" s="14" t="s">
        <v>2194</v>
      </c>
      <c r="F204" s="48"/>
      <c r="G204" s="48"/>
      <c r="H204" s="444"/>
      <c r="I204" s="40"/>
      <c r="J204" s="20" t="s">
        <v>2194</v>
      </c>
      <c r="K204" s="53"/>
      <c r="L204" s="632" t="s">
        <v>2550</v>
      </c>
      <c r="M204" s="616"/>
      <c r="N204" s="3"/>
      <c r="O204" s="609">
        <f ca="1">IFERROR(INDEX({4,2},MATCH(W204,INDIRECT(U204),0)),0)</f>
        <v>0</v>
      </c>
      <c r="P204" s="562" t="b">
        <v>1</v>
      </c>
      <c r="Q204" s="562" t="b">
        <v>0</v>
      </c>
      <c r="R204" s="562" t="b">
        <v>0</v>
      </c>
      <c r="S204" s="562" t="b">
        <v>1</v>
      </c>
      <c r="T204" s="562" t="b">
        <v>0</v>
      </c>
      <c r="U204" s="64" t="str">
        <f>SUBSTITUTE(SUBSTITUTE(SUBSTITUTE("dd"&amp;B204&amp;C204&amp;D204&amp;E204&amp;F204,".","_"),"(","_"),")","")</f>
        <v>dd602_1_9_5</v>
      </c>
      <c r="V204" s="562"/>
      <c r="W204" s="6"/>
      <c r="X204" s="787"/>
      <c r="Y204" s="562"/>
      <c r="Z204" s="562"/>
      <c r="AA204" s="562"/>
      <c r="AB204" s="562"/>
      <c r="AC204" s="562"/>
      <c r="AD204" s="562"/>
      <c r="AE204" s="562"/>
      <c r="AF204" s="562"/>
      <c r="AG204" s="562"/>
      <c r="AH204" s="562"/>
      <c r="AI204" s="562"/>
      <c r="AJ204" s="562"/>
      <c r="AK204" s="562"/>
      <c r="AL204" s="562"/>
      <c r="AM204" s="562"/>
      <c r="AN204" s="190" t="str">
        <f>SUBSTITUTE(SUBSTITUTE(SUBSTITUTE("dpc"&amp;$B204&amp;$C204&amp;$D204&amp;$E204&amp;$F204,".","_"),"(","_"),")","")</f>
        <v>dpc602_1_9_5</v>
      </c>
      <c r="AO204" s="190">
        <f ca="1">O204</f>
        <v>0</v>
      </c>
      <c r="AP204" s="190" t="str">
        <f t="shared" ref="AP204" si="52">SUBSTITUTE(SUBSTITUTE(SUBSTITUTE("dch"&amp;$B204&amp;$C204&amp;$D204&amp;$E204&amp;$F204,".","_"),"(","_"),")","")</f>
        <v>dch602_1_9_5</v>
      </c>
      <c r="AQ204" s="190">
        <f>W204</f>
        <v>0</v>
      </c>
      <c r="AR204" s="562" t="str">
        <f>SUBSTITUTE(SUBSTITUTE(SUBSTITUTE("dnt"&amp;$B204&amp;$C204&amp;$D204&amp;$E204&amp;$F204,".","_"),"(","_"),")","")</f>
        <v>dnt602_1_9_5</v>
      </c>
      <c r="AS204" s="190">
        <f>X204</f>
        <v>0</v>
      </c>
      <c r="AT204" s="562"/>
      <c r="AU204" s="562"/>
      <c r="AV204" s="562"/>
      <c r="AW204" s="562"/>
      <c r="AX204" s="562"/>
      <c r="AY204" s="562"/>
    </row>
    <row r="205" spans="1:51" x14ac:dyDescent="0.2">
      <c r="B205" s="48" t="s">
        <v>2530</v>
      </c>
      <c r="C205" s="14"/>
      <c r="D205" s="14"/>
      <c r="E205" s="14" t="s">
        <v>2194</v>
      </c>
      <c r="F205" s="14" t="s">
        <v>2196</v>
      </c>
      <c r="G205" s="14"/>
      <c r="H205" s="441"/>
      <c r="I205" s="40"/>
      <c r="J205" s="3"/>
      <c r="K205" s="61" t="s">
        <v>2196</v>
      </c>
      <c r="L205" s="791" t="s">
        <v>2551</v>
      </c>
      <c r="M205" s="800">
        <v>4</v>
      </c>
      <c r="N205" s="3"/>
      <c r="O205" s="609"/>
      <c r="P205" s="562"/>
      <c r="Q205" s="562"/>
      <c r="R205" s="562"/>
      <c r="S205" s="562"/>
      <c r="T205" s="562"/>
      <c r="U205" s="562"/>
      <c r="V205" s="562"/>
      <c r="W205" s="562"/>
      <c r="X205" s="787"/>
      <c r="Y205" s="562"/>
      <c r="Z205" s="562"/>
      <c r="AA205" s="562"/>
      <c r="AB205" s="562"/>
      <c r="AC205" s="562"/>
      <c r="AD205" s="562"/>
      <c r="AE205" s="562"/>
      <c r="AF205" s="562"/>
      <c r="AG205" s="562"/>
      <c r="AH205" s="562"/>
      <c r="AI205" s="562"/>
      <c r="AJ205" s="562"/>
      <c r="AK205" s="562"/>
      <c r="AL205" s="190" t="str">
        <f>SUBSTITUTE(SUBSTITUTE(SUBSTITUTE("dpa"&amp;$B205&amp;$C205&amp;$D205&amp;$E205&amp;$F205,".","_"),"(","_"),")","")</f>
        <v>dpa602_1_9_5_a</v>
      </c>
      <c r="AM205" s="190">
        <f>M205</f>
        <v>4</v>
      </c>
      <c r="AN205" s="562"/>
      <c r="AO205" s="562"/>
      <c r="AP205" s="562"/>
      <c r="AQ205" s="562"/>
      <c r="AR205" s="562"/>
      <c r="AS205" s="562"/>
      <c r="AT205" s="562"/>
      <c r="AU205" s="562"/>
      <c r="AV205" s="562"/>
      <c r="AW205" s="562"/>
      <c r="AX205" s="562"/>
      <c r="AY205" s="562"/>
    </row>
    <row r="206" spans="1:51" x14ac:dyDescent="0.2">
      <c r="B206" s="48" t="s">
        <v>2530</v>
      </c>
      <c r="C206" s="14"/>
      <c r="D206" s="14"/>
      <c r="E206" s="14" t="s">
        <v>2194</v>
      </c>
      <c r="F206" s="14" t="s">
        <v>2196</v>
      </c>
      <c r="G206" s="14"/>
      <c r="H206" s="441"/>
      <c r="I206" s="40"/>
      <c r="J206" s="3"/>
      <c r="K206" s="61"/>
      <c r="L206" s="791"/>
      <c r="M206" s="800"/>
      <c r="N206" s="3"/>
      <c r="O206" s="609"/>
      <c r="P206" s="562"/>
      <c r="Q206" s="562"/>
      <c r="R206" s="562"/>
      <c r="S206" s="562"/>
      <c r="T206" s="562"/>
      <c r="U206" s="562"/>
      <c r="V206" s="562"/>
      <c r="W206" s="562"/>
      <c r="X206" s="787"/>
      <c r="Y206" s="562"/>
      <c r="Z206" s="562"/>
      <c r="AA206" s="562"/>
      <c r="AB206" s="562"/>
      <c r="AC206" s="562"/>
      <c r="AD206" s="562"/>
      <c r="AE206" s="562"/>
      <c r="AF206" s="562"/>
      <c r="AG206" s="562"/>
      <c r="AH206" s="562"/>
      <c r="AI206" s="562"/>
      <c r="AJ206" s="562"/>
      <c r="AK206" s="562"/>
      <c r="AL206" s="562"/>
      <c r="AM206" s="562"/>
      <c r="AN206" s="562"/>
      <c r="AO206" s="562"/>
      <c r="AP206" s="562"/>
      <c r="AQ206" s="562"/>
      <c r="AR206" s="562"/>
      <c r="AS206" s="562"/>
      <c r="AT206" s="562"/>
      <c r="AU206" s="562"/>
      <c r="AV206" s="562"/>
      <c r="AW206" s="562"/>
      <c r="AX206" s="562"/>
      <c r="AY206" s="562"/>
    </row>
    <row r="207" spans="1:51" x14ac:dyDescent="0.2">
      <c r="B207" s="48" t="s">
        <v>2530</v>
      </c>
      <c r="C207" s="14"/>
      <c r="D207" s="14"/>
      <c r="E207" s="14" t="s">
        <v>2194</v>
      </c>
      <c r="F207" s="14" t="s">
        <v>2196</v>
      </c>
      <c r="G207" s="14"/>
      <c r="H207" s="441"/>
      <c r="I207" s="40"/>
      <c r="J207" s="3"/>
      <c r="K207" s="125"/>
      <c r="L207" s="792"/>
      <c r="M207" s="801"/>
      <c r="N207" s="3"/>
      <c r="O207" s="609"/>
      <c r="P207" s="562"/>
      <c r="Q207" s="562"/>
      <c r="R207" s="562"/>
      <c r="S207" s="562"/>
      <c r="T207" s="562"/>
      <c r="U207" s="562"/>
      <c r="V207" s="562"/>
      <c r="W207" s="562"/>
      <c r="X207" s="787"/>
      <c r="Y207" s="562"/>
      <c r="Z207" s="562"/>
      <c r="AA207" s="562"/>
      <c r="AB207" s="562"/>
      <c r="AC207" s="562"/>
      <c r="AD207" s="562"/>
      <c r="AE207" s="562"/>
      <c r="AF207" s="562"/>
      <c r="AG207" s="562"/>
      <c r="AH207" s="562"/>
      <c r="AI207" s="562"/>
      <c r="AJ207" s="562"/>
      <c r="AK207" s="562"/>
      <c r="AL207" s="562"/>
      <c r="AM207" s="562"/>
      <c r="AN207" s="562"/>
      <c r="AO207" s="562"/>
      <c r="AP207" s="562"/>
      <c r="AQ207" s="562"/>
      <c r="AR207" s="562"/>
      <c r="AS207" s="562"/>
      <c r="AT207" s="562"/>
      <c r="AU207" s="562"/>
      <c r="AV207" s="562"/>
      <c r="AW207" s="562"/>
      <c r="AX207" s="562"/>
      <c r="AY207" s="562"/>
    </row>
    <row r="208" spans="1:51" s="100" customFormat="1" x14ac:dyDescent="0.2">
      <c r="A208" s="13"/>
      <c r="B208" s="48" t="s">
        <v>2530</v>
      </c>
      <c r="C208" s="14"/>
      <c r="D208" s="14"/>
      <c r="E208" s="14" t="s">
        <v>2194</v>
      </c>
      <c r="F208" s="14" t="s">
        <v>2198</v>
      </c>
      <c r="G208" s="14"/>
      <c r="H208" s="441"/>
      <c r="I208" s="40"/>
      <c r="J208" s="98"/>
      <c r="K208" s="61" t="s">
        <v>2198</v>
      </c>
      <c r="L208" s="791" t="s">
        <v>2552</v>
      </c>
      <c r="M208" s="800">
        <v>2</v>
      </c>
      <c r="N208" s="98"/>
      <c r="O208" s="607"/>
      <c r="P208" s="562"/>
      <c r="Q208" s="562"/>
      <c r="R208" s="562"/>
      <c r="S208" s="562"/>
      <c r="T208" s="562"/>
      <c r="U208" s="562"/>
      <c r="V208" s="562"/>
      <c r="W208" s="562"/>
      <c r="X208" s="787"/>
      <c r="Y208" s="562"/>
      <c r="Z208" s="562"/>
      <c r="AA208" s="562"/>
      <c r="AB208" s="562"/>
      <c r="AC208" s="562"/>
      <c r="AD208" s="562"/>
      <c r="AE208" s="562"/>
      <c r="AF208" s="562"/>
      <c r="AG208" s="562"/>
      <c r="AH208" s="562"/>
      <c r="AI208" s="562"/>
      <c r="AJ208" s="562"/>
      <c r="AK208" s="562"/>
      <c r="AL208" s="190" t="str">
        <f>SUBSTITUTE(SUBSTITUTE(SUBSTITUTE("dpa"&amp;$B208&amp;$C208&amp;$D208&amp;$E208&amp;$F208,".","_"),"(","_"),")","")</f>
        <v>dpa602_1_9_5_b</v>
      </c>
      <c r="AM208" s="190">
        <f>M208</f>
        <v>2</v>
      </c>
      <c r="AN208" s="562"/>
      <c r="AO208" s="562"/>
      <c r="AP208" s="562"/>
      <c r="AQ208" s="562"/>
      <c r="AR208" s="562"/>
      <c r="AS208" s="562"/>
      <c r="AT208" s="562"/>
      <c r="AU208" s="562"/>
      <c r="AV208" s="562"/>
      <c r="AW208" s="562"/>
      <c r="AX208" s="562"/>
      <c r="AY208" s="562"/>
    </row>
    <row r="209" spans="1:51" x14ac:dyDescent="0.2">
      <c r="B209" s="48" t="s">
        <v>2530</v>
      </c>
      <c r="C209" s="14"/>
      <c r="D209" s="14"/>
      <c r="E209" s="14" t="s">
        <v>2194</v>
      </c>
      <c r="F209" s="14" t="s">
        <v>2198</v>
      </c>
      <c r="G209" s="14"/>
      <c r="H209" s="441"/>
      <c r="I209" s="40"/>
      <c r="J209" s="165"/>
      <c r="K209" s="126"/>
      <c r="L209" s="792"/>
      <c r="M209" s="801"/>
      <c r="N209" s="165"/>
      <c r="O209" s="608"/>
      <c r="P209" s="562"/>
      <c r="Q209" s="562"/>
      <c r="R209" s="562"/>
      <c r="S209" s="562"/>
      <c r="T209" s="562"/>
      <c r="U209" s="562"/>
      <c r="V209" s="562"/>
      <c r="W209" s="562"/>
      <c r="X209" s="787"/>
      <c r="Y209" s="562"/>
      <c r="Z209" s="562"/>
      <c r="AA209" s="562"/>
      <c r="AB209" s="562"/>
      <c r="AC209" s="562"/>
      <c r="AD209" s="562"/>
      <c r="AE209" s="562"/>
      <c r="AF209" s="562"/>
      <c r="AG209" s="562"/>
      <c r="AH209" s="562"/>
      <c r="AI209" s="562"/>
      <c r="AJ209" s="562"/>
      <c r="AK209" s="562"/>
      <c r="AL209" s="562"/>
      <c r="AM209" s="562"/>
      <c r="AN209" s="562"/>
      <c r="AO209" s="562"/>
      <c r="AP209" s="562"/>
      <c r="AQ209" s="562"/>
      <c r="AR209" s="562"/>
      <c r="AS209" s="562"/>
      <c r="AT209" s="562"/>
      <c r="AU209" s="562"/>
      <c r="AV209" s="562"/>
      <c r="AW209" s="562"/>
      <c r="AX209" s="562"/>
      <c r="AY209" s="562"/>
    </row>
    <row r="210" spans="1:51" x14ac:dyDescent="0.2">
      <c r="B210" s="48" t="s">
        <v>2530</v>
      </c>
      <c r="C210" s="14"/>
      <c r="D210" s="14"/>
      <c r="E210" s="14" t="s">
        <v>2221</v>
      </c>
      <c r="F210" s="48"/>
      <c r="G210" s="48"/>
      <c r="H210" s="444"/>
      <c r="I210" s="40"/>
      <c r="J210" s="164" t="s">
        <v>2221</v>
      </c>
      <c r="K210" s="147"/>
      <c r="L210" s="831" t="s">
        <v>2553</v>
      </c>
      <c r="M210" s="824">
        <v>2</v>
      </c>
      <c r="N210" s="146"/>
      <c r="O210" s="815">
        <f>M210*S210*W210</f>
        <v>0</v>
      </c>
      <c r="P210" s="562" t="b">
        <v>1</v>
      </c>
      <c r="Q210" s="562" t="b">
        <v>0</v>
      </c>
      <c r="R210" s="562" t="b">
        <v>0</v>
      </c>
      <c r="S210" s="562" t="b">
        <v>1</v>
      </c>
      <c r="T210" s="562" t="b">
        <v>0</v>
      </c>
      <c r="U210" s="562"/>
      <c r="V210" s="562"/>
      <c r="W210" s="18"/>
      <c r="X210" s="787"/>
      <c r="Y210" s="562"/>
      <c r="Z210" s="562"/>
      <c r="AA210" s="562"/>
      <c r="AB210" s="562"/>
      <c r="AC210" s="562"/>
      <c r="AD210" s="562"/>
      <c r="AE210" s="562"/>
      <c r="AF210" s="562"/>
      <c r="AG210" s="562"/>
      <c r="AH210" s="562"/>
      <c r="AI210" s="562"/>
      <c r="AJ210" s="562"/>
      <c r="AK210" s="562"/>
      <c r="AL210" s="190" t="str">
        <f>SUBSTITUTE(SUBSTITUTE(SUBSTITUTE("dpa"&amp;$B210&amp;$C210&amp;$D210&amp;$E210&amp;$F210,".","_"),"(","_"),")","")</f>
        <v>dpa602_1_9_6</v>
      </c>
      <c r="AM210" s="190">
        <f>M210</f>
        <v>2</v>
      </c>
      <c r="AN210" s="190" t="str">
        <f>SUBSTITUTE(SUBSTITUTE(SUBSTITUTE("dpc"&amp;$B210&amp;$C210&amp;$D210&amp;$E210&amp;$F210,".","_"),"(","_"),")","")</f>
        <v>dpc602_1_9_6</v>
      </c>
      <c r="AO210" s="190">
        <f>O210</f>
        <v>0</v>
      </c>
      <c r="AP210" s="190" t="str">
        <f t="shared" ref="AP210" si="53">SUBSTITUTE(SUBSTITUTE(SUBSTITUTE("dch"&amp;$B210&amp;$C210&amp;$D210&amp;$E210&amp;$F210,".","_"),"(","_"),")","")</f>
        <v>dch602_1_9_6</v>
      </c>
      <c r="AQ210" s="190">
        <f>W210</f>
        <v>0</v>
      </c>
      <c r="AR210" s="562" t="str">
        <f>SUBSTITUTE(SUBSTITUTE(SUBSTITUTE("dnt"&amp;$B210&amp;$C210&amp;$D210&amp;$E210&amp;$F210,".","_"),"(","_"),")","")</f>
        <v>dnt602_1_9_6</v>
      </c>
      <c r="AS210" s="190">
        <f>X210</f>
        <v>0</v>
      </c>
      <c r="AT210" s="562"/>
      <c r="AU210" s="562"/>
      <c r="AV210" s="562"/>
      <c r="AW210" s="562"/>
      <c r="AX210" s="562"/>
      <c r="AY210" s="562"/>
    </row>
    <row r="211" spans="1:51" x14ac:dyDescent="0.2">
      <c r="B211" s="48" t="s">
        <v>2530</v>
      </c>
      <c r="C211" s="14"/>
      <c r="D211" s="14"/>
      <c r="E211" s="14" t="s">
        <v>2221</v>
      </c>
      <c r="F211" s="48"/>
      <c r="G211" s="48"/>
      <c r="H211" s="444"/>
      <c r="I211" s="40"/>
      <c r="J211" s="165"/>
      <c r="K211" s="126"/>
      <c r="L211" s="792"/>
      <c r="M211" s="801"/>
      <c r="N211" s="165"/>
      <c r="O211" s="794"/>
      <c r="P211" s="562"/>
      <c r="Q211" s="562"/>
      <c r="R211" s="562"/>
      <c r="S211" s="562"/>
      <c r="T211" s="562"/>
      <c r="U211" s="562"/>
      <c r="V211" s="562"/>
      <c r="W211" s="562"/>
      <c r="X211" s="787"/>
      <c r="Y211" s="562"/>
      <c r="Z211" s="562"/>
      <c r="AA211" s="562"/>
      <c r="AB211" s="562"/>
      <c r="AC211" s="562"/>
      <c r="AD211" s="562"/>
      <c r="AE211" s="562"/>
      <c r="AF211" s="562"/>
      <c r="AG211" s="562"/>
      <c r="AH211" s="562"/>
      <c r="AI211" s="562"/>
      <c r="AJ211" s="562"/>
      <c r="AK211" s="562"/>
      <c r="AL211" s="562"/>
      <c r="AM211" s="562"/>
      <c r="AN211" s="562"/>
      <c r="AO211" s="562"/>
      <c r="AP211" s="562"/>
      <c r="AQ211" s="562"/>
      <c r="AR211" s="562"/>
      <c r="AS211" s="562"/>
      <c r="AT211" s="562"/>
      <c r="AU211" s="562"/>
      <c r="AV211" s="562"/>
      <c r="AW211" s="562"/>
      <c r="AX211" s="562"/>
      <c r="AY211" s="562"/>
    </row>
    <row r="212" spans="1:51" ht="16" thickBot="1" x14ac:dyDescent="0.25">
      <c r="B212" s="48" t="s">
        <v>2530</v>
      </c>
      <c r="C212" s="14"/>
      <c r="D212" s="14"/>
      <c r="E212" s="14" t="s">
        <v>2223</v>
      </c>
      <c r="F212" s="49"/>
      <c r="G212" s="49"/>
      <c r="H212" s="445"/>
      <c r="I212" s="40"/>
      <c r="J212" s="20" t="s">
        <v>2223</v>
      </c>
      <c r="K212" s="53"/>
      <c r="L212" s="632" t="s">
        <v>2554</v>
      </c>
      <c r="M212" s="616">
        <v>2</v>
      </c>
      <c r="N212" s="3"/>
      <c r="O212" s="609">
        <f>M212*S212*W212</f>
        <v>0</v>
      </c>
      <c r="P212" s="562" t="b">
        <v>1</v>
      </c>
      <c r="Q212" s="562" t="b">
        <v>0</v>
      </c>
      <c r="R212" s="562" t="b">
        <v>0</v>
      </c>
      <c r="S212" s="562" t="b">
        <v>1</v>
      </c>
      <c r="T212" s="562" t="b">
        <v>0</v>
      </c>
      <c r="U212" s="562"/>
      <c r="V212" s="562"/>
      <c r="W212" s="18"/>
      <c r="X212" s="568"/>
      <c r="Y212" s="562"/>
      <c r="Z212" s="562"/>
      <c r="AA212" s="562"/>
      <c r="AB212" s="562"/>
      <c r="AC212" s="562"/>
      <c r="AD212" s="562"/>
      <c r="AE212" s="562"/>
      <c r="AF212" s="562"/>
      <c r="AG212" s="562"/>
      <c r="AH212" s="562"/>
      <c r="AI212" s="562"/>
      <c r="AJ212" s="562"/>
      <c r="AK212" s="562"/>
      <c r="AL212" s="190" t="str">
        <f>SUBSTITUTE(SUBSTITUTE(SUBSTITUTE("dpa"&amp;$B212&amp;$C212&amp;$D212&amp;$E212&amp;$F212,".","_"),"(","_"),")","")</f>
        <v>dpa602_1_9_7</v>
      </c>
      <c r="AM212" s="190">
        <f>M212</f>
        <v>2</v>
      </c>
      <c r="AN212" s="190" t="str">
        <f t="shared" ref="AN212:AN213" si="54">SUBSTITUTE(SUBSTITUTE(SUBSTITUTE("dpc"&amp;$B212&amp;$C212&amp;$D212&amp;$E212&amp;$F212,".","_"),"(","_"),")","")</f>
        <v>dpc602_1_9_7</v>
      </c>
      <c r="AO212" s="190">
        <f>O212</f>
        <v>0</v>
      </c>
      <c r="AP212" s="190" t="str">
        <f t="shared" ref="AP212" si="55">SUBSTITUTE(SUBSTITUTE(SUBSTITUTE("dch"&amp;$B212&amp;$C212&amp;$D212&amp;$E212&amp;$F212,".","_"),"(","_"),")","")</f>
        <v>dch602_1_9_7</v>
      </c>
      <c r="AQ212" s="190">
        <f>W212</f>
        <v>0</v>
      </c>
      <c r="AR212" s="562" t="str">
        <f>SUBSTITUTE(SUBSTITUTE(SUBSTITUTE("dnt"&amp;$B212&amp;$C212&amp;$D212&amp;$E212&amp;$F212,".","_"),"(","_"),")","")</f>
        <v>dnt602_1_9_7</v>
      </c>
      <c r="AS212" s="190">
        <f>X212</f>
        <v>0</v>
      </c>
      <c r="AT212" s="562"/>
      <c r="AU212" s="562"/>
      <c r="AV212" s="562"/>
      <c r="AW212" s="562"/>
      <c r="AX212" s="562"/>
      <c r="AY212" s="562"/>
    </row>
    <row r="213" spans="1:51" ht="16" thickTop="1" x14ac:dyDescent="0.2">
      <c r="B213" s="358" t="s">
        <v>2555</v>
      </c>
      <c r="C213" s="436"/>
      <c r="D213" s="14"/>
      <c r="E213" s="14"/>
      <c r="F213" s="14"/>
      <c r="G213" s="14"/>
      <c r="H213" s="441"/>
      <c r="I213" s="131" t="s">
        <v>2556</v>
      </c>
      <c r="J213" s="132"/>
      <c r="K213" s="133"/>
      <c r="L213" s="819" t="s">
        <v>2557</v>
      </c>
      <c r="M213" s="852" t="s">
        <v>2558</v>
      </c>
      <c r="N213" s="132"/>
      <c r="O213" s="823">
        <f ca="1">IFERROR(INDEX({2,4,6},MATCH(W214,INDIRECT(U214),0)),0)</f>
        <v>0</v>
      </c>
      <c r="P213" s="74"/>
      <c r="Q213" s="74"/>
      <c r="R213" s="74"/>
      <c r="S213" s="74"/>
      <c r="T213" s="74"/>
      <c r="U213" s="74"/>
      <c r="V213" s="74"/>
      <c r="W213" s="74"/>
      <c r="X213" s="74"/>
      <c r="Y213" s="562"/>
      <c r="Z213" s="562"/>
      <c r="AA213" s="562"/>
      <c r="AB213" s="562"/>
      <c r="AC213" s="562"/>
      <c r="AD213" s="562"/>
      <c r="AE213" s="562"/>
      <c r="AF213" s="562"/>
      <c r="AG213" s="562"/>
      <c r="AH213" s="562"/>
      <c r="AI213" s="562"/>
      <c r="AJ213" s="562"/>
      <c r="AK213" s="562"/>
      <c r="AL213" s="190" t="str">
        <f>SUBSTITUTE(SUBSTITUTE(SUBSTITUTE("dpa"&amp;$B213&amp;$C213&amp;$D213&amp;$E213&amp;$F213,".","_"),"(","_"),")","")</f>
        <v>dpa602_1_10</v>
      </c>
      <c r="AM213" s="190" t="str">
        <f>M213</f>
        <v>2 per exterior door
6 Max</v>
      </c>
      <c r="AN213" s="190" t="str">
        <f t="shared" si="54"/>
        <v>dpc602_1_10</v>
      </c>
      <c r="AO213" s="190">
        <f ca="1">O213</f>
        <v>0</v>
      </c>
      <c r="AP213" s="562"/>
      <c r="AQ213" s="562"/>
      <c r="AR213" s="562"/>
      <c r="AS213" s="562"/>
      <c r="AT213" s="562"/>
      <c r="AU213" s="562"/>
      <c r="AV213" s="562"/>
      <c r="AW213" s="562"/>
      <c r="AX213" s="562"/>
      <c r="AY213" s="562"/>
    </row>
    <row r="214" spans="1:51" ht="15" customHeight="1" x14ac:dyDescent="0.2">
      <c r="B214" s="358" t="s">
        <v>2555</v>
      </c>
      <c r="C214" s="436"/>
      <c r="D214" s="14"/>
      <c r="E214" s="14"/>
      <c r="F214" s="14"/>
      <c r="G214" s="14"/>
      <c r="H214" s="441"/>
      <c r="I214" s="99"/>
      <c r="J214" s="98"/>
      <c r="K214" s="65"/>
      <c r="L214" s="820"/>
      <c r="M214" s="853"/>
      <c r="N214" s="98"/>
      <c r="O214" s="793"/>
      <c r="P214" s="64" t="b">
        <v>1</v>
      </c>
      <c r="Q214" s="64" t="b">
        <v>1</v>
      </c>
      <c r="R214" s="64" t="b">
        <v>0</v>
      </c>
      <c r="S214" s="64" t="b">
        <v>1</v>
      </c>
      <c r="T214" s="64" t="b">
        <v>0</v>
      </c>
      <c r="U214" s="64" t="str">
        <f>SUBSTITUTE(SUBSTITUTE(SUBSTITUTE("dd"&amp;B214&amp;C214&amp;D214&amp;E214&amp;F214,".","_"),"(","_"),")","")</f>
        <v>dd602_1_10</v>
      </c>
      <c r="V214" s="64"/>
      <c r="W214" s="78"/>
      <c r="X214" s="798"/>
      <c r="Y214" s="562"/>
      <c r="Z214" s="562"/>
      <c r="AA214" s="562"/>
      <c r="AB214" s="562"/>
      <c r="AC214" s="562"/>
      <c r="AD214" s="562"/>
      <c r="AE214" s="562"/>
      <c r="AF214" s="562"/>
      <c r="AG214" s="562"/>
      <c r="AH214" s="562"/>
      <c r="AI214" s="562"/>
      <c r="AJ214" s="562"/>
      <c r="AK214" s="562"/>
      <c r="AL214" s="190"/>
      <c r="AM214" s="190"/>
      <c r="AN214" s="562"/>
      <c r="AO214" s="562"/>
      <c r="AP214" s="190" t="str">
        <f t="shared" ref="AP214" si="56">SUBSTITUTE(SUBSTITUTE(SUBSTITUTE("dch"&amp;$B214&amp;$C214&amp;$D214&amp;$E214&amp;$F214,".","_"),"(","_"),")","")</f>
        <v>dch602_1_10</v>
      </c>
      <c r="AQ214" s="190">
        <f>W214</f>
        <v>0</v>
      </c>
      <c r="AR214" s="562" t="str">
        <f>SUBSTITUTE(SUBSTITUTE(SUBSTITUTE("dnt"&amp;$B214&amp;$C214&amp;$D214&amp;$E214&amp;$F214,".","_"),"(","_"),")","")</f>
        <v>dnt602_1_10</v>
      </c>
      <c r="AS214" s="190">
        <f>X214</f>
        <v>0</v>
      </c>
      <c r="AT214" s="562"/>
      <c r="AU214" s="562"/>
      <c r="AV214" s="562"/>
      <c r="AW214" s="562"/>
      <c r="AX214" s="562"/>
      <c r="AY214" s="562"/>
    </row>
    <row r="215" spans="1:51" ht="15" customHeight="1" x14ac:dyDescent="0.2">
      <c r="B215" s="358" t="s">
        <v>2555</v>
      </c>
      <c r="C215" s="436"/>
      <c r="D215" s="14"/>
      <c r="E215" s="14"/>
      <c r="F215" s="14"/>
      <c r="G215" s="14"/>
      <c r="H215" s="441"/>
      <c r="I215" s="99"/>
      <c r="J215" s="98"/>
      <c r="K215" s="65"/>
      <c r="L215" s="820"/>
      <c r="M215" s="853"/>
      <c r="N215" s="98"/>
      <c r="O215" s="793"/>
      <c r="P215" s="64"/>
      <c r="Q215" s="64"/>
      <c r="R215" s="64"/>
      <c r="S215" s="64"/>
      <c r="T215" s="64"/>
      <c r="U215" s="64"/>
      <c r="V215" s="64"/>
      <c r="W215" s="64"/>
      <c r="X215" s="798"/>
      <c r="Y215" s="562"/>
      <c r="Z215" s="562"/>
      <c r="AA215" s="562"/>
      <c r="AB215" s="562"/>
      <c r="AC215" s="562"/>
      <c r="AD215" s="562"/>
      <c r="AE215" s="562"/>
      <c r="AF215" s="562"/>
      <c r="AG215" s="562"/>
      <c r="AH215" s="562"/>
      <c r="AI215" s="562"/>
      <c r="AJ215" s="562"/>
      <c r="AK215" s="562"/>
      <c r="AL215" s="562"/>
      <c r="AM215" s="562"/>
      <c r="AN215" s="562"/>
      <c r="AO215" s="562"/>
      <c r="AP215" s="562"/>
      <c r="AQ215" s="562"/>
      <c r="AR215" s="562"/>
      <c r="AS215" s="562"/>
      <c r="AT215" s="562"/>
      <c r="AU215" s="562"/>
      <c r="AV215" s="562"/>
      <c r="AW215" s="562"/>
      <c r="AX215" s="562"/>
      <c r="AY215" s="562"/>
    </row>
    <row r="216" spans="1:51" ht="15" customHeight="1" x14ac:dyDescent="0.2">
      <c r="B216" s="358" t="s">
        <v>2555</v>
      </c>
      <c r="C216" s="436"/>
      <c r="D216" s="14"/>
      <c r="E216" s="14"/>
      <c r="F216" s="14"/>
      <c r="G216" s="14"/>
      <c r="H216" s="441"/>
      <c r="I216" s="99"/>
      <c r="J216" s="98"/>
      <c r="K216" s="65"/>
      <c r="L216" s="820"/>
      <c r="M216" s="853"/>
      <c r="N216" s="98"/>
      <c r="O216" s="793"/>
      <c r="P216" s="64"/>
      <c r="Q216" s="64"/>
      <c r="R216" s="64"/>
      <c r="S216" s="64"/>
      <c r="T216" s="64"/>
      <c r="U216" s="64"/>
      <c r="V216" s="64"/>
      <c r="W216" s="64"/>
      <c r="X216" s="798"/>
      <c r="Y216" s="562"/>
      <c r="Z216" s="562"/>
      <c r="AA216" s="562"/>
      <c r="AB216" s="562"/>
      <c r="AC216" s="562"/>
      <c r="AD216" s="562"/>
      <c r="AE216" s="562"/>
      <c r="AF216" s="562"/>
      <c r="AG216" s="562"/>
      <c r="AH216" s="562"/>
      <c r="AI216" s="562"/>
      <c r="AJ216" s="562"/>
      <c r="AK216" s="562"/>
      <c r="AL216" s="562"/>
      <c r="AM216" s="562"/>
      <c r="AN216" s="562"/>
      <c r="AO216" s="562"/>
      <c r="AP216" s="562"/>
      <c r="AQ216" s="562"/>
      <c r="AR216" s="562"/>
      <c r="AS216" s="562"/>
      <c r="AT216" s="562"/>
      <c r="AU216" s="562"/>
      <c r="AV216" s="562"/>
      <c r="AW216" s="562"/>
      <c r="AX216" s="562"/>
      <c r="AY216" s="562"/>
    </row>
    <row r="217" spans="1:51" ht="15" customHeight="1" x14ac:dyDescent="0.2">
      <c r="B217" s="358" t="s">
        <v>2555</v>
      </c>
      <c r="C217" s="436"/>
      <c r="D217" s="14"/>
      <c r="E217" s="14"/>
      <c r="F217" s="14"/>
      <c r="G217" s="14"/>
      <c r="H217" s="441"/>
      <c r="I217" s="99"/>
      <c r="J217" s="98"/>
      <c r="K217" s="65"/>
      <c r="L217" s="820"/>
      <c r="M217" s="853"/>
      <c r="N217" s="98"/>
      <c r="O217" s="793"/>
      <c r="P217" s="64"/>
      <c r="Q217" s="64"/>
      <c r="R217" s="64"/>
      <c r="S217" s="64"/>
      <c r="T217" s="64"/>
      <c r="U217" s="64"/>
      <c r="V217" s="64"/>
      <c r="W217" s="64"/>
      <c r="X217" s="798"/>
      <c r="Y217" s="562"/>
      <c r="Z217" s="562"/>
      <c r="AA217" s="562"/>
      <c r="AB217" s="562"/>
      <c r="AC217" s="562"/>
      <c r="AD217" s="562"/>
      <c r="AE217" s="562"/>
      <c r="AF217" s="562"/>
      <c r="AG217" s="562"/>
      <c r="AH217" s="562"/>
      <c r="AI217" s="562"/>
      <c r="AJ217" s="562"/>
      <c r="AK217" s="562"/>
      <c r="AL217" s="562"/>
      <c r="AM217" s="562"/>
      <c r="AN217" s="562"/>
      <c r="AO217" s="562"/>
      <c r="AP217" s="562"/>
      <c r="AQ217" s="562"/>
      <c r="AR217" s="562"/>
      <c r="AS217" s="562"/>
      <c r="AT217" s="562"/>
      <c r="AU217" s="562"/>
      <c r="AV217" s="562"/>
      <c r="AW217" s="562"/>
      <c r="AX217" s="562"/>
      <c r="AY217" s="562"/>
    </row>
    <row r="218" spans="1:51" ht="15" customHeight="1" x14ac:dyDescent="0.2">
      <c r="B218" s="358" t="s">
        <v>2555</v>
      </c>
      <c r="C218" s="436"/>
      <c r="D218" s="14"/>
      <c r="E218" s="14"/>
      <c r="F218" s="14"/>
      <c r="G218" s="14"/>
      <c r="H218" s="441"/>
      <c r="I218" s="99"/>
      <c r="J218" s="98"/>
      <c r="K218" s="65"/>
      <c r="L218" s="820"/>
      <c r="M218" s="853"/>
      <c r="N218" s="98"/>
      <c r="O218" s="793"/>
      <c r="P218" s="64"/>
      <c r="Q218" s="64"/>
      <c r="R218" s="64"/>
      <c r="S218" s="64"/>
      <c r="T218" s="64"/>
      <c r="U218" s="64"/>
      <c r="V218" s="64"/>
      <c r="W218" s="64"/>
      <c r="X218" s="798"/>
      <c r="Y218" s="562"/>
      <c r="Z218" s="562"/>
      <c r="AA218" s="562"/>
      <c r="AB218" s="562"/>
      <c r="AC218" s="562"/>
      <c r="AD218" s="562"/>
      <c r="AE218" s="562"/>
      <c r="AF218" s="562"/>
      <c r="AG218" s="562"/>
      <c r="AH218" s="562"/>
      <c r="AI218" s="562"/>
      <c r="AJ218" s="562"/>
      <c r="AK218" s="562"/>
      <c r="AL218" s="562"/>
      <c r="AM218" s="562"/>
      <c r="AN218" s="562"/>
      <c r="AO218" s="562"/>
      <c r="AP218" s="562"/>
      <c r="AQ218" s="562"/>
      <c r="AR218" s="562"/>
      <c r="AS218" s="562"/>
      <c r="AT218" s="562"/>
      <c r="AU218" s="562"/>
      <c r="AV218" s="562"/>
      <c r="AW218" s="562"/>
      <c r="AX218" s="562"/>
      <c r="AY218" s="562"/>
    </row>
    <row r="219" spans="1:51" ht="15" customHeight="1" x14ac:dyDescent="0.2">
      <c r="B219" s="358" t="s">
        <v>2555</v>
      </c>
      <c r="C219" s="436"/>
      <c r="D219" s="14"/>
      <c r="E219" s="14"/>
      <c r="F219" s="14"/>
      <c r="G219" s="14"/>
      <c r="H219" s="441"/>
      <c r="I219" s="99"/>
      <c r="J219" s="98"/>
      <c r="K219" s="65"/>
      <c r="L219" s="633" t="str">
        <f>"This Project's Climate Zone: "&amp;BF17</f>
        <v>This Project's Climate Zone: !!</v>
      </c>
      <c r="M219" s="853"/>
      <c r="N219" s="98"/>
      <c r="O219" s="793"/>
      <c r="P219" s="64"/>
      <c r="Q219" s="64"/>
      <c r="R219" s="64"/>
      <c r="S219" s="64"/>
      <c r="T219" s="64"/>
      <c r="U219" s="64"/>
      <c r="V219" s="64"/>
      <c r="W219" s="64"/>
      <c r="X219" s="798"/>
      <c r="Y219" s="562"/>
      <c r="Z219" s="562"/>
      <c r="AA219" s="562"/>
      <c r="AB219" s="562"/>
      <c r="AC219" s="562"/>
      <c r="AD219" s="562"/>
      <c r="AE219" s="562"/>
      <c r="AF219" s="562"/>
      <c r="AG219" s="562"/>
      <c r="AH219" s="562"/>
      <c r="AI219" s="562"/>
      <c r="AJ219" s="562"/>
      <c r="AK219" s="562"/>
      <c r="AL219" s="562"/>
      <c r="AM219" s="562"/>
      <c r="AN219" s="562"/>
      <c r="AO219" s="562"/>
      <c r="AP219" s="562"/>
      <c r="AQ219" s="562"/>
      <c r="AR219" s="562"/>
      <c r="AS219" s="562"/>
      <c r="AT219" s="562"/>
      <c r="AU219" s="562"/>
      <c r="AV219" s="562"/>
      <c r="AW219" s="562"/>
      <c r="AX219" s="562"/>
      <c r="AY219" s="562"/>
    </row>
    <row r="220" spans="1:51" s="108" customFormat="1" x14ac:dyDescent="0.2">
      <c r="A220" s="13"/>
      <c r="B220" s="358" t="s">
        <v>2555</v>
      </c>
      <c r="C220" s="436"/>
      <c r="D220" s="14"/>
      <c r="E220" s="14"/>
      <c r="F220" s="14" t="s">
        <v>2196</v>
      </c>
      <c r="G220" s="14"/>
      <c r="H220" s="441"/>
      <c r="I220" s="99"/>
      <c r="J220" s="98"/>
      <c r="K220" s="61" t="s">
        <v>2196</v>
      </c>
      <c r="L220" s="598" t="s">
        <v>2559</v>
      </c>
      <c r="M220" s="853"/>
      <c r="N220" s="98"/>
      <c r="O220" s="793"/>
      <c r="P220" s="64"/>
      <c r="Q220" s="64"/>
      <c r="R220" s="64"/>
      <c r="S220" s="64"/>
      <c r="T220" s="64"/>
      <c r="U220" s="64"/>
      <c r="V220" s="64"/>
      <c r="W220" s="64"/>
      <c r="X220" s="798"/>
      <c r="Y220" s="562"/>
      <c r="Z220" s="562"/>
      <c r="AA220" s="562"/>
      <c r="AB220" s="562"/>
      <c r="AC220" s="562"/>
      <c r="AD220" s="562"/>
      <c r="AE220" s="562"/>
      <c r="AF220" s="562"/>
      <c r="AG220" s="562"/>
      <c r="AH220" s="562"/>
      <c r="AI220" s="562"/>
      <c r="AJ220" s="562"/>
      <c r="AK220" s="562"/>
      <c r="AL220" s="562"/>
      <c r="AM220" s="562"/>
      <c r="AN220" s="562"/>
      <c r="AO220" s="562"/>
      <c r="AP220" s="562"/>
      <c r="AQ220" s="562"/>
      <c r="AR220" s="562"/>
      <c r="AS220" s="562"/>
      <c r="AT220" s="562"/>
      <c r="AU220" s="562"/>
      <c r="AV220" s="562"/>
      <c r="AW220" s="562"/>
      <c r="AX220" s="562"/>
      <c r="AY220" s="562"/>
    </row>
    <row r="221" spans="1:51" ht="15" customHeight="1" x14ac:dyDescent="0.2">
      <c r="B221" s="358" t="s">
        <v>2555</v>
      </c>
      <c r="C221" s="436"/>
      <c r="D221" s="14"/>
      <c r="E221" s="14"/>
      <c r="F221" s="14" t="s">
        <v>2198</v>
      </c>
      <c r="G221" s="14"/>
      <c r="H221" s="441"/>
      <c r="I221" s="99"/>
      <c r="J221" s="98"/>
      <c r="K221" s="61" t="s">
        <v>2198</v>
      </c>
      <c r="L221" s="598" t="s">
        <v>2560</v>
      </c>
      <c r="M221" s="853"/>
      <c r="N221" s="98"/>
      <c r="O221" s="793"/>
      <c r="P221" s="64"/>
      <c r="Q221" s="64"/>
      <c r="R221" s="64"/>
      <c r="S221" s="64"/>
      <c r="T221" s="64"/>
      <c r="U221" s="64"/>
      <c r="V221" s="64"/>
      <c r="W221" s="64"/>
      <c r="X221" s="798"/>
      <c r="Y221" s="562"/>
      <c r="Z221" s="562"/>
      <c r="AA221" s="562"/>
      <c r="AB221" s="562"/>
      <c r="AC221" s="562"/>
      <c r="AD221" s="562"/>
      <c r="AE221" s="562"/>
      <c r="AF221" s="562"/>
      <c r="AG221" s="562"/>
      <c r="AH221" s="562"/>
      <c r="AI221" s="562"/>
      <c r="AJ221" s="562"/>
      <c r="AK221" s="562"/>
      <c r="AL221" s="562"/>
      <c r="AM221" s="562"/>
      <c r="AN221" s="562"/>
      <c r="AO221" s="562"/>
      <c r="AP221" s="562"/>
      <c r="AQ221" s="562"/>
      <c r="AR221" s="562"/>
      <c r="AS221" s="562"/>
      <c r="AT221" s="562"/>
      <c r="AU221" s="562"/>
      <c r="AV221" s="562"/>
      <c r="AW221" s="562"/>
      <c r="AX221" s="562"/>
      <c r="AY221" s="562"/>
    </row>
    <row r="222" spans="1:51" ht="15" customHeight="1" x14ac:dyDescent="0.2">
      <c r="B222" s="358" t="s">
        <v>2555</v>
      </c>
      <c r="C222" s="436"/>
      <c r="D222" s="14"/>
      <c r="E222" s="14"/>
      <c r="F222" s="14" t="s">
        <v>2200</v>
      </c>
      <c r="G222" s="14"/>
      <c r="H222" s="441"/>
      <c r="I222" s="99"/>
      <c r="J222" s="98"/>
      <c r="K222" s="79" t="s">
        <v>2200</v>
      </c>
      <c r="L222" s="598" t="s">
        <v>2561</v>
      </c>
      <c r="M222" s="853"/>
      <c r="N222" s="98"/>
      <c r="O222" s="793"/>
      <c r="P222" s="64"/>
      <c r="Q222" s="64"/>
      <c r="R222" s="64"/>
      <c r="S222" s="64"/>
      <c r="T222" s="64"/>
      <c r="U222" s="64"/>
      <c r="V222" s="64"/>
      <c r="W222" s="64"/>
      <c r="X222" s="798"/>
      <c r="Y222" s="562"/>
      <c r="Z222" s="562"/>
      <c r="AA222" s="562"/>
      <c r="AB222" s="562"/>
      <c r="AC222" s="562"/>
      <c r="AD222" s="562"/>
      <c r="AE222" s="562"/>
      <c r="AF222" s="562"/>
      <c r="AG222" s="562"/>
      <c r="AH222" s="562"/>
      <c r="AI222" s="562"/>
      <c r="AJ222" s="562"/>
      <c r="AK222" s="562"/>
      <c r="AL222" s="562"/>
      <c r="AM222" s="562"/>
      <c r="AN222" s="562"/>
      <c r="AO222" s="562"/>
      <c r="AP222" s="562"/>
      <c r="AQ222" s="562"/>
      <c r="AR222" s="562"/>
      <c r="AS222" s="562"/>
      <c r="AT222" s="562"/>
      <c r="AU222" s="562"/>
      <c r="AV222" s="562"/>
      <c r="AW222" s="562"/>
      <c r="AX222" s="562"/>
      <c r="AY222" s="562"/>
    </row>
    <row r="223" spans="1:51" ht="15" customHeight="1" x14ac:dyDescent="0.2">
      <c r="B223" s="358" t="s">
        <v>2555</v>
      </c>
      <c r="C223" s="436"/>
      <c r="D223" s="14"/>
      <c r="E223" s="14"/>
      <c r="F223" s="14" t="s">
        <v>2247</v>
      </c>
      <c r="G223" s="14"/>
      <c r="H223" s="441"/>
      <c r="I223" s="99"/>
      <c r="J223" s="98"/>
      <c r="K223" s="140" t="s">
        <v>2247</v>
      </c>
      <c r="L223" s="598" t="s">
        <v>2562</v>
      </c>
      <c r="M223" s="853"/>
      <c r="N223" s="98"/>
      <c r="O223" s="793"/>
      <c r="P223" s="64"/>
      <c r="Q223" s="64"/>
      <c r="R223" s="64"/>
      <c r="S223" s="64"/>
      <c r="T223" s="64"/>
      <c r="U223" s="64"/>
      <c r="V223" s="64"/>
      <c r="W223" s="64"/>
      <c r="X223" s="798"/>
      <c r="Y223" s="562"/>
      <c r="Z223" s="562"/>
      <c r="AA223" s="562"/>
      <c r="AB223" s="562"/>
      <c r="AC223" s="562"/>
      <c r="AD223" s="562"/>
      <c r="AE223" s="562"/>
      <c r="AF223" s="562"/>
      <c r="AG223" s="562"/>
      <c r="AH223" s="562"/>
      <c r="AI223" s="562"/>
      <c r="AJ223" s="562"/>
      <c r="AK223" s="562"/>
      <c r="AL223" s="562"/>
      <c r="AM223" s="562"/>
      <c r="AN223" s="562"/>
      <c r="AO223" s="562"/>
      <c r="AP223" s="562"/>
      <c r="AQ223" s="562"/>
      <c r="AR223" s="562"/>
      <c r="AS223" s="562"/>
      <c r="AT223" s="562"/>
      <c r="AU223" s="562"/>
      <c r="AV223" s="562"/>
      <c r="AW223" s="562"/>
      <c r="AX223" s="562"/>
      <c r="AY223" s="562"/>
    </row>
    <row r="224" spans="1:51" ht="15" customHeight="1" x14ac:dyDescent="0.2">
      <c r="B224" s="358" t="s">
        <v>2555</v>
      </c>
      <c r="C224" s="436"/>
      <c r="D224" s="14"/>
      <c r="E224" s="14"/>
      <c r="F224" s="14"/>
      <c r="G224" s="14"/>
      <c r="H224" s="441"/>
      <c r="I224" s="99"/>
      <c r="J224" s="98"/>
      <c r="K224" s="140"/>
      <c r="L224" s="849" t="s">
        <v>2563</v>
      </c>
      <c r="M224" s="853"/>
      <c r="N224" s="98"/>
      <c r="O224" s="793"/>
      <c r="P224" s="64"/>
      <c r="Q224" s="64"/>
      <c r="R224" s="64"/>
      <c r="S224" s="64"/>
      <c r="T224" s="64"/>
      <c r="U224" s="64"/>
      <c r="V224" s="64"/>
      <c r="W224" s="64"/>
      <c r="X224" s="798"/>
      <c r="Y224" s="562"/>
      <c r="Z224" s="562"/>
      <c r="AA224" s="562"/>
      <c r="AB224" s="562"/>
      <c r="AC224" s="562"/>
      <c r="AD224" s="562"/>
      <c r="AE224" s="562"/>
      <c r="AF224" s="562"/>
      <c r="AG224" s="562"/>
      <c r="AH224" s="562"/>
      <c r="AI224" s="562"/>
      <c r="AJ224" s="562"/>
      <c r="AK224" s="562"/>
      <c r="AL224" s="562"/>
      <c r="AM224" s="562"/>
      <c r="AN224" s="562"/>
      <c r="AO224" s="562"/>
      <c r="AP224" s="562"/>
      <c r="AQ224" s="562"/>
      <c r="AR224" s="562"/>
      <c r="AS224" s="562"/>
      <c r="AT224" s="562"/>
      <c r="AU224" s="562"/>
      <c r="AV224" s="562"/>
      <c r="AW224" s="562"/>
      <c r="AX224" s="562"/>
      <c r="AY224" s="562"/>
    </row>
    <row r="225" spans="1:51" s="108" customFormat="1" ht="16" thickBot="1" x14ac:dyDescent="0.25">
      <c r="A225" s="13"/>
      <c r="B225" s="358" t="s">
        <v>2555</v>
      </c>
      <c r="C225" s="436"/>
      <c r="D225" s="14"/>
      <c r="E225" s="14"/>
      <c r="F225" s="14"/>
      <c r="G225" s="14"/>
      <c r="H225" s="441"/>
      <c r="I225" s="99"/>
      <c r="J225" s="98"/>
      <c r="K225" s="140"/>
      <c r="L225" s="833"/>
      <c r="M225" s="853"/>
      <c r="N225" s="98"/>
      <c r="O225" s="793"/>
      <c r="P225" s="64"/>
      <c r="Q225" s="64"/>
      <c r="R225" s="64"/>
      <c r="S225" s="64"/>
      <c r="T225" s="64"/>
      <c r="U225" s="64"/>
      <c r="V225" s="64"/>
      <c r="W225" s="81"/>
      <c r="X225" s="825"/>
      <c r="Y225" s="562"/>
      <c r="Z225" s="562"/>
      <c r="AA225" s="562"/>
      <c r="AB225" s="562"/>
      <c r="AC225" s="562"/>
      <c r="AD225" s="562"/>
      <c r="AE225" s="562"/>
      <c r="AF225" s="562"/>
      <c r="AG225" s="562"/>
      <c r="AH225" s="562"/>
      <c r="AI225" s="562"/>
      <c r="AJ225" s="562"/>
      <c r="AK225" s="562"/>
      <c r="AL225" s="562"/>
      <c r="AM225" s="562"/>
      <c r="AN225" s="562"/>
      <c r="AO225" s="562"/>
      <c r="AP225" s="562"/>
      <c r="AQ225" s="562"/>
      <c r="AR225" s="562"/>
      <c r="AS225" s="562"/>
      <c r="AT225" s="562"/>
      <c r="AU225" s="562"/>
      <c r="AV225" s="562"/>
      <c r="AW225" s="562"/>
      <c r="AX225" s="562"/>
      <c r="AY225" s="562"/>
    </row>
    <row r="226" spans="1:51" s="108" customFormat="1" ht="16" thickTop="1" x14ac:dyDescent="0.2">
      <c r="A226" s="13"/>
      <c r="B226" s="358" t="s">
        <v>2564</v>
      </c>
      <c r="C226" s="436"/>
      <c r="D226" s="14"/>
      <c r="E226" s="14"/>
      <c r="F226" s="14"/>
      <c r="G226" s="14"/>
      <c r="H226" s="441"/>
      <c r="I226" s="131" t="s">
        <v>2565</v>
      </c>
      <c r="J226" s="132"/>
      <c r="K226" s="133"/>
      <c r="L226" s="819" t="s">
        <v>2566</v>
      </c>
      <c r="M226" s="843" t="str">
        <f>IF(R226,"Mandatory","N/A")</f>
        <v>Mandatory</v>
      </c>
      <c r="N226" s="132"/>
      <c r="O226" s="623"/>
      <c r="P226" s="74" t="b">
        <v>1</v>
      </c>
      <c r="Q226" s="74" t="b">
        <v>1</v>
      </c>
      <c r="R226" s="74" t="b">
        <f>S226</f>
        <v>1</v>
      </c>
      <c r="S226" s="74" t="b">
        <v>1</v>
      </c>
      <c r="T226" s="74" t="b">
        <v>0</v>
      </c>
      <c r="U226" s="74" t="str">
        <f>SUBSTITUTE(SUBSTITUTE(SUBSTITUTE("dd"&amp;B226&amp;C226&amp;D226&amp;E226&amp;F226,".","_"),"(","_"),")","")</f>
        <v>dd602_1_11</v>
      </c>
      <c r="V226" s="74"/>
      <c r="W226" s="192"/>
      <c r="X226" s="796"/>
      <c r="Y226" s="562"/>
      <c r="Z226" s="562"/>
      <c r="AA226" s="562"/>
      <c r="AB226" s="562"/>
      <c r="AC226" s="562" t="b">
        <f>OR(AD226:AE226)</f>
        <v>1</v>
      </c>
      <c r="AD226" s="562" t="b">
        <f>T226</f>
        <v>0</v>
      </c>
      <c r="AE226" s="562" t="b">
        <f>AND(R226,NOT(W226="Met"),NOT(W226="N/A"))</f>
        <v>1</v>
      </c>
      <c r="AF226" s="562"/>
      <c r="AG226" s="562"/>
      <c r="AH226" s="562"/>
      <c r="AI226" s="562"/>
      <c r="AJ226" s="562"/>
      <c r="AK226" s="562"/>
      <c r="AL226" s="190" t="str">
        <f>SUBSTITUTE(SUBSTITUTE(SUBSTITUTE("dpa"&amp;$B226&amp;$C226&amp;$D226&amp;$E226&amp;$F226,".","_"),"(","_"),")","")</f>
        <v>dpa602_1_11</v>
      </c>
      <c r="AM226" s="190" t="str">
        <f>M226</f>
        <v>Mandatory</v>
      </c>
      <c r="AN226" s="562"/>
      <c r="AO226" s="562"/>
      <c r="AP226" s="190" t="str">
        <f t="shared" ref="AP226" si="57">SUBSTITUTE(SUBSTITUTE(SUBSTITUTE("dch"&amp;$B226&amp;$C226&amp;$D226&amp;$E226&amp;$F226,".","_"),"(","_"),")","")</f>
        <v>dch602_1_11</v>
      </c>
      <c r="AQ226" s="190">
        <f>W226</f>
        <v>0</v>
      </c>
      <c r="AR226" s="562" t="str">
        <f>SUBSTITUTE(SUBSTITUTE(SUBSTITUTE("dnt"&amp;$B226&amp;$C226&amp;$D226&amp;$E226&amp;$F226,".","_"),"(","_"),")","")</f>
        <v>dnt602_1_11</v>
      </c>
      <c r="AS226" s="190">
        <f>X226</f>
        <v>0</v>
      </c>
      <c r="AT226" s="562"/>
      <c r="AU226" s="562"/>
      <c r="AV226" s="562"/>
      <c r="AW226" s="562"/>
      <c r="AX226" s="562"/>
      <c r="AY226" s="562"/>
    </row>
    <row r="227" spans="1:51" ht="15" customHeight="1" x14ac:dyDescent="0.2">
      <c r="B227" s="358" t="s">
        <v>2564</v>
      </c>
      <c r="C227" s="436"/>
      <c r="D227" s="14"/>
      <c r="E227" s="14"/>
      <c r="F227" s="14"/>
      <c r="G227" s="14"/>
      <c r="H227" s="441"/>
      <c r="I227" s="99"/>
      <c r="J227" s="98"/>
      <c r="K227" s="65"/>
      <c r="L227" s="820"/>
      <c r="M227" s="838"/>
      <c r="N227" s="98"/>
      <c r="O227" s="607"/>
      <c r="P227" s="64"/>
      <c r="Q227" s="64"/>
      <c r="R227" s="64"/>
      <c r="S227" s="64"/>
      <c r="T227" s="64"/>
      <c r="U227" s="64"/>
      <c r="V227" s="64"/>
      <c r="W227" s="489"/>
      <c r="X227" s="797"/>
      <c r="Y227" s="562"/>
      <c r="Z227" s="562"/>
      <c r="AA227" s="562"/>
      <c r="AB227" s="562"/>
      <c r="AC227" s="562"/>
      <c r="AD227" s="562"/>
      <c r="AE227" s="562"/>
      <c r="AF227" s="562"/>
      <c r="AG227" s="562"/>
      <c r="AH227" s="562"/>
      <c r="AI227" s="562"/>
      <c r="AJ227" s="562"/>
      <c r="AK227" s="562"/>
      <c r="AL227" s="562"/>
      <c r="AM227" s="562"/>
      <c r="AN227" s="562"/>
      <c r="AO227" s="562"/>
      <c r="AP227" s="562"/>
      <c r="AQ227" s="562"/>
      <c r="AR227" s="562"/>
      <c r="AS227" s="562"/>
      <c r="AT227" s="562"/>
      <c r="AU227" s="562"/>
      <c r="AV227" s="562"/>
      <c r="AW227" s="562"/>
      <c r="AX227" s="562"/>
      <c r="AY227" s="562"/>
    </row>
    <row r="228" spans="1:51" s="484" customFormat="1" ht="15" customHeight="1" x14ac:dyDescent="0.2">
      <c r="A228" s="13"/>
      <c r="B228" s="358" t="s">
        <v>2564</v>
      </c>
      <c r="C228" s="436"/>
      <c r="D228" s="14"/>
      <c r="E228" s="14"/>
      <c r="F228" s="14"/>
      <c r="G228" s="14"/>
      <c r="H228" s="441"/>
      <c r="I228" s="99"/>
      <c r="J228" s="98"/>
      <c r="K228" s="65"/>
      <c r="L228" s="846" t="s">
        <v>2567</v>
      </c>
      <c r="M228" s="488"/>
      <c r="N228" s="98"/>
      <c r="O228" s="607"/>
      <c r="P228" s="64"/>
      <c r="Q228" s="64"/>
      <c r="R228" s="64"/>
      <c r="S228" s="64"/>
      <c r="T228" s="64"/>
      <c r="U228" s="64"/>
      <c r="V228" s="64"/>
      <c r="W228" s="82"/>
      <c r="X228" s="797"/>
      <c r="Y228" s="562"/>
      <c r="Z228" s="562"/>
      <c r="AA228" s="562"/>
      <c r="AB228" s="562"/>
      <c r="AC228" s="562"/>
      <c r="AD228" s="562"/>
      <c r="AE228" s="562"/>
      <c r="AF228" s="562"/>
      <c r="AG228" s="562"/>
      <c r="AH228" s="562"/>
      <c r="AI228" s="562"/>
      <c r="AJ228" s="562"/>
      <c r="AK228" s="562"/>
      <c r="AL228" s="562"/>
      <c r="AM228" s="562"/>
      <c r="AN228" s="562"/>
      <c r="AO228" s="562"/>
      <c r="AP228" s="562"/>
      <c r="AQ228" s="562"/>
      <c r="AR228" s="562"/>
      <c r="AS228" s="562"/>
      <c r="AT228" s="562"/>
      <c r="AU228" s="562"/>
      <c r="AV228" s="562"/>
      <c r="AW228" s="562"/>
      <c r="AX228" s="562"/>
      <c r="AY228" s="562"/>
    </row>
    <row r="229" spans="1:51" s="484" customFormat="1" ht="15" customHeight="1" thickBot="1" x14ac:dyDescent="0.25">
      <c r="A229" s="13"/>
      <c r="B229" s="358" t="s">
        <v>2564</v>
      </c>
      <c r="C229" s="436"/>
      <c r="D229" s="14"/>
      <c r="E229" s="14"/>
      <c r="F229" s="14"/>
      <c r="G229" s="14"/>
      <c r="H229" s="441"/>
      <c r="I229" s="99"/>
      <c r="J229" s="98"/>
      <c r="K229" s="65"/>
      <c r="L229" s="860"/>
      <c r="M229" s="488"/>
      <c r="N229" s="98"/>
      <c r="O229" s="607"/>
      <c r="P229" s="64"/>
      <c r="Q229" s="64"/>
      <c r="R229" s="64"/>
      <c r="S229" s="64"/>
      <c r="T229" s="64"/>
      <c r="U229" s="64"/>
      <c r="V229" s="64"/>
      <c r="W229" s="81"/>
      <c r="X229" s="826"/>
      <c r="Y229" s="562"/>
      <c r="Z229" s="562"/>
      <c r="AA229" s="562"/>
      <c r="AB229" s="562"/>
      <c r="AC229" s="562"/>
      <c r="AD229" s="562"/>
      <c r="AE229" s="562"/>
      <c r="AF229" s="562"/>
      <c r="AG229" s="562"/>
      <c r="AH229" s="562"/>
      <c r="AI229" s="562"/>
      <c r="AJ229" s="562"/>
      <c r="AK229" s="562"/>
      <c r="AL229" s="562"/>
      <c r="AM229" s="562"/>
      <c r="AN229" s="562"/>
      <c r="AO229" s="562"/>
      <c r="AP229" s="562"/>
      <c r="AQ229" s="562"/>
      <c r="AR229" s="562"/>
      <c r="AS229" s="562"/>
      <c r="AT229" s="562"/>
      <c r="AU229" s="562"/>
      <c r="AV229" s="562"/>
      <c r="AW229" s="562"/>
      <c r="AX229" s="562"/>
      <c r="AY229" s="562"/>
    </row>
    <row r="230" spans="1:51" ht="15" customHeight="1" thickTop="1" x14ac:dyDescent="0.2">
      <c r="B230" s="358" t="s">
        <v>2568</v>
      </c>
      <c r="C230" s="436"/>
      <c r="D230" s="14"/>
      <c r="E230" s="14"/>
      <c r="F230" s="14"/>
      <c r="G230" s="14"/>
      <c r="H230" s="441"/>
      <c r="I230" s="131" t="s">
        <v>2569</v>
      </c>
      <c r="J230" s="132"/>
      <c r="K230" s="133"/>
      <c r="L230" s="819" t="s">
        <v>2570</v>
      </c>
      <c r="M230" s="827">
        <v>4</v>
      </c>
      <c r="N230" s="132"/>
      <c r="O230" s="823" t="e">
        <f ca="1">M230*S230*hyptarg3</f>
        <v>#REF!</v>
      </c>
      <c r="P230" s="562" t="b">
        <v>1</v>
      </c>
      <c r="Q230" s="562" t="b">
        <v>0</v>
      </c>
      <c r="R230" s="74" t="b">
        <v>0</v>
      </c>
      <c r="S230" s="74" t="e">
        <f ca="1">OR(ISBLANK(W62),W62=INDEX(INDIRECT(U62),1))</f>
        <v>#REF!</v>
      </c>
      <c r="T230" s="64" t="e">
        <f ca="1">AND(NOT(S230),W230=TRUE)</f>
        <v>#REF!</v>
      </c>
      <c r="U230" s="74"/>
      <c r="V230" s="74"/>
      <c r="W230" s="91"/>
      <c r="X230" s="802"/>
      <c r="Y230" s="562"/>
      <c r="Z230" s="562"/>
      <c r="AA230" s="562"/>
      <c r="AB230" s="562"/>
      <c r="AC230" s="562" t="e">
        <f ca="1">OR(AD230:AE230)</f>
        <v>#REF!</v>
      </c>
      <c r="AD230" s="562" t="e">
        <f ca="1">T230</f>
        <v>#REF!</v>
      </c>
      <c r="AE230" s="562" t="b">
        <v>0</v>
      </c>
      <c r="AF230" s="562"/>
      <c r="AG230" s="562"/>
      <c r="AH230" s="562"/>
      <c r="AI230" s="562"/>
      <c r="AJ230" s="562"/>
      <c r="AK230" s="562"/>
      <c r="AL230" s="190" t="str">
        <f>SUBSTITUTE(SUBSTITUTE(SUBSTITUTE("dpa"&amp;$B230&amp;$C230&amp;$D230&amp;$E230&amp;$F230,".","_"),"(","_"),")","")</f>
        <v>dpa602_1_12</v>
      </c>
      <c r="AM230" s="190">
        <f>M230</f>
        <v>4</v>
      </c>
      <c r="AN230" s="190" t="str">
        <f>SUBSTITUTE(SUBSTITUTE(SUBSTITUTE("dpc"&amp;$B230&amp;$C230&amp;$D230&amp;$E230&amp;$F230,".","_"),"(","_"),")","")</f>
        <v>dpc602_1_12</v>
      </c>
      <c r="AO230" s="190" t="e">
        <f ca="1">O230</f>
        <v>#REF!</v>
      </c>
      <c r="AP230" s="190" t="str">
        <f t="shared" ref="AP230" si="58">SUBSTITUTE(SUBSTITUTE(SUBSTITUTE("dch"&amp;$B230&amp;$C230&amp;$D230&amp;$E230&amp;$F230,".","_"),"(","_"),")","")</f>
        <v>dch602_1_12</v>
      </c>
      <c r="AQ230" s="190">
        <f>W230</f>
        <v>0</v>
      </c>
      <c r="AR230" s="562" t="str">
        <f>SUBSTITUTE(SUBSTITUTE(SUBSTITUTE("dnt"&amp;$B230&amp;$C230&amp;$D230&amp;$E230&amp;$F230,".","_"),"(","_"),")","")</f>
        <v>dnt602_1_12</v>
      </c>
      <c r="AS230" s="190">
        <f>X230</f>
        <v>0</v>
      </c>
      <c r="AT230" s="562"/>
      <c r="AU230" s="562"/>
      <c r="AV230" s="562"/>
      <c r="AW230" s="562"/>
      <c r="AX230" s="562"/>
      <c r="AY230" s="562"/>
    </row>
    <row r="231" spans="1:51" ht="15" customHeight="1" x14ac:dyDescent="0.2">
      <c r="B231" s="358" t="s">
        <v>2568</v>
      </c>
      <c r="C231" s="436"/>
      <c r="D231" s="14"/>
      <c r="E231" s="14"/>
      <c r="F231" s="14"/>
      <c r="G231" s="14"/>
      <c r="H231" s="441"/>
      <c r="I231" s="99"/>
      <c r="J231" s="98"/>
      <c r="K231" s="65"/>
      <c r="L231" s="820"/>
      <c r="M231" s="800"/>
      <c r="N231" s="98"/>
      <c r="O231" s="793"/>
      <c r="P231" s="64"/>
      <c r="Q231" s="64"/>
      <c r="R231" s="64"/>
      <c r="S231" s="64"/>
      <c r="T231" s="64"/>
      <c r="U231" s="64"/>
      <c r="V231" s="64"/>
      <c r="W231" s="64"/>
      <c r="X231" s="798"/>
      <c r="Y231" s="562"/>
      <c r="Z231" s="562"/>
      <c r="AA231" s="562"/>
      <c r="AB231" s="562"/>
      <c r="AC231" s="562"/>
      <c r="AD231" s="562"/>
      <c r="AE231" s="562"/>
      <c r="AF231" s="562"/>
      <c r="AG231" s="562"/>
      <c r="AH231" s="562"/>
      <c r="AI231" s="562"/>
      <c r="AJ231" s="562"/>
      <c r="AK231" s="562"/>
      <c r="AL231" s="562"/>
      <c r="AM231" s="562"/>
      <c r="AN231" s="562"/>
      <c r="AO231" s="562"/>
      <c r="AP231" s="562"/>
      <c r="AQ231" s="562"/>
      <c r="AR231" s="562"/>
      <c r="AS231" s="562"/>
      <c r="AT231" s="562"/>
      <c r="AU231" s="562"/>
      <c r="AV231" s="562"/>
      <c r="AW231" s="562"/>
      <c r="AX231" s="562"/>
      <c r="AY231" s="562"/>
    </row>
    <row r="232" spans="1:51" ht="15" customHeight="1" thickBot="1" x14ac:dyDescent="0.25">
      <c r="B232" s="358" t="s">
        <v>2568</v>
      </c>
      <c r="C232" s="436"/>
      <c r="D232" s="14"/>
      <c r="E232" s="14"/>
      <c r="F232" s="14"/>
      <c r="G232" s="14"/>
      <c r="H232" s="441"/>
      <c r="I232" s="99"/>
      <c r="J232" s="98"/>
      <c r="K232" s="65"/>
      <c r="L232" s="446" t="s">
        <v>2571</v>
      </c>
      <c r="M232" s="800"/>
      <c r="N232" s="98"/>
      <c r="O232" s="793"/>
      <c r="P232" s="64"/>
      <c r="Q232" s="64"/>
      <c r="R232" s="64"/>
      <c r="S232" s="64"/>
      <c r="T232" s="64"/>
      <c r="U232" s="64"/>
      <c r="V232" s="64"/>
      <c r="W232" s="81"/>
      <c r="X232" s="825"/>
      <c r="Y232" s="562"/>
      <c r="Z232" s="562"/>
      <c r="AA232" s="562"/>
      <c r="AB232" s="562"/>
      <c r="AC232" s="562"/>
      <c r="AD232" s="562"/>
      <c r="AE232" s="562"/>
      <c r="AF232" s="562"/>
      <c r="AG232" s="562"/>
      <c r="AH232" s="562"/>
      <c r="AI232" s="562"/>
      <c r="AJ232" s="562"/>
      <c r="AK232" s="562"/>
      <c r="AL232" s="562"/>
      <c r="AM232" s="562"/>
      <c r="AN232" s="562"/>
      <c r="AO232" s="562"/>
      <c r="AP232" s="562"/>
      <c r="AQ232" s="562"/>
      <c r="AR232" s="562"/>
      <c r="AS232" s="562"/>
      <c r="AT232" s="562"/>
      <c r="AU232" s="562"/>
      <c r="AV232" s="562"/>
      <c r="AW232" s="562"/>
      <c r="AX232" s="562"/>
      <c r="AY232" s="562"/>
    </row>
    <row r="233" spans="1:51" s="105" customFormat="1" ht="16" thickTop="1" x14ac:dyDescent="0.2">
      <c r="A233" s="13"/>
      <c r="B233" s="48" t="s">
        <v>2572</v>
      </c>
      <c r="C233" s="48"/>
      <c r="D233" s="14"/>
      <c r="E233" s="14"/>
      <c r="F233" s="14"/>
      <c r="G233" s="14"/>
      <c r="H233" s="441"/>
      <c r="I233" s="131" t="s">
        <v>2573</v>
      </c>
      <c r="J233" s="132"/>
      <c r="K233" s="133"/>
      <c r="L233" s="819" t="s">
        <v>2574</v>
      </c>
      <c r="M233" s="843" t="str">
        <f>IF(R233,"Mandatory","N/A")</f>
        <v>Mandatory</v>
      </c>
      <c r="N233" s="132"/>
      <c r="O233" s="623"/>
      <c r="P233" s="74" t="b">
        <v>1</v>
      </c>
      <c r="Q233" s="74" t="b">
        <v>0</v>
      </c>
      <c r="R233" s="74" t="b">
        <f>S233</f>
        <v>1</v>
      </c>
      <c r="S233" s="74" t="b">
        <v>1</v>
      </c>
      <c r="T233" s="74" t="b">
        <v>0</v>
      </c>
      <c r="U233" s="74" t="str">
        <f>SUBSTITUTE(SUBSTITUTE(SUBSTITUTE("dd"&amp;B233&amp;C233&amp;D233&amp;E233&amp;F233,".","_"),"(","_"),")","")</f>
        <v>dd602_1_13</v>
      </c>
      <c r="V233" s="74"/>
      <c r="W233" s="192"/>
      <c r="X233" s="802"/>
      <c r="Y233" s="562"/>
      <c r="Z233" s="562"/>
      <c r="AA233" s="562"/>
      <c r="AB233" s="562"/>
      <c r="AC233" s="562" t="b">
        <f>OR(AD233:AE233)</f>
        <v>1</v>
      </c>
      <c r="AD233" s="562" t="b">
        <f>T233</f>
        <v>0</v>
      </c>
      <c r="AE233" s="562" t="b">
        <f>AND(R233,NOT(W233="Met"),NOT(W233="N/A"))</f>
        <v>1</v>
      </c>
      <c r="AF233" s="562"/>
      <c r="AG233" s="562"/>
      <c r="AH233" s="562"/>
      <c r="AI233" s="562"/>
      <c r="AJ233" s="562"/>
      <c r="AK233" s="562"/>
      <c r="AL233" s="190" t="str">
        <f>SUBSTITUTE(SUBSTITUTE(SUBSTITUTE("dpa"&amp;$B233&amp;$C233&amp;$D233&amp;$E233&amp;$F233,".","_"),"(","_"),")","")</f>
        <v>dpa602_1_13</v>
      </c>
      <c r="AM233" s="190" t="str">
        <f>M233</f>
        <v>Mandatory</v>
      </c>
      <c r="AN233" s="562"/>
      <c r="AO233" s="562"/>
      <c r="AP233" s="190" t="str">
        <f t="shared" ref="AP233" si="59">SUBSTITUTE(SUBSTITUTE(SUBSTITUTE("dch"&amp;$B233&amp;$C233&amp;$D233&amp;$E233&amp;$F233,".","_"),"(","_"),")","")</f>
        <v>dch602_1_13</v>
      </c>
      <c r="AQ233" s="190">
        <f>W233</f>
        <v>0</v>
      </c>
      <c r="AR233" s="562" t="str">
        <f>SUBSTITUTE(SUBSTITUTE(SUBSTITUTE("dnt"&amp;$B233&amp;$C233&amp;$D233&amp;$E233&amp;$F233,".","_"),"(","_"),")","")</f>
        <v>dnt602_1_13</v>
      </c>
      <c r="AS233" s="190">
        <f>X233</f>
        <v>0</v>
      </c>
      <c r="AT233" s="562"/>
      <c r="AU233" s="562"/>
      <c r="AV233" s="562"/>
      <c r="AW233" s="562"/>
      <c r="AX233" s="562"/>
      <c r="AY233" s="562"/>
    </row>
    <row r="234" spans="1:51" x14ac:dyDescent="0.2">
      <c r="B234" s="48" t="s">
        <v>2572</v>
      </c>
      <c r="C234" s="48"/>
      <c r="D234" s="14"/>
      <c r="E234" s="14"/>
      <c r="F234" s="14"/>
      <c r="G234" s="14"/>
      <c r="H234" s="441"/>
      <c r="I234" s="99"/>
      <c r="J234" s="98"/>
      <c r="K234" s="65"/>
      <c r="L234" s="820"/>
      <c r="M234" s="838"/>
      <c r="N234" s="98"/>
      <c r="O234" s="607"/>
      <c r="P234" s="64"/>
      <c r="Q234" s="64"/>
      <c r="R234" s="64"/>
      <c r="S234" s="64"/>
      <c r="T234" s="64"/>
      <c r="U234" s="64"/>
      <c r="V234" s="64"/>
      <c r="W234" s="64"/>
      <c r="X234" s="798"/>
      <c r="Y234" s="562"/>
      <c r="Z234" s="562"/>
      <c r="AA234" s="562"/>
      <c r="AB234" s="562"/>
      <c r="AC234" s="562"/>
      <c r="AD234" s="562"/>
      <c r="AE234" s="562"/>
      <c r="AF234" s="562"/>
      <c r="AG234" s="562"/>
      <c r="AH234" s="562"/>
      <c r="AI234" s="562"/>
      <c r="AJ234" s="562"/>
      <c r="AK234" s="562"/>
      <c r="AL234" s="562"/>
      <c r="AM234" s="562"/>
      <c r="AN234" s="562"/>
      <c r="AO234" s="562"/>
      <c r="AP234" s="562"/>
      <c r="AQ234" s="562"/>
      <c r="AR234" s="562"/>
      <c r="AS234" s="562"/>
      <c r="AT234" s="562"/>
      <c r="AU234" s="562"/>
      <c r="AV234" s="562"/>
      <c r="AW234" s="562"/>
      <c r="AX234" s="562"/>
      <c r="AY234" s="562"/>
    </row>
    <row r="235" spans="1:51" x14ac:dyDescent="0.2">
      <c r="B235" s="48" t="s">
        <v>2572</v>
      </c>
      <c r="C235" s="48"/>
      <c r="D235" s="14"/>
      <c r="E235" s="14"/>
      <c r="F235" s="14"/>
      <c r="G235" s="14"/>
      <c r="H235" s="441"/>
      <c r="I235" s="99"/>
      <c r="J235" s="98"/>
      <c r="K235" s="65"/>
      <c r="L235" s="820"/>
      <c r="M235" s="838"/>
      <c r="N235" s="98"/>
      <c r="O235" s="607"/>
      <c r="P235" s="64"/>
      <c r="Q235" s="64"/>
      <c r="R235" s="64"/>
      <c r="S235" s="64"/>
      <c r="T235" s="64"/>
      <c r="U235" s="64"/>
      <c r="V235" s="64"/>
      <c r="W235" s="64"/>
      <c r="X235" s="798"/>
      <c r="Y235" s="562"/>
      <c r="Z235" s="562"/>
      <c r="AA235" s="562"/>
      <c r="AB235" s="562"/>
      <c r="AC235" s="562"/>
      <c r="AD235" s="562"/>
      <c r="AE235" s="562"/>
      <c r="AF235" s="562"/>
      <c r="AG235" s="562"/>
      <c r="AH235" s="562"/>
      <c r="AI235" s="562"/>
      <c r="AJ235" s="562"/>
      <c r="AK235" s="562"/>
      <c r="AL235" s="562"/>
      <c r="AM235" s="562"/>
      <c r="AN235" s="562"/>
      <c r="AO235" s="562"/>
      <c r="AP235" s="562"/>
      <c r="AQ235" s="562"/>
      <c r="AR235" s="562"/>
      <c r="AS235" s="562"/>
      <c r="AT235" s="562"/>
      <c r="AU235" s="562"/>
      <c r="AV235" s="562"/>
      <c r="AW235" s="562"/>
      <c r="AX235" s="562"/>
      <c r="AY235" s="562"/>
    </row>
    <row r="236" spans="1:51" ht="16" thickBot="1" x14ac:dyDescent="0.25">
      <c r="B236" s="48" t="s">
        <v>2572</v>
      </c>
      <c r="C236" s="48"/>
      <c r="D236" s="14"/>
      <c r="E236" s="14"/>
      <c r="F236" s="14"/>
      <c r="G236" s="14"/>
      <c r="H236" s="441"/>
      <c r="I236" s="99"/>
      <c r="J236" s="98"/>
      <c r="K236" s="65"/>
      <c r="L236" s="820"/>
      <c r="M236" s="838"/>
      <c r="N236" s="98"/>
      <c r="O236" s="607"/>
      <c r="P236" s="64"/>
      <c r="Q236" s="64"/>
      <c r="R236" s="64"/>
      <c r="S236" s="64"/>
      <c r="T236" s="64"/>
      <c r="U236" s="64"/>
      <c r="V236" s="64"/>
      <c r="W236" s="64"/>
      <c r="X236" s="825"/>
      <c r="Y236" s="562"/>
      <c r="Z236" s="562"/>
      <c r="AA236" s="562"/>
      <c r="AB236" s="562"/>
      <c r="AC236" s="562"/>
      <c r="AD236" s="562"/>
      <c r="AE236" s="562"/>
      <c r="AF236" s="562"/>
      <c r="AG236" s="562"/>
      <c r="AH236" s="562"/>
      <c r="AI236" s="562"/>
      <c r="AJ236" s="562"/>
      <c r="AK236" s="562"/>
      <c r="AL236" s="562"/>
      <c r="AM236" s="562"/>
      <c r="AN236" s="562"/>
      <c r="AO236" s="562"/>
      <c r="AP236" s="562"/>
      <c r="AQ236" s="562"/>
      <c r="AR236" s="562"/>
      <c r="AS236" s="562"/>
      <c r="AT236" s="562"/>
      <c r="AU236" s="562"/>
      <c r="AV236" s="562"/>
      <c r="AW236" s="562"/>
      <c r="AX236" s="562"/>
      <c r="AY236" s="562"/>
    </row>
    <row r="237" spans="1:51" ht="16" thickTop="1" x14ac:dyDescent="0.2">
      <c r="B237" s="48" t="s">
        <v>2575</v>
      </c>
      <c r="C237" s="48"/>
      <c r="D237" s="14"/>
      <c r="E237" s="14"/>
      <c r="F237" s="14"/>
      <c r="G237" s="14"/>
      <c r="H237" s="441"/>
      <c r="I237" s="131" t="s">
        <v>2576</v>
      </c>
      <c r="J237" s="132"/>
      <c r="K237" s="133"/>
      <c r="L237" s="819" t="s">
        <v>2577</v>
      </c>
      <c r="M237" s="625"/>
      <c r="N237" s="132"/>
      <c r="O237" s="623"/>
      <c r="P237" s="74"/>
      <c r="Q237" s="74"/>
      <c r="R237" s="74"/>
      <c r="S237" s="74"/>
      <c r="T237" s="74"/>
      <c r="U237" s="74"/>
      <c r="V237" s="74"/>
      <c r="W237" s="74"/>
      <c r="X237" s="74"/>
      <c r="Y237" s="562"/>
      <c r="Z237" s="562"/>
      <c r="AA237" s="562"/>
      <c r="AB237" s="562"/>
      <c r="AC237" s="562"/>
      <c r="AD237" s="562"/>
      <c r="AE237" s="562"/>
      <c r="AF237" s="562"/>
      <c r="AG237" s="562"/>
      <c r="AH237" s="562"/>
      <c r="AI237" s="562"/>
      <c r="AJ237" s="562"/>
      <c r="AK237" s="562"/>
      <c r="AL237" s="562"/>
      <c r="AM237" s="562"/>
      <c r="AN237" s="562"/>
      <c r="AO237" s="562"/>
      <c r="AP237" s="562"/>
      <c r="AQ237" s="562"/>
      <c r="AR237" s="562"/>
      <c r="AS237" s="562"/>
      <c r="AT237" s="562"/>
      <c r="AU237" s="562"/>
      <c r="AV237" s="562"/>
      <c r="AW237" s="562"/>
      <c r="AX237" s="562"/>
      <c r="AY237" s="562"/>
    </row>
    <row r="238" spans="1:51" x14ac:dyDescent="0.2">
      <c r="B238" s="48" t="s">
        <v>2575</v>
      </c>
      <c r="C238" s="48"/>
      <c r="D238" s="14"/>
      <c r="E238" s="14"/>
      <c r="F238" s="14"/>
      <c r="G238" s="14"/>
      <c r="H238" s="441"/>
      <c r="I238" s="99"/>
      <c r="J238" s="98"/>
      <c r="K238" s="65"/>
      <c r="L238" s="820"/>
      <c r="M238" s="610"/>
      <c r="N238" s="98"/>
      <c r="O238" s="607"/>
      <c r="P238" s="64"/>
      <c r="Q238" s="64"/>
      <c r="R238" s="64"/>
      <c r="S238" s="64"/>
      <c r="T238" s="64"/>
      <c r="U238" s="64"/>
      <c r="V238" s="64"/>
      <c r="W238" s="64"/>
      <c r="X238" s="64"/>
      <c r="Y238" s="562"/>
      <c r="Z238" s="562"/>
      <c r="AA238" s="562"/>
      <c r="AB238" s="562"/>
      <c r="AC238" s="562"/>
      <c r="AD238" s="562"/>
      <c r="AE238" s="562"/>
      <c r="AF238" s="562"/>
      <c r="AG238" s="562"/>
      <c r="AH238" s="562"/>
      <c r="AI238" s="562"/>
      <c r="AJ238" s="562"/>
      <c r="AK238" s="562"/>
      <c r="AL238" s="562"/>
      <c r="AM238" s="562"/>
      <c r="AN238" s="562"/>
      <c r="AO238" s="562"/>
      <c r="AP238" s="562"/>
      <c r="AQ238" s="562"/>
      <c r="AR238" s="562"/>
      <c r="AS238" s="562"/>
      <c r="AT238" s="562"/>
      <c r="AU238" s="562"/>
      <c r="AV238" s="562"/>
      <c r="AW238" s="562"/>
      <c r="AX238" s="562"/>
      <c r="AY238" s="562"/>
    </row>
    <row r="239" spans="1:51" x14ac:dyDescent="0.2">
      <c r="B239" s="48" t="s">
        <v>2575</v>
      </c>
      <c r="C239" s="48"/>
      <c r="D239" s="14"/>
      <c r="E239" s="14" t="s">
        <v>2181</v>
      </c>
      <c r="F239" s="14"/>
      <c r="G239" s="14"/>
      <c r="H239" s="441"/>
      <c r="I239" s="40"/>
      <c r="J239" s="134" t="s">
        <v>2181</v>
      </c>
      <c r="K239" s="65"/>
      <c r="L239" s="791" t="s">
        <v>2578</v>
      </c>
      <c r="M239" s="829" t="str">
        <f>IF(R239,"Mandatory
1","N/A")</f>
        <v>Mandatory
1</v>
      </c>
      <c r="N239" s="98"/>
      <c r="O239" s="793">
        <f>IF(AND(S239,W239="Met"),1,0)</f>
        <v>0</v>
      </c>
      <c r="P239" s="562" t="b">
        <v>1</v>
      </c>
      <c r="Q239" s="562" t="b">
        <v>1</v>
      </c>
      <c r="R239" s="562" t="b">
        <f>S239</f>
        <v>1</v>
      </c>
      <c r="S239" s="562" t="b">
        <v>1</v>
      </c>
      <c r="T239" s="562" t="b">
        <v>0</v>
      </c>
      <c r="U239" s="64" t="str">
        <f>SUBSTITUTE(SUBSTITUTE(SUBSTITUTE("dd"&amp;B239&amp;C239&amp;D239&amp;E239&amp;F239,".","_"),"(","_"),")","")</f>
        <v>dd602_1_14_1</v>
      </c>
      <c r="V239" s="562"/>
      <c r="W239" s="6"/>
      <c r="X239" s="787"/>
      <c r="Y239" s="562"/>
      <c r="Z239" s="562"/>
      <c r="AA239" s="562"/>
      <c r="AB239" s="562"/>
      <c r="AC239" s="562" t="b">
        <f>OR(AD239:AE239)</f>
        <v>1</v>
      </c>
      <c r="AD239" s="562" t="b">
        <f>T239</f>
        <v>0</v>
      </c>
      <c r="AE239" s="562" t="b">
        <f>AND(R239,NOT(W239="Met"),NOT(W239="N/A"))</f>
        <v>1</v>
      </c>
      <c r="AF239" s="562"/>
      <c r="AG239" s="562"/>
      <c r="AH239" s="562"/>
      <c r="AI239" s="562"/>
      <c r="AJ239" s="562"/>
      <c r="AK239" s="562"/>
      <c r="AL239" s="190" t="str">
        <f>SUBSTITUTE(SUBSTITUTE(SUBSTITUTE("dpa"&amp;$B239&amp;$C239&amp;$D239&amp;$E239&amp;$F239,".","_"),"(","_"),")","")</f>
        <v>dpa602_1_14_1</v>
      </c>
      <c r="AM239" s="190" t="str">
        <f>M239</f>
        <v>Mandatory
1</v>
      </c>
      <c r="AN239" s="190" t="str">
        <f>SUBSTITUTE(SUBSTITUTE(SUBSTITUTE("dpc"&amp;$B239&amp;$C239&amp;$D239&amp;$E239&amp;$F239,".","_"),"(","_"),")","")</f>
        <v>dpc602_1_14_1</v>
      </c>
      <c r="AO239" s="190">
        <f>O239</f>
        <v>0</v>
      </c>
      <c r="AP239" s="190" t="str">
        <f t="shared" ref="AP239" si="60">SUBSTITUTE(SUBSTITUTE(SUBSTITUTE("dch"&amp;$B239&amp;$C239&amp;$D239&amp;$E239&amp;$F239,".","_"),"(","_"),")","")</f>
        <v>dch602_1_14_1</v>
      </c>
      <c r="AQ239" s="190">
        <f>W239</f>
        <v>0</v>
      </c>
      <c r="AR239" s="562" t="str">
        <f>SUBSTITUTE(SUBSTITUTE(SUBSTITUTE("dnt"&amp;$B239&amp;$C239&amp;$D239&amp;$E239&amp;$F239,".","_"),"(","_"),")","")</f>
        <v>dnt602_1_14_1</v>
      </c>
      <c r="AS239" s="190">
        <f>X239</f>
        <v>0</v>
      </c>
      <c r="AT239" s="562"/>
      <c r="AU239" s="562"/>
      <c r="AV239" s="562"/>
      <c r="AW239" s="562"/>
      <c r="AX239" s="562"/>
      <c r="AY239" s="562"/>
    </row>
    <row r="240" spans="1:51" x14ac:dyDescent="0.2">
      <c r="B240" s="48" t="s">
        <v>2575</v>
      </c>
      <c r="C240" s="48"/>
      <c r="D240" s="14"/>
      <c r="E240" s="14" t="s">
        <v>2181</v>
      </c>
      <c r="F240" s="14"/>
      <c r="G240" s="14"/>
      <c r="H240" s="441"/>
      <c r="I240" s="40"/>
      <c r="J240" s="165"/>
      <c r="K240" s="126"/>
      <c r="L240" s="792"/>
      <c r="M240" s="830"/>
      <c r="N240" s="165"/>
      <c r="O240" s="794"/>
      <c r="P240" s="562"/>
      <c r="Q240" s="562"/>
      <c r="R240" s="562"/>
      <c r="S240" s="562"/>
      <c r="T240" s="562"/>
      <c r="U240" s="562"/>
      <c r="V240" s="562"/>
      <c r="W240" s="562"/>
      <c r="X240" s="787"/>
      <c r="Y240" s="562"/>
      <c r="Z240" s="562"/>
      <c r="AA240" s="562"/>
      <c r="AB240" s="562"/>
      <c r="AC240" s="562"/>
      <c r="AD240" s="562"/>
      <c r="AE240" s="562"/>
      <c r="AF240" s="562"/>
      <c r="AG240" s="562"/>
      <c r="AH240" s="562"/>
      <c r="AI240" s="562"/>
      <c r="AJ240" s="562"/>
      <c r="AK240" s="562"/>
      <c r="AL240" s="562"/>
      <c r="AM240" s="562"/>
      <c r="AN240" s="562"/>
      <c r="AO240" s="562"/>
      <c r="AP240" s="562"/>
      <c r="AQ240" s="562"/>
      <c r="AR240" s="562"/>
      <c r="AS240" s="562"/>
      <c r="AT240" s="562"/>
      <c r="AU240" s="562"/>
      <c r="AV240" s="562"/>
      <c r="AW240" s="562"/>
      <c r="AX240" s="562"/>
      <c r="AY240" s="562"/>
    </row>
    <row r="241" spans="1:51" x14ac:dyDescent="0.2">
      <c r="B241" s="48" t="s">
        <v>2575</v>
      </c>
      <c r="C241" s="48"/>
      <c r="D241" s="14"/>
      <c r="E241" s="14" t="s">
        <v>2183</v>
      </c>
      <c r="F241" s="14"/>
      <c r="G241" s="14"/>
      <c r="H241" s="441"/>
      <c r="I241" s="40"/>
      <c r="J241" s="161" t="s">
        <v>2183</v>
      </c>
      <c r="K241" s="162"/>
      <c r="L241" s="205" t="s">
        <v>2579</v>
      </c>
      <c r="M241" s="249">
        <v>2</v>
      </c>
      <c r="N241" s="186"/>
      <c r="O241" s="248">
        <f>M241*S241*W241</f>
        <v>0</v>
      </c>
      <c r="P241" s="562" t="b">
        <v>1</v>
      </c>
      <c r="Q241" s="562" t="b">
        <v>1</v>
      </c>
      <c r="R241" s="562" t="b">
        <v>0</v>
      </c>
      <c r="S241" s="562" t="b">
        <v>1</v>
      </c>
      <c r="T241" s="562" t="b">
        <v>0</v>
      </c>
      <c r="U241" s="562"/>
      <c r="V241" s="562"/>
      <c r="W241" s="18"/>
      <c r="X241" s="563"/>
      <c r="Y241" s="562"/>
      <c r="Z241" s="562"/>
      <c r="AA241" s="562"/>
      <c r="AB241" s="562"/>
      <c r="AC241" s="562"/>
      <c r="AD241" s="562"/>
      <c r="AE241" s="562"/>
      <c r="AF241" s="562"/>
      <c r="AG241" s="562"/>
      <c r="AH241" s="562"/>
      <c r="AI241" s="562"/>
      <c r="AJ241" s="562"/>
      <c r="AK241" s="562"/>
      <c r="AL241" s="190" t="str">
        <f>SUBSTITUTE(SUBSTITUTE(SUBSTITUTE("dpa"&amp;$B241&amp;$C241&amp;$D241&amp;$E241&amp;$F241,".","_"),"(","_"),")","")</f>
        <v>dpa602_1_14_2</v>
      </c>
      <c r="AM241" s="190">
        <f>M241</f>
        <v>2</v>
      </c>
      <c r="AN241" s="190" t="str">
        <f t="shared" ref="AN241:AN243" si="61">SUBSTITUTE(SUBSTITUTE(SUBSTITUTE("dpc"&amp;$B241&amp;$C241&amp;$D241&amp;$E241&amp;$F241,".","_"),"(","_"),")","")</f>
        <v>dpc602_1_14_2</v>
      </c>
      <c r="AO241" s="190">
        <f>O241</f>
        <v>0</v>
      </c>
      <c r="AP241" s="190" t="str">
        <f t="shared" ref="AP241:AP242" si="62">SUBSTITUTE(SUBSTITUTE(SUBSTITUTE("dch"&amp;$B241&amp;$C241&amp;$D241&amp;$E241&amp;$F241,".","_"),"(","_"),")","")</f>
        <v>dch602_1_14_2</v>
      </c>
      <c r="AQ241" s="190">
        <f>W241</f>
        <v>0</v>
      </c>
      <c r="AR241" s="562" t="str">
        <f>SUBSTITUTE(SUBSTITUTE(SUBSTITUTE("dnt"&amp;$B241&amp;$C241&amp;$D241&amp;$E241&amp;$F241,".","_"),"(","_"),")","")</f>
        <v>dnt602_1_14_2</v>
      </c>
      <c r="AS241" s="190">
        <f>X241</f>
        <v>0</v>
      </c>
      <c r="AT241" s="562"/>
      <c r="AU241" s="562"/>
      <c r="AV241" s="562"/>
      <c r="AW241" s="562"/>
      <c r="AX241" s="562"/>
      <c r="AY241" s="562"/>
    </row>
    <row r="242" spans="1:51" ht="16" thickBot="1" x14ac:dyDescent="0.25">
      <c r="B242" s="48" t="s">
        <v>2575</v>
      </c>
      <c r="C242" s="48"/>
      <c r="D242" s="14"/>
      <c r="E242" s="14" t="s">
        <v>2185</v>
      </c>
      <c r="F242" s="14"/>
      <c r="G242" s="14"/>
      <c r="H242" s="441"/>
      <c r="I242" s="40"/>
      <c r="J242" s="20" t="s">
        <v>2185</v>
      </c>
      <c r="K242" s="53"/>
      <c r="L242" s="632" t="s">
        <v>2580</v>
      </c>
      <c r="M242" s="616">
        <v>2</v>
      </c>
      <c r="N242" s="3"/>
      <c r="O242" s="609">
        <f>M242*S242*W242</f>
        <v>0</v>
      </c>
      <c r="P242" s="562" t="b">
        <v>1</v>
      </c>
      <c r="Q242" s="562" t="b">
        <v>1</v>
      </c>
      <c r="R242" s="562" t="b">
        <v>0</v>
      </c>
      <c r="S242" s="562" t="b">
        <v>1</v>
      </c>
      <c r="T242" s="562" t="b">
        <v>0</v>
      </c>
      <c r="U242" s="562"/>
      <c r="V242" s="562"/>
      <c r="W242" s="18"/>
      <c r="X242" s="568"/>
      <c r="Y242" s="562"/>
      <c r="Z242" s="562"/>
      <c r="AA242" s="562"/>
      <c r="AB242" s="562"/>
      <c r="AC242" s="562"/>
      <c r="AD242" s="562"/>
      <c r="AE242" s="562"/>
      <c r="AF242" s="562"/>
      <c r="AG242" s="562"/>
      <c r="AH242" s="562"/>
      <c r="AI242" s="562"/>
      <c r="AJ242" s="562"/>
      <c r="AK242" s="562"/>
      <c r="AL242" s="190" t="str">
        <f>SUBSTITUTE(SUBSTITUTE(SUBSTITUTE("dpa"&amp;$B242&amp;$C242&amp;$D242&amp;$E242&amp;$F242,".","_"),"(","_"),")","")</f>
        <v>dpa602_1_14_3</v>
      </c>
      <c r="AM242" s="190">
        <f>M242</f>
        <v>2</v>
      </c>
      <c r="AN242" s="190" t="str">
        <f t="shared" si="61"/>
        <v>dpc602_1_14_3</v>
      </c>
      <c r="AO242" s="190">
        <f>O242</f>
        <v>0</v>
      </c>
      <c r="AP242" s="190" t="str">
        <f t="shared" si="62"/>
        <v>dch602_1_14_3</v>
      </c>
      <c r="AQ242" s="190">
        <f>W242</f>
        <v>0</v>
      </c>
      <c r="AR242" s="562" t="str">
        <f>SUBSTITUTE(SUBSTITUTE(SUBSTITUTE("dnt"&amp;$B242&amp;$C242&amp;$D242&amp;$E242&amp;$F242,".","_"),"(","_"),")","")</f>
        <v>dnt602_1_14_3</v>
      </c>
      <c r="AS242" s="190">
        <f>X242</f>
        <v>0</v>
      </c>
      <c r="AT242" s="562"/>
      <c r="AU242" s="562"/>
      <c r="AV242" s="562"/>
      <c r="AW242" s="562"/>
      <c r="AX242" s="562"/>
      <c r="AY242" s="562"/>
    </row>
    <row r="243" spans="1:51" ht="16" thickTop="1" x14ac:dyDescent="0.2">
      <c r="B243" s="48">
        <v>602.20000000000005</v>
      </c>
      <c r="C243" s="14"/>
      <c r="D243" s="14"/>
      <c r="E243" s="14"/>
      <c r="F243" s="14"/>
      <c r="G243" s="14"/>
      <c r="H243" s="441"/>
      <c r="I243" s="131" t="s">
        <v>2581</v>
      </c>
      <c r="J243" s="132"/>
      <c r="K243" s="133"/>
      <c r="L243" s="819" t="s">
        <v>2582</v>
      </c>
      <c r="M243" s="827">
        <v>3</v>
      </c>
      <c r="N243" s="132"/>
      <c r="O243" s="823">
        <f>IFERROR(OR(W247,W249,W250),0)*M243</f>
        <v>0</v>
      </c>
      <c r="P243" s="74"/>
      <c r="Q243" s="74"/>
      <c r="R243" s="74"/>
      <c r="S243" s="74"/>
      <c r="T243" s="74"/>
      <c r="U243" s="74"/>
      <c r="V243" s="74"/>
      <c r="W243" s="74"/>
      <c r="X243" s="74"/>
      <c r="Y243" s="562"/>
      <c r="Z243" s="562"/>
      <c r="AA243" s="562"/>
      <c r="AB243" s="562"/>
      <c r="AC243" s="562"/>
      <c r="AD243" s="562"/>
      <c r="AE243" s="562"/>
      <c r="AF243" s="562"/>
      <c r="AG243" s="562"/>
      <c r="AH243" s="562"/>
      <c r="AI243" s="562"/>
      <c r="AJ243" s="562"/>
      <c r="AK243" s="562"/>
      <c r="AL243" s="190" t="str">
        <f>SUBSTITUTE(SUBSTITUTE(SUBSTITUTE("dpa"&amp;$B243&amp;$C243&amp;$D243&amp;$E243&amp;$F243,".","_"),"(","_"),")","")</f>
        <v>dpa602,2</v>
      </c>
      <c r="AM243" s="190">
        <f>M243</f>
        <v>3</v>
      </c>
      <c r="AN243" s="190" t="str">
        <f t="shared" si="61"/>
        <v>dpc602,2</v>
      </c>
      <c r="AO243" s="190">
        <f>O243</f>
        <v>0</v>
      </c>
      <c r="AP243" s="562"/>
      <c r="AQ243" s="562"/>
      <c r="AR243" s="562"/>
      <c r="AS243" s="562"/>
      <c r="AT243" s="562"/>
      <c r="AU243" s="562"/>
      <c r="AV243" s="562"/>
      <c r="AW243" s="562"/>
      <c r="AX243" s="562"/>
      <c r="AY243" s="562"/>
    </row>
    <row r="244" spans="1:51" x14ac:dyDescent="0.2">
      <c r="B244" s="48">
        <v>602.20000000000005</v>
      </c>
      <c r="C244" s="14"/>
      <c r="D244" s="14"/>
      <c r="E244" s="14"/>
      <c r="F244" s="14"/>
      <c r="G244" s="14"/>
      <c r="H244" s="441"/>
      <c r="I244" s="99"/>
      <c r="J244" s="98"/>
      <c r="K244" s="65"/>
      <c r="L244" s="820"/>
      <c r="M244" s="800"/>
      <c r="N244" s="98"/>
      <c r="O244" s="793"/>
      <c r="P244" s="64"/>
      <c r="Q244" s="64"/>
      <c r="R244" s="64"/>
      <c r="S244" s="64"/>
      <c r="T244" s="64"/>
      <c r="U244" s="64"/>
      <c r="V244" s="64"/>
      <c r="W244" s="64"/>
      <c r="X244" s="64"/>
      <c r="Y244" s="562"/>
      <c r="Z244" s="562"/>
      <c r="AA244" s="562"/>
      <c r="AB244" s="562"/>
      <c r="AC244" s="562"/>
      <c r="AD244" s="562"/>
      <c r="AE244" s="562"/>
      <c r="AF244" s="562"/>
      <c r="AG244" s="562"/>
      <c r="AH244" s="562"/>
      <c r="AI244" s="562"/>
      <c r="AJ244" s="562"/>
      <c r="AK244" s="562"/>
      <c r="AL244" s="562"/>
      <c r="AM244" s="562"/>
      <c r="AN244" s="562"/>
      <c r="AO244" s="562"/>
      <c r="AP244" s="562"/>
      <c r="AQ244" s="562"/>
      <c r="AR244" s="562"/>
      <c r="AS244" s="562"/>
      <c r="AT244" s="562"/>
      <c r="AU244" s="562"/>
      <c r="AV244" s="562"/>
      <c r="AW244" s="562"/>
      <c r="AX244" s="562"/>
      <c r="AY244" s="562"/>
    </row>
    <row r="245" spans="1:51" x14ac:dyDescent="0.2">
      <c r="B245" s="48">
        <v>602.20000000000005</v>
      </c>
      <c r="C245" s="14"/>
      <c r="D245" s="14"/>
      <c r="E245" s="14"/>
      <c r="F245" s="14"/>
      <c r="G245" s="14"/>
      <c r="H245" s="441"/>
      <c r="I245" s="99"/>
      <c r="J245" s="98"/>
      <c r="K245" s="65"/>
      <c r="L245" s="820"/>
      <c r="M245" s="800"/>
      <c r="N245" s="98"/>
      <c r="O245" s="793"/>
      <c r="P245" s="64"/>
      <c r="Q245" s="64"/>
      <c r="R245" s="64"/>
      <c r="S245" s="64"/>
      <c r="T245" s="64"/>
      <c r="U245" s="64"/>
      <c r="V245" s="64"/>
      <c r="W245" s="64"/>
      <c r="X245" s="64"/>
      <c r="Y245" s="562"/>
      <c r="Z245" s="562"/>
      <c r="AA245" s="562"/>
      <c r="AB245" s="562"/>
      <c r="AC245" s="562"/>
      <c r="AD245" s="562"/>
      <c r="AE245" s="562"/>
      <c r="AF245" s="562"/>
      <c r="AG245" s="562"/>
      <c r="AH245" s="562"/>
      <c r="AI245" s="562"/>
      <c r="AJ245" s="562"/>
      <c r="AK245" s="562"/>
      <c r="AL245" s="562"/>
      <c r="AM245" s="562"/>
      <c r="AN245" s="562"/>
      <c r="AO245" s="562"/>
      <c r="AP245" s="562"/>
      <c r="AQ245" s="562"/>
      <c r="AR245" s="562"/>
      <c r="AS245" s="562"/>
      <c r="AT245" s="562"/>
      <c r="AU245" s="562"/>
      <c r="AV245" s="562"/>
      <c r="AW245" s="562"/>
      <c r="AX245" s="562"/>
      <c r="AY245" s="562"/>
    </row>
    <row r="246" spans="1:51" x14ac:dyDescent="0.2">
      <c r="B246" s="48">
        <v>602.20000000000005</v>
      </c>
      <c r="C246" s="14"/>
      <c r="D246" s="14"/>
      <c r="E246" s="14"/>
      <c r="F246" s="14"/>
      <c r="G246" s="14"/>
      <c r="H246" s="441"/>
      <c r="I246" s="99"/>
      <c r="J246" s="98"/>
      <c r="K246" s="65"/>
      <c r="L246" s="820"/>
      <c r="M246" s="800"/>
      <c r="N246" s="98"/>
      <c r="O246" s="793"/>
      <c r="P246" s="64"/>
      <c r="Q246" s="64"/>
      <c r="R246" s="64"/>
      <c r="S246" s="64"/>
      <c r="T246" s="64"/>
      <c r="U246" s="64"/>
      <c r="V246" s="64"/>
      <c r="W246" s="64"/>
      <c r="X246" s="64"/>
      <c r="Y246" s="562"/>
      <c r="Z246" s="562"/>
      <c r="AA246" s="562"/>
      <c r="AB246" s="562"/>
      <c r="AC246" s="562"/>
      <c r="AD246" s="562"/>
      <c r="AE246" s="562"/>
      <c r="AF246" s="562"/>
      <c r="AG246" s="562"/>
      <c r="AH246" s="562"/>
      <c r="AI246" s="562"/>
      <c r="AJ246" s="562"/>
      <c r="AK246" s="562"/>
      <c r="AL246" s="562"/>
      <c r="AM246" s="562"/>
      <c r="AN246" s="562"/>
      <c r="AO246" s="562"/>
      <c r="AP246" s="562"/>
      <c r="AQ246" s="562"/>
      <c r="AR246" s="562"/>
      <c r="AS246" s="562"/>
      <c r="AT246" s="562"/>
      <c r="AU246" s="562"/>
      <c r="AV246" s="562"/>
      <c r="AW246" s="562"/>
      <c r="AX246" s="562"/>
      <c r="AY246" s="562"/>
    </row>
    <row r="247" spans="1:51" x14ac:dyDescent="0.2">
      <c r="B247" s="48">
        <v>602.20000000000005</v>
      </c>
      <c r="C247" s="14"/>
      <c r="D247" s="14"/>
      <c r="E247" s="14" t="s">
        <v>2181</v>
      </c>
      <c r="F247" s="14"/>
      <c r="G247" s="14"/>
      <c r="H247" s="441"/>
      <c r="I247" s="40"/>
      <c r="J247" s="134" t="s">
        <v>2181</v>
      </c>
      <c r="K247" s="65"/>
      <c r="L247" s="776" t="s">
        <v>2583</v>
      </c>
      <c r="M247" s="616"/>
      <c r="N247" s="3"/>
      <c r="O247" s="609"/>
      <c r="P247" s="562" t="b">
        <v>1</v>
      </c>
      <c r="Q247" s="562" t="b">
        <v>1</v>
      </c>
      <c r="R247" s="562" t="b">
        <v>0</v>
      </c>
      <c r="S247" s="562" t="b">
        <v>1</v>
      </c>
      <c r="T247" s="562" t="b">
        <v>0</v>
      </c>
      <c r="U247" s="562"/>
      <c r="V247" s="562"/>
      <c r="W247" s="18"/>
      <c r="X247" s="787"/>
      <c r="Y247" s="562"/>
      <c r="Z247" s="562"/>
      <c r="AA247" s="562"/>
      <c r="AB247" s="562"/>
      <c r="AC247" s="562"/>
      <c r="AD247" s="562"/>
      <c r="AE247" s="562"/>
      <c r="AF247" s="562"/>
      <c r="AG247" s="562"/>
      <c r="AH247" s="562"/>
      <c r="AI247" s="562"/>
      <c r="AJ247" s="562"/>
      <c r="AK247" s="562"/>
      <c r="AL247" s="562"/>
      <c r="AM247" s="562"/>
      <c r="AN247" s="562"/>
      <c r="AO247" s="562"/>
      <c r="AP247" s="190" t="str">
        <f t="shared" ref="AP247" si="63">SUBSTITUTE(SUBSTITUTE(SUBSTITUTE("dch"&amp;$B247&amp;$C247&amp;$D247&amp;$E247&amp;$F247,".","_"),"(","_"),")","")</f>
        <v>dch602,2_1</v>
      </c>
      <c r="AQ247" s="190">
        <f>W247</f>
        <v>0</v>
      </c>
      <c r="AR247" s="562" t="str">
        <f>SUBSTITUTE(SUBSTITUTE(SUBSTITUTE("dnt"&amp;$B247&amp;$C247&amp;$D247&amp;$E247&amp;$F247,".","_"),"(","_"),")","")</f>
        <v>dnt602,2_1</v>
      </c>
      <c r="AS247" s="190">
        <f>X247</f>
        <v>0</v>
      </c>
      <c r="AT247" s="562"/>
      <c r="AU247" s="562"/>
      <c r="AV247" s="562"/>
      <c r="AW247" s="562"/>
      <c r="AX247" s="562"/>
      <c r="AY247" s="562"/>
    </row>
    <row r="248" spans="1:51" x14ac:dyDescent="0.2">
      <c r="B248" s="48">
        <v>602.20000000000005</v>
      </c>
      <c r="C248" s="14"/>
      <c r="D248" s="14"/>
      <c r="E248" s="14" t="s">
        <v>2181</v>
      </c>
      <c r="F248" s="14"/>
      <c r="G248" s="14"/>
      <c r="H248" s="441"/>
      <c r="I248" s="40"/>
      <c r="J248" s="159"/>
      <c r="K248" s="126"/>
      <c r="L248" s="777"/>
      <c r="M248" s="616"/>
      <c r="N248" s="3"/>
      <c r="O248" s="609"/>
      <c r="P248" s="562"/>
      <c r="Q248" s="562"/>
      <c r="R248" s="562"/>
      <c r="S248" s="562"/>
      <c r="T248" s="562"/>
      <c r="U248" s="562"/>
      <c r="V248" s="562"/>
      <c r="W248" s="562"/>
      <c r="X248" s="787"/>
      <c r="Y248" s="562"/>
      <c r="Z248" s="562"/>
      <c r="AA248" s="562"/>
      <c r="AB248" s="562"/>
      <c r="AC248" s="562"/>
      <c r="AD248" s="562"/>
      <c r="AE248" s="562"/>
      <c r="AF248" s="562"/>
      <c r="AG248" s="562"/>
      <c r="AH248" s="562"/>
      <c r="AI248" s="562"/>
      <c r="AJ248" s="562"/>
      <c r="AK248" s="562"/>
      <c r="AL248" s="562"/>
      <c r="AM248" s="562"/>
      <c r="AN248" s="562"/>
      <c r="AO248" s="562"/>
      <c r="AP248" s="562"/>
      <c r="AQ248" s="562"/>
      <c r="AR248" s="562"/>
      <c r="AS248" s="562"/>
      <c r="AT248" s="562"/>
      <c r="AU248" s="562"/>
      <c r="AV248" s="562"/>
      <c r="AW248" s="562"/>
      <c r="AX248" s="562"/>
      <c r="AY248" s="562"/>
    </row>
    <row r="249" spans="1:51" s="108" customFormat="1" x14ac:dyDescent="0.2">
      <c r="A249" s="13"/>
      <c r="B249" s="48">
        <v>602.20000000000005</v>
      </c>
      <c r="C249" s="14"/>
      <c r="D249" s="14"/>
      <c r="E249" s="14" t="s">
        <v>2183</v>
      </c>
      <c r="F249" s="14"/>
      <c r="G249" s="14"/>
      <c r="H249" s="441"/>
      <c r="I249" s="40"/>
      <c r="J249" s="161" t="s">
        <v>2183</v>
      </c>
      <c r="K249" s="162"/>
      <c r="L249" s="205" t="s">
        <v>2584</v>
      </c>
      <c r="M249" s="616"/>
      <c r="N249" s="3"/>
      <c r="O249" s="609"/>
      <c r="P249" s="562" t="b">
        <v>1</v>
      </c>
      <c r="Q249" s="562" t="b">
        <v>1</v>
      </c>
      <c r="R249" s="562" t="b">
        <v>0</v>
      </c>
      <c r="S249" s="562" t="b">
        <v>1</v>
      </c>
      <c r="T249" s="562" t="b">
        <v>0</v>
      </c>
      <c r="U249" s="562"/>
      <c r="V249" s="562"/>
      <c r="W249" s="18"/>
      <c r="X249" s="563"/>
      <c r="Y249" s="562"/>
      <c r="Z249" s="562"/>
      <c r="AA249" s="562"/>
      <c r="AB249" s="562"/>
      <c r="AC249" s="562"/>
      <c r="AD249" s="562"/>
      <c r="AE249" s="562"/>
      <c r="AF249" s="562"/>
      <c r="AG249" s="562"/>
      <c r="AH249" s="562"/>
      <c r="AI249" s="562"/>
      <c r="AJ249" s="562"/>
      <c r="AK249" s="562"/>
      <c r="AL249" s="562"/>
      <c r="AM249" s="562"/>
      <c r="AN249" s="562"/>
      <c r="AO249" s="562"/>
      <c r="AP249" s="190" t="str">
        <f t="shared" ref="AP249:AP250" si="64">SUBSTITUTE(SUBSTITUTE(SUBSTITUTE("dch"&amp;$B249&amp;$C249&amp;$D249&amp;$E249&amp;$F249,".","_"),"(","_"),")","")</f>
        <v>dch602,2_2</v>
      </c>
      <c r="AQ249" s="190">
        <f>W249</f>
        <v>0</v>
      </c>
      <c r="AR249" s="562" t="str">
        <f>SUBSTITUTE(SUBSTITUTE(SUBSTITUTE("dnt"&amp;$B249&amp;$C249&amp;$D249&amp;$E249&amp;$F249,".","_"),"(","_"),")","")</f>
        <v>dnt602,2_2</v>
      </c>
      <c r="AS249" s="190">
        <f>X249</f>
        <v>0</v>
      </c>
      <c r="AT249" s="562"/>
      <c r="AU249" s="562"/>
      <c r="AV249" s="562"/>
      <c r="AW249" s="562"/>
      <c r="AX249" s="562"/>
      <c r="AY249" s="562"/>
    </row>
    <row r="250" spans="1:51" x14ac:dyDescent="0.2">
      <c r="B250" s="48">
        <v>602.20000000000005</v>
      </c>
      <c r="C250" s="14"/>
      <c r="D250" s="14"/>
      <c r="E250" s="14" t="s">
        <v>2185</v>
      </c>
      <c r="F250" s="14"/>
      <c r="G250" s="14"/>
      <c r="H250" s="441"/>
      <c r="I250" s="40"/>
      <c r="J250" s="20" t="s">
        <v>2185</v>
      </c>
      <c r="K250" s="53"/>
      <c r="L250" s="817" t="s">
        <v>2585</v>
      </c>
      <c r="M250" s="616"/>
      <c r="N250" s="3"/>
      <c r="O250" s="609"/>
      <c r="P250" s="562" t="b">
        <v>1</v>
      </c>
      <c r="Q250" s="562" t="b">
        <v>1</v>
      </c>
      <c r="R250" s="562" t="b">
        <v>0</v>
      </c>
      <c r="S250" s="562" t="b">
        <v>1</v>
      </c>
      <c r="T250" s="562" t="b">
        <v>0</v>
      </c>
      <c r="U250" s="562"/>
      <c r="V250" s="562"/>
      <c r="W250" s="18"/>
      <c r="X250" s="787"/>
      <c r="Y250" s="562"/>
      <c r="Z250" s="562"/>
      <c r="AA250" s="562"/>
      <c r="AB250" s="562"/>
      <c r="AC250" s="562"/>
      <c r="AD250" s="562"/>
      <c r="AE250" s="562"/>
      <c r="AF250" s="562"/>
      <c r="AG250" s="562"/>
      <c r="AH250" s="562"/>
      <c r="AI250" s="562"/>
      <c r="AJ250" s="562"/>
      <c r="AK250" s="562"/>
      <c r="AL250" s="562"/>
      <c r="AM250" s="562"/>
      <c r="AN250" s="562"/>
      <c r="AO250" s="562"/>
      <c r="AP250" s="190" t="str">
        <f t="shared" si="64"/>
        <v>dch602,2_3</v>
      </c>
      <c r="AQ250" s="190">
        <f>W250</f>
        <v>0</v>
      </c>
      <c r="AR250" s="562" t="str">
        <f>SUBSTITUTE(SUBSTITUTE(SUBSTITUTE("dnt"&amp;$B250&amp;$C250&amp;$D250&amp;$E250&amp;$F250,".","_"),"(","_"),")","")</f>
        <v>dnt602,2_3</v>
      </c>
      <c r="AS250" s="190">
        <f>X250</f>
        <v>0</v>
      </c>
      <c r="AT250" s="562"/>
      <c r="AU250" s="562"/>
      <c r="AV250" s="562"/>
      <c r="AW250" s="562"/>
      <c r="AX250" s="562"/>
      <c r="AY250" s="562"/>
    </row>
    <row r="251" spans="1:51" x14ac:dyDescent="0.2">
      <c r="B251" s="48">
        <v>602.20000000000005</v>
      </c>
      <c r="C251" s="14"/>
      <c r="D251" s="14"/>
      <c r="E251" s="14"/>
      <c r="F251" s="14"/>
      <c r="G251" s="14"/>
      <c r="H251" s="441"/>
      <c r="I251" s="40"/>
      <c r="J251" s="3"/>
      <c r="K251" s="53"/>
      <c r="L251" s="817"/>
      <c r="M251" s="616"/>
      <c r="N251" s="3"/>
      <c r="O251" s="609"/>
      <c r="P251" s="562"/>
      <c r="Q251" s="562"/>
      <c r="R251" s="562"/>
      <c r="S251" s="562"/>
      <c r="T251" s="562"/>
      <c r="U251" s="562"/>
      <c r="V251" s="562"/>
      <c r="W251" s="562"/>
      <c r="X251" s="787"/>
      <c r="Y251" s="562"/>
      <c r="Z251" s="562"/>
      <c r="AA251" s="562"/>
      <c r="AB251" s="562"/>
      <c r="AC251" s="562"/>
      <c r="AD251" s="562"/>
      <c r="AE251" s="562"/>
      <c r="AF251" s="562"/>
      <c r="AG251" s="562"/>
      <c r="AH251" s="562"/>
      <c r="AI251" s="562"/>
      <c r="AJ251" s="562"/>
      <c r="AK251" s="562"/>
      <c r="AL251" s="562"/>
      <c r="AM251" s="562"/>
      <c r="AN251" s="562"/>
      <c r="AO251" s="562"/>
      <c r="AP251" s="562"/>
      <c r="AQ251" s="562"/>
      <c r="AR251" s="562"/>
      <c r="AS251" s="562"/>
      <c r="AT251" s="562"/>
      <c r="AU251" s="562"/>
      <c r="AV251" s="562"/>
      <c r="AW251" s="562"/>
      <c r="AX251" s="562"/>
      <c r="AY251" s="562"/>
    </row>
    <row r="252" spans="1:51" ht="16" thickBot="1" x14ac:dyDescent="0.25">
      <c r="B252" s="48">
        <v>602.20000000000005</v>
      </c>
      <c r="C252" s="14"/>
      <c r="D252" s="14"/>
      <c r="E252" s="14"/>
      <c r="F252" s="14"/>
      <c r="G252" s="14"/>
      <c r="H252" s="441"/>
      <c r="I252" s="40"/>
      <c r="J252" s="3"/>
      <c r="K252" s="53"/>
      <c r="L252" s="817"/>
      <c r="M252" s="616"/>
      <c r="N252" s="3"/>
      <c r="O252" s="609"/>
      <c r="P252" s="562"/>
      <c r="Q252" s="562"/>
      <c r="R252" s="562"/>
      <c r="S252" s="562"/>
      <c r="T252" s="562"/>
      <c r="U252" s="562"/>
      <c r="V252" s="562"/>
      <c r="W252" s="81"/>
      <c r="X252" s="825"/>
      <c r="Y252" s="562"/>
      <c r="Z252" s="562"/>
      <c r="AA252" s="562"/>
      <c r="AB252" s="562"/>
      <c r="AC252" s="562"/>
      <c r="AD252" s="562"/>
      <c r="AE252" s="562"/>
      <c r="AF252" s="562"/>
      <c r="AG252" s="562"/>
      <c r="AH252" s="562"/>
      <c r="AI252" s="562"/>
      <c r="AJ252" s="562"/>
      <c r="AK252" s="562"/>
      <c r="AL252" s="562"/>
      <c r="AM252" s="562"/>
      <c r="AN252" s="562"/>
      <c r="AO252" s="562"/>
      <c r="AP252" s="562"/>
      <c r="AQ252" s="562"/>
      <c r="AR252" s="562"/>
      <c r="AS252" s="562"/>
      <c r="AT252" s="562"/>
      <c r="AU252" s="562"/>
      <c r="AV252" s="562"/>
      <c r="AW252" s="562"/>
      <c r="AX252" s="562"/>
      <c r="AY252" s="562"/>
    </row>
    <row r="253" spans="1:51" ht="16" thickTop="1" x14ac:dyDescent="0.2">
      <c r="B253" s="48">
        <v>602.29999999999995</v>
      </c>
      <c r="C253" s="14"/>
      <c r="D253" s="14"/>
      <c r="E253" s="14"/>
      <c r="F253" s="14"/>
      <c r="G253" s="14"/>
      <c r="H253" s="441"/>
      <c r="I253" s="131" t="s">
        <v>2586</v>
      </c>
      <c r="J253" s="132"/>
      <c r="K253" s="133"/>
      <c r="L253" s="819" t="s">
        <v>2587</v>
      </c>
      <c r="M253" s="827">
        <v>4</v>
      </c>
      <c r="N253" s="132"/>
      <c r="O253" s="823">
        <f>M253*S253*W253</f>
        <v>0</v>
      </c>
      <c r="P253" s="562" t="b">
        <v>0</v>
      </c>
      <c r="Q253" s="562" t="b">
        <v>1</v>
      </c>
      <c r="R253" s="74" t="b">
        <v>0</v>
      </c>
      <c r="S253" s="74" t="b">
        <v>1</v>
      </c>
      <c r="T253" s="74" t="b">
        <v>0</v>
      </c>
      <c r="U253" s="74"/>
      <c r="V253" s="74"/>
      <c r="W253" s="91"/>
      <c r="X253" s="802"/>
      <c r="Y253" s="562"/>
      <c r="Z253" s="562"/>
      <c r="AA253" s="562"/>
      <c r="AB253" s="562"/>
      <c r="AC253" s="562"/>
      <c r="AD253" s="562"/>
      <c r="AE253" s="562"/>
      <c r="AF253" s="562"/>
      <c r="AG253" s="562"/>
      <c r="AH253" s="562"/>
      <c r="AI253" s="562"/>
      <c r="AJ253" s="562"/>
      <c r="AK253" s="562"/>
      <c r="AL253" s="190" t="str">
        <f>SUBSTITUTE(SUBSTITUTE(SUBSTITUTE("dpa"&amp;$B253&amp;$C253&amp;$D253&amp;$E253&amp;$F253,".","_"),"(","_"),")","")</f>
        <v>dpa602,3</v>
      </c>
      <c r="AM253" s="190">
        <f>M253</f>
        <v>4</v>
      </c>
      <c r="AN253" s="190" t="str">
        <f>SUBSTITUTE(SUBSTITUTE(SUBSTITUTE("dpc"&amp;$B253&amp;$C253&amp;$D253&amp;$E253&amp;$F253,".","_"),"(","_"),")","")</f>
        <v>dpc602,3</v>
      </c>
      <c r="AO253" s="190">
        <f>O253</f>
        <v>0</v>
      </c>
      <c r="AP253" s="190" t="str">
        <f t="shared" ref="AP253" si="65">SUBSTITUTE(SUBSTITUTE(SUBSTITUTE("dch"&amp;$B253&amp;$C253&amp;$D253&amp;$E253&amp;$F253,".","_"),"(","_"),")","")</f>
        <v>dch602,3</v>
      </c>
      <c r="AQ253" s="190">
        <f>W253</f>
        <v>0</v>
      </c>
      <c r="AR253" s="562" t="str">
        <f>SUBSTITUTE(SUBSTITUTE(SUBSTITUTE("dnt"&amp;$B253&amp;$C253&amp;$D253&amp;$E253&amp;$F253,".","_"),"(","_"),")","")</f>
        <v>dnt602,3</v>
      </c>
      <c r="AS253" s="190">
        <f>X253</f>
        <v>0</v>
      </c>
      <c r="AT253" s="562"/>
      <c r="AU253" s="562"/>
      <c r="AV253" s="562"/>
      <c r="AW253" s="562"/>
      <c r="AX253" s="562"/>
      <c r="AY253" s="562"/>
    </row>
    <row r="254" spans="1:51" x14ac:dyDescent="0.2">
      <c r="B254" s="48">
        <v>602.29999999999995</v>
      </c>
      <c r="C254" s="14"/>
      <c r="D254" s="14"/>
      <c r="E254" s="14"/>
      <c r="F254" s="14"/>
      <c r="G254" s="14"/>
      <c r="H254" s="441"/>
      <c r="I254" s="99"/>
      <c r="J254" s="98"/>
      <c r="K254" s="65"/>
      <c r="L254" s="820"/>
      <c r="M254" s="800"/>
      <c r="N254" s="98"/>
      <c r="O254" s="793"/>
      <c r="P254" s="64"/>
      <c r="Q254" s="64"/>
      <c r="R254" s="64"/>
      <c r="S254" s="64"/>
      <c r="T254" s="64"/>
      <c r="U254" s="64"/>
      <c r="V254" s="64"/>
      <c r="W254" s="64"/>
      <c r="X254" s="798"/>
      <c r="Y254" s="562"/>
      <c r="Z254" s="562"/>
      <c r="AA254" s="562"/>
      <c r="AB254" s="562"/>
      <c r="AC254" s="562"/>
      <c r="AD254" s="562"/>
      <c r="AE254" s="562"/>
      <c r="AF254" s="562"/>
      <c r="AG254" s="562"/>
      <c r="AH254" s="562"/>
      <c r="AI254" s="562"/>
      <c r="AJ254" s="562"/>
      <c r="AK254" s="562"/>
      <c r="AL254" s="562"/>
      <c r="AM254" s="562"/>
      <c r="AN254" s="562"/>
      <c r="AO254" s="562"/>
      <c r="AP254" s="562"/>
      <c r="AQ254" s="562"/>
      <c r="AR254" s="562"/>
      <c r="AS254" s="562"/>
      <c r="AT254" s="562"/>
      <c r="AU254" s="562"/>
      <c r="AV254" s="562"/>
      <c r="AW254" s="562"/>
      <c r="AX254" s="562"/>
      <c r="AY254" s="562"/>
    </row>
    <row r="255" spans="1:51" ht="16" thickBot="1" x14ac:dyDescent="0.25">
      <c r="B255" s="48">
        <v>602.29999999999995</v>
      </c>
      <c r="C255" s="14"/>
      <c r="D255" s="14"/>
      <c r="E255" s="14"/>
      <c r="F255" s="14"/>
      <c r="G255" s="14"/>
      <c r="H255" s="441"/>
      <c r="I255" s="99"/>
      <c r="J255" s="98"/>
      <c r="K255" s="65"/>
      <c r="L255" s="820"/>
      <c r="M255" s="800"/>
      <c r="N255" s="98"/>
      <c r="O255" s="793"/>
      <c r="P255" s="64"/>
      <c r="Q255" s="64"/>
      <c r="R255" s="64"/>
      <c r="S255" s="64"/>
      <c r="T255" s="64"/>
      <c r="U255" s="64"/>
      <c r="V255" s="64"/>
      <c r="W255" s="64"/>
      <c r="X255" s="825"/>
      <c r="Y255" s="562"/>
      <c r="Z255" s="562"/>
      <c r="AA255" s="562"/>
      <c r="AB255" s="562"/>
      <c r="AC255" s="562"/>
      <c r="AD255" s="562"/>
      <c r="AE255" s="562"/>
      <c r="AF255" s="562"/>
      <c r="AG255" s="562"/>
      <c r="AH255" s="562"/>
      <c r="AI255" s="562"/>
      <c r="AJ255" s="562"/>
      <c r="AK255" s="562"/>
      <c r="AL255" s="562"/>
      <c r="AM255" s="562"/>
      <c r="AN255" s="562"/>
      <c r="AO255" s="562"/>
      <c r="AP255" s="562"/>
      <c r="AQ255" s="562"/>
      <c r="AR255" s="562"/>
      <c r="AS255" s="562"/>
      <c r="AT255" s="562"/>
      <c r="AU255" s="562"/>
      <c r="AV255" s="562"/>
      <c r="AW255" s="562"/>
      <c r="AX255" s="562"/>
      <c r="AY255" s="562"/>
    </row>
    <row r="256" spans="1:51" ht="16" thickTop="1" x14ac:dyDescent="0.2">
      <c r="B256" s="48">
        <v>602.4</v>
      </c>
      <c r="C256" s="14"/>
      <c r="D256" s="14"/>
      <c r="E256" s="14"/>
      <c r="F256" s="14"/>
      <c r="G256" s="14"/>
      <c r="H256" s="441"/>
      <c r="I256" s="131" t="s">
        <v>2588</v>
      </c>
      <c r="J256" s="132"/>
      <c r="K256" s="133"/>
      <c r="L256" s="646" t="s">
        <v>2589</v>
      </c>
      <c r="M256" s="625"/>
      <c r="N256" s="132"/>
      <c r="O256" s="623"/>
      <c r="P256" s="74"/>
      <c r="Q256" s="74"/>
      <c r="R256" s="74"/>
      <c r="S256" s="74"/>
      <c r="T256" s="74"/>
      <c r="U256" s="74"/>
      <c r="V256" s="74"/>
      <c r="W256" s="74"/>
      <c r="X256" s="74"/>
      <c r="Y256" s="562"/>
      <c r="Z256" s="562"/>
      <c r="AA256" s="562"/>
      <c r="AB256" s="562"/>
      <c r="AC256" s="562"/>
      <c r="AD256" s="562"/>
      <c r="AE256" s="562"/>
      <c r="AF256" s="562"/>
      <c r="AG256" s="562"/>
      <c r="AH256" s="562"/>
      <c r="AI256" s="562"/>
      <c r="AJ256" s="562"/>
      <c r="AK256" s="562"/>
      <c r="AL256" s="562"/>
      <c r="AM256" s="562"/>
      <c r="AN256" s="562"/>
      <c r="AO256" s="562"/>
      <c r="AP256" s="562"/>
      <c r="AQ256" s="562"/>
      <c r="AR256" s="562"/>
      <c r="AS256" s="562"/>
      <c r="AT256" s="562"/>
      <c r="AU256" s="562"/>
      <c r="AV256" s="562"/>
      <c r="AW256" s="562"/>
      <c r="AX256" s="562"/>
      <c r="AY256" s="562"/>
    </row>
    <row r="257" spans="1:51" x14ac:dyDescent="0.2">
      <c r="B257" s="48" t="s">
        <v>2590</v>
      </c>
      <c r="C257" s="14"/>
      <c r="D257" s="14"/>
      <c r="E257" s="14"/>
      <c r="F257" s="14"/>
      <c r="G257" s="14"/>
      <c r="H257" s="441"/>
      <c r="I257" s="99" t="s">
        <v>2591</v>
      </c>
      <c r="J257" s="98"/>
      <c r="K257" s="65"/>
      <c r="L257" s="820" t="s">
        <v>2592</v>
      </c>
      <c r="M257" s="838" t="str">
        <f>IF(R257,"Mandatory","N/A")</f>
        <v>Mandatory</v>
      </c>
      <c r="N257" s="3"/>
      <c r="O257" s="609"/>
      <c r="P257" s="562" t="b">
        <v>1</v>
      </c>
      <c r="Q257" s="562" t="b">
        <v>1</v>
      </c>
      <c r="R257" s="562" t="b">
        <f>S257</f>
        <v>1</v>
      </c>
      <c r="S257" s="562" t="b">
        <v>1</v>
      </c>
      <c r="T257" s="562" t="b">
        <v>0</v>
      </c>
      <c r="U257" s="562"/>
      <c r="V257" s="562"/>
      <c r="W257" s="18"/>
      <c r="X257" s="787"/>
      <c r="Y257" s="562"/>
      <c r="Z257" s="562"/>
      <c r="AA257" s="562"/>
      <c r="AB257" s="562"/>
      <c r="AC257" s="562" t="b">
        <f>OR(AD257:AE257)</f>
        <v>1</v>
      </c>
      <c r="AD257" s="562" t="b">
        <f>T257</f>
        <v>0</v>
      </c>
      <c r="AE257" s="562" t="b">
        <f>NOT(W257)</f>
        <v>1</v>
      </c>
      <c r="AF257" s="562"/>
      <c r="AG257" s="562"/>
      <c r="AH257" s="562"/>
      <c r="AI257" s="562"/>
      <c r="AJ257" s="562"/>
      <c r="AK257" s="562"/>
      <c r="AL257" s="190" t="str">
        <f>SUBSTITUTE(SUBSTITUTE(SUBSTITUTE("dpa"&amp;$B257&amp;$C257&amp;$D257&amp;$E257&amp;$F257,".","_"),"(","_"),")","")</f>
        <v>dpa602_4_1</v>
      </c>
      <c r="AM257" s="190" t="str">
        <f>M257</f>
        <v>Mandatory</v>
      </c>
      <c r="AN257" s="562"/>
      <c r="AO257" s="562"/>
      <c r="AP257" s="190" t="str">
        <f t="shared" ref="AP257" si="66">SUBSTITUTE(SUBSTITUTE(SUBSTITUTE("dch"&amp;$B257&amp;$C257&amp;$D257&amp;$E257&amp;$F257,".","_"),"(","_"),")","")</f>
        <v>dch602_4_1</v>
      </c>
      <c r="AQ257" s="190">
        <f>W257</f>
        <v>0</v>
      </c>
      <c r="AR257" s="562" t="str">
        <f>SUBSTITUTE(SUBSTITUTE(SUBSTITUTE("dnt"&amp;$B257&amp;$C257&amp;$D257&amp;$E257&amp;$F257,".","_"),"(","_"),")","")</f>
        <v>dnt602_4_1</v>
      </c>
      <c r="AS257" s="190">
        <f>X257</f>
        <v>0</v>
      </c>
      <c r="AT257" s="562"/>
      <c r="AU257" s="562"/>
      <c r="AV257" s="562"/>
      <c r="AW257" s="562"/>
      <c r="AX257" s="562"/>
      <c r="AY257" s="562"/>
    </row>
    <row r="258" spans="1:51" x14ac:dyDescent="0.2">
      <c r="B258" s="48" t="s">
        <v>2590</v>
      </c>
      <c r="C258" s="14"/>
      <c r="D258" s="14"/>
      <c r="E258" s="14"/>
      <c r="F258" s="14"/>
      <c r="G258" s="14"/>
      <c r="H258" s="441"/>
      <c r="I258" s="99"/>
      <c r="J258" s="98"/>
      <c r="K258" s="65"/>
      <c r="L258" s="820"/>
      <c r="M258" s="838"/>
      <c r="N258" s="3"/>
      <c r="O258" s="609"/>
      <c r="P258" s="562"/>
      <c r="Q258" s="562"/>
      <c r="R258" s="562"/>
      <c r="S258" s="562"/>
      <c r="T258" s="562"/>
      <c r="U258" s="562"/>
      <c r="V258" s="562"/>
      <c r="W258" s="562"/>
      <c r="X258" s="787"/>
      <c r="Y258" s="562"/>
      <c r="Z258" s="562"/>
      <c r="AA258" s="562"/>
      <c r="AB258" s="562"/>
      <c r="AC258" s="562"/>
      <c r="AD258" s="562"/>
      <c r="AE258" s="562"/>
      <c r="AF258" s="562"/>
      <c r="AG258" s="562"/>
      <c r="AH258" s="562"/>
      <c r="AI258" s="562"/>
      <c r="AJ258" s="562"/>
      <c r="AK258" s="562"/>
      <c r="AL258" s="562"/>
      <c r="AM258" s="562"/>
      <c r="AN258" s="562"/>
      <c r="AO258" s="562"/>
      <c r="AP258" s="562"/>
      <c r="AQ258" s="562"/>
      <c r="AR258" s="562"/>
      <c r="AS258" s="562"/>
      <c r="AT258" s="562"/>
      <c r="AU258" s="562"/>
      <c r="AV258" s="562"/>
      <c r="AW258" s="562"/>
      <c r="AX258" s="562"/>
      <c r="AY258" s="562"/>
    </row>
    <row r="259" spans="1:51" x14ac:dyDescent="0.2">
      <c r="B259" s="48" t="s">
        <v>2590</v>
      </c>
      <c r="C259" s="14"/>
      <c r="D259" s="14"/>
      <c r="E259" s="14"/>
      <c r="F259" s="14"/>
      <c r="G259" s="14"/>
      <c r="H259" s="441"/>
      <c r="I259" s="99"/>
      <c r="J259" s="98"/>
      <c r="K259" s="65"/>
      <c r="L259" s="820"/>
      <c r="M259" s="838"/>
      <c r="N259" s="3"/>
      <c r="O259" s="609"/>
      <c r="P259" s="562"/>
      <c r="Q259" s="562"/>
      <c r="R259" s="562"/>
      <c r="S259" s="562"/>
      <c r="T259" s="562"/>
      <c r="U259" s="562"/>
      <c r="V259" s="562"/>
      <c r="W259" s="562"/>
      <c r="X259" s="787"/>
      <c r="Y259" s="562"/>
      <c r="Z259" s="562"/>
      <c r="AA259" s="562"/>
      <c r="AB259" s="562"/>
      <c r="AC259" s="562"/>
      <c r="AD259" s="562"/>
      <c r="AE259" s="562"/>
      <c r="AF259" s="562"/>
      <c r="AG259" s="562"/>
      <c r="AH259" s="562"/>
      <c r="AI259" s="562"/>
      <c r="AJ259" s="562"/>
      <c r="AK259" s="562"/>
      <c r="AL259" s="562"/>
      <c r="AM259" s="562"/>
      <c r="AN259" s="562"/>
      <c r="AO259" s="562"/>
      <c r="AP259" s="562"/>
      <c r="AQ259" s="562"/>
      <c r="AR259" s="562"/>
      <c r="AS259" s="562"/>
      <c r="AT259" s="562"/>
      <c r="AU259" s="562"/>
      <c r="AV259" s="562"/>
      <c r="AW259" s="562"/>
      <c r="AX259" s="562"/>
      <c r="AY259" s="562"/>
    </row>
    <row r="260" spans="1:51" x14ac:dyDescent="0.2">
      <c r="B260" s="48" t="s">
        <v>2590</v>
      </c>
      <c r="C260" s="14"/>
      <c r="D260" s="14"/>
      <c r="E260" s="14"/>
      <c r="F260" s="14"/>
      <c r="G260" s="14"/>
      <c r="H260" s="441"/>
      <c r="I260" s="99"/>
      <c r="J260" s="98"/>
      <c r="K260" s="65"/>
      <c r="L260" s="820"/>
      <c r="M260" s="838"/>
      <c r="N260" s="3"/>
      <c r="O260" s="609"/>
      <c r="P260" s="562"/>
      <c r="Q260" s="562"/>
      <c r="R260" s="562"/>
      <c r="S260" s="562"/>
      <c r="T260" s="562"/>
      <c r="U260" s="562"/>
      <c r="V260" s="562"/>
      <c r="W260" s="562"/>
      <c r="X260" s="787"/>
      <c r="Y260" s="562"/>
      <c r="Z260" s="562"/>
      <c r="AA260" s="562"/>
      <c r="AB260" s="562"/>
      <c r="AC260" s="562"/>
      <c r="AD260" s="562"/>
      <c r="AE260" s="562"/>
      <c r="AF260" s="562"/>
      <c r="AG260" s="562"/>
      <c r="AH260" s="562"/>
      <c r="AI260" s="562"/>
      <c r="AJ260" s="562"/>
      <c r="AK260" s="562"/>
      <c r="AL260" s="562"/>
      <c r="AM260" s="562"/>
      <c r="AN260" s="562"/>
      <c r="AO260" s="562"/>
      <c r="AP260" s="562"/>
      <c r="AQ260" s="562"/>
      <c r="AR260" s="562"/>
      <c r="AS260" s="562"/>
      <c r="AT260" s="562"/>
      <c r="AU260" s="562"/>
      <c r="AV260" s="562"/>
      <c r="AW260" s="562"/>
      <c r="AX260" s="562"/>
      <c r="AY260" s="562"/>
    </row>
    <row r="261" spans="1:51" x14ac:dyDescent="0.2">
      <c r="B261" s="48" t="s">
        <v>2590</v>
      </c>
      <c r="C261" s="14"/>
      <c r="D261" s="14"/>
      <c r="E261" s="14"/>
      <c r="F261" s="14"/>
      <c r="G261" s="14"/>
      <c r="H261" s="441"/>
      <c r="I261" s="170"/>
      <c r="J261" s="165"/>
      <c r="K261" s="126"/>
      <c r="L261" s="832"/>
      <c r="M261" s="854"/>
      <c r="N261" s="3"/>
      <c r="O261" s="609"/>
      <c r="P261" s="562"/>
      <c r="Q261" s="562"/>
      <c r="R261" s="562"/>
      <c r="S261" s="562"/>
      <c r="T261" s="562"/>
      <c r="U261" s="562"/>
      <c r="V261" s="562"/>
      <c r="W261" s="562"/>
      <c r="X261" s="787"/>
      <c r="Y261" s="562"/>
      <c r="Z261" s="562"/>
      <c r="AA261" s="562"/>
      <c r="AB261" s="562"/>
      <c r="AC261" s="562"/>
      <c r="AD261" s="562"/>
      <c r="AE261" s="562"/>
      <c r="AF261" s="562"/>
      <c r="AG261" s="562"/>
      <c r="AH261" s="562"/>
      <c r="AI261" s="562"/>
      <c r="AJ261" s="562"/>
      <c r="AK261" s="562"/>
      <c r="AL261" s="562"/>
      <c r="AM261" s="562"/>
      <c r="AN261" s="562"/>
      <c r="AO261" s="562"/>
      <c r="AP261" s="562"/>
      <c r="AQ261" s="562"/>
      <c r="AR261" s="562"/>
      <c r="AS261" s="562"/>
      <c r="AT261" s="562"/>
      <c r="AU261" s="562"/>
      <c r="AV261" s="562"/>
      <c r="AW261" s="562"/>
      <c r="AX261" s="562"/>
      <c r="AY261" s="562"/>
    </row>
    <row r="262" spans="1:51" s="101" customFormat="1" x14ac:dyDescent="0.2">
      <c r="A262" s="13"/>
      <c r="B262" s="48" t="s">
        <v>2593</v>
      </c>
      <c r="C262" s="14"/>
      <c r="D262" s="14"/>
      <c r="E262" s="14"/>
      <c r="F262" s="14"/>
      <c r="G262" s="14"/>
      <c r="H262" s="441"/>
      <c r="I262" s="99" t="s">
        <v>2594</v>
      </c>
      <c r="J262" s="98"/>
      <c r="K262" s="65"/>
      <c r="L262" s="820" t="s">
        <v>2595</v>
      </c>
      <c r="M262" s="800">
        <v>1</v>
      </c>
      <c r="N262" s="98"/>
      <c r="O262" s="793">
        <f>M262*S262*W262</f>
        <v>0</v>
      </c>
      <c r="P262" s="562" t="b">
        <v>1</v>
      </c>
      <c r="Q262" s="562" t="b">
        <v>1</v>
      </c>
      <c r="R262" s="562" t="b">
        <v>0</v>
      </c>
      <c r="S262" s="562" t="b">
        <v>1</v>
      </c>
      <c r="T262" s="562" t="b">
        <v>0</v>
      </c>
      <c r="U262" s="562"/>
      <c r="V262" s="562"/>
      <c r="W262" s="18"/>
      <c r="X262" s="787"/>
      <c r="Y262" s="562"/>
      <c r="Z262" s="562"/>
      <c r="AA262" s="562"/>
      <c r="AB262" s="562"/>
      <c r="AC262" s="562"/>
      <c r="AD262" s="562"/>
      <c r="AE262" s="562"/>
      <c r="AF262" s="562"/>
      <c r="AG262" s="562"/>
      <c r="AH262" s="562"/>
      <c r="AI262" s="562"/>
      <c r="AJ262" s="562"/>
      <c r="AK262" s="562"/>
      <c r="AL262" s="190" t="str">
        <f>SUBSTITUTE(SUBSTITUTE(SUBSTITUTE("dpa"&amp;$B262&amp;$C262&amp;$D262&amp;$E262&amp;$F262,".","_"),"(","_"),")","")</f>
        <v>dpa602_4_2</v>
      </c>
      <c r="AM262" s="190">
        <f>M262</f>
        <v>1</v>
      </c>
      <c r="AN262" s="190" t="str">
        <f>SUBSTITUTE(SUBSTITUTE(SUBSTITUTE("dpc"&amp;$B262&amp;$C262&amp;$D262&amp;$E262&amp;$F262,".","_"),"(","_"),")","")</f>
        <v>dpc602_4_2</v>
      </c>
      <c r="AO262" s="190">
        <f>O262</f>
        <v>0</v>
      </c>
      <c r="AP262" s="190" t="str">
        <f t="shared" ref="AP262" si="67">SUBSTITUTE(SUBSTITUTE(SUBSTITUTE("dch"&amp;$B262&amp;$C262&amp;$D262&amp;$E262&amp;$F262,".","_"),"(","_"),")","")</f>
        <v>dch602_4_2</v>
      </c>
      <c r="AQ262" s="190">
        <f>W262</f>
        <v>0</v>
      </c>
      <c r="AR262" s="562" t="str">
        <f>SUBSTITUTE(SUBSTITUTE(SUBSTITUTE("dnt"&amp;$B262&amp;$C262&amp;$D262&amp;$E262&amp;$F262,".","_"),"(","_"),")","")</f>
        <v>dnt602_4_2</v>
      </c>
      <c r="AS262" s="190">
        <f>X262</f>
        <v>0</v>
      </c>
      <c r="AT262" s="562"/>
      <c r="AU262" s="562"/>
      <c r="AV262" s="562"/>
      <c r="AW262" s="562"/>
      <c r="AX262" s="562"/>
      <c r="AY262" s="562"/>
    </row>
    <row r="263" spans="1:51" x14ac:dyDescent="0.2">
      <c r="B263" s="48" t="s">
        <v>2593</v>
      </c>
      <c r="C263" s="14"/>
      <c r="D263" s="14"/>
      <c r="E263" s="14"/>
      <c r="F263" s="14"/>
      <c r="G263" s="14"/>
      <c r="H263" s="441"/>
      <c r="I263" s="170"/>
      <c r="J263" s="165"/>
      <c r="K263" s="126"/>
      <c r="L263" s="832"/>
      <c r="M263" s="801"/>
      <c r="N263" s="165"/>
      <c r="O263" s="794"/>
      <c r="P263" s="562"/>
      <c r="Q263" s="562"/>
      <c r="R263" s="562"/>
      <c r="S263" s="562"/>
      <c r="T263" s="562"/>
      <c r="U263" s="562"/>
      <c r="V263" s="562"/>
      <c r="W263" s="562"/>
      <c r="X263" s="787"/>
      <c r="Y263" s="562"/>
      <c r="Z263" s="562"/>
      <c r="AA263" s="562"/>
      <c r="AB263" s="562"/>
      <c r="AC263" s="562"/>
      <c r="AD263" s="562"/>
      <c r="AE263" s="562"/>
      <c r="AF263" s="562"/>
      <c r="AG263" s="562"/>
      <c r="AH263" s="562"/>
      <c r="AI263" s="562"/>
      <c r="AJ263" s="562"/>
      <c r="AK263" s="562"/>
      <c r="AL263" s="562"/>
      <c r="AM263" s="562"/>
      <c r="AN263" s="562"/>
      <c r="AO263" s="562"/>
      <c r="AP263" s="562"/>
      <c r="AQ263" s="562"/>
      <c r="AR263" s="562"/>
      <c r="AS263" s="562"/>
      <c r="AT263" s="562"/>
      <c r="AU263" s="562"/>
      <c r="AV263" s="562"/>
      <c r="AW263" s="562"/>
      <c r="AX263" s="562"/>
      <c r="AY263" s="562"/>
    </row>
    <row r="264" spans="1:51" x14ac:dyDescent="0.2">
      <c r="B264" s="48" t="s">
        <v>2596</v>
      </c>
      <c r="C264" s="14"/>
      <c r="D264" s="14"/>
      <c r="E264" s="14"/>
      <c r="F264" s="14"/>
      <c r="G264" s="14"/>
      <c r="H264" s="441"/>
      <c r="I264" s="40" t="s">
        <v>2597</v>
      </c>
      <c r="J264" s="3"/>
      <c r="K264" s="53"/>
      <c r="L264" s="654" t="s">
        <v>2598</v>
      </c>
      <c r="M264" s="616">
        <v>1</v>
      </c>
      <c r="N264" s="3"/>
      <c r="O264" s="609">
        <f>M264*S264*W264</f>
        <v>0</v>
      </c>
      <c r="P264" s="562" t="b">
        <v>1</v>
      </c>
      <c r="Q264" s="562" t="b">
        <v>1</v>
      </c>
      <c r="R264" s="562" t="b">
        <v>0</v>
      </c>
      <c r="S264" s="562" t="b">
        <v>1</v>
      </c>
      <c r="T264" s="562" t="b">
        <v>0</v>
      </c>
      <c r="U264" s="562"/>
      <c r="V264" s="562"/>
      <c r="W264" s="18"/>
      <c r="X264" s="563"/>
      <c r="Y264" s="562"/>
      <c r="Z264" s="562"/>
      <c r="AA264" s="562"/>
      <c r="AB264" s="562"/>
      <c r="AC264" s="562"/>
      <c r="AD264" s="562"/>
      <c r="AE264" s="562"/>
      <c r="AF264" s="562"/>
      <c r="AG264" s="562"/>
      <c r="AH264" s="562"/>
      <c r="AI264" s="562"/>
      <c r="AJ264" s="562"/>
      <c r="AK264" s="562"/>
      <c r="AL264" s="190" t="str">
        <f>SUBSTITUTE(SUBSTITUTE(SUBSTITUTE("dpa"&amp;$B264&amp;$C264&amp;$D264&amp;$E264&amp;$F264,".","_"),"(","_"),")","")</f>
        <v>dpa602_4_3</v>
      </c>
      <c r="AM264" s="190">
        <f>M264</f>
        <v>1</v>
      </c>
      <c r="AN264" s="190" t="str">
        <f>SUBSTITUTE(SUBSTITUTE(SUBSTITUTE("dpc"&amp;$B264&amp;$C264&amp;$D264&amp;$E264&amp;$F264,".","_"),"(","_"),")","")</f>
        <v>dpc602_4_3</v>
      </c>
      <c r="AO264" s="190">
        <f>O264</f>
        <v>0</v>
      </c>
      <c r="AP264" s="190" t="str">
        <f t="shared" ref="AP264" si="68">SUBSTITUTE(SUBSTITUTE(SUBSTITUTE("dch"&amp;$B264&amp;$C264&amp;$D264&amp;$E264&amp;$F264,".","_"),"(","_"),")","")</f>
        <v>dch602_4_3</v>
      </c>
      <c r="AQ264" s="190">
        <f>W264</f>
        <v>0</v>
      </c>
      <c r="AR264" s="562" t="str">
        <f>SUBSTITUTE(SUBSTITUTE(SUBSTITUTE("dnt"&amp;$B264&amp;$C264&amp;$D264&amp;$E264&amp;$F264,".","_"),"(","_"),")","")</f>
        <v>dnt602_4_3</v>
      </c>
      <c r="AS264" s="190">
        <f>X264</f>
        <v>0</v>
      </c>
      <c r="AT264" s="562"/>
      <c r="AU264" s="562"/>
      <c r="AV264" s="562"/>
      <c r="AW264" s="562"/>
      <c r="AX264" s="562"/>
      <c r="AY264" s="562"/>
    </row>
    <row r="265" spans="1:51" ht="15" customHeight="1" x14ac:dyDescent="0.25">
      <c r="B265" s="48">
        <v>603</v>
      </c>
      <c r="C265" s="14"/>
      <c r="D265" s="14"/>
      <c r="E265" s="14"/>
      <c r="F265" s="14"/>
      <c r="G265" s="14"/>
      <c r="H265" s="441"/>
      <c r="I265" s="45" t="s">
        <v>2599</v>
      </c>
      <c r="J265" s="16"/>
      <c r="K265" s="52"/>
      <c r="L265" s="180"/>
      <c r="M265" s="225"/>
      <c r="N265" s="266"/>
      <c r="O265" s="264"/>
      <c r="P265" s="16"/>
      <c r="Q265" s="16"/>
      <c r="R265" s="16"/>
      <c r="S265" s="16"/>
      <c r="T265" s="16"/>
      <c r="U265" s="16"/>
      <c r="V265" s="16"/>
      <c r="W265" s="16"/>
      <c r="X265" s="16"/>
      <c r="Y265" s="562"/>
      <c r="Z265" s="562"/>
      <c r="AA265" s="562"/>
      <c r="AB265" s="562"/>
      <c r="AC265" s="562"/>
      <c r="AD265" s="562"/>
      <c r="AE265" s="562"/>
      <c r="AF265" s="562"/>
      <c r="AG265" s="562"/>
      <c r="AH265" s="562"/>
      <c r="AI265" s="562"/>
      <c r="AJ265" s="562"/>
      <c r="AK265" s="562"/>
      <c r="AL265" s="562"/>
      <c r="AM265" s="562"/>
      <c r="AN265" s="562"/>
      <c r="AO265" s="562"/>
      <c r="AP265" s="562"/>
      <c r="AQ265" s="562"/>
      <c r="AR265" s="562"/>
      <c r="AS265" s="562"/>
      <c r="AT265" s="562"/>
      <c r="AU265" s="562"/>
      <c r="AV265" s="562"/>
      <c r="AW265" s="562"/>
      <c r="AX265" s="562"/>
      <c r="AY265" s="562"/>
    </row>
    <row r="266" spans="1:51" x14ac:dyDescent="0.2">
      <c r="B266" s="48" t="s">
        <v>2600</v>
      </c>
      <c r="C266" s="14"/>
      <c r="D266" s="14"/>
      <c r="E266" s="14"/>
      <c r="F266" s="14"/>
      <c r="G266" s="14"/>
      <c r="H266" s="441"/>
      <c r="I266" s="346" t="s">
        <v>2601</v>
      </c>
      <c r="J266" s="3"/>
      <c r="K266" s="53"/>
      <c r="L266" s="775" t="s">
        <v>2602</v>
      </c>
      <c r="M266" s="616"/>
      <c r="N266" s="3"/>
      <c r="O266" s="609"/>
      <c r="P266" s="562"/>
      <c r="Q266" s="562"/>
      <c r="R266" s="562"/>
      <c r="S266" s="562"/>
      <c r="T266" s="562"/>
      <c r="U266" s="562"/>
      <c r="V266" s="562"/>
      <c r="W266" s="562"/>
      <c r="X266" s="562"/>
      <c r="Y266" s="562"/>
      <c r="Z266" s="562"/>
      <c r="AA266" s="562"/>
      <c r="AB266" s="562"/>
      <c r="AC266" s="562"/>
      <c r="AD266" s="562"/>
      <c r="AE266" s="562"/>
      <c r="AF266" s="562"/>
      <c r="AG266" s="562"/>
      <c r="AH266" s="562"/>
      <c r="AI266" s="562"/>
      <c r="AJ266" s="562"/>
      <c r="AK266" s="562"/>
      <c r="AL266" s="562"/>
      <c r="AM266" s="562"/>
      <c r="AN266" s="562"/>
      <c r="AO266" s="562"/>
      <c r="AP266" s="562"/>
      <c r="AQ266" s="562"/>
      <c r="AR266" s="562"/>
      <c r="AS266" s="562"/>
      <c r="AT266" s="562"/>
      <c r="AU266" s="562"/>
      <c r="AV266" s="562"/>
      <c r="AW266" s="562"/>
      <c r="AX266" s="562"/>
      <c r="AY266" s="562"/>
    </row>
    <row r="267" spans="1:51" ht="16" thickBot="1" x14ac:dyDescent="0.25">
      <c r="B267" s="48" t="s">
        <v>2600</v>
      </c>
      <c r="C267" s="14"/>
      <c r="D267" s="14"/>
      <c r="E267" s="14"/>
      <c r="F267" s="14"/>
      <c r="G267" s="14"/>
      <c r="H267" s="441"/>
      <c r="I267" s="40"/>
      <c r="J267" s="3"/>
      <c r="K267" s="53"/>
      <c r="L267" s="775"/>
      <c r="M267" s="616"/>
      <c r="N267" s="3"/>
      <c r="O267" s="609"/>
      <c r="P267" s="562"/>
      <c r="Q267" s="562"/>
      <c r="R267" s="562"/>
      <c r="S267" s="562"/>
      <c r="T267" s="562"/>
      <c r="U267" s="562"/>
      <c r="V267" s="562"/>
      <c r="W267" s="562"/>
      <c r="X267" s="562"/>
      <c r="Y267" s="562"/>
      <c r="Z267" s="562"/>
      <c r="AA267" s="562"/>
      <c r="AB267" s="562"/>
      <c r="AC267" s="562"/>
      <c r="AD267" s="562"/>
      <c r="AE267" s="562"/>
      <c r="AF267" s="562"/>
      <c r="AG267" s="562"/>
      <c r="AH267" s="562"/>
      <c r="AI267" s="562"/>
      <c r="AJ267" s="562"/>
      <c r="AK267" s="562"/>
      <c r="AL267" s="562"/>
      <c r="AM267" s="562"/>
      <c r="AN267" s="562"/>
      <c r="AO267" s="562"/>
      <c r="AP267" s="562"/>
      <c r="AQ267" s="562"/>
      <c r="AR267" s="562"/>
      <c r="AS267" s="562"/>
      <c r="AT267" s="562"/>
      <c r="AU267" s="562"/>
      <c r="AV267" s="562"/>
      <c r="AW267" s="562"/>
      <c r="AX267" s="562"/>
      <c r="AY267" s="562"/>
    </row>
    <row r="268" spans="1:51" ht="16" thickTop="1" x14ac:dyDescent="0.2">
      <c r="B268" s="48">
        <v>603.1</v>
      </c>
      <c r="C268" s="14"/>
      <c r="D268" s="14"/>
      <c r="E268" s="14"/>
      <c r="F268" s="14"/>
      <c r="G268" s="14"/>
      <c r="H268" s="441"/>
      <c r="I268" s="131" t="s">
        <v>2603</v>
      </c>
      <c r="J268" s="132"/>
      <c r="K268" s="133"/>
      <c r="L268" s="819" t="s">
        <v>2604</v>
      </c>
      <c r="M268" s="835" t="s">
        <v>2605</v>
      </c>
      <c r="N268" s="132"/>
      <c r="O268" s="823">
        <f>MIN(ROUNDDOWN(W268/200,0),12)</f>
        <v>0</v>
      </c>
      <c r="P268" s="74" t="b">
        <v>1</v>
      </c>
      <c r="Q268" s="74" t="b">
        <v>0</v>
      </c>
      <c r="R268" s="74" t="b">
        <v>0</v>
      </c>
      <c r="S268" s="74" t="b">
        <v>1</v>
      </c>
      <c r="T268" s="74" t="b">
        <v>0</v>
      </c>
      <c r="U268" s="74"/>
      <c r="V268" s="74"/>
      <c r="W268" s="144"/>
      <c r="X268" s="796"/>
      <c r="Y268" s="562"/>
      <c r="Z268" s="562"/>
      <c r="AA268" s="562"/>
      <c r="AB268" s="562"/>
      <c r="AC268" s="562" t="b">
        <f>OR(AD268:AE268)</f>
        <v>0</v>
      </c>
      <c r="AD268" s="562" t="b">
        <v>0</v>
      </c>
      <c r="AE268" s="562" t="b">
        <f>AND(W268&gt;0,LEN(X268)=0)</f>
        <v>0</v>
      </c>
      <c r="AF268" s="562"/>
      <c r="AG268" s="562"/>
      <c r="AH268" s="562"/>
      <c r="AI268" s="562"/>
      <c r="AJ268" s="562"/>
      <c r="AK268" s="562"/>
      <c r="AL268" s="190" t="str">
        <f>SUBSTITUTE(SUBSTITUTE(SUBSTITUTE("dpa"&amp;$B268&amp;$C268&amp;$D268&amp;$E268&amp;$F268,".","_"),"(","_"),")","")</f>
        <v>dpa603,1</v>
      </c>
      <c r="AM268" s="190" t="str">
        <f>M268</f>
        <v>1
12 Max</v>
      </c>
      <c r="AN268" s="190" t="str">
        <f>SUBSTITUTE(SUBSTITUTE(SUBSTITUTE("dpc"&amp;$B268&amp;$C268&amp;$D268&amp;$E268&amp;$F268,".","_"),"(","_"),")","")</f>
        <v>dpc603,1</v>
      </c>
      <c r="AO268" s="190">
        <f>O268</f>
        <v>0</v>
      </c>
      <c r="AP268" s="190" t="str">
        <f t="shared" ref="AP268" si="69">SUBSTITUTE(SUBSTITUTE(SUBSTITUTE("dch"&amp;$B268&amp;$C268&amp;$D268&amp;$E268&amp;$F268,".","_"),"(","_"),")","")</f>
        <v>dch603,1</v>
      </c>
      <c r="AQ268" s="190">
        <f>W268</f>
        <v>0</v>
      </c>
      <c r="AR268" s="562" t="str">
        <f>SUBSTITUTE(SUBSTITUTE(SUBSTITUTE("dnt"&amp;$B268&amp;$C268&amp;$D268&amp;$E268&amp;$F268,".","_"),"(","_"),")","")</f>
        <v>dnt603,1</v>
      </c>
      <c r="AS268" s="190">
        <f>X268</f>
        <v>0</v>
      </c>
      <c r="AT268" s="562"/>
      <c r="AU268" s="562"/>
      <c r="AV268" s="562"/>
      <c r="AW268" s="562"/>
      <c r="AX268" s="562"/>
      <c r="AY268" s="562"/>
    </row>
    <row r="269" spans="1:51" x14ac:dyDescent="0.2">
      <c r="B269" s="48">
        <v>603.1</v>
      </c>
      <c r="C269" s="14"/>
      <c r="D269" s="14"/>
      <c r="E269" s="14"/>
      <c r="F269" s="14"/>
      <c r="G269" s="14"/>
      <c r="H269" s="441"/>
      <c r="I269" s="99"/>
      <c r="J269" s="98"/>
      <c r="K269" s="65"/>
      <c r="L269" s="820"/>
      <c r="M269" s="836"/>
      <c r="N269" s="98"/>
      <c r="O269" s="793"/>
      <c r="P269" s="64"/>
      <c r="Q269" s="64"/>
      <c r="R269" s="64"/>
      <c r="S269" s="64"/>
      <c r="T269" s="64"/>
      <c r="U269" s="64"/>
      <c r="V269" s="64"/>
      <c r="W269" s="64"/>
      <c r="X269" s="797"/>
      <c r="Y269" s="562"/>
      <c r="Z269" s="562"/>
      <c r="AA269" s="562"/>
      <c r="AB269" s="562"/>
      <c r="AC269" s="562"/>
      <c r="AD269" s="562"/>
      <c r="AE269" s="562"/>
      <c r="AF269" s="562"/>
      <c r="AG269" s="562"/>
      <c r="AH269" s="562"/>
      <c r="AI269" s="562"/>
      <c r="AJ269" s="562"/>
      <c r="AK269" s="562"/>
      <c r="AL269" s="562"/>
      <c r="AM269" s="562"/>
      <c r="AN269" s="562"/>
      <c r="AO269" s="562"/>
      <c r="AP269" s="562"/>
      <c r="AQ269" s="562"/>
      <c r="AR269" s="562"/>
      <c r="AS269" s="562"/>
      <c r="AT269" s="562"/>
      <c r="AU269" s="562"/>
      <c r="AV269" s="562"/>
      <c r="AW269" s="562"/>
      <c r="AX269" s="562"/>
      <c r="AY269" s="562"/>
    </row>
    <row r="270" spans="1:51" ht="17" x14ac:dyDescent="0.2">
      <c r="B270" s="48">
        <v>603.1</v>
      </c>
      <c r="C270" s="14"/>
      <c r="D270" s="14"/>
      <c r="E270" s="14"/>
      <c r="F270" s="14"/>
      <c r="G270" s="14"/>
      <c r="H270" s="441"/>
      <c r="I270" s="99"/>
      <c r="J270" s="98"/>
      <c r="K270" s="65"/>
      <c r="L270" s="631" t="s">
        <v>2606</v>
      </c>
      <c r="M270" s="836"/>
      <c r="N270" s="98"/>
      <c r="O270" s="793"/>
      <c r="P270" s="64"/>
      <c r="Q270" s="64"/>
      <c r="R270" s="64"/>
      <c r="S270" s="64"/>
      <c r="T270" s="64"/>
      <c r="U270" s="64"/>
      <c r="V270" s="64"/>
      <c r="W270" s="64"/>
      <c r="X270" s="797"/>
      <c r="Y270" s="562"/>
      <c r="Z270" s="562"/>
      <c r="AA270" s="562"/>
      <c r="AB270" s="562"/>
      <c r="AC270" s="562"/>
      <c r="AD270" s="562"/>
      <c r="AE270" s="562"/>
      <c r="AF270" s="562"/>
      <c r="AG270" s="562"/>
      <c r="AH270" s="562"/>
      <c r="AI270" s="562"/>
      <c r="AJ270" s="562"/>
      <c r="AK270" s="562"/>
      <c r="AL270" s="562"/>
      <c r="AM270" s="562"/>
      <c r="AN270" s="562"/>
      <c r="AO270" s="562"/>
      <c r="AP270" s="562"/>
      <c r="AQ270" s="562"/>
      <c r="AR270" s="562"/>
      <c r="AS270" s="562"/>
      <c r="AT270" s="562"/>
      <c r="AU270" s="562"/>
      <c r="AV270" s="562"/>
      <c r="AW270" s="562"/>
      <c r="AX270" s="562"/>
      <c r="AY270" s="562"/>
    </row>
    <row r="271" spans="1:51" x14ac:dyDescent="0.2">
      <c r="B271" s="48">
        <v>603.1</v>
      </c>
      <c r="C271" s="14"/>
      <c r="D271" s="14"/>
      <c r="E271" s="14"/>
      <c r="F271" s="14"/>
      <c r="G271" s="14"/>
      <c r="H271" s="441"/>
      <c r="I271" s="99"/>
      <c r="J271" s="98"/>
      <c r="K271" s="65"/>
      <c r="L271" s="833" t="s">
        <v>2607</v>
      </c>
      <c r="M271" s="836"/>
      <c r="N271" s="98"/>
      <c r="O271" s="793"/>
      <c r="P271" s="64"/>
      <c r="Q271" s="64"/>
      <c r="R271" s="64"/>
      <c r="S271" s="64"/>
      <c r="T271" s="64"/>
      <c r="U271" s="64"/>
      <c r="V271" s="64"/>
      <c r="W271" s="64"/>
      <c r="X271" s="797"/>
      <c r="Y271" s="562"/>
      <c r="Z271" s="562"/>
      <c r="AA271" s="562"/>
      <c r="AB271" s="562"/>
      <c r="AC271" s="562"/>
      <c r="AD271" s="562"/>
      <c r="AE271" s="562"/>
      <c r="AF271" s="562"/>
      <c r="AG271" s="562"/>
      <c r="AH271" s="562"/>
      <c r="AI271" s="562"/>
      <c r="AJ271" s="562"/>
      <c r="AK271" s="562"/>
      <c r="AL271" s="562"/>
      <c r="AM271" s="562"/>
      <c r="AN271" s="562"/>
      <c r="AO271" s="562"/>
      <c r="AP271" s="562"/>
      <c r="AQ271" s="562"/>
      <c r="AR271" s="562"/>
      <c r="AS271" s="562"/>
      <c r="AT271" s="562"/>
      <c r="AU271" s="562"/>
      <c r="AV271" s="562"/>
      <c r="AW271" s="562"/>
      <c r="AX271" s="562"/>
      <c r="AY271" s="562"/>
    </row>
    <row r="272" spans="1:51" s="117" customFormat="1" x14ac:dyDescent="0.2">
      <c r="A272" s="13"/>
      <c r="B272" s="48">
        <v>603.1</v>
      </c>
      <c r="C272" s="14"/>
      <c r="D272" s="14"/>
      <c r="E272" s="14"/>
      <c r="F272" s="14"/>
      <c r="G272" s="14"/>
      <c r="H272" s="441"/>
      <c r="I272" s="99"/>
      <c r="J272" s="98"/>
      <c r="K272" s="65"/>
      <c r="L272" s="834"/>
      <c r="M272" s="836"/>
      <c r="N272" s="98"/>
      <c r="O272" s="793"/>
      <c r="P272" s="64"/>
      <c r="Q272" s="64"/>
      <c r="R272" s="64"/>
      <c r="S272" s="64"/>
      <c r="T272" s="64"/>
      <c r="U272" s="64"/>
      <c r="V272" s="64"/>
      <c r="W272" s="64"/>
      <c r="X272" s="797"/>
      <c r="Y272" s="562"/>
      <c r="Z272" s="562"/>
      <c r="AA272" s="562"/>
      <c r="AB272" s="562"/>
      <c r="AC272" s="562"/>
      <c r="AD272" s="562"/>
      <c r="AE272" s="562"/>
      <c r="AF272" s="562"/>
      <c r="AG272" s="562"/>
      <c r="AH272" s="562"/>
      <c r="AI272" s="562"/>
      <c r="AJ272" s="562"/>
      <c r="AK272" s="562"/>
      <c r="AL272" s="562"/>
      <c r="AM272" s="562"/>
      <c r="AN272" s="562"/>
      <c r="AO272" s="562"/>
      <c r="AP272" s="562"/>
      <c r="AQ272" s="562"/>
      <c r="AR272" s="562"/>
      <c r="AS272" s="562"/>
      <c r="AT272" s="562"/>
      <c r="AU272" s="562"/>
      <c r="AV272" s="562"/>
      <c r="AW272" s="562"/>
      <c r="AX272" s="562"/>
      <c r="AY272" s="562"/>
    </row>
    <row r="273" spans="1:51" s="117" customFormat="1" ht="16" thickBot="1" x14ac:dyDescent="0.25">
      <c r="A273" s="13"/>
      <c r="B273" s="48">
        <v>603.1</v>
      </c>
      <c r="C273" s="14"/>
      <c r="D273" s="14"/>
      <c r="E273" s="14"/>
      <c r="F273" s="14"/>
      <c r="G273" s="14"/>
      <c r="H273" s="441"/>
      <c r="I273" s="99"/>
      <c r="J273" s="98"/>
      <c r="K273" s="65"/>
      <c r="L273" s="834"/>
      <c r="M273" s="836"/>
      <c r="N273" s="98"/>
      <c r="O273" s="793"/>
      <c r="P273" s="64"/>
      <c r="Q273" s="64"/>
      <c r="R273" s="64"/>
      <c r="S273" s="64"/>
      <c r="T273" s="64"/>
      <c r="U273" s="64"/>
      <c r="V273" s="64"/>
      <c r="W273" s="64"/>
      <c r="X273" s="797"/>
      <c r="Y273" s="562"/>
      <c r="Z273" s="562"/>
      <c r="AA273" s="562"/>
      <c r="AB273" s="562"/>
      <c r="AC273" s="562"/>
      <c r="AD273" s="562"/>
      <c r="AE273" s="562"/>
      <c r="AF273" s="562"/>
      <c r="AG273" s="562"/>
      <c r="AH273" s="562"/>
      <c r="AI273" s="562"/>
      <c r="AJ273" s="562"/>
      <c r="AK273" s="562"/>
      <c r="AL273" s="562"/>
      <c r="AM273" s="562"/>
      <c r="AN273" s="562"/>
      <c r="AO273" s="562"/>
      <c r="AP273" s="562"/>
      <c r="AQ273" s="562"/>
      <c r="AR273" s="562"/>
      <c r="AS273" s="562"/>
      <c r="AT273" s="562"/>
      <c r="AU273" s="562"/>
      <c r="AV273" s="562"/>
      <c r="AW273" s="562"/>
      <c r="AX273" s="562"/>
      <c r="AY273" s="562"/>
    </row>
    <row r="274" spans="1:51" s="117" customFormat="1" ht="16" thickTop="1" x14ac:dyDescent="0.2">
      <c r="A274" s="13"/>
      <c r="B274" s="48">
        <v>603.20000000000005</v>
      </c>
      <c r="C274" s="14"/>
      <c r="D274" s="14"/>
      <c r="E274" s="14"/>
      <c r="F274" s="14"/>
      <c r="G274" s="14"/>
      <c r="H274" s="441"/>
      <c r="I274" s="131" t="s">
        <v>2608</v>
      </c>
      <c r="J274" s="132"/>
      <c r="K274" s="133"/>
      <c r="L274" s="819" t="s">
        <v>2609</v>
      </c>
      <c r="M274" s="835" t="s">
        <v>2610</v>
      </c>
      <c r="N274" s="132"/>
      <c r="O274" s="823">
        <f>MIN(9,ROUNDDOWN(W274/0.01,0))</f>
        <v>0</v>
      </c>
      <c r="P274" s="74" t="b">
        <v>1</v>
      </c>
      <c r="Q274" s="74" t="b">
        <v>1</v>
      </c>
      <c r="R274" s="74" t="b">
        <v>0</v>
      </c>
      <c r="S274" s="74" t="b">
        <v>1</v>
      </c>
      <c r="T274" s="74" t="b">
        <v>0</v>
      </c>
      <c r="U274" s="74"/>
      <c r="V274" s="74"/>
      <c r="W274" s="149"/>
      <c r="X274" s="802"/>
      <c r="Y274" s="562"/>
      <c r="Z274" s="562"/>
      <c r="AA274" s="562"/>
      <c r="AB274" s="562"/>
      <c r="AC274" s="562" t="b">
        <f>OR(AD274:AE274)</f>
        <v>0</v>
      </c>
      <c r="AD274" s="562" t="b">
        <v>0</v>
      </c>
      <c r="AE274" s="562" t="b">
        <f>AND(W274&gt;0,LEN(X274)=0)</f>
        <v>0</v>
      </c>
      <c r="AF274" s="562"/>
      <c r="AG274" s="562"/>
      <c r="AH274" s="562"/>
      <c r="AI274" s="562"/>
      <c r="AJ274" s="562"/>
      <c r="AK274" s="562"/>
      <c r="AL274" s="190" t="str">
        <f>SUBSTITUTE(SUBSTITUTE(SUBSTITUTE("dpa"&amp;$B274&amp;$C274&amp;$D274&amp;$E274&amp;$F274,".","_"),"(","_"),")","")</f>
        <v>dpa603,2</v>
      </c>
      <c r="AM274" s="190" t="str">
        <f>M274</f>
        <v>1
9 Max</v>
      </c>
      <c r="AN274" s="190" t="str">
        <f>SUBSTITUTE(SUBSTITUTE(SUBSTITUTE("dpc"&amp;$B274&amp;$C274&amp;$D274&amp;$E274&amp;$F274,".","_"),"(","_"),")","")</f>
        <v>dpc603,2</v>
      </c>
      <c r="AO274" s="190">
        <f>O274</f>
        <v>0</v>
      </c>
      <c r="AP274" s="190" t="str">
        <f t="shared" ref="AP274" si="70">SUBSTITUTE(SUBSTITUTE(SUBSTITUTE("dch"&amp;$B274&amp;$C274&amp;$D274&amp;$E274&amp;$F274,".","_"),"(","_"),")","")</f>
        <v>dch603,2</v>
      </c>
      <c r="AQ274" s="190">
        <f>W274</f>
        <v>0</v>
      </c>
      <c r="AR274" s="562" t="str">
        <f>SUBSTITUTE(SUBSTITUTE(SUBSTITUTE("dnt"&amp;$B274&amp;$C274&amp;$D274&amp;$E274&amp;$F274,".","_"),"(","_"),")","")</f>
        <v>dnt603,2</v>
      </c>
      <c r="AS274" s="190">
        <f>X274</f>
        <v>0</v>
      </c>
      <c r="AT274" s="562"/>
      <c r="AU274" s="562"/>
      <c r="AV274" s="562"/>
      <c r="AW274" s="562"/>
      <c r="AX274" s="562"/>
      <c r="AY274" s="562"/>
    </row>
    <row r="275" spans="1:51" x14ac:dyDescent="0.2">
      <c r="B275" s="48">
        <v>603.20000000000005</v>
      </c>
      <c r="C275" s="14"/>
      <c r="D275" s="14"/>
      <c r="E275" s="14"/>
      <c r="F275" s="14"/>
      <c r="G275" s="14"/>
      <c r="H275" s="441"/>
      <c r="I275" s="99"/>
      <c r="J275" s="98"/>
      <c r="K275" s="65"/>
      <c r="L275" s="820"/>
      <c r="M275" s="836"/>
      <c r="N275" s="98"/>
      <c r="O275" s="793"/>
      <c r="P275" s="64"/>
      <c r="Q275" s="64"/>
      <c r="R275" s="64"/>
      <c r="S275" s="64"/>
      <c r="T275" s="64"/>
      <c r="U275" s="64"/>
      <c r="V275" s="64"/>
      <c r="W275" s="64"/>
      <c r="X275" s="798"/>
      <c r="Y275" s="562"/>
      <c r="Z275" s="562"/>
      <c r="AA275" s="562"/>
      <c r="AB275" s="562"/>
      <c r="AC275" s="562"/>
      <c r="AD275" s="562"/>
      <c r="AE275" s="562"/>
      <c r="AF275" s="562"/>
      <c r="AG275" s="562"/>
      <c r="AH275" s="562"/>
      <c r="AI275" s="562"/>
      <c r="AJ275" s="562"/>
      <c r="AK275" s="562"/>
      <c r="AL275" s="562"/>
      <c r="AM275" s="562"/>
      <c r="AN275" s="562"/>
      <c r="AO275" s="562"/>
      <c r="AP275" s="562"/>
      <c r="AQ275" s="562"/>
      <c r="AR275" s="562"/>
      <c r="AS275" s="562"/>
      <c r="AT275" s="562"/>
      <c r="AU275" s="562"/>
      <c r="AV275" s="562"/>
      <c r="AW275" s="562"/>
      <c r="AX275" s="562"/>
      <c r="AY275" s="562"/>
    </row>
    <row r="276" spans="1:51" x14ac:dyDescent="0.2">
      <c r="B276" s="48">
        <v>603.20000000000005</v>
      </c>
      <c r="C276" s="14"/>
      <c r="D276" s="14"/>
      <c r="E276" s="14"/>
      <c r="F276" s="14"/>
      <c r="G276" s="14"/>
      <c r="H276" s="441"/>
      <c r="I276" s="99"/>
      <c r="J276" s="98"/>
      <c r="K276" s="65"/>
      <c r="L276" s="820"/>
      <c r="M276" s="836"/>
      <c r="N276" s="98"/>
      <c r="O276" s="793"/>
      <c r="P276" s="64"/>
      <c r="Q276" s="64"/>
      <c r="R276" s="64"/>
      <c r="S276" s="64"/>
      <c r="T276" s="64"/>
      <c r="U276" s="64"/>
      <c r="V276" s="64"/>
      <c r="W276" s="64"/>
      <c r="X276" s="798"/>
      <c r="Y276" s="562"/>
      <c r="Z276" s="562"/>
      <c r="AA276" s="562"/>
      <c r="AB276" s="562"/>
      <c r="AC276" s="562"/>
      <c r="AD276" s="562"/>
      <c r="AE276" s="562"/>
      <c r="AF276" s="562"/>
      <c r="AG276" s="562"/>
      <c r="AH276" s="562"/>
      <c r="AI276" s="562"/>
      <c r="AJ276" s="562"/>
      <c r="AK276" s="562"/>
      <c r="AL276" s="562"/>
      <c r="AM276" s="562"/>
      <c r="AN276" s="562"/>
      <c r="AO276" s="562"/>
      <c r="AP276" s="562"/>
      <c r="AQ276" s="562"/>
      <c r="AR276" s="562"/>
      <c r="AS276" s="562"/>
      <c r="AT276" s="562"/>
      <c r="AU276" s="562"/>
      <c r="AV276" s="562"/>
      <c r="AW276" s="562"/>
      <c r="AX276" s="562"/>
      <c r="AY276" s="562"/>
    </row>
    <row r="277" spans="1:51" ht="15" customHeight="1" x14ac:dyDescent="0.2">
      <c r="B277" s="48">
        <v>603.20000000000005</v>
      </c>
      <c r="C277" s="14"/>
      <c r="D277" s="14"/>
      <c r="E277" s="14"/>
      <c r="F277" s="14"/>
      <c r="G277" s="14"/>
      <c r="H277" s="441"/>
      <c r="I277" s="99"/>
      <c r="J277" s="98"/>
      <c r="K277" s="65"/>
      <c r="L277" s="645" t="s">
        <v>2611</v>
      </c>
      <c r="M277" s="836"/>
      <c r="N277" s="98"/>
      <c r="O277" s="793"/>
      <c r="P277" s="64"/>
      <c r="Q277" s="64"/>
      <c r="R277" s="64"/>
      <c r="S277" s="64"/>
      <c r="T277" s="64"/>
      <c r="U277" s="64"/>
      <c r="V277" s="64"/>
      <c r="W277" s="64"/>
      <c r="X277" s="798"/>
      <c r="Y277" s="562"/>
      <c r="Z277" s="562"/>
      <c r="AA277" s="562"/>
      <c r="AB277" s="562"/>
      <c r="AC277" s="562"/>
      <c r="AD277" s="562"/>
      <c r="AE277" s="562"/>
      <c r="AF277" s="562"/>
      <c r="AG277" s="562"/>
      <c r="AH277" s="562"/>
      <c r="AI277" s="562"/>
      <c r="AJ277" s="562"/>
      <c r="AK277" s="562"/>
      <c r="AL277" s="562"/>
      <c r="AM277" s="562"/>
      <c r="AN277" s="562"/>
      <c r="AO277" s="562"/>
      <c r="AP277" s="562"/>
      <c r="AQ277" s="562"/>
      <c r="AR277" s="562"/>
      <c r="AS277" s="562"/>
      <c r="AT277" s="562"/>
      <c r="AU277" s="562"/>
      <c r="AV277" s="562"/>
      <c r="AW277" s="562"/>
      <c r="AX277" s="562"/>
      <c r="AY277" s="562"/>
    </row>
    <row r="278" spans="1:51" ht="15" customHeight="1" x14ac:dyDescent="0.2">
      <c r="B278" s="48">
        <v>603.20000000000005</v>
      </c>
      <c r="C278" s="14"/>
      <c r="D278" s="14"/>
      <c r="E278" s="14"/>
      <c r="F278" s="14"/>
      <c r="G278" s="14"/>
      <c r="H278" s="441"/>
      <c r="I278" s="99"/>
      <c r="J278" s="98"/>
      <c r="K278" s="65"/>
      <c r="L278" s="833" t="s">
        <v>2607</v>
      </c>
      <c r="M278" s="836"/>
      <c r="N278" s="98"/>
      <c r="O278" s="793"/>
      <c r="P278" s="64"/>
      <c r="Q278" s="64"/>
      <c r="R278" s="64"/>
      <c r="S278" s="64"/>
      <c r="T278" s="64"/>
      <c r="U278" s="64"/>
      <c r="V278" s="64"/>
      <c r="W278" s="64"/>
      <c r="X278" s="798"/>
      <c r="Y278" s="562"/>
      <c r="Z278" s="562"/>
      <c r="AA278" s="562"/>
      <c r="AB278" s="562"/>
      <c r="AC278" s="562"/>
      <c r="AD278" s="562"/>
      <c r="AE278" s="562"/>
      <c r="AF278" s="562"/>
      <c r="AG278" s="562"/>
      <c r="AH278" s="562"/>
      <c r="AI278" s="562"/>
      <c r="AJ278" s="562"/>
      <c r="AK278" s="562"/>
      <c r="AL278" s="562"/>
      <c r="AM278" s="562"/>
      <c r="AN278" s="562"/>
      <c r="AO278" s="562"/>
      <c r="AP278" s="562"/>
      <c r="AQ278" s="562"/>
      <c r="AR278" s="562"/>
      <c r="AS278" s="562"/>
      <c r="AT278" s="562"/>
      <c r="AU278" s="562"/>
      <c r="AV278" s="562"/>
      <c r="AW278" s="562"/>
      <c r="AX278" s="562"/>
      <c r="AY278" s="562"/>
    </row>
    <row r="279" spans="1:51" s="117" customFormat="1" x14ac:dyDescent="0.2">
      <c r="A279" s="13"/>
      <c r="B279" s="48">
        <v>603.20000000000005</v>
      </c>
      <c r="C279" s="14"/>
      <c r="D279" s="14"/>
      <c r="E279" s="14"/>
      <c r="F279" s="14"/>
      <c r="G279" s="14"/>
      <c r="H279" s="441"/>
      <c r="I279" s="99"/>
      <c r="J279" s="98"/>
      <c r="K279" s="65"/>
      <c r="L279" s="834"/>
      <c r="M279" s="836"/>
      <c r="N279" s="98"/>
      <c r="O279" s="793"/>
      <c r="P279" s="64"/>
      <c r="Q279" s="64"/>
      <c r="R279" s="64"/>
      <c r="S279" s="64"/>
      <c r="T279" s="64"/>
      <c r="U279" s="64"/>
      <c r="V279" s="64"/>
      <c r="W279" s="64"/>
      <c r="X279" s="798"/>
      <c r="Y279" s="562"/>
      <c r="Z279" s="562"/>
      <c r="AA279" s="562"/>
      <c r="AB279" s="562"/>
      <c r="AC279" s="562"/>
      <c r="AD279" s="562"/>
      <c r="AE279" s="562"/>
      <c r="AF279" s="562"/>
      <c r="AG279" s="562"/>
      <c r="AH279" s="562"/>
      <c r="AI279" s="562"/>
      <c r="AJ279" s="562"/>
      <c r="AK279" s="562"/>
      <c r="AL279" s="562"/>
      <c r="AM279" s="562"/>
      <c r="AN279" s="562"/>
      <c r="AO279" s="562"/>
      <c r="AP279" s="562"/>
      <c r="AQ279" s="562"/>
      <c r="AR279" s="562"/>
      <c r="AS279" s="562"/>
      <c r="AT279" s="562"/>
      <c r="AU279" s="562"/>
      <c r="AV279" s="562"/>
      <c r="AW279" s="562"/>
      <c r="AX279" s="562"/>
      <c r="AY279" s="562"/>
    </row>
    <row r="280" spans="1:51" s="117" customFormat="1" ht="16" thickBot="1" x14ac:dyDescent="0.25">
      <c r="A280" s="13"/>
      <c r="B280" s="48">
        <v>603.20000000000005</v>
      </c>
      <c r="C280" s="14"/>
      <c r="D280" s="14"/>
      <c r="E280" s="14"/>
      <c r="F280" s="14"/>
      <c r="G280" s="14"/>
      <c r="H280" s="441"/>
      <c r="I280" s="99"/>
      <c r="J280" s="98"/>
      <c r="K280" s="65"/>
      <c r="L280" s="834"/>
      <c r="M280" s="836"/>
      <c r="N280" s="98"/>
      <c r="O280" s="793"/>
      <c r="P280" s="64"/>
      <c r="Q280" s="64"/>
      <c r="R280" s="64"/>
      <c r="S280" s="64"/>
      <c r="T280" s="64"/>
      <c r="U280" s="64"/>
      <c r="V280" s="64"/>
      <c r="W280" s="81"/>
      <c r="X280" s="825"/>
      <c r="Y280" s="562"/>
      <c r="Z280" s="562"/>
      <c r="AA280" s="562"/>
      <c r="AB280" s="562"/>
      <c r="AC280" s="562"/>
      <c r="AD280" s="562"/>
      <c r="AE280" s="562"/>
      <c r="AF280" s="562"/>
      <c r="AG280" s="562"/>
      <c r="AH280" s="562"/>
      <c r="AI280" s="562"/>
      <c r="AJ280" s="562"/>
      <c r="AK280" s="562"/>
      <c r="AL280" s="562"/>
      <c r="AM280" s="562"/>
      <c r="AN280" s="562"/>
      <c r="AO280" s="562"/>
      <c r="AP280" s="562"/>
      <c r="AQ280" s="562"/>
      <c r="AR280" s="562"/>
      <c r="AS280" s="562"/>
      <c r="AT280" s="562"/>
      <c r="AU280" s="562"/>
      <c r="AV280" s="562"/>
      <c r="AW280" s="562"/>
      <c r="AX280" s="562"/>
      <c r="AY280" s="562"/>
    </row>
    <row r="281" spans="1:51" ht="16" thickTop="1" x14ac:dyDescent="0.2">
      <c r="B281" s="48">
        <v>603.29999999999995</v>
      </c>
      <c r="C281" s="14"/>
      <c r="D281" s="14"/>
      <c r="E281" s="14"/>
      <c r="F281" s="14"/>
      <c r="G281" s="14"/>
      <c r="H281" s="441"/>
      <c r="I281" s="131" t="s">
        <v>2612</v>
      </c>
      <c r="J281" s="132"/>
      <c r="K281" s="133"/>
      <c r="L281" s="819" t="s">
        <v>2613</v>
      </c>
      <c r="M281" s="827">
        <v>4</v>
      </c>
      <c r="N281" s="132"/>
      <c r="O281" s="823">
        <f>M281*S281*W281</f>
        <v>0</v>
      </c>
      <c r="P281" s="74" t="b">
        <v>1</v>
      </c>
      <c r="Q281" s="74" t="b">
        <v>1</v>
      </c>
      <c r="R281" s="74" t="b">
        <v>0</v>
      </c>
      <c r="S281" s="74" t="b">
        <v>1</v>
      </c>
      <c r="T281" s="74" t="b">
        <v>0</v>
      </c>
      <c r="U281" s="74"/>
      <c r="V281" s="74"/>
      <c r="W281" s="91"/>
      <c r="X281" s="802"/>
      <c r="Y281" s="562"/>
      <c r="Z281" s="562"/>
      <c r="AA281" s="562"/>
      <c r="AB281" s="562"/>
      <c r="AC281" s="562" t="b">
        <f>OR(AD281:AE281)</f>
        <v>0</v>
      </c>
      <c r="AD281" s="562" t="b">
        <v>0</v>
      </c>
      <c r="AE281" s="562" t="b">
        <f>AND(W281=TRUE,LEN(X281)=0)</f>
        <v>0</v>
      </c>
      <c r="AF281" s="562"/>
      <c r="AG281" s="562"/>
      <c r="AH281" s="562"/>
      <c r="AI281" s="562"/>
      <c r="AJ281" s="562"/>
      <c r="AK281" s="562"/>
      <c r="AL281" s="190" t="str">
        <f>SUBSTITUTE(SUBSTITUTE(SUBSTITUTE("dpa"&amp;$B281&amp;$C281&amp;$D281&amp;$E281&amp;$F281,".","_"),"(","_"),")","")</f>
        <v>dpa603,3</v>
      </c>
      <c r="AM281" s="190">
        <f>M281</f>
        <v>4</v>
      </c>
      <c r="AN281" s="190" t="str">
        <f>SUBSTITUTE(SUBSTITUTE(SUBSTITUTE("dpc"&amp;$B281&amp;$C281&amp;$D281&amp;$E281&amp;$F281,".","_"),"(","_"),")","")</f>
        <v>dpc603,3</v>
      </c>
      <c r="AO281" s="190">
        <f>O281</f>
        <v>0</v>
      </c>
      <c r="AP281" s="190" t="str">
        <f t="shared" ref="AP281" si="71">SUBSTITUTE(SUBSTITUTE(SUBSTITUTE("dch"&amp;$B281&amp;$C281&amp;$D281&amp;$E281&amp;$F281,".","_"),"(","_"),")","")</f>
        <v>dch603,3</v>
      </c>
      <c r="AQ281" s="190">
        <f>W281</f>
        <v>0</v>
      </c>
      <c r="AR281" s="562" t="str">
        <f>SUBSTITUTE(SUBSTITUTE(SUBSTITUTE("dnt"&amp;$B281&amp;$C281&amp;$D281&amp;$E281&amp;$F281,".","_"),"(","_"),")","")</f>
        <v>dnt603,3</v>
      </c>
      <c r="AS281" s="190">
        <f>X281</f>
        <v>0</v>
      </c>
      <c r="AT281" s="562"/>
      <c r="AU281" s="562"/>
      <c r="AV281" s="562"/>
      <c r="AW281" s="562"/>
      <c r="AX281" s="562"/>
      <c r="AY281" s="562"/>
    </row>
    <row r="282" spans="1:51" ht="15" customHeight="1" x14ac:dyDescent="0.2">
      <c r="B282" s="48">
        <v>603.29999999999995</v>
      </c>
      <c r="C282" s="14"/>
      <c r="D282" s="14"/>
      <c r="E282" s="14"/>
      <c r="F282" s="14"/>
      <c r="G282" s="14"/>
      <c r="H282" s="441"/>
      <c r="I282" s="99"/>
      <c r="J282" s="98"/>
      <c r="K282" s="65"/>
      <c r="L282" s="820"/>
      <c r="M282" s="800"/>
      <c r="N282" s="98"/>
      <c r="O282" s="793"/>
      <c r="P282" s="64"/>
      <c r="Q282" s="64"/>
      <c r="R282" s="64"/>
      <c r="S282" s="64"/>
      <c r="T282" s="64"/>
      <c r="U282" s="64"/>
      <c r="V282" s="64"/>
      <c r="W282" s="64"/>
      <c r="X282" s="798"/>
      <c r="Y282" s="562"/>
      <c r="Z282" s="562"/>
      <c r="AA282" s="562"/>
      <c r="AB282" s="562"/>
      <c r="AC282" s="562"/>
      <c r="AD282" s="562"/>
      <c r="AE282" s="562"/>
      <c r="AF282" s="562"/>
      <c r="AG282" s="562"/>
      <c r="AH282" s="562"/>
      <c r="AI282" s="562"/>
      <c r="AJ282" s="562"/>
      <c r="AK282" s="562"/>
      <c r="AL282" s="562"/>
      <c r="AM282" s="562"/>
      <c r="AN282" s="562"/>
      <c r="AO282" s="562"/>
      <c r="AP282" s="562"/>
      <c r="AQ282" s="562"/>
      <c r="AR282" s="562"/>
      <c r="AS282" s="562"/>
      <c r="AT282" s="562"/>
      <c r="AU282" s="562"/>
      <c r="AV282" s="562"/>
      <c r="AW282" s="562"/>
      <c r="AX282" s="562"/>
      <c r="AY282" s="562"/>
    </row>
    <row r="283" spans="1:51" s="117" customFormat="1" ht="15" customHeight="1" x14ac:dyDescent="0.2">
      <c r="A283" s="13"/>
      <c r="B283" s="48">
        <v>603.29999999999995</v>
      </c>
      <c r="C283" s="14"/>
      <c r="D283" s="14"/>
      <c r="E283" s="14"/>
      <c r="F283" s="14"/>
      <c r="G283" s="14"/>
      <c r="H283" s="441"/>
      <c r="I283" s="99"/>
      <c r="J283" s="98"/>
      <c r="K283" s="65"/>
      <c r="L283" s="633" t="s">
        <v>2614</v>
      </c>
      <c r="M283" s="800"/>
      <c r="N283" s="98"/>
      <c r="O283" s="793"/>
      <c r="P283" s="64"/>
      <c r="Q283" s="64"/>
      <c r="R283" s="64"/>
      <c r="S283" s="64"/>
      <c r="T283" s="64"/>
      <c r="U283" s="64"/>
      <c r="V283" s="64"/>
      <c r="W283" s="64"/>
      <c r="X283" s="798"/>
      <c r="Y283" s="562"/>
      <c r="Z283" s="562"/>
      <c r="AA283" s="562"/>
      <c r="AB283" s="562"/>
      <c r="AC283" s="562"/>
      <c r="AD283" s="562"/>
      <c r="AE283" s="562"/>
      <c r="AF283" s="562"/>
      <c r="AG283" s="562"/>
      <c r="AH283" s="562"/>
      <c r="AI283" s="562"/>
      <c r="AJ283" s="562"/>
      <c r="AK283" s="562"/>
      <c r="AL283" s="562"/>
      <c r="AM283" s="562"/>
      <c r="AN283" s="562"/>
      <c r="AO283" s="562"/>
      <c r="AP283" s="562"/>
      <c r="AQ283" s="562"/>
      <c r="AR283" s="562"/>
      <c r="AS283" s="562"/>
      <c r="AT283" s="562"/>
      <c r="AU283" s="562"/>
      <c r="AV283" s="562"/>
      <c r="AW283" s="562"/>
      <c r="AX283" s="562"/>
      <c r="AY283" s="562"/>
    </row>
    <row r="284" spans="1:51" s="117" customFormat="1" ht="15" customHeight="1" x14ac:dyDescent="0.25">
      <c r="A284" s="13"/>
      <c r="B284" s="48">
        <v>604</v>
      </c>
      <c r="C284" s="14"/>
      <c r="D284" s="14"/>
      <c r="E284" s="14"/>
      <c r="F284" s="14"/>
      <c r="G284" s="14"/>
      <c r="H284" s="441"/>
      <c r="I284" s="8" t="s">
        <v>2615</v>
      </c>
      <c r="J284" s="16"/>
      <c r="K284" s="52"/>
      <c r="L284" s="180"/>
      <c r="M284" s="225"/>
      <c r="N284" s="266"/>
      <c r="O284" s="264"/>
      <c r="P284" s="16"/>
      <c r="Q284" s="16"/>
      <c r="R284" s="16"/>
      <c r="S284" s="16"/>
      <c r="T284" s="16"/>
      <c r="U284" s="16"/>
      <c r="V284" s="16"/>
      <c r="W284" s="16"/>
      <c r="X284" s="16"/>
      <c r="Y284" s="562"/>
      <c r="Z284" s="562"/>
      <c r="AA284" s="562"/>
      <c r="AB284" s="562"/>
      <c r="AC284" s="562"/>
      <c r="AD284" s="562"/>
      <c r="AE284" s="562"/>
      <c r="AF284" s="562"/>
      <c r="AG284" s="562"/>
      <c r="AH284" s="562"/>
      <c r="AI284" s="562"/>
      <c r="AJ284" s="562"/>
      <c r="AK284" s="562"/>
      <c r="AL284" s="562"/>
      <c r="AM284" s="562"/>
      <c r="AN284" s="562"/>
      <c r="AO284" s="562"/>
      <c r="AP284" s="562"/>
      <c r="AQ284" s="562"/>
      <c r="AR284" s="562"/>
      <c r="AS284" s="562"/>
      <c r="AT284" s="562"/>
      <c r="AU284" s="562"/>
      <c r="AV284" s="562"/>
      <c r="AW284" s="562"/>
      <c r="AX284" s="562"/>
      <c r="AY284" s="562"/>
    </row>
    <row r="285" spans="1:51" x14ac:dyDescent="0.2">
      <c r="B285" s="48">
        <v>604.1</v>
      </c>
      <c r="C285" s="14" t="s">
        <v>2329</v>
      </c>
      <c r="D285" s="14"/>
      <c r="E285" s="14"/>
      <c r="F285" s="14"/>
      <c r="G285" s="14"/>
      <c r="H285" s="441"/>
      <c r="I285" s="40" t="s">
        <v>2616</v>
      </c>
      <c r="J285" s="3"/>
      <c r="K285" s="53"/>
      <c r="L285" s="775" t="s">
        <v>2617</v>
      </c>
      <c r="M285" s="863" t="s">
        <v>2618</v>
      </c>
      <c r="N285" s="3"/>
      <c r="O285" s="795">
        <f>IFERROR(INDEX({0,1,2,3},MATCH(MIN(W288+0,W286+0),{0,0.25,0.5,0.75},1)),0)+IFERROR(INDEX({0,2,4,6},MATCH(MIN(W290+0,W292+0),{0,0.25,0.5,0.75},1)),0)</f>
        <v>0</v>
      </c>
      <c r="P285" s="562"/>
      <c r="Q285" s="562"/>
      <c r="R285" s="562"/>
      <c r="S285" s="562"/>
      <c r="T285" s="562"/>
      <c r="U285" s="562"/>
      <c r="V285" s="562"/>
      <c r="W285" s="562" t="s">
        <v>2619</v>
      </c>
      <c r="X285" s="825"/>
      <c r="Y285" s="562"/>
      <c r="Z285" s="562"/>
      <c r="AA285" s="562"/>
      <c r="AB285" s="562"/>
      <c r="AC285" s="562"/>
      <c r="AD285" s="562"/>
      <c r="AE285" s="562"/>
      <c r="AF285" s="562"/>
      <c r="AG285" s="562"/>
      <c r="AH285" s="562"/>
      <c r="AI285" s="562"/>
      <c r="AJ285" s="562"/>
      <c r="AK285" s="562"/>
      <c r="AL285" s="190" t="str">
        <f>SUBSTITUTE(SUBSTITUTE(SUBSTITUTE("dpa"&amp;$B285&amp;$C285&amp;$D285&amp;$E285&amp;$F285,".","_"),"(","_"),")","")</f>
        <v>dpa604,1a</v>
      </c>
      <c r="AM285" s="190" t="str">
        <f>M285</f>
        <v>per Table
604.1</v>
      </c>
      <c r="AN285" s="190" t="str">
        <f>SUBSTITUTE(SUBSTITUTE(SUBSTITUTE("dpc"&amp;$B285&amp;$C285&amp;$D285&amp;$E285&amp;$F285,".","_"),"(","_"),")","")</f>
        <v>dpc604,1a</v>
      </c>
      <c r="AO285" s="190">
        <f>O285</f>
        <v>0</v>
      </c>
      <c r="AP285" s="562"/>
      <c r="AQ285" s="562"/>
      <c r="AR285" s="562" t="str">
        <f>SUBSTITUTE(SUBSTITUTE(SUBSTITUTE("dnt"&amp;$B285&amp;$C285&amp;$D285&amp;$E285&amp;$F285,".","_"),"(","_"),")","")</f>
        <v>dnt604,1a</v>
      </c>
      <c r="AS285" s="190">
        <f>X285</f>
        <v>0</v>
      </c>
      <c r="AT285" s="562"/>
      <c r="AU285" s="562"/>
      <c r="AV285" s="562"/>
      <c r="AW285" s="562"/>
      <c r="AX285" s="562"/>
      <c r="AY285" s="562"/>
    </row>
    <row r="286" spans="1:51" ht="15" customHeight="1" x14ac:dyDescent="0.2">
      <c r="B286" s="48">
        <v>604.1</v>
      </c>
      <c r="C286" s="14" t="s">
        <v>2329</v>
      </c>
      <c r="D286" s="14"/>
      <c r="E286" s="14"/>
      <c r="F286" s="14"/>
      <c r="G286" s="14"/>
      <c r="H286" s="441"/>
      <c r="I286" s="40"/>
      <c r="J286" s="3"/>
      <c r="K286" s="53"/>
      <c r="L286" s="775"/>
      <c r="M286" s="863"/>
      <c r="N286" s="3"/>
      <c r="O286" s="795"/>
      <c r="P286" s="562" t="b">
        <v>1</v>
      </c>
      <c r="Q286" s="562" t="b">
        <v>1</v>
      </c>
      <c r="R286" s="562" t="b">
        <v>0</v>
      </c>
      <c r="S286" s="562" t="b">
        <v>1</v>
      </c>
      <c r="T286" s="562" t="b">
        <v>0</v>
      </c>
      <c r="U286" s="64"/>
      <c r="V286" s="562"/>
      <c r="W286" s="122"/>
      <c r="X286" s="786"/>
      <c r="Y286" s="562"/>
      <c r="Z286" s="562"/>
      <c r="AA286" s="562"/>
      <c r="AB286" s="562"/>
      <c r="AC286" s="562" t="b">
        <f>OR(AD286:AE286)</f>
        <v>0</v>
      </c>
      <c r="AD286" s="562" t="b">
        <v>0</v>
      </c>
      <c r="AE286" s="562" t="b">
        <f>AND(W286&gt;0,LEN(X285)=0)</f>
        <v>0</v>
      </c>
      <c r="AF286" s="562"/>
      <c r="AG286" s="562"/>
      <c r="AH286" s="562"/>
      <c r="AI286" s="562"/>
      <c r="AJ286" s="562"/>
      <c r="AK286" s="562"/>
      <c r="AL286" s="562"/>
      <c r="AM286" s="562"/>
      <c r="AN286" s="562"/>
      <c r="AO286" s="562"/>
      <c r="AP286" s="190" t="str">
        <f t="shared" ref="AP286" si="72">SUBSTITUTE(SUBSTITUTE(SUBSTITUTE("dch"&amp;$B286&amp;$C286&amp;$D286&amp;$E286&amp;$F286,".","_"),"(","_"),")","")</f>
        <v>dch604,1a</v>
      </c>
      <c r="AQ286" s="190">
        <f>W286</f>
        <v>0</v>
      </c>
      <c r="AR286" s="562"/>
      <c r="AS286" s="562"/>
      <c r="AT286" s="562"/>
      <c r="AU286" s="562"/>
      <c r="AV286" s="562"/>
      <c r="AW286" s="562"/>
      <c r="AX286" s="562"/>
      <c r="AY286" s="562"/>
    </row>
    <row r="287" spans="1:51" s="117" customFormat="1" x14ac:dyDescent="0.2">
      <c r="A287" s="13"/>
      <c r="B287" s="48">
        <v>604.1</v>
      </c>
      <c r="C287" s="14" t="s">
        <v>2331</v>
      </c>
      <c r="D287" s="14"/>
      <c r="E287" s="14"/>
      <c r="F287" s="14"/>
      <c r="G287" s="14"/>
      <c r="H287" s="441"/>
      <c r="I287" s="40"/>
      <c r="J287" s="3"/>
      <c r="K287" s="53"/>
      <c r="L287" s="618" t="s">
        <v>2620</v>
      </c>
      <c r="M287" s="863"/>
      <c r="N287" s="3"/>
      <c r="O287" s="795"/>
      <c r="P287" s="562"/>
      <c r="Q287" s="562"/>
      <c r="R287" s="562"/>
      <c r="S287" s="562"/>
      <c r="T287" s="562"/>
      <c r="U287" s="562"/>
      <c r="V287" s="562"/>
      <c r="W287" s="562" t="s">
        <v>2621</v>
      </c>
      <c r="X287" s="787"/>
      <c r="Y287" s="562"/>
      <c r="Z287" s="562"/>
      <c r="AA287" s="562"/>
      <c r="AB287" s="562"/>
      <c r="AC287" s="562"/>
      <c r="AD287" s="562"/>
      <c r="AE287" s="562"/>
      <c r="AF287" s="562"/>
      <c r="AG287" s="562"/>
      <c r="AH287" s="562"/>
      <c r="AI287" s="562"/>
      <c r="AJ287" s="562"/>
      <c r="AK287" s="562"/>
      <c r="AL287" s="562"/>
      <c r="AM287" s="562"/>
      <c r="AN287" s="562"/>
      <c r="AO287" s="562"/>
      <c r="AP287" s="562"/>
      <c r="AQ287" s="562"/>
      <c r="AR287" s="562" t="str">
        <f>SUBSTITUTE(SUBSTITUTE(SUBSTITUTE("dnt"&amp;$B287&amp;$C287&amp;$D287&amp;$E287&amp;$F287,".","_"),"(","_"),")","")</f>
        <v>dnt604,1b</v>
      </c>
      <c r="AS287" s="190">
        <f>X287</f>
        <v>0</v>
      </c>
      <c r="AT287" s="562"/>
      <c r="AU287" s="562"/>
      <c r="AV287" s="562"/>
      <c r="AW287" s="562"/>
      <c r="AX287" s="562"/>
      <c r="AY287" s="562"/>
    </row>
    <row r="288" spans="1:51" s="117" customFormat="1" x14ac:dyDescent="0.2">
      <c r="A288" s="13"/>
      <c r="B288" s="48">
        <v>604.1</v>
      </c>
      <c r="C288" s="14" t="s">
        <v>2331</v>
      </c>
      <c r="D288" s="14"/>
      <c r="E288" s="14"/>
      <c r="F288" s="14"/>
      <c r="G288" s="14"/>
      <c r="H288" s="441"/>
      <c r="I288" s="40"/>
      <c r="J288" s="3"/>
      <c r="K288" s="53"/>
      <c r="L288" s="196" t="s">
        <v>2622</v>
      </c>
      <c r="M288" s="863"/>
      <c r="N288" s="3"/>
      <c r="O288" s="795"/>
      <c r="P288" s="562" t="b">
        <v>1</v>
      </c>
      <c r="Q288" s="562" t="b">
        <v>1</v>
      </c>
      <c r="R288" s="562" t="b">
        <v>0</v>
      </c>
      <c r="S288" s="562" t="b">
        <v>1</v>
      </c>
      <c r="T288" s="562" t="b">
        <v>0</v>
      </c>
      <c r="U288" s="64"/>
      <c r="V288" s="562"/>
      <c r="W288" s="122"/>
      <c r="X288" s="787"/>
      <c r="Y288" s="562"/>
      <c r="Z288" s="562"/>
      <c r="AA288" s="562"/>
      <c r="AB288" s="562"/>
      <c r="AC288" s="562" t="b">
        <f>OR(AD288:AE288)</f>
        <v>0</v>
      </c>
      <c r="AD288" s="562" t="b">
        <v>0</v>
      </c>
      <c r="AE288" s="562" t="b">
        <f>AND(W288&gt;0,LEN(X287)=0)</f>
        <v>0</v>
      </c>
      <c r="AF288" s="562"/>
      <c r="AG288" s="562"/>
      <c r="AH288" s="562"/>
      <c r="AI288" s="562"/>
      <c r="AJ288" s="562"/>
      <c r="AK288" s="562"/>
      <c r="AL288" s="562"/>
      <c r="AM288" s="562"/>
      <c r="AN288" s="562"/>
      <c r="AO288" s="562"/>
      <c r="AP288" s="190" t="str">
        <f t="shared" ref="AP288" si="73">SUBSTITUTE(SUBSTITUTE(SUBSTITUTE("dch"&amp;$B288&amp;$C288&amp;$D288&amp;$E288&amp;$F288,".","_"),"(","_"),")","")</f>
        <v>dch604,1b</v>
      </c>
      <c r="AQ288" s="190">
        <f>W288</f>
        <v>0</v>
      </c>
      <c r="AR288" s="562"/>
      <c r="AS288" s="562"/>
      <c r="AT288" s="562"/>
      <c r="AU288" s="562"/>
      <c r="AV288" s="562"/>
      <c r="AW288" s="562"/>
      <c r="AX288" s="562"/>
      <c r="AY288" s="562"/>
    </row>
    <row r="289" spans="1:51" s="117" customFormat="1" x14ac:dyDescent="0.2">
      <c r="A289" s="13"/>
      <c r="B289" s="48">
        <v>604.1</v>
      </c>
      <c r="C289" s="14" t="s">
        <v>2333</v>
      </c>
      <c r="D289" s="14"/>
      <c r="E289" s="14"/>
      <c r="F289" s="14"/>
      <c r="G289" s="14"/>
      <c r="H289" s="441"/>
      <c r="I289" s="40"/>
      <c r="J289" s="3"/>
      <c r="K289" s="53"/>
      <c r="L289" s="816" t="s">
        <v>2623</v>
      </c>
      <c r="M289" s="863"/>
      <c r="N289" s="3"/>
      <c r="O289" s="795"/>
      <c r="P289" s="562"/>
      <c r="Q289" s="562"/>
      <c r="R289" s="562"/>
      <c r="S289" s="562"/>
      <c r="T289" s="562"/>
      <c r="U289" s="562"/>
      <c r="V289" s="562"/>
      <c r="W289" s="562" t="s">
        <v>2624</v>
      </c>
      <c r="X289" s="787"/>
      <c r="Y289" s="562"/>
      <c r="Z289" s="562"/>
      <c r="AA289" s="562"/>
      <c r="AB289" s="562"/>
      <c r="AC289" s="562"/>
      <c r="AD289" s="562"/>
      <c r="AE289" s="562"/>
      <c r="AF289" s="562"/>
      <c r="AG289" s="562"/>
      <c r="AH289" s="562"/>
      <c r="AI289" s="562"/>
      <c r="AJ289" s="562"/>
      <c r="AK289" s="562"/>
      <c r="AL289" s="562"/>
      <c r="AM289" s="562"/>
      <c r="AN289" s="562"/>
      <c r="AO289" s="562"/>
      <c r="AP289" s="562"/>
      <c r="AQ289" s="562"/>
      <c r="AR289" s="562" t="str">
        <f>SUBSTITUTE(SUBSTITUTE(SUBSTITUTE("dnt"&amp;$B289&amp;$C289&amp;$D289&amp;$E289&amp;$F289,".","_"),"(","_"),")","")</f>
        <v>dnt604,1c</v>
      </c>
      <c r="AS289" s="190">
        <f>X289</f>
        <v>0</v>
      </c>
      <c r="AT289" s="562"/>
      <c r="AU289" s="562"/>
      <c r="AV289" s="562"/>
      <c r="AW289" s="562"/>
      <c r="AX289" s="562"/>
      <c r="AY289" s="562"/>
    </row>
    <row r="290" spans="1:51" s="117" customFormat="1" x14ac:dyDescent="0.2">
      <c r="A290" s="13"/>
      <c r="B290" s="48">
        <v>604.1</v>
      </c>
      <c r="C290" s="14" t="s">
        <v>2333</v>
      </c>
      <c r="D290" s="14"/>
      <c r="E290" s="14"/>
      <c r="F290" s="14"/>
      <c r="G290" s="14"/>
      <c r="H290" s="441"/>
      <c r="I290" s="40"/>
      <c r="J290" s="3"/>
      <c r="K290" s="53"/>
      <c r="L290" s="816"/>
      <c r="M290" s="863"/>
      <c r="N290" s="3"/>
      <c r="O290" s="795"/>
      <c r="P290" s="562" t="b">
        <v>1</v>
      </c>
      <c r="Q290" s="562" t="b">
        <v>1</v>
      </c>
      <c r="R290" s="562" t="b">
        <v>0</v>
      </c>
      <c r="S290" s="562" t="b">
        <v>1</v>
      </c>
      <c r="T290" s="562" t="b">
        <v>0</v>
      </c>
      <c r="U290" s="64"/>
      <c r="V290" s="562"/>
      <c r="W290" s="122"/>
      <c r="X290" s="787"/>
      <c r="Y290" s="562"/>
      <c r="Z290" s="562"/>
      <c r="AA290" s="562"/>
      <c r="AB290" s="562"/>
      <c r="AC290" s="562" t="b">
        <f>OR(AD290:AE290)</f>
        <v>0</v>
      </c>
      <c r="AD290" s="562" t="b">
        <v>0</v>
      </c>
      <c r="AE290" s="562" t="b">
        <f>AND(W290&gt;0,LEN(X289)=0)</f>
        <v>0</v>
      </c>
      <c r="AF290" s="562"/>
      <c r="AG290" s="562"/>
      <c r="AH290" s="562"/>
      <c r="AI290" s="562"/>
      <c r="AJ290" s="562"/>
      <c r="AK290" s="562"/>
      <c r="AL290" s="562"/>
      <c r="AM290" s="562"/>
      <c r="AN290" s="562"/>
      <c r="AO290" s="562"/>
      <c r="AP290" s="190" t="str">
        <f t="shared" ref="AP290" si="74">SUBSTITUTE(SUBSTITUTE(SUBSTITUTE("dch"&amp;$B290&amp;$C290&amp;$D290&amp;$E290&amp;$F290,".","_"),"(","_"),")","")</f>
        <v>dch604,1c</v>
      </c>
      <c r="AQ290" s="190">
        <f>W290</f>
        <v>0</v>
      </c>
      <c r="AR290" s="562"/>
      <c r="AS290" s="562"/>
      <c r="AT290" s="562"/>
      <c r="AU290" s="562"/>
      <c r="AV290" s="562"/>
      <c r="AW290" s="562"/>
      <c r="AX290" s="562"/>
      <c r="AY290" s="562"/>
    </row>
    <row r="291" spans="1:51" s="117" customFormat="1" x14ac:dyDescent="0.2">
      <c r="A291" s="13"/>
      <c r="B291" s="48">
        <v>604.1</v>
      </c>
      <c r="C291" s="14" t="s">
        <v>2335</v>
      </c>
      <c r="D291" s="14"/>
      <c r="E291" s="14"/>
      <c r="F291" s="14"/>
      <c r="G291" s="14"/>
      <c r="H291" s="441"/>
      <c r="I291" s="40"/>
      <c r="J291" s="3"/>
      <c r="K291" s="53"/>
      <c r="L291" s="589"/>
      <c r="M291" s="863"/>
      <c r="N291" s="3"/>
      <c r="O291" s="795"/>
      <c r="P291" s="562"/>
      <c r="Q291" s="562"/>
      <c r="R291" s="562"/>
      <c r="S291" s="562"/>
      <c r="T291" s="562"/>
      <c r="U291" s="562"/>
      <c r="V291" s="562"/>
      <c r="W291" s="562" t="s">
        <v>2625</v>
      </c>
      <c r="X291" s="787"/>
      <c r="Y291" s="562"/>
      <c r="Z291" s="562"/>
      <c r="AA291" s="562"/>
      <c r="AB291" s="562"/>
      <c r="AC291" s="562"/>
      <c r="AD291" s="562"/>
      <c r="AE291" s="562"/>
      <c r="AF291" s="562"/>
      <c r="AG291" s="562"/>
      <c r="AH291" s="562"/>
      <c r="AI291" s="562"/>
      <c r="AJ291" s="562"/>
      <c r="AK291" s="562"/>
      <c r="AL291" s="562"/>
      <c r="AM291" s="562"/>
      <c r="AN291" s="562"/>
      <c r="AO291" s="562"/>
      <c r="AP291" s="562"/>
      <c r="AQ291" s="562"/>
      <c r="AR291" s="562" t="str">
        <f>SUBSTITUTE(SUBSTITUTE(SUBSTITUTE("dnt"&amp;$B291&amp;$C291&amp;$D291&amp;$E291&amp;$F291,".","_"),"(","_"),")","")</f>
        <v>dnt604,1d</v>
      </c>
      <c r="AS291" s="190">
        <f>X291</f>
        <v>0</v>
      </c>
      <c r="AT291" s="562"/>
      <c r="AU291" s="562"/>
      <c r="AV291" s="562"/>
      <c r="AW291" s="562"/>
      <c r="AX291" s="562"/>
      <c r="AY291" s="562"/>
    </row>
    <row r="292" spans="1:51" s="117" customFormat="1" x14ac:dyDescent="0.2">
      <c r="A292" s="13"/>
      <c r="B292" s="48">
        <v>604.1</v>
      </c>
      <c r="C292" s="14" t="s">
        <v>2335</v>
      </c>
      <c r="D292" s="14"/>
      <c r="E292" s="14"/>
      <c r="F292" s="14"/>
      <c r="G292" s="14"/>
      <c r="H292" s="441"/>
      <c r="I292" s="40"/>
      <c r="J292" s="3"/>
      <c r="K292" s="53"/>
      <c r="L292" s="589"/>
      <c r="M292" s="863"/>
      <c r="N292" s="3"/>
      <c r="O292" s="795"/>
      <c r="P292" s="562" t="b">
        <v>1</v>
      </c>
      <c r="Q292" s="562" t="b">
        <v>1</v>
      </c>
      <c r="R292" s="562" t="b">
        <v>0</v>
      </c>
      <c r="S292" s="562" t="b">
        <v>1</v>
      </c>
      <c r="T292" s="562" t="b">
        <v>0</v>
      </c>
      <c r="U292" s="64"/>
      <c r="V292" s="562"/>
      <c r="W292" s="122"/>
      <c r="X292" s="787"/>
      <c r="Y292" s="562"/>
      <c r="Z292" s="562"/>
      <c r="AA292" s="562"/>
      <c r="AB292" s="562"/>
      <c r="AC292" s="562" t="b">
        <f>OR(AD292:AE292)</f>
        <v>0</v>
      </c>
      <c r="AD292" s="562" t="b">
        <v>0</v>
      </c>
      <c r="AE292" s="562" t="b">
        <f>AND(W292&gt;0,LEN(X291)=0)</f>
        <v>0</v>
      </c>
      <c r="AF292" s="562"/>
      <c r="AG292" s="562"/>
      <c r="AH292" s="562"/>
      <c r="AI292" s="562"/>
      <c r="AJ292" s="562"/>
      <c r="AK292" s="562"/>
      <c r="AL292" s="562"/>
      <c r="AM292" s="562"/>
      <c r="AN292" s="562"/>
      <c r="AO292" s="562"/>
      <c r="AP292" s="190" t="str">
        <f t="shared" ref="AP292" si="75">SUBSTITUTE(SUBSTITUTE(SUBSTITUTE("dch"&amp;$B292&amp;$C292&amp;$D292&amp;$E292&amp;$F292,".","_"),"(","_"),")","")</f>
        <v>dch604,1d</v>
      </c>
      <c r="AQ292" s="190">
        <f>W292</f>
        <v>0</v>
      </c>
      <c r="AR292" s="562"/>
      <c r="AS292" s="562"/>
      <c r="AT292" s="562"/>
      <c r="AU292" s="562"/>
      <c r="AV292" s="562"/>
      <c r="AW292" s="562"/>
      <c r="AX292" s="562"/>
      <c r="AY292" s="562"/>
    </row>
    <row r="293" spans="1:51" s="117" customFormat="1" ht="19" x14ac:dyDescent="0.25">
      <c r="A293" s="13"/>
      <c r="B293" s="48">
        <v>605</v>
      </c>
      <c r="C293" s="14"/>
      <c r="D293" s="14"/>
      <c r="E293" s="14"/>
      <c r="F293" s="14"/>
      <c r="G293" s="14"/>
      <c r="H293" s="441"/>
      <c r="I293" s="8" t="s">
        <v>2626</v>
      </c>
      <c r="J293" s="16"/>
      <c r="K293" s="52"/>
      <c r="L293" s="179"/>
      <c r="M293" s="225"/>
      <c r="N293" s="266"/>
      <c r="O293" s="264"/>
      <c r="P293" s="16"/>
      <c r="Q293" s="16"/>
      <c r="R293" s="16"/>
      <c r="S293" s="16"/>
      <c r="T293" s="16"/>
      <c r="U293" s="16"/>
      <c r="V293" s="16"/>
      <c r="W293" s="16"/>
      <c r="X293" s="16"/>
      <c r="Y293" s="562"/>
      <c r="Z293" s="562"/>
      <c r="AA293" s="562"/>
      <c r="AB293" s="562"/>
      <c r="AC293" s="562"/>
      <c r="AD293" s="562"/>
      <c r="AE293" s="562"/>
      <c r="AF293" s="562"/>
      <c r="AG293" s="562"/>
      <c r="AH293" s="562"/>
      <c r="AI293" s="562"/>
      <c r="AJ293" s="562"/>
      <c r="AK293" s="562"/>
      <c r="AL293" s="562"/>
      <c r="AM293" s="562"/>
      <c r="AN293" s="562"/>
      <c r="AO293" s="562"/>
      <c r="AP293" s="562"/>
      <c r="AQ293" s="562"/>
      <c r="AR293" s="562"/>
      <c r="AS293" s="562"/>
      <c r="AT293" s="562"/>
      <c r="AU293" s="562"/>
      <c r="AV293" s="562"/>
      <c r="AW293" s="562"/>
      <c r="AX293" s="562"/>
      <c r="AY293" s="562"/>
    </row>
    <row r="294" spans="1:51" x14ac:dyDescent="0.2">
      <c r="B294" s="48" t="s">
        <v>2627</v>
      </c>
      <c r="C294" s="14"/>
      <c r="D294" s="14"/>
      <c r="E294" s="14"/>
      <c r="F294" s="14"/>
      <c r="G294" s="14"/>
      <c r="H294" s="441"/>
      <c r="I294" s="49" t="s">
        <v>2628</v>
      </c>
      <c r="J294" s="3"/>
      <c r="K294" s="53"/>
      <c r="L294" s="775" t="s">
        <v>2629</v>
      </c>
      <c r="M294" s="616"/>
      <c r="N294" s="3"/>
      <c r="O294" s="609"/>
      <c r="P294" s="562"/>
      <c r="Q294" s="562"/>
      <c r="R294" s="562"/>
      <c r="S294" s="562"/>
      <c r="T294" s="562"/>
      <c r="U294" s="562"/>
      <c r="V294" s="562"/>
      <c r="W294" s="562"/>
      <c r="X294" s="562"/>
      <c r="Y294" s="562"/>
      <c r="Z294" s="562"/>
      <c r="AA294" s="562"/>
      <c r="AB294" s="562"/>
      <c r="AC294" s="562"/>
      <c r="AD294" s="562"/>
      <c r="AE294" s="562"/>
      <c r="AF294" s="562"/>
      <c r="AG294" s="562"/>
      <c r="AH294" s="562"/>
      <c r="AI294" s="562"/>
      <c r="AJ294" s="562"/>
      <c r="AK294" s="562"/>
      <c r="AL294" s="562"/>
      <c r="AM294" s="562"/>
      <c r="AN294" s="562"/>
      <c r="AO294" s="562"/>
      <c r="AP294" s="562"/>
      <c r="AQ294" s="562"/>
      <c r="AR294" s="562"/>
      <c r="AS294" s="562"/>
      <c r="AT294" s="562"/>
      <c r="AU294" s="562"/>
      <c r="AV294" s="562"/>
      <c r="AW294" s="562"/>
      <c r="AX294" s="562"/>
      <c r="AY294" s="562"/>
    </row>
    <row r="295" spans="1:51" ht="16" thickBot="1" x14ac:dyDescent="0.25">
      <c r="B295" s="48" t="s">
        <v>2627</v>
      </c>
      <c r="C295" s="14"/>
      <c r="D295" s="14"/>
      <c r="E295" s="14"/>
      <c r="F295" s="14"/>
      <c r="G295" s="14"/>
      <c r="H295" s="441"/>
      <c r="I295" s="40"/>
      <c r="J295" s="3"/>
      <c r="K295" s="53"/>
      <c r="L295" s="775"/>
      <c r="M295" s="616"/>
      <c r="N295" s="3"/>
      <c r="O295" s="609"/>
      <c r="P295" s="562"/>
      <c r="Q295" s="562"/>
      <c r="R295" s="562"/>
      <c r="S295" s="562"/>
      <c r="T295" s="562"/>
      <c r="U295" s="562"/>
      <c r="V295" s="562"/>
      <c r="W295" s="562"/>
      <c r="X295" s="562"/>
      <c r="Y295" s="562"/>
      <c r="Z295" s="562"/>
      <c r="AA295" s="562"/>
      <c r="AB295" s="562"/>
      <c r="AC295" s="562"/>
      <c r="AD295" s="562"/>
      <c r="AE295" s="562"/>
      <c r="AF295" s="562"/>
      <c r="AG295" s="562"/>
      <c r="AH295" s="562"/>
      <c r="AI295" s="562"/>
      <c r="AJ295" s="562"/>
      <c r="AK295" s="562"/>
      <c r="AL295" s="562"/>
      <c r="AM295" s="562"/>
      <c r="AN295" s="562"/>
      <c r="AO295" s="562"/>
      <c r="AP295" s="562"/>
      <c r="AQ295" s="562"/>
      <c r="AR295" s="562"/>
      <c r="AS295" s="562"/>
      <c r="AT295" s="562"/>
      <c r="AU295" s="562"/>
      <c r="AV295" s="562"/>
      <c r="AW295" s="562"/>
      <c r="AX295" s="562"/>
      <c r="AY295" s="562"/>
    </row>
    <row r="296" spans="1:51" s="485" customFormat="1" ht="16" thickTop="1" x14ac:dyDescent="0.2">
      <c r="A296" s="13"/>
      <c r="B296" s="48">
        <v>605.1</v>
      </c>
      <c r="C296" s="14"/>
      <c r="D296" s="14"/>
      <c r="E296" s="14"/>
      <c r="F296" s="14"/>
      <c r="G296" s="14"/>
      <c r="H296" s="441"/>
      <c r="I296" s="490" t="s">
        <v>2630</v>
      </c>
      <c r="J296" s="132"/>
      <c r="K296" s="133"/>
      <c r="L296" s="819" t="s">
        <v>2631</v>
      </c>
      <c r="M296" s="843" t="str">
        <f>IF(R296,"Mandatory","N/A")</f>
        <v>Mandatory</v>
      </c>
      <c r="N296" s="132"/>
      <c r="O296" s="623"/>
      <c r="P296" s="491" t="b">
        <v>1</v>
      </c>
      <c r="Q296" s="491" t="b">
        <v>0</v>
      </c>
      <c r="R296" s="492" t="b">
        <f>S296</f>
        <v>1</v>
      </c>
      <c r="S296" s="492" t="b">
        <v>1</v>
      </c>
      <c r="T296" s="491" t="b">
        <v>0</v>
      </c>
      <c r="U296" s="74"/>
      <c r="V296" s="74"/>
      <c r="W296" s="221"/>
      <c r="X296" s="802"/>
      <c r="Y296" s="562"/>
      <c r="Z296" s="562"/>
      <c r="AA296" s="562"/>
      <c r="AB296" s="562"/>
      <c r="AC296" s="492" t="b">
        <f>OR(AD296:AE296)</f>
        <v>1</v>
      </c>
      <c r="AD296" s="492" t="b">
        <f>T296</f>
        <v>0</v>
      </c>
      <c r="AE296" s="492" t="b">
        <f>NOT(W296)</f>
        <v>1</v>
      </c>
      <c r="AF296" s="562"/>
      <c r="AG296" s="562"/>
      <c r="AH296" s="562"/>
      <c r="AI296" s="562"/>
      <c r="AJ296" s="562"/>
      <c r="AK296" s="562"/>
      <c r="AL296" s="493" t="str">
        <f>SUBSTITUTE(SUBSTITUTE(SUBSTITUTE("dpa"&amp;$B296&amp;$C296&amp;$D296&amp;$E296&amp;$F296,".","_"),"(","_"),")","")</f>
        <v>dpa605,1</v>
      </c>
      <c r="AM296" s="493" t="str">
        <f>M296</f>
        <v>Mandatory</v>
      </c>
      <c r="AN296" s="562"/>
      <c r="AO296" s="562"/>
      <c r="AP296" s="493" t="str">
        <f t="shared" ref="AP296" si="76">SUBSTITUTE(SUBSTITUTE(SUBSTITUTE("dch"&amp;$B296&amp;$C296&amp;$D296&amp;$E296&amp;$F296,".","_"),"(","_"),")","")</f>
        <v>dch605,1</v>
      </c>
      <c r="AQ296" s="493">
        <f>W296</f>
        <v>0</v>
      </c>
      <c r="AR296" s="492" t="str">
        <f>SUBSTITUTE(SUBSTITUTE(SUBSTITUTE("dnt"&amp;$B296&amp;$C296&amp;$D296&amp;$E296&amp;$F296,".","_"),"(","_"),")","")</f>
        <v>dnt605,1</v>
      </c>
      <c r="AS296" s="493">
        <f>X296</f>
        <v>0</v>
      </c>
      <c r="AT296" s="562"/>
      <c r="AU296" s="562"/>
      <c r="AV296" s="562"/>
      <c r="AW296" s="562"/>
      <c r="AX296" s="562"/>
      <c r="AY296" s="562"/>
    </row>
    <row r="297" spans="1:51" s="485" customFormat="1" x14ac:dyDescent="0.2">
      <c r="A297" s="13"/>
      <c r="B297" s="48">
        <v>605.1</v>
      </c>
      <c r="C297" s="14"/>
      <c r="D297" s="14"/>
      <c r="E297" s="14"/>
      <c r="F297" s="14"/>
      <c r="G297" s="14"/>
      <c r="H297" s="441"/>
      <c r="I297" s="99"/>
      <c r="J297" s="98"/>
      <c r="K297" s="65"/>
      <c r="L297" s="820"/>
      <c r="M297" s="838"/>
      <c r="N297" s="98"/>
      <c r="O297" s="607"/>
      <c r="P297" s="64"/>
      <c r="Q297" s="64"/>
      <c r="R297" s="64"/>
      <c r="S297" s="64"/>
      <c r="T297" s="64"/>
      <c r="U297" s="64"/>
      <c r="V297" s="64"/>
      <c r="W297" s="64"/>
      <c r="X297" s="798"/>
      <c r="Y297" s="562"/>
      <c r="Z297" s="562"/>
      <c r="AA297" s="562"/>
      <c r="AB297" s="562"/>
      <c r="AC297" s="562"/>
      <c r="AD297" s="562"/>
      <c r="AE297" s="562"/>
      <c r="AF297" s="562"/>
      <c r="AG297" s="562"/>
      <c r="AH297" s="562"/>
      <c r="AI297" s="562"/>
      <c r="AJ297" s="562"/>
      <c r="AK297" s="562"/>
      <c r="AL297" s="562"/>
      <c r="AM297" s="562"/>
      <c r="AN297" s="562"/>
      <c r="AO297" s="562"/>
      <c r="AP297" s="562"/>
      <c r="AQ297" s="562"/>
      <c r="AR297" s="562"/>
      <c r="AS297" s="562"/>
      <c r="AT297" s="562"/>
      <c r="AU297" s="562"/>
      <c r="AV297" s="562"/>
      <c r="AW297" s="562"/>
      <c r="AX297" s="562"/>
      <c r="AY297" s="562"/>
    </row>
    <row r="298" spans="1:51" ht="16" thickBot="1" x14ac:dyDescent="0.25">
      <c r="B298" s="48">
        <v>605.1</v>
      </c>
      <c r="C298" s="14"/>
      <c r="D298" s="14"/>
      <c r="E298" s="14"/>
      <c r="F298" s="14"/>
      <c r="G298" s="14"/>
      <c r="H298" s="441"/>
      <c r="I298" s="99"/>
      <c r="J298" s="98"/>
      <c r="K298" s="65"/>
      <c r="L298" s="822"/>
      <c r="M298" s="844"/>
      <c r="N298" s="98"/>
      <c r="O298" s="607"/>
      <c r="P298" s="64"/>
      <c r="Q298" s="64"/>
      <c r="R298" s="64"/>
      <c r="S298" s="64"/>
      <c r="T298" s="64"/>
      <c r="U298" s="64"/>
      <c r="V298" s="64"/>
      <c r="W298" s="68"/>
      <c r="X298" s="799"/>
      <c r="Y298" s="562"/>
      <c r="Z298" s="562"/>
      <c r="AA298" s="562"/>
      <c r="AB298" s="562"/>
      <c r="AC298" s="562"/>
      <c r="AD298" s="562"/>
      <c r="AE298" s="562"/>
      <c r="AF298" s="562"/>
      <c r="AG298" s="562"/>
      <c r="AH298" s="562"/>
      <c r="AI298" s="562"/>
      <c r="AJ298" s="562"/>
      <c r="AK298" s="562"/>
      <c r="AL298" s="562"/>
      <c r="AM298" s="562"/>
      <c r="AN298" s="562"/>
      <c r="AO298" s="562"/>
      <c r="AP298" s="562"/>
      <c r="AQ298" s="562"/>
      <c r="AR298" s="562"/>
      <c r="AS298" s="562"/>
      <c r="AT298" s="562"/>
      <c r="AU298" s="562"/>
      <c r="AV298" s="562"/>
      <c r="AW298" s="562"/>
      <c r="AX298" s="562"/>
      <c r="AY298" s="562"/>
    </row>
    <row r="299" spans="1:51" ht="16" thickTop="1" x14ac:dyDescent="0.2">
      <c r="B299" s="48">
        <v>605.20000000000005</v>
      </c>
      <c r="C299" s="14"/>
      <c r="D299" s="14"/>
      <c r="E299" s="14"/>
      <c r="F299" s="14"/>
      <c r="G299" s="14"/>
      <c r="H299" s="441"/>
      <c r="I299" s="131" t="s">
        <v>2632</v>
      </c>
      <c r="J299" s="132"/>
      <c r="K299" s="133"/>
      <c r="L299" s="819" t="s">
        <v>2633</v>
      </c>
      <c r="M299" s="827">
        <v>6</v>
      </c>
      <c r="N299" s="132"/>
      <c r="O299" s="823">
        <f>M299*S299*IFERROR(OR(W299,W312),0)</f>
        <v>0</v>
      </c>
      <c r="P299" s="64" t="b">
        <v>1</v>
      </c>
      <c r="Q299" s="64" t="b">
        <v>1</v>
      </c>
      <c r="R299" s="74" t="b">
        <v>0</v>
      </c>
      <c r="S299" s="74" t="b">
        <v>1</v>
      </c>
      <c r="T299" s="74" t="b">
        <v>0</v>
      </c>
      <c r="U299" s="74"/>
      <c r="V299" s="74"/>
      <c r="W299" s="91"/>
      <c r="X299" s="802"/>
      <c r="Y299" s="562"/>
      <c r="Z299" s="562"/>
      <c r="AA299" s="562"/>
      <c r="AB299" s="562"/>
      <c r="AC299" s="562"/>
      <c r="AD299" s="562"/>
      <c r="AE299" s="562"/>
      <c r="AF299" s="562"/>
      <c r="AG299" s="562"/>
      <c r="AH299" s="562"/>
      <c r="AI299" s="562"/>
      <c r="AJ299" s="562"/>
      <c r="AK299" s="562"/>
      <c r="AL299" s="190" t="str">
        <f>SUBSTITUTE(SUBSTITUTE(SUBSTITUTE("dpa"&amp;$B299&amp;$C299&amp;$D299&amp;$E299&amp;$F299,".","_"),"(","_"),")","")</f>
        <v>dpa605,2</v>
      </c>
      <c r="AM299" s="190">
        <f>M299</f>
        <v>6</v>
      </c>
      <c r="AN299" s="190" t="str">
        <f>SUBSTITUTE(SUBSTITUTE(SUBSTITUTE("dpc"&amp;$B299&amp;$C299&amp;$D299&amp;$E299&amp;$F299,".","_"),"(","_"),")","")</f>
        <v>dpc605,2</v>
      </c>
      <c r="AO299" s="190">
        <f>O299</f>
        <v>0</v>
      </c>
      <c r="AP299" s="190" t="str">
        <f t="shared" ref="AP299" si="77">SUBSTITUTE(SUBSTITUTE(SUBSTITUTE("dch"&amp;$B299&amp;$C299&amp;$D299&amp;$E299&amp;$F299,".","_"),"(","_"),")","")</f>
        <v>dch605,2</v>
      </c>
      <c r="AQ299" s="190">
        <f>W299</f>
        <v>0</v>
      </c>
      <c r="AR299" s="562" t="str">
        <f>SUBSTITUTE(SUBSTITUTE(SUBSTITUTE("dnt"&amp;$B299&amp;$C299&amp;$D299&amp;$E299&amp;$F299,".","_"),"(","_"),")","")</f>
        <v>dnt605,2</v>
      </c>
      <c r="AS299" s="190">
        <f>X299</f>
        <v>0</v>
      </c>
      <c r="AT299" s="562"/>
      <c r="AU299" s="562"/>
      <c r="AV299" s="562"/>
      <c r="AW299" s="562"/>
      <c r="AX299" s="562"/>
      <c r="AY299" s="562"/>
    </row>
    <row r="300" spans="1:51" x14ac:dyDescent="0.2">
      <c r="B300" s="48">
        <v>605.20000000000005</v>
      </c>
      <c r="C300" s="14"/>
      <c r="D300" s="14"/>
      <c r="E300" s="14"/>
      <c r="F300" s="14"/>
      <c r="G300" s="14"/>
      <c r="H300" s="441"/>
      <c r="I300" s="99"/>
      <c r="J300" s="98"/>
      <c r="K300" s="65"/>
      <c r="L300" s="820"/>
      <c r="M300" s="800"/>
      <c r="N300" s="98"/>
      <c r="O300" s="793"/>
      <c r="P300" s="64"/>
      <c r="Q300" s="64"/>
      <c r="R300" s="64"/>
      <c r="S300" s="64"/>
      <c r="T300" s="64"/>
      <c r="U300" s="64"/>
      <c r="V300" s="64"/>
      <c r="W300" s="64"/>
      <c r="X300" s="798"/>
      <c r="Y300" s="562"/>
      <c r="Z300" s="562"/>
      <c r="AA300" s="562"/>
      <c r="AB300" s="562"/>
      <c r="AC300" s="562"/>
      <c r="AD300" s="562"/>
      <c r="AE300" s="562"/>
      <c r="AF300" s="562"/>
      <c r="AG300" s="562"/>
      <c r="AH300" s="562"/>
      <c r="AI300" s="562"/>
      <c r="AJ300" s="562"/>
      <c r="AK300" s="562"/>
      <c r="AL300" s="562"/>
      <c r="AM300" s="562"/>
      <c r="AN300" s="562"/>
      <c r="AO300" s="562"/>
      <c r="AP300" s="562"/>
      <c r="AQ300" s="562"/>
      <c r="AR300" s="562"/>
      <c r="AS300" s="562"/>
      <c r="AT300" s="562"/>
      <c r="AU300" s="562"/>
      <c r="AV300" s="562"/>
      <c r="AW300" s="562"/>
      <c r="AX300" s="562"/>
      <c r="AY300" s="562"/>
    </row>
    <row r="301" spans="1:51" x14ac:dyDescent="0.2">
      <c r="B301" s="48">
        <v>605.20000000000005</v>
      </c>
      <c r="C301" s="14"/>
      <c r="D301" s="14"/>
      <c r="E301" s="14"/>
      <c r="F301" s="14"/>
      <c r="G301" s="14"/>
      <c r="H301" s="441"/>
      <c r="I301" s="99"/>
      <c r="J301" s="98"/>
      <c r="K301" s="65"/>
      <c r="L301" s="820"/>
      <c r="M301" s="800"/>
      <c r="N301" s="98"/>
      <c r="O301" s="793"/>
      <c r="P301" s="64"/>
      <c r="Q301" s="64"/>
      <c r="R301" s="64"/>
      <c r="S301" s="64"/>
      <c r="T301" s="64"/>
      <c r="U301" s="64"/>
      <c r="V301" s="64"/>
      <c r="W301" s="64"/>
      <c r="X301" s="798"/>
      <c r="Y301" s="562"/>
      <c r="Z301" s="562"/>
      <c r="AA301" s="562"/>
      <c r="AB301" s="562"/>
      <c r="AC301" s="562"/>
      <c r="AD301" s="562"/>
      <c r="AE301" s="562"/>
      <c r="AF301" s="562"/>
      <c r="AG301" s="562"/>
      <c r="AH301" s="562"/>
      <c r="AI301" s="562"/>
      <c r="AJ301" s="562"/>
      <c r="AK301" s="562"/>
      <c r="AL301" s="562"/>
      <c r="AM301" s="562"/>
      <c r="AN301" s="562"/>
      <c r="AO301" s="562"/>
      <c r="AP301" s="562"/>
      <c r="AQ301" s="562"/>
      <c r="AR301" s="562"/>
      <c r="AS301" s="562"/>
      <c r="AT301" s="562"/>
      <c r="AU301" s="562"/>
      <c r="AV301" s="562"/>
      <c r="AW301" s="562"/>
      <c r="AX301" s="562"/>
      <c r="AY301" s="562"/>
    </row>
    <row r="302" spans="1:51" x14ac:dyDescent="0.2">
      <c r="B302" s="48">
        <v>605.20000000000005</v>
      </c>
      <c r="C302" s="14"/>
      <c r="D302" s="14"/>
      <c r="E302" s="14"/>
      <c r="F302" s="14"/>
      <c r="G302" s="14"/>
      <c r="H302" s="441"/>
      <c r="I302" s="99"/>
      <c r="J302" s="98"/>
      <c r="K302" s="65"/>
      <c r="L302" s="820"/>
      <c r="M302" s="800"/>
      <c r="N302" s="98"/>
      <c r="O302" s="793"/>
      <c r="P302" s="64"/>
      <c r="Q302" s="64"/>
      <c r="R302" s="64"/>
      <c r="S302" s="64"/>
      <c r="T302" s="64"/>
      <c r="U302" s="64"/>
      <c r="V302" s="64"/>
      <c r="W302" s="64"/>
      <c r="X302" s="798"/>
      <c r="Y302" s="562"/>
      <c r="Z302" s="562"/>
      <c r="AA302" s="562"/>
      <c r="AB302" s="562"/>
      <c r="AC302" s="562"/>
      <c r="AD302" s="562"/>
      <c r="AE302" s="562"/>
      <c r="AF302" s="562"/>
      <c r="AG302" s="562"/>
      <c r="AH302" s="562"/>
      <c r="AI302" s="562"/>
      <c r="AJ302" s="562"/>
      <c r="AK302" s="562"/>
      <c r="AL302" s="562"/>
      <c r="AM302" s="562"/>
      <c r="AN302" s="562"/>
      <c r="AO302" s="562"/>
      <c r="AP302" s="562"/>
      <c r="AQ302" s="562"/>
      <c r="AR302" s="562"/>
      <c r="AS302" s="562"/>
      <c r="AT302" s="562"/>
      <c r="AU302" s="562"/>
      <c r="AV302" s="562"/>
      <c r="AW302" s="562"/>
      <c r="AX302" s="562"/>
      <c r="AY302" s="562"/>
    </row>
    <row r="303" spans="1:51" x14ac:dyDescent="0.2">
      <c r="B303" s="48">
        <v>605.20000000000005</v>
      </c>
      <c r="C303" s="14"/>
      <c r="D303" s="14"/>
      <c r="E303" s="14"/>
      <c r="F303" s="14"/>
      <c r="G303" s="14"/>
      <c r="H303" s="441"/>
      <c r="I303" s="99"/>
      <c r="J303" s="98"/>
      <c r="K303" s="65"/>
      <c r="L303" s="820"/>
      <c r="M303" s="800"/>
      <c r="N303" s="98"/>
      <c r="O303" s="793"/>
      <c r="P303" s="64"/>
      <c r="Q303" s="64"/>
      <c r="R303" s="64"/>
      <c r="S303" s="64"/>
      <c r="T303" s="64"/>
      <c r="U303" s="64"/>
      <c r="V303" s="64"/>
      <c r="W303" s="64"/>
      <c r="X303" s="798"/>
      <c r="Y303" s="562"/>
      <c r="Z303" s="562"/>
      <c r="AA303" s="562"/>
      <c r="AB303" s="562"/>
      <c r="AC303" s="562"/>
      <c r="AD303" s="562"/>
      <c r="AE303" s="562"/>
      <c r="AF303" s="562"/>
      <c r="AG303" s="562"/>
      <c r="AH303" s="562"/>
      <c r="AI303" s="562"/>
      <c r="AJ303" s="562"/>
      <c r="AK303" s="562"/>
      <c r="AL303" s="562"/>
      <c r="AM303" s="562"/>
      <c r="AN303" s="562"/>
      <c r="AO303" s="562"/>
      <c r="AP303" s="562"/>
      <c r="AQ303" s="562"/>
      <c r="AR303" s="562"/>
      <c r="AS303" s="562"/>
      <c r="AT303" s="562"/>
      <c r="AU303" s="562"/>
      <c r="AV303" s="562"/>
      <c r="AW303" s="562"/>
      <c r="AX303" s="562"/>
      <c r="AY303" s="562"/>
    </row>
    <row r="304" spans="1:51" x14ac:dyDescent="0.2">
      <c r="B304" s="48">
        <v>605.20000000000005</v>
      </c>
      <c r="C304" s="14"/>
      <c r="D304" s="14"/>
      <c r="E304" s="14"/>
      <c r="F304" s="14"/>
      <c r="G304" s="14"/>
      <c r="H304" s="441"/>
      <c r="I304" s="99"/>
      <c r="J304" s="98"/>
      <c r="K304" s="65"/>
      <c r="L304" s="820"/>
      <c r="M304" s="800"/>
      <c r="N304" s="98"/>
      <c r="O304" s="793"/>
      <c r="P304" s="64"/>
      <c r="Q304" s="64"/>
      <c r="R304" s="64"/>
      <c r="S304" s="64"/>
      <c r="T304" s="64"/>
      <c r="U304" s="64"/>
      <c r="V304" s="64"/>
      <c r="W304" s="64"/>
      <c r="X304" s="798"/>
      <c r="Y304" s="562"/>
      <c r="Z304" s="562"/>
      <c r="AA304" s="562"/>
      <c r="AB304" s="562"/>
      <c r="AC304" s="562"/>
      <c r="AD304" s="562"/>
      <c r="AE304" s="562"/>
      <c r="AF304" s="562"/>
      <c r="AG304" s="562"/>
      <c r="AH304" s="562"/>
      <c r="AI304" s="562"/>
      <c r="AJ304" s="562"/>
      <c r="AK304" s="562"/>
      <c r="AL304" s="562"/>
      <c r="AM304" s="562"/>
      <c r="AN304" s="562"/>
      <c r="AO304" s="562"/>
      <c r="AP304" s="562"/>
      <c r="AQ304" s="562"/>
      <c r="AR304" s="562"/>
      <c r="AS304" s="562"/>
      <c r="AT304" s="562"/>
      <c r="AU304" s="562"/>
      <c r="AV304" s="562"/>
      <c r="AW304" s="562"/>
      <c r="AX304" s="562"/>
      <c r="AY304" s="562"/>
    </row>
    <row r="305" spans="2:45" x14ac:dyDescent="0.2">
      <c r="B305" s="48">
        <v>605.20000000000005</v>
      </c>
      <c r="C305" s="14"/>
      <c r="D305" s="14"/>
      <c r="E305" s="14"/>
      <c r="F305" s="14"/>
      <c r="G305" s="14"/>
      <c r="H305" s="441"/>
      <c r="I305" s="99"/>
      <c r="J305" s="98"/>
      <c r="K305" s="65"/>
      <c r="L305" s="791" t="s">
        <v>2634</v>
      </c>
      <c r="M305" s="800"/>
      <c r="N305" s="98"/>
      <c r="O305" s="793"/>
      <c r="P305" s="64"/>
      <c r="Q305" s="64"/>
      <c r="R305" s="64"/>
      <c r="S305" s="64"/>
      <c r="T305" s="64"/>
      <c r="U305" s="64"/>
      <c r="V305" s="64"/>
      <c r="W305" s="64"/>
      <c r="X305" s="798"/>
      <c r="Y305" s="562"/>
      <c r="Z305" s="562"/>
      <c r="AA305" s="562"/>
      <c r="AB305" s="562"/>
      <c r="AC305" s="562"/>
      <c r="AD305" s="562"/>
      <c r="AE305" s="562"/>
      <c r="AF305" s="562"/>
      <c r="AG305" s="562"/>
      <c r="AH305" s="562"/>
      <c r="AI305" s="562"/>
      <c r="AJ305" s="562"/>
      <c r="AK305" s="562"/>
      <c r="AL305" s="562"/>
      <c r="AM305" s="562"/>
      <c r="AN305" s="562"/>
      <c r="AO305" s="562"/>
      <c r="AP305" s="562"/>
      <c r="AQ305" s="562"/>
      <c r="AR305" s="562"/>
      <c r="AS305" s="562"/>
    </row>
    <row r="306" spans="2:45" x14ac:dyDescent="0.2">
      <c r="B306" s="48">
        <v>605.20000000000005</v>
      </c>
      <c r="C306" s="14"/>
      <c r="D306" s="14"/>
      <c r="E306" s="14"/>
      <c r="F306" s="14"/>
      <c r="G306" s="14"/>
      <c r="H306" s="441"/>
      <c r="I306" s="99"/>
      <c r="J306" s="98"/>
      <c r="K306" s="65"/>
      <c r="L306" s="791"/>
      <c r="M306" s="800"/>
      <c r="N306" s="98"/>
      <c r="O306" s="793"/>
      <c r="P306" s="64"/>
      <c r="Q306" s="64"/>
      <c r="R306" s="64"/>
      <c r="S306" s="64"/>
      <c r="T306" s="64"/>
      <c r="U306" s="64"/>
      <c r="V306" s="64"/>
      <c r="W306" s="64"/>
      <c r="X306" s="798"/>
      <c r="Y306" s="562"/>
      <c r="Z306" s="562"/>
      <c r="AA306" s="562"/>
      <c r="AB306" s="562"/>
      <c r="AC306" s="562"/>
      <c r="AD306" s="562"/>
      <c r="AE306" s="562"/>
      <c r="AF306" s="562"/>
      <c r="AG306" s="562"/>
      <c r="AH306" s="562"/>
      <c r="AI306" s="562"/>
      <c r="AJ306" s="562"/>
      <c r="AK306" s="562"/>
      <c r="AL306" s="562"/>
      <c r="AM306" s="562"/>
      <c r="AN306" s="562"/>
      <c r="AO306" s="562"/>
      <c r="AP306" s="562"/>
      <c r="AQ306" s="562"/>
      <c r="AR306" s="562"/>
      <c r="AS306" s="562"/>
    </row>
    <row r="307" spans="2:45" x14ac:dyDescent="0.2">
      <c r="B307" s="48">
        <v>605.20000000000005</v>
      </c>
      <c r="C307" s="14"/>
      <c r="D307" s="14"/>
      <c r="E307" s="14"/>
      <c r="F307" s="14"/>
      <c r="G307" s="14"/>
      <c r="H307" s="441"/>
      <c r="I307" s="99"/>
      <c r="J307" s="98"/>
      <c r="K307" s="65"/>
      <c r="L307" s="791"/>
      <c r="M307" s="800"/>
      <c r="N307" s="98"/>
      <c r="O307" s="793"/>
      <c r="P307" s="64"/>
      <c r="Q307" s="64"/>
      <c r="R307" s="64"/>
      <c r="S307" s="64"/>
      <c r="T307" s="64"/>
      <c r="U307" s="64"/>
      <c r="V307" s="64"/>
      <c r="W307" s="64"/>
      <c r="X307" s="798"/>
      <c r="Y307" s="562"/>
      <c r="Z307" s="562"/>
      <c r="AA307" s="562"/>
      <c r="AB307" s="562"/>
      <c r="AC307" s="562"/>
      <c r="AD307" s="562"/>
      <c r="AE307" s="562"/>
      <c r="AF307" s="562"/>
      <c r="AG307" s="562"/>
      <c r="AH307" s="562"/>
      <c r="AI307" s="562"/>
      <c r="AJ307" s="562"/>
      <c r="AK307" s="562"/>
      <c r="AL307" s="562"/>
      <c r="AM307" s="562"/>
      <c r="AN307" s="562"/>
      <c r="AO307" s="562"/>
      <c r="AP307" s="562"/>
      <c r="AQ307" s="562"/>
      <c r="AR307" s="562"/>
      <c r="AS307" s="562"/>
    </row>
    <row r="308" spans="2:45" x14ac:dyDescent="0.2">
      <c r="B308" s="48">
        <v>605.20000000000005</v>
      </c>
      <c r="C308" s="14"/>
      <c r="D308" s="14"/>
      <c r="E308" s="14"/>
      <c r="F308" s="14"/>
      <c r="G308" s="14"/>
      <c r="H308" s="441"/>
      <c r="I308" s="99"/>
      <c r="J308" s="98"/>
      <c r="K308" s="65"/>
      <c r="L308" s="791"/>
      <c r="M308" s="800"/>
      <c r="N308" s="98"/>
      <c r="O308" s="793"/>
      <c r="P308" s="64"/>
      <c r="Q308" s="64"/>
      <c r="R308" s="64"/>
      <c r="S308" s="64"/>
      <c r="T308" s="64"/>
      <c r="U308" s="64"/>
      <c r="V308" s="64"/>
      <c r="W308" s="64"/>
      <c r="X308" s="798"/>
      <c r="Y308" s="562"/>
      <c r="Z308" s="562"/>
      <c r="AA308" s="562"/>
      <c r="AB308" s="562"/>
      <c r="AC308" s="562"/>
      <c r="AD308" s="562"/>
      <c r="AE308" s="562"/>
      <c r="AF308" s="562"/>
      <c r="AG308" s="562"/>
      <c r="AH308" s="562"/>
      <c r="AI308" s="562"/>
      <c r="AJ308" s="562"/>
      <c r="AK308" s="562"/>
      <c r="AL308" s="562"/>
      <c r="AM308" s="562"/>
      <c r="AN308" s="562"/>
      <c r="AO308" s="562"/>
      <c r="AP308" s="562"/>
      <c r="AQ308" s="562"/>
      <c r="AR308" s="562"/>
      <c r="AS308" s="562"/>
    </row>
    <row r="309" spans="2:45" x14ac:dyDescent="0.2">
      <c r="B309" s="48">
        <v>605.20000000000005</v>
      </c>
      <c r="C309" s="14"/>
      <c r="D309" s="14"/>
      <c r="E309" s="14"/>
      <c r="F309" s="14"/>
      <c r="G309" s="14"/>
      <c r="H309" s="441"/>
      <c r="I309" s="99"/>
      <c r="J309" s="98"/>
      <c r="K309" s="65"/>
      <c r="L309" s="640" t="s">
        <v>2635</v>
      </c>
      <c r="M309" s="800"/>
      <c r="N309" s="98"/>
      <c r="O309" s="793"/>
      <c r="P309" s="64"/>
      <c r="Q309" s="64"/>
      <c r="R309" s="64"/>
      <c r="S309" s="64"/>
      <c r="T309" s="64"/>
      <c r="U309" s="64"/>
      <c r="V309" s="64"/>
      <c r="W309" s="64"/>
      <c r="X309" s="798"/>
      <c r="Y309" s="562"/>
      <c r="Z309" s="562"/>
      <c r="AA309" s="562"/>
      <c r="AB309" s="562"/>
      <c r="AC309" s="562"/>
      <c r="AD309" s="562"/>
      <c r="AE309" s="562"/>
      <c r="AF309" s="562"/>
      <c r="AG309" s="562"/>
      <c r="AH309" s="562"/>
      <c r="AI309" s="562"/>
      <c r="AJ309" s="562"/>
      <c r="AK309" s="562"/>
      <c r="AL309" s="562"/>
      <c r="AM309" s="562"/>
      <c r="AN309" s="562"/>
      <c r="AO309" s="562"/>
      <c r="AP309" s="562"/>
      <c r="AQ309" s="562"/>
      <c r="AR309" s="562"/>
      <c r="AS309" s="562"/>
    </row>
    <row r="310" spans="2:45" x14ac:dyDescent="0.2">
      <c r="B310" s="48">
        <v>605.20000000000005</v>
      </c>
      <c r="C310" s="14"/>
      <c r="D310" s="14"/>
      <c r="E310" s="14" t="s">
        <v>2181</v>
      </c>
      <c r="F310" s="14"/>
      <c r="G310" s="14"/>
      <c r="H310" s="441"/>
      <c r="I310" s="99"/>
      <c r="J310" s="134" t="s">
        <v>2181</v>
      </c>
      <c r="K310" s="65"/>
      <c r="L310" s="791" t="s">
        <v>2636</v>
      </c>
      <c r="M310" s="800"/>
      <c r="N310" s="98"/>
      <c r="O310" s="793"/>
      <c r="P310" s="64"/>
      <c r="Q310" s="64"/>
      <c r="R310" s="64"/>
      <c r="S310" s="64"/>
      <c r="T310" s="64"/>
      <c r="U310" s="64"/>
      <c r="V310" s="64"/>
      <c r="W310" s="64"/>
      <c r="X310" s="798"/>
      <c r="Y310" s="562"/>
      <c r="Z310" s="562"/>
      <c r="AA310" s="562"/>
      <c r="AB310" s="562"/>
      <c r="AC310" s="562"/>
      <c r="AD310" s="562"/>
      <c r="AE310" s="562"/>
      <c r="AF310" s="562"/>
      <c r="AG310" s="562"/>
      <c r="AH310" s="562"/>
      <c r="AI310" s="562"/>
      <c r="AJ310" s="562"/>
      <c r="AK310" s="562"/>
      <c r="AL310" s="562"/>
      <c r="AM310" s="562"/>
      <c r="AN310" s="562"/>
      <c r="AO310" s="562"/>
      <c r="AP310" s="562"/>
      <c r="AQ310" s="562"/>
      <c r="AR310" s="562"/>
      <c r="AS310" s="562"/>
    </row>
    <row r="311" spans="2:45" x14ac:dyDescent="0.2">
      <c r="B311" s="48">
        <v>605.20000000000005</v>
      </c>
      <c r="C311" s="14"/>
      <c r="D311" s="14"/>
      <c r="E311" s="14" t="s">
        <v>2181</v>
      </c>
      <c r="F311" s="14"/>
      <c r="G311" s="14"/>
      <c r="H311" s="441"/>
      <c r="I311" s="99"/>
      <c r="J311" s="98"/>
      <c r="K311" s="65"/>
      <c r="L311" s="791"/>
      <c r="M311" s="800"/>
      <c r="N311" s="98"/>
      <c r="O311" s="793"/>
      <c r="P311" s="64"/>
      <c r="Q311" s="64"/>
      <c r="R311" s="64"/>
      <c r="S311" s="64"/>
      <c r="T311" s="64"/>
      <c r="U311" s="64"/>
      <c r="V311" s="64"/>
      <c r="W311" s="64"/>
      <c r="X311" s="798"/>
      <c r="Y311" s="562"/>
      <c r="Z311" s="562"/>
      <c r="AA311" s="562"/>
      <c r="AB311" s="562"/>
      <c r="AC311" s="562"/>
      <c r="AD311" s="562"/>
      <c r="AE311" s="562"/>
      <c r="AF311" s="562"/>
      <c r="AG311" s="562"/>
      <c r="AH311" s="562"/>
      <c r="AI311" s="562"/>
      <c r="AJ311" s="562"/>
      <c r="AK311" s="562"/>
      <c r="AL311" s="562"/>
      <c r="AM311" s="562"/>
      <c r="AN311" s="562"/>
      <c r="AO311" s="562"/>
      <c r="AP311" s="562"/>
      <c r="AQ311" s="562"/>
      <c r="AR311" s="562"/>
      <c r="AS311" s="562"/>
    </row>
    <row r="312" spans="2:45" x14ac:dyDescent="0.2">
      <c r="B312" s="48">
        <v>605.20000000000005</v>
      </c>
      <c r="C312" s="14"/>
      <c r="D312" s="14"/>
      <c r="E312" s="14" t="s">
        <v>2183</v>
      </c>
      <c r="F312" s="14"/>
      <c r="G312" s="14"/>
      <c r="H312" s="441"/>
      <c r="I312" s="99"/>
      <c r="J312" s="134" t="s">
        <v>2183</v>
      </c>
      <c r="K312" s="65"/>
      <c r="L312" s="791" t="s">
        <v>2637</v>
      </c>
      <c r="M312" s="800"/>
      <c r="N312" s="98"/>
      <c r="O312" s="793"/>
      <c r="P312" s="64" t="b">
        <v>1</v>
      </c>
      <c r="Q312" s="64" t="b">
        <v>1</v>
      </c>
      <c r="R312" s="64" t="b">
        <v>0</v>
      </c>
      <c r="S312" s="64" t="b">
        <v>1</v>
      </c>
      <c r="T312" s="64" t="b">
        <v>0</v>
      </c>
      <c r="U312" s="64"/>
      <c r="V312" s="64"/>
      <c r="W312" s="18"/>
      <c r="X312" s="798"/>
      <c r="Y312" s="562"/>
      <c r="Z312" s="562"/>
      <c r="AA312" s="562"/>
      <c r="AB312" s="562"/>
      <c r="AC312" s="562"/>
      <c r="AD312" s="562"/>
      <c r="AE312" s="562"/>
      <c r="AF312" s="562"/>
      <c r="AG312" s="562"/>
      <c r="AH312" s="562"/>
      <c r="AI312" s="562"/>
      <c r="AJ312" s="562"/>
      <c r="AK312" s="562"/>
      <c r="AL312" s="562"/>
      <c r="AM312" s="562"/>
      <c r="AN312" s="562"/>
      <c r="AO312" s="562"/>
      <c r="AP312" s="190" t="str">
        <f t="shared" ref="AP312" si="78">SUBSTITUTE(SUBSTITUTE(SUBSTITUTE("dch"&amp;$B312&amp;$C312&amp;$D312&amp;$E312&amp;$F312,".","_"),"(","_"),")","")</f>
        <v>dch605,2_2</v>
      </c>
      <c r="AQ312" s="190">
        <f>W312</f>
        <v>0</v>
      </c>
      <c r="AR312" s="562"/>
      <c r="AS312" s="562"/>
    </row>
    <row r="313" spans="2:45" ht="16" thickBot="1" x14ac:dyDescent="0.25">
      <c r="B313" s="48">
        <v>605.20000000000005</v>
      </c>
      <c r="C313" s="14"/>
      <c r="D313" s="14"/>
      <c r="E313" s="14" t="s">
        <v>2183</v>
      </c>
      <c r="F313" s="14"/>
      <c r="G313" s="14"/>
      <c r="H313" s="441"/>
      <c r="I313" s="99"/>
      <c r="J313" s="98"/>
      <c r="K313" s="65"/>
      <c r="L313" s="791"/>
      <c r="M313" s="800"/>
      <c r="N313" s="98"/>
      <c r="O313" s="793"/>
      <c r="P313" s="64"/>
      <c r="Q313" s="64"/>
      <c r="R313" s="64"/>
      <c r="S313" s="64"/>
      <c r="T313" s="64"/>
      <c r="U313" s="64"/>
      <c r="V313" s="64"/>
      <c r="W313" s="193"/>
      <c r="X313" s="825"/>
      <c r="Y313" s="562"/>
      <c r="Z313" s="562"/>
      <c r="AA313" s="562"/>
      <c r="AB313" s="562"/>
      <c r="AC313" s="562"/>
      <c r="AD313" s="562"/>
      <c r="AE313" s="562"/>
      <c r="AF313" s="562"/>
      <c r="AG313" s="562"/>
      <c r="AH313" s="562"/>
      <c r="AI313" s="562"/>
      <c r="AJ313" s="562"/>
      <c r="AK313" s="562"/>
      <c r="AL313" s="562"/>
      <c r="AM313" s="562"/>
      <c r="AN313" s="562"/>
      <c r="AO313" s="562"/>
      <c r="AP313" s="562"/>
      <c r="AQ313" s="562"/>
      <c r="AR313" s="562"/>
      <c r="AS313" s="562"/>
    </row>
    <row r="314" spans="2:45" ht="16" thickTop="1" x14ac:dyDescent="0.2">
      <c r="B314" s="48">
        <v>605.29999999999995</v>
      </c>
      <c r="C314" s="14"/>
      <c r="D314" s="14"/>
      <c r="E314" s="14"/>
      <c r="F314" s="14"/>
      <c r="G314" s="14"/>
      <c r="H314" s="441"/>
      <c r="I314" s="131" t="s">
        <v>2638</v>
      </c>
      <c r="J314" s="132"/>
      <c r="K314" s="133"/>
      <c r="L314" s="819" t="s">
        <v>2639</v>
      </c>
      <c r="M314" s="827">
        <v>7</v>
      </c>
      <c r="N314" s="132"/>
      <c r="O314" s="823">
        <f>M314*S314*W314</f>
        <v>0</v>
      </c>
      <c r="P314" s="64" t="b">
        <v>1</v>
      </c>
      <c r="Q314" s="64" t="b">
        <v>1</v>
      </c>
      <c r="R314" s="74" t="b">
        <v>0</v>
      </c>
      <c r="S314" s="74" t="b">
        <v>1</v>
      </c>
      <c r="T314" s="74" t="b">
        <v>0</v>
      </c>
      <c r="U314" s="74"/>
      <c r="V314" s="74"/>
      <c r="W314" s="91"/>
      <c r="X314" s="802"/>
      <c r="Y314" s="562"/>
      <c r="Z314" s="562"/>
      <c r="AA314" s="562"/>
      <c r="AB314" s="562"/>
      <c r="AC314" s="562"/>
      <c r="AD314" s="562"/>
      <c r="AE314" s="562"/>
      <c r="AF314" s="562"/>
      <c r="AG314" s="562"/>
      <c r="AH314" s="562"/>
      <c r="AI314" s="562"/>
      <c r="AJ314" s="562"/>
      <c r="AK314" s="562"/>
      <c r="AL314" s="190" t="str">
        <f>SUBSTITUTE(SUBSTITUTE(SUBSTITUTE("dpa"&amp;$B314&amp;$C314&amp;$D314&amp;$E314&amp;$F314,".","_"),"(","_"),")","")</f>
        <v>dpa605,3</v>
      </c>
      <c r="AM314" s="190">
        <f>M314</f>
        <v>7</v>
      </c>
      <c r="AN314" s="190" t="str">
        <f>SUBSTITUTE(SUBSTITUTE(SUBSTITUTE("dpc"&amp;$B314&amp;$C314&amp;$D314&amp;$E314&amp;$F314,".","_"),"(","_"),")","")</f>
        <v>dpc605,3</v>
      </c>
      <c r="AO314" s="190">
        <f>O314</f>
        <v>0</v>
      </c>
      <c r="AP314" s="190" t="str">
        <f t="shared" ref="AP314" si="79">SUBSTITUTE(SUBSTITUTE(SUBSTITUTE("dch"&amp;$B314&amp;$C314&amp;$D314&amp;$E314&amp;$F314,".","_"),"(","_"),")","")</f>
        <v>dch605,3</v>
      </c>
      <c r="AQ314" s="190">
        <f>W314</f>
        <v>0</v>
      </c>
      <c r="AR314" s="562" t="str">
        <f>SUBSTITUTE(SUBSTITUTE(SUBSTITUTE("dnt"&amp;$B314&amp;$C314&amp;$D314&amp;$E314&amp;$F314,".","_"),"(","_"),")","")</f>
        <v>dnt605,3</v>
      </c>
      <c r="AS314" s="190">
        <f>X314</f>
        <v>0</v>
      </c>
    </row>
    <row r="315" spans="2:45" x14ac:dyDescent="0.2">
      <c r="B315" s="48">
        <v>605.29999999999995</v>
      </c>
      <c r="C315" s="14"/>
      <c r="D315" s="14"/>
      <c r="E315" s="14"/>
      <c r="F315" s="14"/>
      <c r="G315" s="14"/>
      <c r="H315" s="441"/>
      <c r="I315" s="99"/>
      <c r="J315" s="98"/>
      <c r="K315" s="65"/>
      <c r="L315" s="820"/>
      <c r="M315" s="800"/>
      <c r="N315" s="98"/>
      <c r="O315" s="793"/>
      <c r="P315" s="64"/>
      <c r="Q315" s="64"/>
      <c r="R315" s="64"/>
      <c r="S315" s="64"/>
      <c r="T315" s="64"/>
      <c r="U315" s="64"/>
      <c r="V315" s="64"/>
      <c r="W315" s="64"/>
      <c r="X315" s="798"/>
      <c r="Y315" s="562"/>
      <c r="Z315" s="562"/>
      <c r="AA315" s="562"/>
      <c r="AB315" s="562"/>
      <c r="AC315" s="562"/>
      <c r="AD315" s="562"/>
      <c r="AE315" s="562"/>
      <c r="AF315" s="562"/>
      <c r="AG315" s="562"/>
      <c r="AH315" s="562"/>
      <c r="AI315" s="562"/>
      <c r="AJ315" s="562"/>
      <c r="AK315" s="562"/>
      <c r="AL315" s="562"/>
      <c r="AM315" s="562"/>
      <c r="AN315" s="562"/>
      <c r="AO315" s="562"/>
      <c r="AP315" s="562"/>
      <c r="AQ315" s="562"/>
      <c r="AR315" s="562"/>
      <c r="AS315" s="562"/>
    </row>
    <row r="316" spans="2:45" x14ac:dyDescent="0.2">
      <c r="B316" s="48">
        <v>605.29999999999995</v>
      </c>
      <c r="C316" s="14"/>
      <c r="D316" s="14"/>
      <c r="E316" s="14"/>
      <c r="F316" s="14" t="s">
        <v>2196</v>
      </c>
      <c r="G316" s="14"/>
      <c r="H316" s="441"/>
      <c r="I316" s="99"/>
      <c r="J316" s="98"/>
      <c r="K316" s="61" t="s">
        <v>2196</v>
      </c>
      <c r="L316" s="791" t="s">
        <v>2640</v>
      </c>
      <c r="M316" s="610"/>
      <c r="N316" s="98"/>
      <c r="O316" s="607"/>
      <c r="P316" s="64"/>
      <c r="Q316" s="64"/>
      <c r="R316" s="64"/>
      <c r="S316" s="64"/>
      <c r="T316" s="64"/>
      <c r="U316" s="64"/>
      <c r="V316" s="64"/>
      <c r="W316" s="64"/>
      <c r="X316" s="798"/>
      <c r="Y316" s="562"/>
      <c r="Z316" s="562"/>
      <c r="AA316" s="562"/>
      <c r="AB316" s="562"/>
      <c r="AC316" s="562"/>
      <c r="AD316" s="562"/>
      <c r="AE316" s="562"/>
      <c r="AF316" s="562"/>
      <c r="AG316" s="562"/>
      <c r="AH316" s="562"/>
      <c r="AI316" s="562"/>
      <c r="AJ316" s="562"/>
      <c r="AK316" s="562"/>
      <c r="AL316" s="562"/>
      <c r="AM316" s="562"/>
      <c r="AN316" s="562"/>
      <c r="AO316" s="562"/>
      <c r="AP316" s="562"/>
      <c r="AQ316" s="562"/>
      <c r="AR316" s="562"/>
      <c r="AS316" s="562"/>
    </row>
    <row r="317" spans="2:45" x14ac:dyDescent="0.2">
      <c r="B317" s="48">
        <v>605.29999999999995</v>
      </c>
      <c r="C317" s="14"/>
      <c r="D317" s="14"/>
      <c r="E317" s="14"/>
      <c r="F317" s="14" t="s">
        <v>2196</v>
      </c>
      <c r="G317" s="14"/>
      <c r="H317" s="441"/>
      <c r="I317" s="99"/>
      <c r="J317" s="98"/>
      <c r="K317" s="65"/>
      <c r="L317" s="791"/>
      <c r="M317" s="610"/>
      <c r="N317" s="98"/>
      <c r="O317" s="607"/>
      <c r="P317" s="64"/>
      <c r="Q317" s="64"/>
      <c r="R317" s="64"/>
      <c r="S317" s="64"/>
      <c r="T317" s="64"/>
      <c r="U317" s="64"/>
      <c r="V317" s="64"/>
      <c r="W317" s="64"/>
      <c r="X317" s="798"/>
      <c r="Y317" s="562"/>
      <c r="Z317" s="562"/>
      <c r="AA317" s="562"/>
      <c r="AB317" s="562"/>
      <c r="AC317" s="562"/>
      <c r="AD317" s="562"/>
      <c r="AE317" s="562"/>
      <c r="AF317" s="562"/>
      <c r="AG317" s="562"/>
      <c r="AH317" s="562"/>
      <c r="AI317" s="562"/>
      <c r="AJ317" s="562"/>
      <c r="AK317" s="562"/>
      <c r="AL317" s="562"/>
      <c r="AM317" s="562"/>
      <c r="AN317" s="562"/>
      <c r="AO317" s="562"/>
      <c r="AP317" s="562"/>
      <c r="AQ317" s="562"/>
      <c r="AR317" s="562"/>
      <c r="AS317" s="562"/>
    </row>
    <row r="318" spans="2:45" x14ac:dyDescent="0.2">
      <c r="B318" s="48">
        <v>605.29999999999995</v>
      </c>
      <c r="C318" s="14"/>
      <c r="D318" s="14"/>
      <c r="E318" s="14"/>
      <c r="F318" s="14" t="s">
        <v>2196</v>
      </c>
      <c r="G318" s="14"/>
      <c r="H318" s="441"/>
      <c r="I318" s="99"/>
      <c r="J318" s="98"/>
      <c r="K318" s="126"/>
      <c r="L318" s="792"/>
      <c r="M318" s="610"/>
      <c r="N318" s="98"/>
      <c r="O318" s="607"/>
      <c r="P318" s="64"/>
      <c r="Q318" s="64"/>
      <c r="R318" s="64"/>
      <c r="S318" s="64"/>
      <c r="T318" s="64"/>
      <c r="U318" s="64"/>
      <c r="V318" s="64"/>
      <c r="W318" s="64"/>
      <c r="X318" s="798"/>
      <c r="Y318" s="562"/>
      <c r="Z318" s="562"/>
      <c r="AA318" s="562"/>
      <c r="AB318" s="562"/>
      <c r="AC318" s="562"/>
      <c r="AD318" s="562"/>
      <c r="AE318" s="562"/>
      <c r="AF318" s="562"/>
      <c r="AG318" s="562"/>
      <c r="AH318" s="562"/>
      <c r="AI318" s="562"/>
      <c r="AJ318" s="562"/>
      <c r="AK318" s="562"/>
      <c r="AL318" s="562"/>
      <c r="AM318" s="562"/>
      <c r="AN318" s="562"/>
      <c r="AO318" s="562"/>
      <c r="AP318" s="562"/>
      <c r="AQ318" s="562"/>
      <c r="AR318" s="562"/>
      <c r="AS318" s="562"/>
    </row>
    <row r="319" spans="2:45" x14ac:dyDescent="0.2">
      <c r="B319" s="48">
        <v>605.29999999999995</v>
      </c>
      <c r="C319" s="14"/>
      <c r="D319" s="14"/>
      <c r="E319" s="14"/>
      <c r="F319" s="14" t="s">
        <v>2198</v>
      </c>
      <c r="G319" s="14"/>
      <c r="H319" s="441"/>
      <c r="I319" s="99"/>
      <c r="J319" s="98"/>
      <c r="K319" s="167" t="s">
        <v>2198</v>
      </c>
      <c r="L319" s="205" t="s">
        <v>2641</v>
      </c>
      <c r="M319" s="610"/>
      <c r="N319" s="98"/>
      <c r="O319" s="607"/>
      <c r="P319" s="64"/>
      <c r="Q319" s="64"/>
      <c r="R319" s="64"/>
      <c r="S319" s="64"/>
      <c r="T319" s="64"/>
      <c r="U319" s="64"/>
      <c r="V319" s="64"/>
      <c r="W319" s="64"/>
      <c r="X319" s="798"/>
      <c r="Y319" s="562"/>
      <c r="Z319" s="562"/>
      <c r="AA319" s="562"/>
      <c r="AB319" s="562"/>
      <c r="AC319" s="562"/>
      <c r="AD319" s="562"/>
      <c r="AE319" s="562"/>
      <c r="AF319" s="562"/>
      <c r="AG319" s="562"/>
      <c r="AH319" s="562"/>
      <c r="AI319" s="562"/>
      <c r="AJ319" s="562"/>
      <c r="AK319" s="562"/>
      <c r="AL319" s="562"/>
      <c r="AM319" s="562"/>
      <c r="AN319" s="562"/>
      <c r="AO319" s="562"/>
      <c r="AP319" s="562"/>
      <c r="AQ319" s="562"/>
      <c r="AR319" s="562"/>
      <c r="AS319" s="562"/>
    </row>
    <row r="320" spans="2:45" x14ac:dyDescent="0.2">
      <c r="B320" s="48">
        <v>605.29999999999995</v>
      </c>
      <c r="C320" s="14"/>
      <c r="D320" s="14"/>
      <c r="E320" s="14"/>
      <c r="F320" s="14" t="s">
        <v>2200</v>
      </c>
      <c r="G320" s="14"/>
      <c r="H320" s="441"/>
      <c r="I320" s="99"/>
      <c r="J320" s="98"/>
      <c r="K320" s="79" t="s">
        <v>2200</v>
      </c>
      <c r="L320" s="791" t="s">
        <v>2642</v>
      </c>
      <c r="M320" s="610"/>
      <c r="N320" s="98"/>
      <c r="O320" s="607"/>
      <c r="P320" s="64"/>
      <c r="Q320" s="64"/>
      <c r="R320" s="64"/>
      <c r="S320" s="64"/>
      <c r="T320" s="64"/>
      <c r="U320" s="64"/>
      <c r="V320" s="64"/>
      <c r="W320" s="64"/>
      <c r="X320" s="798"/>
      <c r="Y320" s="562"/>
      <c r="Z320" s="562"/>
      <c r="AA320" s="562"/>
      <c r="AB320" s="562"/>
      <c r="AC320" s="562"/>
      <c r="AD320" s="562"/>
      <c r="AE320" s="562"/>
      <c r="AF320" s="562"/>
      <c r="AG320" s="562"/>
      <c r="AH320" s="562"/>
      <c r="AI320" s="562"/>
      <c r="AJ320" s="562"/>
      <c r="AK320" s="562"/>
      <c r="AL320" s="562"/>
      <c r="AM320" s="562"/>
      <c r="AN320" s="562"/>
      <c r="AO320" s="562"/>
      <c r="AP320" s="562"/>
      <c r="AQ320" s="562"/>
      <c r="AR320" s="562"/>
      <c r="AS320" s="562"/>
    </row>
    <row r="321" spans="1:51" x14ac:dyDescent="0.2">
      <c r="B321" s="48">
        <v>605.29999999999995</v>
      </c>
      <c r="C321" s="14"/>
      <c r="D321" s="14"/>
      <c r="E321" s="14"/>
      <c r="F321" s="14" t="s">
        <v>2200</v>
      </c>
      <c r="G321" s="14"/>
      <c r="H321" s="441"/>
      <c r="I321" s="99"/>
      <c r="J321" s="98"/>
      <c r="K321" s="140"/>
      <c r="L321" s="791"/>
      <c r="M321" s="610"/>
      <c r="N321" s="98"/>
      <c r="O321" s="607"/>
      <c r="P321" s="64"/>
      <c r="Q321" s="64"/>
      <c r="R321" s="64"/>
      <c r="S321" s="64"/>
      <c r="T321" s="64"/>
      <c r="U321" s="64"/>
      <c r="V321" s="64"/>
      <c r="W321" s="64"/>
      <c r="X321" s="798"/>
      <c r="Y321" s="562"/>
      <c r="Z321" s="562"/>
      <c r="AA321" s="562"/>
      <c r="AB321" s="562"/>
      <c r="AC321" s="562"/>
      <c r="AD321" s="562"/>
      <c r="AE321" s="562"/>
      <c r="AF321" s="562"/>
      <c r="AG321" s="562"/>
      <c r="AH321" s="562"/>
      <c r="AI321" s="562"/>
      <c r="AJ321" s="562"/>
      <c r="AK321" s="562"/>
      <c r="AL321" s="562"/>
      <c r="AM321" s="562"/>
      <c r="AN321" s="562"/>
      <c r="AO321" s="562"/>
      <c r="AP321" s="562"/>
      <c r="AQ321" s="562"/>
      <c r="AR321" s="562"/>
      <c r="AS321" s="562"/>
      <c r="AT321" s="562"/>
      <c r="AU321" s="562"/>
      <c r="AV321" s="562"/>
      <c r="AW321" s="562"/>
      <c r="AX321" s="562"/>
      <c r="AY321" s="562"/>
    </row>
    <row r="322" spans="1:51" ht="16" thickBot="1" x14ac:dyDescent="0.25">
      <c r="B322" s="48">
        <v>605.29999999999995</v>
      </c>
      <c r="C322" s="14"/>
      <c r="D322" s="14"/>
      <c r="E322" s="14"/>
      <c r="F322" s="14" t="s">
        <v>2200</v>
      </c>
      <c r="G322" s="14"/>
      <c r="H322" s="441"/>
      <c r="I322" s="99"/>
      <c r="J322" s="98"/>
      <c r="K322" s="65"/>
      <c r="L322" s="791"/>
      <c r="M322" s="610"/>
      <c r="N322" s="98"/>
      <c r="O322" s="607"/>
      <c r="P322" s="64"/>
      <c r="Q322" s="64"/>
      <c r="R322" s="64"/>
      <c r="S322" s="64"/>
      <c r="T322" s="64"/>
      <c r="U322" s="64"/>
      <c r="V322" s="64"/>
      <c r="W322" s="64"/>
      <c r="X322" s="825"/>
      <c r="Y322" s="562"/>
      <c r="Z322" s="562"/>
      <c r="AA322" s="562"/>
      <c r="AB322" s="562"/>
      <c r="AC322" s="562"/>
      <c r="AD322" s="562"/>
      <c r="AE322" s="562"/>
      <c r="AF322" s="562"/>
      <c r="AG322" s="562"/>
      <c r="AH322" s="562"/>
      <c r="AI322" s="562"/>
      <c r="AJ322" s="562"/>
      <c r="AK322" s="562"/>
      <c r="AL322" s="562"/>
      <c r="AM322" s="562"/>
      <c r="AN322" s="562"/>
      <c r="AO322" s="562"/>
      <c r="AP322" s="562"/>
      <c r="AQ322" s="562"/>
      <c r="AR322" s="562"/>
      <c r="AS322" s="562"/>
      <c r="AT322" s="562"/>
      <c r="AU322" s="562"/>
      <c r="AV322" s="562"/>
      <c r="AW322" s="562"/>
      <c r="AX322" s="562"/>
      <c r="AY322" s="562"/>
    </row>
    <row r="323" spans="1:51" ht="16" thickTop="1" x14ac:dyDescent="0.2">
      <c r="B323" s="48" t="s">
        <v>2643</v>
      </c>
      <c r="C323" s="14"/>
      <c r="D323" s="14"/>
      <c r="E323" s="14"/>
      <c r="F323" s="14"/>
      <c r="G323" s="14"/>
      <c r="H323" s="441"/>
      <c r="I323" s="131" t="s">
        <v>2644</v>
      </c>
      <c r="J323" s="132"/>
      <c r="K323" s="133"/>
      <c r="L323" s="819" t="s">
        <v>2645</v>
      </c>
      <c r="M323" s="827" t="s">
        <v>2646</v>
      </c>
      <c r="N323" s="132"/>
      <c r="O323" s="823">
        <f>IF(COUNTIF(W327:W335,TRUE)&lt;2,0,MIN(6,(COUNTIF(W327:W335,TRUE)+1)))</f>
        <v>0</v>
      </c>
      <c r="P323" s="64" t="b">
        <v>1</v>
      </c>
      <c r="Q323" s="64" t="b">
        <v>1</v>
      </c>
      <c r="R323" s="74" t="b">
        <v>0</v>
      </c>
      <c r="S323" s="74" t="b">
        <v>1</v>
      </c>
      <c r="T323" s="74" t="b">
        <v>0</v>
      </c>
      <c r="U323" s="74"/>
      <c r="V323" s="74"/>
      <c r="W323" s="74"/>
      <c r="X323" s="74"/>
      <c r="Y323" s="562"/>
      <c r="Z323" s="562"/>
      <c r="AA323" s="562"/>
      <c r="AB323" s="562"/>
      <c r="AC323" s="562"/>
      <c r="AD323" s="562"/>
      <c r="AE323" s="562"/>
      <c r="AF323" s="562"/>
      <c r="AG323" s="562"/>
      <c r="AH323" s="562"/>
      <c r="AI323" s="562"/>
      <c r="AJ323" s="562"/>
      <c r="AK323" s="562"/>
      <c r="AL323" s="190" t="str">
        <f>SUBSTITUTE(SUBSTITUTE(SUBSTITUTE("dpa"&amp;$B323&amp;$C323&amp;$D323&amp;$E323&amp;$F323,".","_"),"(","_"),")","")</f>
        <v>dpa605_4</v>
      </c>
      <c r="AM323" s="190" t="str">
        <f>M323</f>
        <v>6 Max</v>
      </c>
      <c r="AN323" s="190" t="str">
        <f>SUBSTITUTE(SUBSTITUTE(SUBSTITUTE("dpc"&amp;$B323&amp;$C323&amp;$D323&amp;$E323&amp;$F323,".","_"),"(","_"),")","")</f>
        <v>dpc605_4</v>
      </c>
      <c r="AO323" s="190">
        <f>O323</f>
        <v>0</v>
      </c>
      <c r="AP323" s="190"/>
      <c r="AQ323" s="190"/>
      <c r="AR323" s="562"/>
      <c r="AS323" s="562"/>
      <c r="AT323" s="562"/>
      <c r="AU323" s="562"/>
      <c r="AV323" s="562"/>
      <c r="AW323" s="562"/>
      <c r="AX323" s="562"/>
      <c r="AY323" s="562"/>
    </row>
    <row r="324" spans="1:51" x14ac:dyDescent="0.2">
      <c r="B324" s="48" t="s">
        <v>2643</v>
      </c>
      <c r="C324" s="14"/>
      <c r="D324" s="14"/>
      <c r="E324" s="14"/>
      <c r="F324" s="14"/>
      <c r="G324" s="14"/>
      <c r="H324" s="441"/>
      <c r="I324" s="99"/>
      <c r="J324" s="98"/>
      <c r="K324" s="65"/>
      <c r="L324" s="820"/>
      <c r="M324" s="800"/>
      <c r="N324" s="98"/>
      <c r="O324" s="793"/>
      <c r="P324" s="64"/>
      <c r="Q324" s="64"/>
      <c r="R324" s="64"/>
      <c r="S324" s="64"/>
      <c r="T324" s="64"/>
      <c r="U324" s="64"/>
      <c r="V324" s="64"/>
      <c r="W324" s="64"/>
      <c r="X324" s="64"/>
      <c r="Y324" s="562"/>
      <c r="Z324" s="562"/>
      <c r="AA324" s="562"/>
      <c r="AB324" s="562"/>
      <c r="AC324" s="562"/>
      <c r="AD324" s="562"/>
      <c r="AE324" s="562"/>
      <c r="AF324" s="562"/>
      <c r="AG324" s="562"/>
      <c r="AH324" s="562"/>
      <c r="AI324" s="562"/>
      <c r="AJ324" s="562"/>
      <c r="AK324" s="562"/>
      <c r="AL324" s="562"/>
      <c r="AM324" s="562"/>
      <c r="AN324" s="562"/>
      <c r="AO324" s="562"/>
      <c r="AP324" s="562"/>
      <c r="AQ324" s="562"/>
      <c r="AR324" s="562"/>
      <c r="AS324" s="562"/>
      <c r="AT324" s="562"/>
      <c r="AU324" s="562"/>
      <c r="AV324" s="562"/>
      <c r="AW324" s="562"/>
      <c r="AX324" s="562"/>
      <c r="AY324" s="562"/>
    </row>
    <row r="325" spans="1:51" x14ac:dyDescent="0.2">
      <c r="B325" s="48" t="s">
        <v>2643</v>
      </c>
      <c r="C325" s="14"/>
      <c r="D325" s="14"/>
      <c r="E325" s="14" t="s">
        <v>2181</v>
      </c>
      <c r="F325" s="14"/>
      <c r="G325" s="14"/>
      <c r="H325" s="441"/>
      <c r="I325" s="40"/>
      <c r="J325" s="159" t="s">
        <v>2181</v>
      </c>
      <c r="K325" s="126"/>
      <c r="L325" s="599" t="s">
        <v>2647</v>
      </c>
      <c r="M325" s="611">
        <v>3</v>
      </c>
      <c r="N325" s="3"/>
      <c r="O325" s="609"/>
      <c r="P325" s="562"/>
      <c r="Q325" s="562"/>
      <c r="R325" s="562"/>
      <c r="S325" s="562"/>
      <c r="T325" s="562"/>
      <c r="U325" s="562"/>
      <c r="V325" s="562"/>
      <c r="W325" s="562"/>
      <c r="X325" s="562"/>
      <c r="Y325" s="562"/>
      <c r="Z325" s="562"/>
      <c r="AA325" s="562"/>
      <c r="AB325" s="562"/>
      <c r="AC325" s="562"/>
      <c r="AD325" s="562"/>
      <c r="AE325" s="562"/>
      <c r="AF325" s="562"/>
      <c r="AG325" s="562"/>
      <c r="AH325" s="562"/>
      <c r="AI325" s="562"/>
      <c r="AJ325" s="562"/>
      <c r="AK325" s="562"/>
      <c r="AL325" s="190" t="str">
        <f t="shared" ref="AL325:AL326" si="80">SUBSTITUTE(SUBSTITUTE(SUBSTITUTE("dpa"&amp;$B325&amp;$C325&amp;$D325&amp;$E325&amp;$F325,".","_"),"(","_"),")","")</f>
        <v>dpa605_4_1</v>
      </c>
      <c r="AM325" s="190">
        <f>M325</f>
        <v>3</v>
      </c>
      <c r="AN325" s="562"/>
      <c r="AO325" s="562"/>
      <c r="AP325" s="562"/>
      <c r="AQ325" s="562"/>
      <c r="AR325" s="562"/>
      <c r="AS325" s="562"/>
      <c r="AT325" s="562"/>
      <c r="AU325" s="562"/>
      <c r="AV325" s="562"/>
      <c r="AW325" s="562"/>
      <c r="AX325" s="562"/>
      <c r="AY325" s="562"/>
    </row>
    <row r="326" spans="1:51" s="117" customFormat="1" x14ac:dyDescent="0.2">
      <c r="A326" s="13"/>
      <c r="B326" s="48" t="s">
        <v>2643</v>
      </c>
      <c r="C326" s="14"/>
      <c r="D326" s="14"/>
      <c r="E326" s="14" t="s">
        <v>2183</v>
      </c>
      <c r="F326" s="14"/>
      <c r="G326" s="14"/>
      <c r="H326" s="441"/>
      <c r="I326" s="40"/>
      <c r="J326" s="20" t="s">
        <v>2183</v>
      </c>
      <c r="K326" s="53"/>
      <c r="L326" s="632" t="s">
        <v>2648</v>
      </c>
      <c r="M326" s="616">
        <v>1</v>
      </c>
      <c r="N326" s="3"/>
      <c r="O326" s="609"/>
      <c r="P326" s="562"/>
      <c r="Q326" s="562"/>
      <c r="R326" s="562"/>
      <c r="S326" s="562"/>
      <c r="T326" s="562"/>
      <c r="U326" s="562"/>
      <c r="V326" s="562"/>
      <c r="W326" s="562"/>
      <c r="X326" s="562"/>
      <c r="Y326" s="562"/>
      <c r="Z326" s="562"/>
      <c r="AA326" s="562"/>
      <c r="AB326" s="562"/>
      <c r="AC326" s="562"/>
      <c r="AD326" s="562"/>
      <c r="AE326" s="562"/>
      <c r="AF326" s="562"/>
      <c r="AG326" s="562"/>
      <c r="AH326" s="562"/>
      <c r="AI326" s="562"/>
      <c r="AJ326" s="562"/>
      <c r="AK326" s="562"/>
      <c r="AL326" s="190" t="str">
        <f t="shared" si="80"/>
        <v>dpa605_4_2</v>
      </c>
      <c r="AM326" s="190">
        <f>M326</f>
        <v>1</v>
      </c>
      <c r="AN326" s="562"/>
      <c r="AO326" s="562"/>
      <c r="AP326" s="562"/>
      <c r="AQ326" s="562"/>
      <c r="AR326" s="562"/>
      <c r="AS326" s="562"/>
      <c r="AT326" s="562"/>
      <c r="AU326" s="562"/>
      <c r="AV326" s="562"/>
      <c r="AW326" s="562"/>
      <c r="AX326" s="562"/>
      <c r="AY326" s="562"/>
    </row>
    <row r="327" spans="1:51" s="117" customFormat="1" x14ac:dyDescent="0.2">
      <c r="A327" s="13"/>
      <c r="B327" s="48" t="s">
        <v>2643</v>
      </c>
      <c r="C327" s="14"/>
      <c r="D327" s="14"/>
      <c r="E327" s="14" t="s">
        <v>2183</v>
      </c>
      <c r="F327" s="14" t="s">
        <v>2196</v>
      </c>
      <c r="G327" s="14"/>
      <c r="H327" s="441"/>
      <c r="I327" s="40"/>
      <c r="J327" s="3"/>
      <c r="K327" s="125" t="s">
        <v>2196</v>
      </c>
      <c r="L327" s="599" t="s">
        <v>2649</v>
      </c>
      <c r="M327" s="616"/>
      <c r="N327" s="3"/>
      <c r="O327" s="609"/>
      <c r="P327" s="64" t="b">
        <v>1</v>
      </c>
      <c r="Q327" s="64" t="b">
        <v>1</v>
      </c>
      <c r="R327" s="562" t="b">
        <v>0</v>
      </c>
      <c r="S327" s="562" t="b">
        <v>1</v>
      </c>
      <c r="T327" s="562" t="b">
        <v>0</v>
      </c>
      <c r="U327" s="562"/>
      <c r="V327" s="562"/>
      <c r="W327" s="18"/>
      <c r="X327" s="787"/>
      <c r="Y327" s="562"/>
      <c r="Z327" s="562"/>
      <c r="AA327" s="562"/>
      <c r="AB327" s="562"/>
      <c r="AC327" s="562"/>
      <c r="AD327" s="562"/>
      <c r="AE327" s="562"/>
      <c r="AF327" s="562"/>
      <c r="AG327" s="562"/>
      <c r="AH327" s="562"/>
      <c r="AI327" s="562"/>
      <c r="AJ327" s="562"/>
      <c r="AK327" s="562"/>
      <c r="AL327" s="562"/>
      <c r="AM327" s="562"/>
      <c r="AN327" s="562"/>
      <c r="AO327" s="562"/>
      <c r="AP327" s="190" t="str">
        <f t="shared" ref="AP327:AP335" si="81">SUBSTITUTE(SUBSTITUTE(SUBSTITUTE("dch"&amp;$B327&amp;$C327&amp;$D327&amp;$E327&amp;$F327,".","_"),"(","_"),")","")</f>
        <v>dch605_4_2_a</v>
      </c>
      <c r="AQ327" s="190">
        <f t="shared" ref="AQ327:AQ335" si="82">W327</f>
        <v>0</v>
      </c>
      <c r="AR327" s="562" t="str">
        <f>SUBSTITUTE(SUBSTITUTE(SUBSTITUTE("dnt"&amp;$B327&amp;$C327&amp;$D327&amp;$E327&amp;$F327,".","_"),"(","_"),")","")</f>
        <v>dnt605_4_2_a</v>
      </c>
      <c r="AS327" s="190">
        <f>X327</f>
        <v>0</v>
      </c>
      <c r="AT327" s="562"/>
      <c r="AU327" s="562"/>
      <c r="AV327" s="562"/>
      <c r="AW327" s="562"/>
      <c r="AX327" s="562"/>
      <c r="AY327" s="562"/>
    </row>
    <row r="328" spans="1:51" s="117" customFormat="1" x14ac:dyDescent="0.2">
      <c r="A328" s="13"/>
      <c r="B328" s="48" t="s">
        <v>2643</v>
      </c>
      <c r="C328" s="14"/>
      <c r="D328" s="14"/>
      <c r="E328" s="14" t="s">
        <v>2183</v>
      </c>
      <c r="F328" s="14" t="s">
        <v>2198</v>
      </c>
      <c r="G328" s="14"/>
      <c r="H328" s="441"/>
      <c r="I328" s="40"/>
      <c r="J328" s="3"/>
      <c r="K328" s="167" t="s">
        <v>2198</v>
      </c>
      <c r="L328" s="205" t="s">
        <v>2650</v>
      </c>
      <c r="M328" s="616"/>
      <c r="N328" s="3"/>
      <c r="O328" s="609"/>
      <c r="P328" s="64" t="b">
        <v>1</v>
      </c>
      <c r="Q328" s="64" t="b">
        <v>1</v>
      </c>
      <c r="R328" s="562" t="b">
        <v>0</v>
      </c>
      <c r="S328" s="562" t="b">
        <v>1</v>
      </c>
      <c r="T328" s="562" t="b">
        <v>0</v>
      </c>
      <c r="U328" s="562"/>
      <c r="V328" s="562"/>
      <c r="W328" s="18"/>
      <c r="X328" s="787"/>
      <c r="Y328" s="562"/>
      <c r="Z328" s="562"/>
      <c r="AA328" s="562"/>
      <c r="AB328" s="562"/>
      <c r="AC328" s="562"/>
      <c r="AD328" s="562"/>
      <c r="AE328" s="562"/>
      <c r="AF328" s="562"/>
      <c r="AG328" s="562"/>
      <c r="AH328" s="562"/>
      <c r="AI328" s="562"/>
      <c r="AJ328" s="562"/>
      <c r="AK328" s="562"/>
      <c r="AL328" s="562"/>
      <c r="AM328" s="562"/>
      <c r="AN328" s="562"/>
      <c r="AO328" s="562"/>
      <c r="AP328" s="190" t="str">
        <f t="shared" si="81"/>
        <v>dch605_4_2_b</v>
      </c>
      <c r="AQ328" s="190">
        <f t="shared" si="82"/>
        <v>0</v>
      </c>
      <c r="AR328" s="562"/>
      <c r="AS328" s="562"/>
      <c r="AT328" s="562"/>
      <c r="AU328" s="562"/>
      <c r="AV328" s="562"/>
      <c r="AW328" s="562"/>
      <c r="AX328" s="562"/>
      <c r="AY328" s="562"/>
    </row>
    <row r="329" spans="1:51" s="117" customFormat="1" x14ac:dyDescent="0.2">
      <c r="A329" s="13"/>
      <c r="B329" s="48" t="s">
        <v>2643</v>
      </c>
      <c r="C329" s="14"/>
      <c r="D329" s="14"/>
      <c r="E329" s="14" t="s">
        <v>2183</v>
      </c>
      <c r="F329" s="14" t="s">
        <v>2200</v>
      </c>
      <c r="G329" s="14"/>
      <c r="H329" s="441"/>
      <c r="I329" s="40"/>
      <c r="J329" s="3"/>
      <c r="K329" s="172" t="s">
        <v>2200</v>
      </c>
      <c r="L329" s="205" t="s">
        <v>2651</v>
      </c>
      <c r="M329" s="616"/>
      <c r="N329" s="3"/>
      <c r="O329" s="609"/>
      <c r="P329" s="64" t="b">
        <v>1</v>
      </c>
      <c r="Q329" s="64" t="b">
        <v>1</v>
      </c>
      <c r="R329" s="562" t="b">
        <v>0</v>
      </c>
      <c r="S329" s="562" t="b">
        <v>1</v>
      </c>
      <c r="T329" s="562" t="b">
        <v>0</v>
      </c>
      <c r="U329" s="562"/>
      <c r="V329" s="562"/>
      <c r="W329" s="18"/>
      <c r="X329" s="787"/>
      <c r="Y329" s="562"/>
      <c r="Z329" s="562"/>
      <c r="AA329" s="562"/>
      <c r="AB329" s="562"/>
      <c r="AC329" s="562"/>
      <c r="AD329" s="562"/>
      <c r="AE329" s="562"/>
      <c r="AF329" s="562"/>
      <c r="AG329" s="562"/>
      <c r="AH329" s="562"/>
      <c r="AI329" s="562"/>
      <c r="AJ329" s="562"/>
      <c r="AK329" s="562"/>
      <c r="AL329" s="562"/>
      <c r="AM329" s="562"/>
      <c r="AN329" s="562"/>
      <c r="AO329" s="562"/>
      <c r="AP329" s="190" t="str">
        <f t="shared" si="81"/>
        <v>dch605_4_2_c</v>
      </c>
      <c r="AQ329" s="190">
        <f t="shared" si="82"/>
        <v>0</v>
      </c>
      <c r="AR329" s="562"/>
      <c r="AS329" s="562"/>
      <c r="AT329" s="562"/>
      <c r="AU329" s="562"/>
      <c r="AV329" s="562"/>
      <c r="AW329" s="562"/>
      <c r="AX329" s="562"/>
      <c r="AY329" s="562"/>
    </row>
    <row r="330" spans="1:51" s="117" customFormat="1" x14ac:dyDescent="0.2">
      <c r="A330" s="13"/>
      <c r="B330" s="48" t="s">
        <v>2643</v>
      </c>
      <c r="C330" s="14"/>
      <c r="D330" s="14"/>
      <c r="E330" s="14" t="s">
        <v>2183</v>
      </c>
      <c r="F330" s="14" t="s">
        <v>2247</v>
      </c>
      <c r="G330" s="14"/>
      <c r="H330" s="441"/>
      <c r="I330" s="40"/>
      <c r="J330" s="3"/>
      <c r="K330" s="173" t="s">
        <v>2247</v>
      </c>
      <c r="L330" s="205" t="s">
        <v>2652</v>
      </c>
      <c r="M330" s="616"/>
      <c r="N330" s="3"/>
      <c r="O330" s="609"/>
      <c r="P330" s="64" t="b">
        <v>1</v>
      </c>
      <c r="Q330" s="64" t="b">
        <v>1</v>
      </c>
      <c r="R330" s="562" t="b">
        <v>0</v>
      </c>
      <c r="S330" s="562" t="b">
        <v>1</v>
      </c>
      <c r="T330" s="562" t="b">
        <v>0</v>
      </c>
      <c r="U330" s="562"/>
      <c r="V330" s="562"/>
      <c r="W330" s="18"/>
      <c r="X330" s="787"/>
      <c r="Y330" s="562"/>
      <c r="Z330" s="562"/>
      <c r="AA330" s="562"/>
      <c r="AB330" s="562"/>
      <c r="AC330" s="562"/>
      <c r="AD330" s="562"/>
      <c r="AE330" s="562"/>
      <c r="AF330" s="562"/>
      <c r="AG330" s="562"/>
      <c r="AH330" s="562"/>
      <c r="AI330" s="562"/>
      <c r="AJ330" s="562"/>
      <c r="AK330" s="562"/>
      <c r="AL330" s="562"/>
      <c r="AM330" s="562"/>
      <c r="AN330" s="562"/>
      <c r="AO330" s="562"/>
      <c r="AP330" s="190" t="str">
        <f t="shared" si="81"/>
        <v>dch605_4_2_d</v>
      </c>
      <c r="AQ330" s="190">
        <f t="shared" si="82"/>
        <v>0</v>
      </c>
      <c r="AR330" s="562"/>
      <c r="AS330" s="562"/>
      <c r="AT330" s="562"/>
      <c r="AU330" s="562"/>
      <c r="AV330" s="562"/>
      <c r="AW330" s="562"/>
      <c r="AX330" s="562"/>
      <c r="AY330" s="562"/>
    </row>
    <row r="331" spans="1:51" s="117" customFormat="1" x14ac:dyDescent="0.2">
      <c r="A331" s="13"/>
      <c r="B331" s="48" t="s">
        <v>2643</v>
      </c>
      <c r="C331" s="14"/>
      <c r="D331" s="14"/>
      <c r="E331" s="14" t="s">
        <v>2183</v>
      </c>
      <c r="F331" s="14" t="s">
        <v>2444</v>
      </c>
      <c r="G331" s="14"/>
      <c r="H331" s="441"/>
      <c r="I331" s="40"/>
      <c r="J331" s="3"/>
      <c r="K331" s="167" t="s">
        <v>2444</v>
      </c>
      <c r="L331" s="205" t="s">
        <v>2653</v>
      </c>
      <c r="M331" s="616"/>
      <c r="N331" s="3"/>
      <c r="O331" s="609"/>
      <c r="P331" s="64" t="b">
        <v>1</v>
      </c>
      <c r="Q331" s="64" t="b">
        <v>1</v>
      </c>
      <c r="R331" s="562" t="b">
        <v>0</v>
      </c>
      <c r="S331" s="562" t="b">
        <v>1</v>
      </c>
      <c r="T331" s="562" t="b">
        <v>0</v>
      </c>
      <c r="U331" s="562"/>
      <c r="V331" s="562"/>
      <c r="W331" s="18"/>
      <c r="X331" s="787"/>
      <c r="Y331" s="562"/>
      <c r="Z331" s="562"/>
      <c r="AA331" s="562"/>
      <c r="AB331" s="562"/>
      <c r="AC331" s="562"/>
      <c r="AD331" s="562"/>
      <c r="AE331" s="562"/>
      <c r="AF331" s="562"/>
      <c r="AG331" s="562"/>
      <c r="AH331" s="562"/>
      <c r="AI331" s="562"/>
      <c r="AJ331" s="562"/>
      <c r="AK331" s="562"/>
      <c r="AL331" s="562"/>
      <c r="AM331" s="562"/>
      <c r="AN331" s="562"/>
      <c r="AO331" s="562"/>
      <c r="AP331" s="190" t="str">
        <f t="shared" si="81"/>
        <v>dch605_4_2_e</v>
      </c>
      <c r="AQ331" s="190">
        <f t="shared" si="82"/>
        <v>0</v>
      </c>
      <c r="AR331" s="562"/>
      <c r="AS331" s="562"/>
      <c r="AT331" s="562"/>
      <c r="AU331" s="562"/>
      <c r="AV331" s="562"/>
      <c r="AW331" s="562"/>
      <c r="AX331" s="562"/>
      <c r="AY331" s="562"/>
    </row>
    <row r="332" spans="1:51" s="117" customFormat="1" x14ac:dyDescent="0.2">
      <c r="A332" s="13"/>
      <c r="B332" s="48" t="s">
        <v>2643</v>
      </c>
      <c r="C332" s="14"/>
      <c r="D332" s="14"/>
      <c r="E332" s="14" t="s">
        <v>2183</v>
      </c>
      <c r="F332" s="14" t="s">
        <v>2540</v>
      </c>
      <c r="G332" s="14"/>
      <c r="H332" s="441"/>
      <c r="I332" s="40"/>
      <c r="J332" s="3"/>
      <c r="K332" s="167" t="s">
        <v>2540</v>
      </c>
      <c r="L332" s="205" t="s">
        <v>2654</v>
      </c>
      <c r="M332" s="616"/>
      <c r="N332" s="3"/>
      <c r="O332" s="609"/>
      <c r="P332" s="64" t="b">
        <v>1</v>
      </c>
      <c r="Q332" s="64" t="b">
        <v>1</v>
      </c>
      <c r="R332" s="562" t="b">
        <v>0</v>
      </c>
      <c r="S332" s="562" t="b">
        <v>1</v>
      </c>
      <c r="T332" s="562" t="b">
        <v>0</v>
      </c>
      <c r="U332" s="562"/>
      <c r="V332" s="562"/>
      <c r="W332" s="18"/>
      <c r="X332" s="787"/>
      <c r="Y332" s="562"/>
      <c r="Z332" s="562"/>
      <c r="AA332" s="562"/>
      <c r="AB332" s="562"/>
      <c r="AC332" s="562"/>
      <c r="AD332" s="562"/>
      <c r="AE332" s="562"/>
      <c r="AF332" s="562"/>
      <c r="AG332" s="562"/>
      <c r="AH332" s="562"/>
      <c r="AI332" s="562"/>
      <c r="AJ332" s="562"/>
      <c r="AK332" s="562"/>
      <c r="AL332" s="562"/>
      <c r="AM332" s="562"/>
      <c r="AN332" s="562"/>
      <c r="AO332" s="562"/>
      <c r="AP332" s="190" t="str">
        <f t="shared" si="81"/>
        <v>dch605_4_2_f</v>
      </c>
      <c r="AQ332" s="190">
        <f t="shared" si="82"/>
        <v>0</v>
      </c>
      <c r="AR332" s="562"/>
      <c r="AS332" s="562"/>
      <c r="AT332" s="562"/>
      <c r="AU332" s="562"/>
      <c r="AV332" s="562"/>
      <c r="AW332" s="562"/>
      <c r="AX332" s="562"/>
      <c r="AY332" s="562"/>
    </row>
    <row r="333" spans="1:51" s="117" customFormat="1" x14ac:dyDescent="0.2">
      <c r="A333" s="13"/>
      <c r="B333" s="48" t="s">
        <v>2643</v>
      </c>
      <c r="C333" s="14"/>
      <c r="D333" s="14"/>
      <c r="E333" s="14" t="s">
        <v>2183</v>
      </c>
      <c r="F333" s="14" t="s">
        <v>2542</v>
      </c>
      <c r="G333" s="14"/>
      <c r="H333" s="441"/>
      <c r="I333" s="40"/>
      <c r="J333" s="3"/>
      <c r="K333" s="172" t="s">
        <v>2542</v>
      </c>
      <c r="L333" s="205" t="s">
        <v>2655</v>
      </c>
      <c r="M333" s="616"/>
      <c r="N333" s="3"/>
      <c r="O333" s="609"/>
      <c r="P333" s="64" t="b">
        <v>1</v>
      </c>
      <c r="Q333" s="64" t="b">
        <v>1</v>
      </c>
      <c r="R333" s="562" t="b">
        <v>0</v>
      </c>
      <c r="S333" s="562" t="b">
        <v>1</v>
      </c>
      <c r="T333" s="562" t="b">
        <v>0</v>
      </c>
      <c r="U333" s="562"/>
      <c r="V333" s="562"/>
      <c r="W333" s="18"/>
      <c r="X333" s="787"/>
      <c r="Y333" s="562"/>
      <c r="Z333" s="562"/>
      <c r="AA333" s="562"/>
      <c r="AB333" s="562"/>
      <c r="AC333" s="562"/>
      <c r="AD333" s="562"/>
      <c r="AE333" s="562"/>
      <c r="AF333" s="562"/>
      <c r="AG333" s="562"/>
      <c r="AH333" s="562"/>
      <c r="AI333" s="562"/>
      <c r="AJ333" s="562"/>
      <c r="AK333" s="562"/>
      <c r="AL333" s="562"/>
      <c r="AM333" s="562"/>
      <c r="AN333" s="562"/>
      <c r="AO333" s="562"/>
      <c r="AP333" s="190" t="str">
        <f t="shared" si="81"/>
        <v>dch605_4_2_g</v>
      </c>
      <c r="AQ333" s="190">
        <f t="shared" si="82"/>
        <v>0</v>
      </c>
      <c r="AR333" s="562"/>
      <c r="AS333" s="562"/>
      <c r="AT333" s="562"/>
      <c r="AU333" s="562"/>
      <c r="AV333" s="562"/>
      <c r="AW333" s="562"/>
      <c r="AX333" s="562"/>
      <c r="AY333" s="562"/>
    </row>
    <row r="334" spans="1:51" s="117" customFormat="1" x14ac:dyDescent="0.2">
      <c r="A334" s="13"/>
      <c r="B334" s="48" t="s">
        <v>2643</v>
      </c>
      <c r="C334" s="14"/>
      <c r="D334" s="14"/>
      <c r="E334" s="14" t="s">
        <v>2183</v>
      </c>
      <c r="F334" s="14" t="s">
        <v>2544</v>
      </c>
      <c r="G334" s="14"/>
      <c r="H334" s="441"/>
      <c r="I334" s="40"/>
      <c r="J334" s="562"/>
      <c r="K334" s="173" t="s">
        <v>2544</v>
      </c>
      <c r="L334" s="205" t="s">
        <v>2656</v>
      </c>
      <c r="M334" s="41"/>
      <c r="N334" s="3"/>
      <c r="O334" s="609"/>
      <c r="P334" s="64" t="b">
        <v>1</v>
      </c>
      <c r="Q334" s="64" t="b">
        <v>1</v>
      </c>
      <c r="R334" s="562" t="b">
        <v>0</v>
      </c>
      <c r="S334" s="562" t="b">
        <v>1</v>
      </c>
      <c r="T334" s="562" t="b">
        <v>0</v>
      </c>
      <c r="U334" s="562"/>
      <c r="V334" s="562"/>
      <c r="W334" s="18"/>
      <c r="X334" s="563"/>
      <c r="Y334" s="562"/>
      <c r="Z334" s="562"/>
      <c r="AA334" s="562"/>
      <c r="AB334" s="562"/>
      <c r="AC334" s="562" t="b">
        <f>OR(AD334:AE334)</f>
        <v>0</v>
      </c>
      <c r="AD334" s="562" t="b">
        <v>0</v>
      </c>
      <c r="AE334" s="562" t="b">
        <f>AND(W334=TRUE,LEN(X334)=0)</f>
        <v>0</v>
      </c>
      <c r="AF334" s="562"/>
      <c r="AG334" s="562"/>
      <c r="AH334" s="562"/>
      <c r="AI334" s="562"/>
      <c r="AJ334" s="562"/>
      <c r="AK334" s="562"/>
      <c r="AL334" s="562"/>
      <c r="AM334" s="562"/>
      <c r="AN334" s="562"/>
      <c r="AO334" s="562"/>
      <c r="AP334" s="190" t="str">
        <f t="shared" si="81"/>
        <v>dch605_4_2_h</v>
      </c>
      <c r="AQ334" s="190">
        <f t="shared" si="82"/>
        <v>0</v>
      </c>
      <c r="AR334" s="562" t="str">
        <f>SUBSTITUTE(SUBSTITUTE(SUBSTITUTE("dnt"&amp;$B334&amp;$C334&amp;$D334&amp;$E334&amp;$F334,".","_"),"(","_"),")","")</f>
        <v>dnt605_4_2_h</v>
      </c>
      <c r="AS334" s="190">
        <f>X334</f>
        <v>0</v>
      </c>
      <c r="AT334" s="562"/>
      <c r="AU334" s="562"/>
      <c r="AV334" s="562"/>
      <c r="AW334" s="562"/>
      <c r="AX334" s="562"/>
      <c r="AY334" s="562"/>
    </row>
    <row r="335" spans="1:51" x14ac:dyDescent="0.2">
      <c r="B335" s="48" t="s">
        <v>2643</v>
      </c>
      <c r="C335" s="14"/>
      <c r="D335" s="14"/>
      <c r="E335" s="14" t="s">
        <v>2183</v>
      </c>
      <c r="F335" s="14" t="s">
        <v>2657</v>
      </c>
      <c r="G335" s="14"/>
      <c r="H335" s="441"/>
      <c r="I335" s="40"/>
      <c r="J335" s="562"/>
      <c r="K335" s="55" t="s">
        <v>2657</v>
      </c>
      <c r="L335" s="632" t="s">
        <v>2656</v>
      </c>
      <c r="M335" s="41"/>
      <c r="N335" s="3"/>
      <c r="O335" s="609"/>
      <c r="P335" s="64" t="b">
        <v>1</v>
      </c>
      <c r="Q335" s="64" t="b">
        <v>1</v>
      </c>
      <c r="R335" s="562" t="b">
        <v>0</v>
      </c>
      <c r="S335" s="562" t="b">
        <v>1</v>
      </c>
      <c r="T335" s="562" t="b">
        <v>0</v>
      </c>
      <c r="U335" s="562"/>
      <c r="V335" s="562"/>
      <c r="W335" s="18"/>
      <c r="X335" s="563"/>
      <c r="Y335" s="562"/>
      <c r="Z335" s="562"/>
      <c r="AA335" s="562"/>
      <c r="AB335" s="562"/>
      <c r="AC335" s="562" t="b">
        <f>OR(AD335:AE335)</f>
        <v>0</v>
      </c>
      <c r="AD335" s="562" t="b">
        <v>0</v>
      </c>
      <c r="AE335" s="562" t="b">
        <f>AND(W335=TRUE,LEN(X335)=0)</f>
        <v>0</v>
      </c>
      <c r="AF335" s="562"/>
      <c r="AG335" s="562"/>
      <c r="AH335" s="562"/>
      <c r="AI335" s="562"/>
      <c r="AJ335" s="562"/>
      <c r="AK335" s="562"/>
      <c r="AL335" s="562"/>
      <c r="AM335" s="562"/>
      <c r="AN335" s="562"/>
      <c r="AO335" s="562"/>
      <c r="AP335" s="190" t="str">
        <f t="shared" si="81"/>
        <v>dch605_4_2_i</v>
      </c>
      <c r="AQ335" s="190">
        <f t="shared" si="82"/>
        <v>0</v>
      </c>
      <c r="AR335" s="562" t="str">
        <f>SUBSTITUTE(SUBSTITUTE(SUBSTITUTE("dnt"&amp;$B335&amp;$C335&amp;$D335&amp;$E335&amp;$F335,".","_"),"(","_"),")","")</f>
        <v>dnt605_4_2_i</v>
      </c>
      <c r="AS335" s="190">
        <f>X335</f>
        <v>0</v>
      </c>
      <c r="AT335" s="562"/>
      <c r="AU335" s="562"/>
      <c r="AV335" s="562"/>
      <c r="AW335" s="562"/>
      <c r="AX335" s="562"/>
      <c r="AY335" s="562"/>
    </row>
    <row r="336" spans="1:51" x14ac:dyDescent="0.2">
      <c r="B336" s="48" t="s">
        <v>2643</v>
      </c>
      <c r="C336" s="14"/>
      <c r="D336" s="14"/>
      <c r="E336" s="14"/>
      <c r="F336" s="14"/>
      <c r="G336" s="14"/>
      <c r="H336" s="441"/>
      <c r="I336" s="40"/>
      <c r="J336" s="562"/>
      <c r="K336" s="55"/>
      <c r="L336" s="618" t="s">
        <v>2658</v>
      </c>
      <c r="M336" s="41"/>
      <c r="N336" s="3"/>
      <c r="O336" s="609"/>
      <c r="P336" s="562"/>
      <c r="Q336" s="562"/>
      <c r="R336" s="562"/>
      <c r="S336" s="562"/>
      <c r="T336" s="562"/>
      <c r="U336" s="562"/>
      <c r="V336" s="562"/>
      <c r="W336" s="562"/>
      <c r="X336" s="562"/>
      <c r="Y336" s="562"/>
      <c r="Z336" s="562"/>
      <c r="AA336" s="562"/>
      <c r="AB336" s="562"/>
      <c r="AC336" s="562"/>
      <c r="AD336" s="562"/>
      <c r="AE336" s="562"/>
      <c r="AF336" s="562"/>
      <c r="AG336" s="562"/>
      <c r="AH336" s="562"/>
      <c r="AI336" s="562"/>
      <c r="AJ336" s="562"/>
      <c r="AK336" s="562"/>
      <c r="AL336" s="562"/>
      <c r="AM336" s="562"/>
      <c r="AN336" s="562"/>
      <c r="AO336" s="562"/>
      <c r="AP336" s="562"/>
      <c r="AQ336" s="562"/>
      <c r="AR336" s="562"/>
      <c r="AS336" s="562"/>
      <c r="AT336" s="562"/>
      <c r="AU336" s="562"/>
      <c r="AV336" s="562"/>
      <c r="AW336" s="562"/>
      <c r="AX336" s="562"/>
      <c r="AY336" s="562"/>
    </row>
    <row r="337" spans="1:51" s="117" customFormat="1" ht="19" x14ac:dyDescent="0.25">
      <c r="A337" s="13"/>
      <c r="B337" s="48">
        <v>606</v>
      </c>
      <c r="C337" s="14"/>
      <c r="D337" s="14"/>
      <c r="E337" s="14"/>
      <c r="F337" s="14"/>
      <c r="G337" s="14"/>
      <c r="H337" s="441"/>
      <c r="I337" s="8" t="s">
        <v>2659</v>
      </c>
      <c r="J337" s="16"/>
      <c r="K337" s="52"/>
      <c r="L337" s="180"/>
      <c r="M337" s="225"/>
      <c r="N337" s="266"/>
      <c r="O337" s="264"/>
      <c r="P337" s="16"/>
      <c r="Q337" s="16"/>
      <c r="R337" s="16"/>
      <c r="S337" s="16"/>
      <c r="T337" s="16"/>
      <c r="U337" s="16"/>
      <c r="V337" s="16"/>
      <c r="W337" s="16"/>
      <c r="X337" s="16"/>
      <c r="Y337" s="562"/>
      <c r="Z337" s="562"/>
      <c r="AA337" s="562"/>
      <c r="AB337" s="562"/>
      <c r="AC337" s="562"/>
      <c r="AD337" s="562"/>
      <c r="AE337" s="562"/>
      <c r="AF337" s="562"/>
      <c r="AG337" s="562"/>
      <c r="AH337" s="562"/>
      <c r="AI337" s="562"/>
      <c r="AJ337" s="562"/>
      <c r="AK337" s="562"/>
      <c r="AL337" s="562"/>
      <c r="AM337" s="562"/>
      <c r="AN337" s="562"/>
      <c r="AO337" s="562"/>
      <c r="AP337" s="562"/>
      <c r="AQ337" s="562"/>
      <c r="AR337" s="562"/>
      <c r="AS337" s="562"/>
      <c r="AT337" s="562"/>
      <c r="AU337" s="562"/>
      <c r="AV337" s="562"/>
      <c r="AW337" s="562"/>
      <c r="AX337" s="562"/>
      <c r="AY337" s="562"/>
    </row>
    <row r="338" spans="1:51" ht="16" thickBot="1" x14ac:dyDescent="0.25">
      <c r="B338" s="48" t="s">
        <v>2660</v>
      </c>
      <c r="C338" s="14"/>
      <c r="D338" s="14"/>
      <c r="E338" s="14"/>
      <c r="F338" s="14"/>
      <c r="G338" s="14"/>
      <c r="H338" s="441"/>
      <c r="I338" s="49" t="s">
        <v>2661</v>
      </c>
      <c r="J338" s="3"/>
      <c r="K338" s="53"/>
      <c r="L338" s="654" t="s">
        <v>2662</v>
      </c>
      <c r="M338" s="616"/>
      <c r="N338" s="3"/>
      <c r="O338" s="609"/>
      <c r="P338" s="562"/>
      <c r="Q338" s="562"/>
      <c r="R338" s="562"/>
      <c r="S338" s="562"/>
      <c r="T338" s="562"/>
      <c r="U338" s="562"/>
      <c r="V338" s="562"/>
      <c r="W338" s="562"/>
      <c r="X338" s="562"/>
      <c r="Y338" s="562"/>
      <c r="Z338" s="562"/>
      <c r="AA338" s="562"/>
      <c r="AB338" s="562"/>
      <c r="AC338" s="562"/>
      <c r="AD338" s="562"/>
      <c r="AE338" s="562"/>
      <c r="AF338" s="562"/>
      <c r="AG338" s="562"/>
      <c r="AH338" s="562"/>
      <c r="AI338" s="562"/>
      <c r="AJ338" s="562"/>
      <c r="AK338" s="562"/>
      <c r="AL338" s="562"/>
      <c r="AM338" s="562"/>
      <c r="AN338" s="562"/>
      <c r="AO338" s="562"/>
      <c r="AP338" s="562"/>
      <c r="AQ338" s="562"/>
      <c r="AR338" s="562"/>
      <c r="AS338" s="562"/>
      <c r="AT338" s="562"/>
      <c r="AU338" s="562"/>
      <c r="AV338" s="562"/>
      <c r="AW338" s="562"/>
      <c r="AX338" s="562"/>
      <c r="AY338" s="562"/>
    </row>
    <row r="339" spans="1:51" ht="16" thickTop="1" x14ac:dyDescent="0.2">
      <c r="B339" s="48">
        <v>606.1</v>
      </c>
      <c r="C339" s="14"/>
      <c r="D339" s="14"/>
      <c r="E339" s="14"/>
      <c r="F339" s="14"/>
      <c r="G339" s="14"/>
      <c r="H339" s="441"/>
      <c r="I339" s="131" t="s">
        <v>2663</v>
      </c>
      <c r="J339" s="132"/>
      <c r="K339" s="133"/>
      <c r="L339" s="646" t="s">
        <v>2664</v>
      </c>
      <c r="M339" s="625"/>
      <c r="N339" s="132"/>
      <c r="O339" s="823" t="e">
        <f ca="1">MIN(8,IF(R352&gt;1,6+R352+R350-2,IF(R352+R350&gt;1,3+MIN(2,R350+R352-2),0)))</f>
        <v>#REF!</v>
      </c>
      <c r="P339" s="74"/>
      <c r="Q339" s="74"/>
      <c r="R339" s="74"/>
      <c r="S339" s="74"/>
      <c r="T339" s="74"/>
      <c r="U339" s="74"/>
      <c r="V339" s="74"/>
      <c r="W339" s="74"/>
      <c r="X339" s="74"/>
      <c r="Y339" s="562"/>
      <c r="Z339" s="562"/>
      <c r="AA339" s="562"/>
      <c r="AB339" s="562"/>
      <c r="AC339" s="562"/>
      <c r="AD339" s="562"/>
      <c r="AE339" s="562"/>
      <c r="AF339" s="562"/>
      <c r="AG339" s="562"/>
      <c r="AH339" s="562"/>
      <c r="AI339" s="562"/>
      <c r="AJ339" s="562"/>
      <c r="AK339" s="562"/>
      <c r="AL339" s="562"/>
      <c r="AM339" s="562"/>
      <c r="AN339" s="190" t="str">
        <f>SUBSTITUTE(SUBSTITUTE(SUBSTITUTE("dpc"&amp;$B339&amp;$C339&amp;$D339&amp;$E339&amp;$F339,".","_"),"(","_"),")","")</f>
        <v>dpc606,1</v>
      </c>
      <c r="AO339" s="190" t="e">
        <f ca="1">O339</f>
        <v>#REF!</v>
      </c>
      <c r="AP339" s="562"/>
      <c r="AQ339" s="562"/>
      <c r="AR339" s="562"/>
      <c r="AS339" s="562"/>
      <c r="AT339" s="562"/>
      <c r="AU339" s="562"/>
      <c r="AV339" s="562"/>
      <c r="AW339" s="562"/>
      <c r="AX339" s="562"/>
      <c r="AY339" s="562"/>
    </row>
    <row r="340" spans="1:51" x14ac:dyDescent="0.2">
      <c r="B340" s="48">
        <v>606.1</v>
      </c>
      <c r="C340" s="14"/>
      <c r="D340" s="14"/>
      <c r="E340" s="14"/>
      <c r="F340" s="14" t="s">
        <v>2196</v>
      </c>
      <c r="G340" s="14"/>
      <c r="H340" s="441"/>
      <c r="I340" s="99"/>
      <c r="J340" s="98"/>
      <c r="K340" s="61" t="s">
        <v>2196</v>
      </c>
      <c r="L340" s="598" t="s">
        <v>2665</v>
      </c>
      <c r="M340" s="610"/>
      <c r="N340" s="98"/>
      <c r="O340" s="793"/>
      <c r="P340" s="64" t="b">
        <v>1</v>
      </c>
      <c r="Q340" s="64" t="b">
        <v>1</v>
      </c>
      <c r="R340" s="64" t="b">
        <v>0</v>
      </c>
      <c r="S340" s="64" t="b">
        <f>OR(NOT(ISBLANK(W367)),NOT(ISBLANK(W368)),NOT(ISBLANK(W370)),NOT(ISBLANK(W371)))</f>
        <v>0</v>
      </c>
      <c r="T340" s="64" t="b">
        <f>AND(NOT(S340),LEN(W340)&gt;0)</f>
        <v>0</v>
      </c>
      <c r="U340" s="64" t="str">
        <f t="shared" ref="U340:U347" si="83">SUBSTITUTE(SUBSTITUTE(SUBSTITUTE("dd"&amp;B340&amp;C340&amp;D340&amp;E340&amp;F340,".","_"),"(","_"),")","")</f>
        <v>dd606,1_a</v>
      </c>
      <c r="V340" s="64"/>
      <c r="W340" s="78"/>
      <c r="X340" s="798"/>
      <c r="Y340" s="562"/>
      <c r="Z340" s="562"/>
      <c r="AA340" s="562"/>
      <c r="AB340" s="562"/>
      <c r="AC340" s="562" t="b">
        <f>OR(AD340:AE340)</f>
        <v>0</v>
      </c>
      <c r="AD340" s="562" t="b">
        <f>T340</f>
        <v>0</v>
      </c>
      <c r="AE340" s="562"/>
      <c r="AF340" s="562"/>
      <c r="AG340" s="562"/>
      <c r="AH340" s="562"/>
      <c r="AI340" s="562"/>
      <c r="AJ340" s="562"/>
      <c r="AK340" s="562"/>
      <c r="AL340" s="562"/>
      <c r="AM340" s="562"/>
      <c r="AN340" s="562"/>
      <c r="AO340" s="562"/>
      <c r="AP340" s="190" t="str">
        <f t="shared" ref="AP340:AP347" si="84">SUBSTITUTE(SUBSTITUTE(SUBSTITUTE("dch"&amp;$B340&amp;$C340&amp;$D340&amp;$E340&amp;$F340,".","_"),"(","_"),")","")</f>
        <v>dch606,1_a</v>
      </c>
      <c r="AQ340" s="190">
        <f t="shared" ref="AQ340:AQ347" si="85">W340</f>
        <v>0</v>
      </c>
      <c r="AR340" s="562" t="str">
        <f>SUBSTITUTE(SUBSTITUTE(SUBSTITUTE("dnt"&amp;$B340&amp;$C340&amp;$D340&amp;$E340&amp;$F340,".","_"),"(","_"),")","")</f>
        <v>dnt606,1_a</v>
      </c>
      <c r="AS340" s="190">
        <f>X340</f>
        <v>0</v>
      </c>
      <c r="AT340" s="562"/>
      <c r="AU340" s="562"/>
      <c r="AV340" s="562"/>
      <c r="AW340" s="562"/>
      <c r="AX340" s="562"/>
      <c r="AY340" s="562"/>
    </row>
    <row r="341" spans="1:51" x14ac:dyDescent="0.2">
      <c r="B341" s="48">
        <v>606.1</v>
      </c>
      <c r="C341" s="14"/>
      <c r="D341" s="14"/>
      <c r="E341" s="14"/>
      <c r="F341" s="14" t="s">
        <v>2198</v>
      </c>
      <c r="G341" s="14"/>
      <c r="H341" s="441"/>
      <c r="I341" s="99"/>
      <c r="J341" s="98"/>
      <c r="K341" s="61" t="s">
        <v>2198</v>
      </c>
      <c r="L341" s="598" t="s">
        <v>2666</v>
      </c>
      <c r="M341" s="610"/>
      <c r="N341" s="98"/>
      <c r="O341" s="793"/>
      <c r="P341" s="64" t="b">
        <v>1</v>
      </c>
      <c r="Q341" s="64" t="b">
        <v>1</v>
      </c>
      <c r="R341" s="64" t="b">
        <v>0</v>
      </c>
      <c r="S341" s="64" t="b">
        <v>1</v>
      </c>
      <c r="T341" s="64" t="b">
        <v>0</v>
      </c>
      <c r="U341" s="64" t="str">
        <f t="shared" si="83"/>
        <v>dd606,1_b</v>
      </c>
      <c r="V341" s="64"/>
      <c r="W341" s="78"/>
      <c r="X341" s="798"/>
      <c r="Y341" s="562"/>
      <c r="Z341" s="562"/>
      <c r="AA341" s="562"/>
      <c r="AB341" s="562"/>
      <c r="AC341" s="562"/>
      <c r="AD341" s="562"/>
      <c r="AE341" s="562"/>
      <c r="AF341" s="562"/>
      <c r="AG341" s="562"/>
      <c r="AH341" s="562"/>
      <c r="AI341" s="562"/>
      <c r="AJ341" s="562"/>
      <c r="AK341" s="562"/>
      <c r="AL341" s="562"/>
      <c r="AM341" s="562"/>
      <c r="AN341" s="562"/>
      <c r="AO341" s="562"/>
      <c r="AP341" s="190" t="str">
        <f t="shared" si="84"/>
        <v>dch606,1_b</v>
      </c>
      <c r="AQ341" s="190">
        <f t="shared" si="85"/>
        <v>0</v>
      </c>
      <c r="AR341" s="562"/>
      <c r="AS341" s="562"/>
      <c r="AT341" s="562"/>
      <c r="AU341" s="562"/>
      <c r="AV341" s="562"/>
      <c r="AW341" s="562"/>
      <c r="AX341" s="562"/>
      <c r="AY341" s="562"/>
    </row>
    <row r="342" spans="1:51" x14ac:dyDescent="0.2">
      <c r="B342" s="48">
        <v>606.1</v>
      </c>
      <c r="C342" s="14"/>
      <c r="D342" s="14"/>
      <c r="E342" s="14"/>
      <c r="F342" s="19" t="s">
        <v>2200</v>
      </c>
      <c r="G342" s="19"/>
      <c r="H342" s="442"/>
      <c r="I342" s="99"/>
      <c r="J342" s="98"/>
      <c r="K342" s="79" t="s">
        <v>2200</v>
      </c>
      <c r="L342" s="598" t="s">
        <v>2667</v>
      </c>
      <c r="M342" s="610"/>
      <c r="N342" s="98"/>
      <c r="O342" s="793"/>
      <c r="P342" s="64" t="b">
        <v>1</v>
      </c>
      <c r="Q342" s="64" t="b">
        <v>1</v>
      </c>
      <c r="R342" s="64" t="b">
        <v>0</v>
      </c>
      <c r="S342" s="64" t="b">
        <v>1</v>
      </c>
      <c r="T342" s="64" t="b">
        <v>0</v>
      </c>
      <c r="U342" s="64" t="str">
        <f t="shared" si="83"/>
        <v>dd606,1_c</v>
      </c>
      <c r="V342" s="64"/>
      <c r="W342" s="78"/>
      <c r="X342" s="798"/>
      <c r="Y342" s="562"/>
      <c r="Z342" s="562"/>
      <c r="AA342" s="562"/>
      <c r="AB342" s="562"/>
      <c r="AC342" s="562"/>
      <c r="AD342" s="562"/>
      <c r="AE342" s="562"/>
      <c r="AF342" s="562"/>
      <c r="AG342" s="562"/>
      <c r="AH342" s="562"/>
      <c r="AI342" s="562"/>
      <c r="AJ342" s="562"/>
      <c r="AK342" s="562"/>
      <c r="AL342" s="562"/>
      <c r="AM342" s="562"/>
      <c r="AN342" s="562"/>
      <c r="AO342" s="562"/>
      <c r="AP342" s="190" t="str">
        <f t="shared" si="84"/>
        <v>dch606,1_c</v>
      </c>
      <c r="AQ342" s="190">
        <f t="shared" si="85"/>
        <v>0</v>
      </c>
      <c r="AR342" s="562"/>
      <c r="AS342" s="562"/>
      <c r="AT342" s="562"/>
      <c r="AU342" s="562"/>
      <c r="AV342" s="562"/>
      <c r="AW342" s="562"/>
      <c r="AX342" s="562"/>
      <c r="AY342" s="562"/>
    </row>
    <row r="343" spans="1:51" x14ac:dyDescent="0.2">
      <c r="B343" s="48">
        <v>606.1</v>
      </c>
      <c r="C343" s="14"/>
      <c r="D343" s="14"/>
      <c r="E343" s="14"/>
      <c r="F343" s="14" t="s">
        <v>2247</v>
      </c>
      <c r="G343" s="14"/>
      <c r="H343" s="441"/>
      <c r="I343" s="99"/>
      <c r="J343" s="98"/>
      <c r="K343" s="140" t="s">
        <v>2247</v>
      </c>
      <c r="L343" s="598" t="s">
        <v>2668</v>
      </c>
      <c r="M343" s="610"/>
      <c r="N343" s="98"/>
      <c r="O343" s="793"/>
      <c r="P343" s="64" t="b">
        <v>1</v>
      </c>
      <c r="Q343" s="64" t="b">
        <v>1</v>
      </c>
      <c r="R343" s="64" t="b">
        <v>0</v>
      </c>
      <c r="S343" s="64" t="b">
        <v>1</v>
      </c>
      <c r="T343" s="64" t="b">
        <v>0</v>
      </c>
      <c r="U343" s="64" t="str">
        <f t="shared" si="83"/>
        <v>dd606,1_d</v>
      </c>
      <c r="V343" s="64"/>
      <c r="W343" s="78"/>
      <c r="X343" s="798"/>
      <c r="Y343" s="562"/>
      <c r="Z343" s="562"/>
      <c r="AA343" s="562"/>
      <c r="AB343" s="562"/>
      <c r="AC343" s="562"/>
      <c r="AD343" s="562"/>
      <c r="AE343" s="562"/>
      <c r="AF343" s="562"/>
      <c r="AG343" s="562"/>
      <c r="AH343" s="562"/>
      <c r="AI343" s="562"/>
      <c r="AJ343" s="562"/>
      <c r="AK343" s="562"/>
      <c r="AL343" s="562"/>
      <c r="AM343" s="562"/>
      <c r="AN343" s="562"/>
      <c r="AO343" s="562"/>
      <c r="AP343" s="190" t="str">
        <f t="shared" si="84"/>
        <v>dch606,1_d</v>
      </c>
      <c r="AQ343" s="190">
        <f t="shared" si="85"/>
        <v>0</v>
      </c>
      <c r="AR343" s="562"/>
      <c r="AS343" s="562"/>
      <c r="AT343" s="562"/>
      <c r="AU343" s="562"/>
      <c r="AV343" s="562"/>
      <c r="AW343" s="562"/>
      <c r="AX343" s="562"/>
      <c r="AY343" s="562"/>
    </row>
    <row r="344" spans="1:51" x14ac:dyDescent="0.2">
      <c r="B344" s="48">
        <v>606.1</v>
      </c>
      <c r="C344" s="14"/>
      <c r="D344" s="14"/>
      <c r="E344" s="14"/>
      <c r="F344" s="14" t="s">
        <v>2444</v>
      </c>
      <c r="G344" s="14"/>
      <c r="H344" s="441"/>
      <c r="I344" s="99"/>
      <c r="J344" s="98"/>
      <c r="K344" s="61" t="s">
        <v>2444</v>
      </c>
      <c r="L344" s="598" t="s">
        <v>2669</v>
      </c>
      <c r="M344" s="610"/>
      <c r="N344" s="98"/>
      <c r="O344" s="793"/>
      <c r="P344" s="64" t="b">
        <v>1</v>
      </c>
      <c r="Q344" s="64" t="b">
        <v>1</v>
      </c>
      <c r="R344" s="64" t="b">
        <v>0</v>
      </c>
      <c r="S344" s="64" t="b">
        <v>1</v>
      </c>
      <c r="T344" s="64" t="b">
        <v>0</v>
      </c>
      <c r="U344" s="64" t="str">
        <f t="shared" si="83"/>
        <v>dd606,1_e</v>
      </c>
      <c r="V344" s="64"/>
      <c r="W344" s="78"/>
      <c r="X344" s="798"/>
      <c r="Y344" s="562"/>
      <c r="Z344" s="562"/>
      <c r="AA344" s="562"/>
      <c r="AB344" s="562"/>
      <c r="AC344" s="562"/>
      <c r="AD344" s="562"/>
      <c r="AE344" s="562"/>
      <c r="AF344" s="562"/>
      <c r="AG344" s="562"/>
      <c r="AH344" s="562"/>
      <c r="AI344" s="562"/>
      <c r="AJ344" s="562"/>
      <c r="AK344" s="562"/>
      <c r="AL344" s="562"/>
      <c r="AM344" s="562"/>
      <c r="AN344" s="562"/>
      <c r="AO344" s="562"/>
      <c r="AP344" s="190" t="str">
        <f t="shared" si="84"/>
        <v>dch606,1_e</v>
      </c>
      <c r="AQ344" s="190">
        <f t="shared" si="85"/>
        <v>0</v>
      </c>
      <c r="AR344" s="562"/>
      <c r="AS344" s="562"/>
      <c r="AT344" s="562"/>
      <c r="AU344" s="562"/>
      <c r="AV344" s="562"/>
      <c r="AW344" s="562"/>
      <c r="AX344" s="562"/>
      <c r="AY344" s="562"/>
    </row>
    <row r="345" spans="1:51" x14ac:dyDescent="0.2">
      <c r="B345" s="48">
        <v>606.1</v>
      </c>
      <c r="C345" s="14"/>
      <c r="D345" s="14"/>
      <c r="E345" s="14"/>
      <c r="F345" s="14" t="s">
        <v>2540</v>
      </c>
      <c r="G345" s="14"/>
      <c r="H345" s="441"/>
      <c r="I345" s="99"/>
      <c r="J345" s="98"/>
      <c r="K345" s="61" t="s">
        <v>2540</v>
      </c>
      <c r="L345" s="598" t="s">
        <v>2670</v>
      </c>
      <c r="M345" s="610"/>
      <c r="N345" s="98"/>
      <c r="O345" s="793"/>
      <c r="P345" s="64" t="b">
        <v>1</v>
      </c>
      <c r="Q345" s="64" t="b">
        <v>1</v>
      </c>
      <c r="R345" s="64" t="b">
        <v>0</v>
      </c>
      <c r="S345" s="64" t="b">
        <v>1</v>
      </c>
      <c r="T345" s="64" t="b">
        <v>0</v>
      </c>
      <c r="U345" s="64" t="str">
        <f t="shared" si="83"/>
        <v>dd606,1_f</v>
      </c>
      <c r="V345" s="64"/>
      <c r="W345" s="78"/>
      <c r="X345" s="798"/>
      <c r="Y345" s="562"/>
      <c r="Z345" s="562"/>
      <c r="AA345" s="562"/>
      <c r="AB345" s="562"/>
      <c r="AC345" s="562"/>
      <c r="AD345" s="562"/>
      <c r="AE345" s="562"/>
      <c r="AF345" s="562"/>
      <c r="AG345" s="562"/>
      <c r="AH345" s="562"/>
      <c r="AI345" s="562"/>
      <c r="AJ345" s="562"/>
      <c r="AK345" s="562"/>
      <c r="AL345" s="562"/>
      <c r="AM345" s="562"/>
      <c r="AN345" s="562"/>
      <c r="AO345" s="562"/>
      <c r="AP345" s="190" t="str">
        <f t="shared" si="84"/>
        <v>dch606,1_f</v>
      </c>
      <c r="AQ345" s="190">
        <f t="shared" si="85"/>
        <v>0</v>
      </c>
      <c r="AR345" s="562"/>
      <c r="AS345" s="562"/>
      <c r="AT345" s="562"/>
      <c r="AU345" s="562"/>
      <c r="AV345" s="562"/>
      <c r="AW345" s="562"/>
      <c r="AX345" s="562"/>
      <c r="AY345" s="562"/>
    </row>
    <row r="346" spans="1:51" x14ac:dyDescent="0.2">
      <c r="B346" s="48">
        <v>606.1</v>
      </c>
      <c r="C346" s="14"/>
      <c r="D346" s="14"/>
      <c r="E346" s="14"/>
      <c r="F346" s="19" t="s">
        <v>2542</v>
      </c>
      <c r="G346" s="19"/>
      <c r="H346" s="442"/>
      <c r="I346" s="99"/>
      <c r="J346" s="98"/>
      <c r="K346" s="79" t="s">
        <v>2542</v>
      </c>
      <c r="L346" s="598" t="s">
        <v>2671</v>
      </c>
      <c r="M346" s="610"/>
      <c r="N346" s="98"/>
      <c r="O346" s="793"/>
      <c r="P346" s="64" t="b">
        <v>1</v>
      </c>
      <c r="Q346" s="64" t="b">
        <v>1</v>
      </c>
      <c r="R346" s="64" t="b">
        <v>0</v>
      </c>
      <c r="S346" s="64" t="b">
        <v>1</v>
      </c>
      <c r="T346" s="64" t="b">
        <v>0</v>
      </c>
      <c r="U346" s="64" t="str">
        <f t="shared" si="83"/>
        <v>dd606,1_g</v>
      </c>
      <c r="V346" s="64"/>
      <c r="W346" s="78"/>
      <c r="X346" s="798"/>
      <c r="Y346" s="562"/>
      <c r="Z346" s="562"/>
      <c r="AA346" s="562"/>
      <c r="AB346" s="562"/>
      <c r="AC346" s="562"/>
      <c r="AD346" s="562"/>
      <c r="AE346" s="562"/>
      <c r="AF346" s="562"/>
      <c r="AG346" s="562"/>
      <c r="AH346" s="562"/>
      <c r="AI346" s="562"/>
      <c r="AJ346" s="562"/>
      <c r="AK346" s="562"/>
      <c r="AL346" s="562"/>
      <c r="AM346" s="562"/>
      <c r="AN346" s="562"/>
      <c r="AO346" s="562"/>
      <c r="AP346" s="190" t="str">
        <f t="shared" si="84"/>
        <v>dch606,1_g</v>
      </c>
      <c r="AQ346" s="190">
        <f t="shared" si="85"/>
        <v>0</v>
      </c>
      <c r="AR346" s="562"/>
      <c r="AS346" s="562"/>
      <c r="AT346" s="562"/>
      <c r="AU346" s="562"/>
      <c r="AV346" s="562"/>
      <c r="AW346" s="562"/>
      <c r="AX346" s="562"/>
      <c r="AY346" s="562"/>
    </row>
    <row r="347" spans="1:51" x14ac:dyDescent="0.2">
      <c r="B347" s="48">
        <v>606.1</v>
      </c>
      <c r="C347" s="14"/>
      <c r="D347" s="14"/>
      <c r="E347" s="14"/>
      <c r="F347" s="14" t="s">
        <v>2544</v>
      </c>
      <c r="G347" s="14"/>
      <c r="H347" s="441"/>
      <c r="I347" s="99"/>
      <c r="J347" s="98"/>
      <c r="K347" s="140" t="s">
        <v>2544</v>
      </c>
      <c r="L347" s="791" t="s">
        <v>2672</v>
      </c>
      <c r="M347" s="610"/>
      <c r="N347" s="98"/>
      <c r="O347" s="793"/>
      <c r="P347" s="64" t="b">
        <v>1</v>
      </c>
      <c r="Q347" s="64" t="b">
        <v>1</v>
      </c>
      <c r="R347" s="64" t="b">
        <v>0</v>
      </c>
      <c r="S347" s="64" t="b">
        <v>1</v>
      </c>
      <c r="T347" s="64" t="b">
        <v>0</v>
      </c>
      <c r="U347" s="64" t="str">
        <f t="shared" si="83"/>
        <v>dd606,1_h</v>
      </c>
      <c r="V347" s="64"/>
      <c r="W347" s="78"/>
      <c r="X347" s="798"/>
      <c r="Y347" s="562"/>
      <c r="Z347" s="562"/>
      <c r="AA347" s="562"/>
      <c r="AB347" s="562"/>
      <c r="AC347" s="562" t="b">
        <f>OR(AD347:AE347)</f>
        <v>0</v>
      </c>
      <c r="AD347" s="562" t="b">
        <v>0</v>
      </c>
      <c r="AE347" s="562" t="b">
        <f>AND(NOT(ISBLANK(W347)),LEN(X340)=0)</f>
        <v>0</v>
      </c>
      <c r="AF347" s="562"/>
      <c r="AG347" s="562"/>
      <c r="AH347" s="562"/>
      <c r="AI347" s="562"/>
      <c r="AJ347" s="562"/>
      <c r="AK347" s="562"/>
      <c r="AL347" s="562"/>
      <c r="AM347" s="562"/>
      <c r="AN347" s="562"/>
      <c r="AO347" s="562"/>
      <c r="AP347" s="190" t="str">
        <f t="shared" si="84"/>
        <v>dch606,1_h</v>
      </c>
      <c r="AQ347" s="190">
        <f t="shared" si="85"/>
        <v>0</v>
      </c>
      <c r="AR347" s="562"/>
      <c r="AS347" s="562"/>
      <c r="AT347" s="562"/>
      <c r="AU347" s="562"/>
      <c r="AV347" s="562"/>
      <c r="AW347" s="562"/>
      <c r="AX347" s="562"/>
      <c r="AY347" s="562"/>
    </row>
    <row r="348" spans="1:51" x14ac:dyDescent="0.2">
      <c r="B348" s="48">
        <v>606.1</v>
      </c>
      <c r="C348" s="14"/>
      <c r="D348" s="14"/>
      <c r="E348" s="14"/>
      <c r="F348" s="14" t="s">
        <v>2544</v>
      </c>
      <c r="G348" s="14"/>
      <c r="H348" s="441"/>
      <c r="I348" s="99"/>
      <c r="J348" s="98"/>
      <c r="K348" s="140"/>
      <c r="L348" s="791"/>
      <c r="M348" s="610"/>
      <c r="N348" s="98"/>
      <c r="O348" s="793"/>
      <c r="P348" s="64"/>
      <c r="Q348" s="64"/>
      <c r="R348" s="64"/>
      <c r="S348" s="64"/>
      <c r="T348" s="64"/>
      <c r="U348" s="64"/>
      <c r="V348" s="64"/>
      <c r="W348" s="64"/>
      <c r="X348" s="798"/>
      <c r="Y348" s="562"/>
      <c r="Z348" s="562"/>
      <c r="AA348" s="562"/>
      <c r="AB348" s="562"/>
      <c r="AC348" s="562"/>
      <c r="AD348" s="562"/>
      <c r="AE348" s="562"/>
      <c r="AF348" s="562"/>
      <c r="AG348" s="562"/>
      <c r="AH348" s="562"/>
      <c r="AI348" s="562"/>
      <c r="AJ348" s="562"/>
      <c r="AK348" s="562"/>
      <c r="AL348" s="562"/>
      <c r="AM348" s="562"/>
      <c r="AN348" s="562"/>
      <c r="AO348" s="562"/>
      <c r="AP348" s="562"/>
      <c r="AQ348" s="562"/>
      <c r="AR348" s="562"/>
      <c r="AS348" s="562"/>
      <c r="AT348" s="562"/>
      <c r="AU348" s="562"/>
      <c r="AV348" s="562"/>
      <c r="AW348" s="562"/>
      <c r="AX348" s="562"/>
      <c r="AY348" s="562"/>
    </row>
    <row r="349" spans="1:51" x14ac:dyDescent="0.2">
      <c r="B349" s="48">
        <v>606.1</v>
      </c>
      <c r="C349" s="14"/>
      <c r="D349" s="14"/>
      <c r="E349" s="14"/>
      <c r="F349" s="14"/>
      <c r="G349" s="14"/>
      <c r="H349" s="441"/>
      <c r="I349" s="99"/>
      <c r="J349" s="98"/>
      <c r="K349" s="140"/>
      <c r="L349" s="633" t="s">
        <v>2673</v>
      </c>
      <c r="M349" s="610"/>
      <c r="N349" s="98"/>
      <c r="O349" s="607"/>
      <c r="P349" s="64"/>
      <c r="Q349" s="64"/>
      <c r="R349" s="64"/>
      <c r="S349" s="64"/>
      <c r="T349" s="64"/>
      <c r="U349" s="64"/>
      <c r="V349" s="64"/>
      <c r="W349" s="64"/>
      <c r="X349" s="798"/>
      <c r="Y349" s="562"/>
      <c r="Z349" s="562"/>
      <c r="AA349" s="562"/>
      <c r="AB349" s="562"/>
      <c r="AC349" s="562"/>
      <c r="AD349" s="562"/>
      <c r="AE349" s="562"/>
      <c r="AF349" s="562"/>
      <c r="AG349" s="562"/>
      <c r="AH349" s="562"/>
      <c r="AI349" s="562"/>
      <c r="AJ349" s="562"/>
      <c r="AK349" s="562"/>
      <c r="AL349" s="562"/>
      <c r="AM349" s="562"/>
      <c r="AN349" s="562"/>
      <c r="AO349" s="562"/>
      <c r="AP349" s="562"/>
      <c r="AQ349" s="562"/>
      <c r="AR349" s="562"/>
      <c r="AS349" s="562"/>
      <c r="AT349" s="562"/>
      <c r="AU349" s="562"/>
      <c r="AV349" s="562"/>
      <c r="AW349" s="562"/>
      <c r="AX349" s="562"/>
      <c r="AY349" s="562"/>
    </row>
    <row r="350" spans="1:51" s="101" customFormat="1" x14ac:dyDescent="0.2">
      <c r="A350" s="13"/>
      <c r="B350" s="48">
        <v>606.1</v>
      </c>
      <c r="C350" s="14"/>
      <c r="D350" s="14"/>
      <c r="E350" s="14" t="s">
        <v>2181</v>
      </c>
      <c r="F350" s="14"/>
      <c r="G350" s="14"/>
      <c r="H350" s="441"/>
      <c r="I350" s="99"/>
      <c r="J350" s="134" t="s">
        <v>2181</v>
      </c>
      <c r="K350" s="65"/>
      <c r="L350" s="791" t="s">
        <v>2674</v>
      </c>
      <c r="M350" s="800">
        <v>3</v>
      </c>
      <c r="N350" s="98"/>
      <c r="O350" s="607"/>
      <c r="P350" s="64"/>
      <c r="Q350" s="64"/>
      <c r="R350" s="150" t="e">
        <f ca="1">COUNTIF(W341:W347,INDEX(INDIRECT(U340),1))+IF(AND(S340,W340=INDEX(INDIRECT(U340),1)),1,0)</f>
        <v>#REF!</v>
      </c>
      <c r="S350" s="64"/>
      <c r="T350" s="64"/>
      <c r="U350" s="64"/>
      <c r="V350" s="64"/>
      <c r="W350" s="64"/>
      <c r="X350" s="798"/>
      <c r="Y350" s="562"/>
      <c r="Z350" s="562"/>
      <c r="AA350" s="562"/>
      <c r="AB350" s="562"/>
      <c r="AC350" s="562"/>
      <c r="AD350" s="562"/>
      <c r="AE350" s="562"/>
      <c r="AF350" s="562"/>
      <c r="AG350" s="562"/>
      <c r="AH350" s="562"/>
      <c r="AI350" s="562"/>
      <c r="AJ350" s="562"/>
      <c r="AK350" s="562"/>
      <c r="AL350" s="190" t="str">
        <f>SUBSTITUTE(SUBSTITUTE(SUBSTITUTE("dpa"&amp;$B350&amp;$C350&amp;$D350&amp;$E350&amp;$F350,".","_"),"(","_"),")","")</f>
        <v>dpa606,1_1</v>
      </c>
      <c r="AM350" s="190">
        <f>M350</f>
        <v>3</v>
      </c>
      <c r="AN350" s="562"/>
      <c r="AO350" s="562"/>
      <c r="AP350" s="562"/>
      <c r="AQ350" s="562"/>
      <c r="AR350" s="562"/>
      <c r="AS350" s="562"/>
      <c r="AT350" s="562"/>
      <c r="AU350" s="562"/>
      <c r="AV350" s="562"/>
      <c r="AW350" s="562"/>
      <c r="AX350" s="562"/>
      <c r="AY350" s="562"/>
    </row>
    <row r="351" spans="1:51" x14ac:dyDescent="0.2">
      <c r="B351" s="48">
        <v>606.1</v>
      </c>
      <c r="C351" s="14"/>
      <c r="D351" s="14"/>
      <c r="E351" s="14" t="s">
        <v>2181</v>
      </c>
      <c r="F351" s="14"/>
      <c r="G351" s="14"/>
      <c r="H351" s="441"/>
      <c r="I351" s="99"/>
      <c r="J351" s="165"/>
      <c r="K351" s="126"/>
      <c r="L351" s="792"/>
      <c r="M351" s="801"/>
      <c r="N351" s="98"/>
      <c r="O351" s="607"/>
      <c r="P351" s="64"/>
      <c r="Q351" s="64"/>
      <c r="R351" s="64"/>
      <c r="S351" s="64"/>
      <c r="T351" s="64"/>
      <c r="U351" s="64"/>
      <c r="V351" s="64"/>
      <c r="W351" s="64"/>
      <c r="X351" s="798"/>
      <c r="Y351" s="562"/>
      <c r="Z351" s="562"/>
      <c r="AA351" s="562"/>
      <c r="AB351" s="562"/>
      <c r="AC351" s="562"/>
      <c r="AD351" s="562"/>
      <c r="AE351" s="562"/>
      <c r="AF351" s="562"/>
      <c r="AG351" s="562"/>
      <c r="AH351" s="562"/>
      <c r="AI351" s="562"/>
      <c r="AJ351" s="562"/>
      <c r="AK351" s="562"/>
      <c r="AL351" s="562"/>
      <c r="AM351" s="562"/>
      <c r="AN351" s="562"/>
      <c r="AO351" s="562"/>
      <c r="AP351" s="562"/>
      <c r="AQ351" s="562"/>
      <c r="AR351" s="562"/>
      <c r="AS351" s="562"/>
      <c r="AT351" s="562"/>
      <c r="AU351" s="562"/>
      <c r="AV351" s="562"/>
      <c r="AW351" s="562"/>
      <c r="AX351" s="562"/>
      <c r="AY351" s="562"/>
    </row>
    <row r="352" spans="1:51" x14ac:dyDescent="0.2">
      <c r="B352" s="48">
        <v>606.1</v>
      </c>
      <c r="C352" s="14"/>
      <c r="D352" s="14"/>
      <c r="E352" s="14" t="s">
        <v>2183</v>
      </c>
      <c r="F352" s="14"/>
      <c r="G352" s="14"/>
      <c r="H352" s="441"/>
      <c r="I352" s="99"/>
      <c r="J352" s="164" t="s">
        <v>2183</v>
      </c>
      <c r="K352" s="147"/>
      <c r="L352" s="831" t="s">
        <v>2675</v>
      </c>
      <c r="M352" s="824">
        <v>6</v>
      </c>
      <c r="N352" s="98"/>
      <c r="O352" s="607"/>
      <c r="P352" s="64"/>
      <c r="Q352" s="64"/>
      <c r="R352" s="150" t="e">
        <f ca="1">COUNTIF(W341:W347,INDEX(INDIRECT(U340),2))+IF(AND(S340,W340=INDEX(INDIRECT(U340),2)),1,0)</f>
        <v>#REF!</v>
      </c>
      <c r="S352" s="64"/>
      <c r="T352" s="64"/>
      <c r="U352" s="64"/>
      <c r="V352" s="64"/>
      <c r="W352" s="64"/>
      <c r="X352" s="798"/>
      <c r="Y352" s="562"/>
      <c r="Z352" s="562"/>
      <c r="AA352" s="562"/>
      <c r="AB352" s="562"/>
      <c r="AC352" s="562"/>
      <c r="AD352" s="562"/>
      <c r="AE352" s="562"/>
      <c r="AF352" s="562"/>
      <c r="AG352" s="562"/>
      <c r="AH352" s="562"/>
      <c r="AI352" s="562"/>
      <c r="AJ352" s="562"/>
      <c r="AK352" s="562"/>
      <c r="AL352" s="190" t="str">
        <f>SUBSTITUTE(SUBSTITUTE(SUBSTITUTE("dpa"&amp;$B352&amp;$C352&amp;$D352&amp;$E352&amp;$F352,".","_"),"(","_"),")","")</f>
        <v>dpa606,1_2</v>
      </c>
      <c r="AM352" s="190">
        <f>M352</f>
        <v>6</v>
      </c>
      <c r="AN352" s="562"/>
      <c r="AO352" s="562"/>
      <c r="AP352" s="562"/>
      <c r="AQ352" s="562"/>
      <c r="AR352" s="562"/>
      <c r="AS352" s="562"/>
      <c r="AT352" s="562"/>
      <c r="AU352" s="562"/>
      <c r="AV352" s="562"/>
      <c r="AW352" s="562"/>
      <c r="AX352" s="562"/>
      <c r="AY352" s="562"/>
    </row>
    <row r="353" spans="1:51" x14ac:dyDescent="0.2">
      <c r="B353" s="48">
        <v>606.1</v>
      </c>
      <c r="C353" s="14"/>
      <c r="D353" s="14"/>
      <c r="E353" s="14" t="s">
        <v>2183</v>
      </c>
      <c r="F353" s="14"/>
      <c r="G353" s="14"/>
      <c r="H353" s="441"/>
      <c r="I353" s="99"/>
      <c r="J353" s="165"/>
      <c r="K353" s="126"/>
      <c r="L353" s="792"/>
      <c r="M353" s="801"/>
      <c r="N353" s="98"/>
      <c r="O353" s="607"/>
      <c r="P353" s="64"/>
      <c r="Q353" s="64"/>
      <c r="R353" s="64"/>
      <c r="S353" s="64"/>
      <c r="T353" s="64"/>
      <c r="U353" s="64"/>
      <c r="V353" s="64"/>
      <c r="W353" s="64"/>
      <c r="X353" s="798"/>
      <c r="Y353" s="562"/>
      <c r="Z353" s="562"/>
      <c r="AA353" s="562"/>
      <c r="AB353" s="562"/>
      <c r="AC353" s="562"/>
      <c r="AD353" s="562"/>
      <c r="AE353" s="562"/>
      <c r="AF353" s="562"/>
      <c r="AG353" s="562"/>
      <c r="AH353" s="562"/>
      <c r="AI353" s="562"/>
      <c r="AJ353" s="562"/>
      <c r="AK353" s="562"/>
      <c r="AL353" s="562"/>
      <c r="AM353" s="562"/>
      <c r="AN353" s="562"/>
      <c r="AO353" s="562"/>
      <c r="AP353" s="562"/>
      <c r="AQ353" s="562"/>
      <c r="AR353" s="562"/>
      <c r="AS353" s="562"/>
      <c r="AT353" s="562"/>
      <c r="AU353" s="562"/>
      <c r="AV353" s="562"/>
      <c r="AW353" s="562"/>
      <c r="AX353" s="562"/>
      <c r="AY353" s="562"/>
    </row>
    <row r="354" spans="1:51" x14ac:dyDescent="0.2">
      <c r="B354" s="48">
        <v>606.1</v>
      </c>
      <c r="C354" s="14"/>
      <c r="D354" s="14"/>
      <c r="E354" s="14" t="s">
        <v>2185</v>
      </c>
      <c r="F354" s="14"/>
      <c r="G354" s="14"/>
      <c r="H354" s="441"/>
      <c r="I354" s="99"/>
      <c r="J354" s="134" t="s">
        <v>2185</v>
      </c>
      <c r="K354" s="65"/>
      <c r="L354" s="791" t="s">
        <v>2676</v>
      </c>
      <c r="M354" s="836" t="s">
        <v>2677</v>
      </c>
      <c r="N354" s="98"/>
      <c r="O354" s="607"/>
      <c r="P354" s="64"/>
      <c r="Q354" s="64"/>
      <c r="R354" s="64"/>
      <c r="S354" s="64"/>
      <c r="T354" s="64"/>
      <c r="U354" s="64"/>
      <c r="V354" s="64"/>
      <c r="W354" s="64"/>
      <c r="X354" s="798"/>
      <c r="Y354" s="562"/>
      <c r="Z354" s="562"/>
      <c r="AA354" s="562"/>
      <c r="AB354" s="562"/>
      <c r="AC354" s="562"/>
      <c r="AD354" s="562"/>
      <c r="AE354" s="562"/>
      <c r="AF354" s="562"/>
      <c r="AG354" s="562"/>
      <c r="AH354" s="562"/>
      <c r="AI354" s="562"/>
      <c r="AJ354" s="562"/>
      <c r="AK354" s="562"/>
      <c r="AL354" s="190" t="str">
        <f>SUBSTITUTE(SUBSTITUTE(SUBSTITUTE("dpa"&amp;$B354&amp;$C354&amp;$D354&amp;$E354&amp;$F354,".","_"),"(","_"),")","")</f>
        <v>dpa606,1_3</v>
      </c>
      <c r="AM354" s="190" t="str">
        <f>M354</f>
        <v>1
2 Max</v>
      </c>
      <c r="AN354" s="562"/>
      <c r="AO354" s="562"/>
      <c r="AP354" s="562"/>
      <c r="AQ354" s="562"/>
      <c r="AR354" s="562"/>
      <c r="AS354" s="562"/>
      <c r="AT354" s="562"/>
      <c r="AU354" s="562"/>
      <c r="AV354" s="562"/>
      <c r="AW354" s="562"/>
      <c r="AX354" s="562"/>
      <c r="AY354" s="562"/>
    </row>
    <row r="355" spans="1:51" ht="16" thickBot="1" x14ac:dyDescent="0.25">
      <c r="B355" s="48">
        <v>606.1</v>
      </c>
      <c r="C355" s="14"/>
      <c r="D355" s="14"/>
      <c r="E355" s="14" t="s">
        <v>2185</v>
      </c>
      <c r="F355" s="14"/>
      <c r="G355" s="14"/>
      <c r="H355" s="441"/>
      <c r="I355" s="99"/>
      <c r="J355" s="98"/>
      <c r="K355" s="65"/>
      <c r="L355" s="791"/>
      <c r="M355" s="836"/>
      <c r="N355" s="98"/>
      <c r="O355" s="607"/>
      <c r="P355" s="64"/>
      <c r="Q355" s="64"/>
      <c r="R355" s="64"/>
      <c r="S355" s="64"/>
      <c r="T355" s="64"/>
      <c r="U355" s="64"/>
      <c r="V355" s="64"/>
      <c r="W355" s="64"/>
      <c r="X355" s="825"/>
      <c r="Y355" s="562"/>
      <c r="Z355" s="562"/>
      <c r="AA355" s="562"/>
      <c r="AB355" s="562"/>
      <c r="AC355" s="562"/>
      <c r="AD355" s="562"/>
      <c r="AE355" s="562"/>
      <c r="AF355" s="562"/>
      <c r="AG355" s="562"/>
      <c r="AH355" s="562"/>
      <c r="AI355" s="562"/>
      <c r="AJ355" s="562"/>
      <c r="AK355" s="562"/>
      <c r="AL355" s="562"/>
      <c r="AM355" s="562"/>
      <c r="AN355" s="562"/>
      <c r="AO355" s="562"/>
      <c r="AP355" s="562"/>
      <c r="AQ355" s="562"/>
      <c r="AR355" s="562"/>
      <c r="AS355" s="562"/>
      <c r="AT355" s="562"/>
      <c r="AU355" s="562"/>
      <c r="AV355" s="562"/>
      <c r="AW355" s="562"/>
      <c r="AX355" s="562"/>
      <c r="AY355" s="562"/>
    </row>
    <row r="356" spans="1:51" ht="16" thickTop="1" x14ac:dyDescent="0.2">
      <c r="B356" s="48">
        <v>606.20000000000005</v>
      </c>
      <c r="C356" s="14"/>
      <c r="D356" s="14"/>
      <c r="E356" s="14"/>
      <c r="F356" s="14"/>
      <c r="G356" s="14"/>
      <c r="H356" s="441"/>
      <c r="I356" s="131" t="s">
        <v>2678</v>
      </c>
      <c r="J356" s="132"/>
      <c r="K356" s="133"/>
      <c r="L356" s="819" t="s">
        <v>2679</v>
      </c>
      <c r="M356" s="625"/>
      <c r="N356" s="132"/>
      <c r="O356" s="623"/>
      <c r="P356" s="74"/>
      <c r="Q356" s="74"/>
      <c r="R356" s="74"/>
      <c r="S356" s="74"/>
      <c r="T356" s="74"/>
      <c r="U356" s="74"/>
      <c r="V356" s="74"/>
      <c r="W356" s="74"/>
      <c r="X356" s="74"/>
      <c r="Y356" s="562"/>
      <c r="Z356" s="562"/>
      <c r="AA356" s="562"/>
      <c r="AB356" s="562"/>
      <c r="AC356" s="562"/>
      <c r="AD356" s="562"/>
      <c r="AE356" s="562"/>
      <c r="AF356" s="562"/>
      <c r="AG356" s="562"/>
      <c r="AH356" s="562"/>
      <c r="AI356" s="562"/>
      <c r="AJ356" s="562"/>
      <c r="AK356" s="562"/>
      <c r="AL356" s="562"/>
      <c r="AM356" s="562"/>
      <c r="AN356" s="562"/>
      <c r="AO356" s="562"/>
      <c r="AP356" s="562"/>
      <c r="AQ356" s="562"/>
      <c r="AR356" s="562"/>
      <c r="AS356" s="562"/>
      <c r="AT356" s="562"/>
      <c r="AU356" s="562"/>
      <c r="AV356" s="562"/>
      <c r="AW356" s="562"/>
      <c r="AX356" s="562"/>
      <c r="AY356" s="562"/>
    </row>
    <row r="357" spans="1:51" x14ac:dyDescent="0.2">
      <c r="B357" s="48">
        <v>606.20000000000005</v>
      </c>
      <c r="C357" s="14"/>
      <c r="D357" s="14"/>
      <c r="E357" s="14"/>
      <c r="F357" s="14"/>
      <c r="G357" s="14"/>
      <c r="H357" s="441"/>
      <c r="I357" s="99"/>
      <c r="J357" s="98"/>
      <c r="K357" s="65"/>
      <c r="L357" s="820"/>
      <c r="M357" s="610"/>
      <c r="N357" s="98"/>
      <c r="O357" s="607"/>
      <c r="P357" s="64"/>
      <c r="Q357" s="64"/>
      <c r="R357" s="64"/>
      <c r="S357" s="64"/>
      <c r="T357" s="64"/>
      <c r="U357" s="64"/>
      <c r="V357" s="64"/>
      <c r="W357" s="64"/>
      <c r="X357" s="64"/>
      <c r="Y357" s="562"/>
      <c r="Z357" s="562"/>
      <c r="AA357" s="562"/>
      <c r="AB357" s="562"/>
      <c r="AC357" s="562"/>
      <c r="AD357" s="562"/>
      <c r="AE357" s="562"/>
      <c r="AF357" s="562"/>
      <c r="AG357" s="562"/>
      <c r="AH357" s="562"/>
      <c r="AI357" s="562"/>
      <c r="AJ357" s="562"/>
      <c r="AK357" s="562"/>
      <c r="AL357" s="562"/>
      <c r="AM357" s="562"/>
      <c r="AN357" s="562"/>
      <c r="AO357" s="562"/>
      <c r="AP357" s="562"/>
      <c r="AQ357" s="562"/>
      <c r="AR357" s="562"/>
      <c r="AS357" s="562"/>
      <c r="AT357" s="562"/>
      <c r="AU357" s="562"/>
      <c r="AV357" s="562"/>
      <c r="AW357" s="562"/>
      <c r="AX357" s="562"/>
      <c r="AY357" s="562"/>
    </row>
    <row r="358" spans="1:51" x14ac:dyDescent="0.2">
      <c r="B358" s="48">
        <v>606.20000000000005</v>
      </c>
      <c r="C358" s="14"/>
      <c r="D358" s="14"/>
      <c r="E358" s="14"/>
      <c r="F358" s="14" t="s">
        <v>2196</v>
      </c>
      <c r="G358" s="14"/>
      <c r="H358" s="441"/>
      <c r="I358" s="40"/>
      <c r="J358" s="3"/>
      <c r="K358" s="57" t="s">
        <v>2196</v>
      </c>
      <c r="L358" s="632" t="s">
        <v>2680</v>
      </c>
      <c r="M358" s="616"/>
      <c r="N358" s="3"/>
      <c r="O358" s="609"/>
      <c r="P358" s="562"/>
      <c r="Q358" s="562"/>
      <c r="R358" s="562"/>
      <c r="S358" s="562"/>
      <c r="T358" s="562"/>
      <c r="U358" s="562"/>
      <c r="V358" s="562"/>
      <c r="W358" s="562"/>
      <c r="X358" s="562"/>
      <c r="Y358" s="562"/>
      <c r="Z358" s="562"/>
      <c r="AA358" s="562"/>
      <c r="AB358" s="562"/>
      <c r="AC358" s="562"/>
      <c r="AD358" s="562"/>
      <c r="AE358" s="562"/>
      <c r="AF358" s="562"/>
      <c r="AG358" s="562"/>
      <c r="AH358" s="562"/>
      <c r="AI358" s="562"/>
      <c r="AJ358" s="562"/>
      <c r="AK358" s="562"/>
      <c r="AL358" s="562"/>
      <c r="AM358" s="562"/>
      <c r="AN358" s="562"/>
      <c r="AO358" s="562"/>
      <c r="AP358" s="562"/>
      <c r="AQ358" s="562"/>
      <c r="AR358" s="562"/>
      <c r="AS358" s="562"/>
      <c r="AT358" s="562"/>
      <c r="AU358" s="562"/>
      <c r="AV358" s="562"/>
      <c r="AW358" s="562"/>
      <c r="AX358" s="562"/>
      <c r="AY358" s="562"/>
    </row>
    <row r="359" spans="1:51" x14ac:dyDescent="0.2">
      <c r="B359" s="48">
        <v>606.20000000000005</v>
      </c>
      <c r="C359" s="14"/>
      <c r="D359" s="14"/>
      <c r="E359" s="14"/>
      <c r="F359" s="14" t="s">
        <v>2198</v>
      </c>
      <c r="G359" s="14"/>
      <c r="H359" s="441"/>
      <c r="I359" s="40"/>
      <c r="J359" s="3"/>
      <c r="K359" s="57" t="s">
        <v>2198</v>
      </c>
      <c r="L359" s="817" t="s">
        <v>2681</v>
      </c>
      <c r="M359" s="616"/>
      <c r="N359" s="3"/>
      <c r="O359" s="609"/>
      <c r="P359" s="562"/>
      <c r="Q359" s="562"/>
      <c r="R359" s="562"/>
      <c r="S359" s="562"/>
      <c r="T359" s="562"/>
      <c r="U359" s="562"/>
      <c r="V359" s="562"/>
      <c r="W359" s="562"/>
      <c r="X359" s="562"/>
      <c r="Y359" s="562"/>
      <c r="Z359" s="562"/>
      <c r="AA359" s="562"/>
      <c r="AB359" s="562"/>
      <c r="AC359" s="562"/>
      <c r="AD359" s="562"/>
      <c r="AE359" s="562"/>
      <c r="AF359" s="562"/>
      <c r="AG359" s="562"/>
      <c r="AH359" s="562"/>
      <c r="AI359" s="562"/>
      <c r="AJ359" s="562"/>
      <c r="AK359" s="562"/>
      <c r="AL359" s="562"/>
      <c r="AM359" s="562"/>
      <c r="AN359" s="562"/>
      <c r="AO359" s="562"/>
      <c r="AP359" s="562"/>
      <c r="AQ359" s="562"/>
      <c r="AR359" s="562"/>
      <c r="AS359" s="562"/>
      <c r="AT359" s="562"/>
      <c r="AU359" s="562"/>
      <c r="AV359" s="562"/>
      <c r="AW359" s="562"/>
      <c r="AX359" s="562"/>
      <c r="AY359" s="562"/>
    </row>
    <row r="360" spans="1:51" x14ac:dyDescent="0.2">
      <c r="B360" s="48">
        <v>606.20000000000005</v>
      </c>
      <c r="C360" s="14"/>
      <c r="D360" s="14"/>
      <c r="E360" s="14"/>
      <c r="F360" s="14" t="s">
        <v>2198</v>
      </c>
      <c r="G360" s="14"/>
      <c r="H360" s="441"/>
      <c r="I360" s="40"/>
      <c r="J360" s="3"/>
      <c r="K360" s="57"/>
      <c r="L360" s="817"/>
      <c r="M360" s="616"/>
      <c r="N360" s="3"/>
      <c r="O360" s="609"/>
      <c r="P360" s="562"/>
      <c r="Q360" s="562"/>
      <c r="R360" s="562"/>
      <c r="S360" s="562"/>
      <c r="T360" s="562"/>
      <c r="U360" s="562"/>
      <c r="V360" s="562"/>
      <c r="W360" s="562"/>
      <c r="X360" s="562"/>
      <c r="Y360" s="562"/>
      <c r="Z360" s="562"/>
      <c r="AA360" s="562"/>
      <c r="AB360" s="562"/>
      <c r="AC360" s="562"/>
      <c r="AD360" s="562"/>
      <c r="AE360" s="562"/>
      <c r="AF360" s="562"/>
      <c r="AG360" s="562"/>
      <c r="AH360" s="562"/>
      <c r="AI360" s="562"/>
      <c r="AJ360" s="562"/>
      <c r="AK360" s="562"/>
      <c r="AL360" s="562"/>
      <c r="AM360" s="562"/>
      <c r="AN360" s="562"/>
      <c r="AO360" s="562"/>
      <c r="AP360" s="562"/>
      <c r="AQ360" s="562"/>
      <c r="AR360" s="562"/>
      <c r="AS360" s="562"/>
      <c r="AT360" s="562"/>
      <c r="AU360" s="562"/>
      <c r="AV360" s="562"/>
      <c r="AW360" s="562"/>
      <c r="AX360" s="562"/>
      <c r="AY360" s="562"/>
    </row>
    <row r="361" spans="1:51" x14ac:dyDescent="0.2">
      <c r="B361" s="48">
        <v>606.20000000000005</v>
      </c>
      <c r="C361" s="14"/>
      <c r="D361" s="14"/>
      <c r="E361" s="14"/>
      <c r="F361" s="14" t="s">
        <v>2200</v>
      </c>
      <c r="G361" s="14"/>
      <c r="H361" s="441"/>
      <c r="I361" s="40"/>
      <c r="J361" s="3"/>
      <c r="K361" s="57" t="s">
        <v>2200</v>
      </c>
      <c r="L361" s="183" t="s">
        <v>2682</v>
      </c>
      <c r="M361" s="616"/>
      <c r="N361" s="3"/>
      <c r="O361" s="609"/>
      <c r="P361" s="562"/>
      <c r="Q361" s="562"/>
      <c r="R361" s="562"/>
      <c r="S361" s="562"/>
      <c r="T361" s="562"/>
      <c r="U361" s="562"/>
      <c r="V361" s="562"/>
      <c r="W361" s="562"/>
      <c r="X361" s="562"/>
      <c r="Y361" s="562"/>
      <c r="Z361" s="562"/>
      <c r="AA361" s="562"/>
      <c r="AB361" s="562"/>
      <c r="AC361" s="562"/>
      <c r="AD361" s="562"/>
      <c r="AE361" s="562"/>
      <c r="AF361" s="562"/>
      <c r="AG361" s="562"/>
      <c r="AH361" s="562"/>
      <c r="AI361" s="562"/>
      <c r="AJ361" s="562"/>
      <c r="AK361" s="562"/>
      <c r="AL361" s="562"/>
      <c r="AM361" s="562"/>
      <c r="AN361" s="562"/>
      <c r="AO361" s="562"/>
      <c r="AP361" s="562"/>
      <c r="AQ361" s="562"/>
      <c r="AR361" s="562"/>
      <c r="AS361" s="562"/>
      <c r="AT361" s="562"/>
      <c r="AU361" s="562"/>
      <c r="AV361" s="562"/>
      <c r="AW361" s="562"/>
      <c r="AX361" s="562"/>
      <c r="AY361" s="562"/>
    </row>
    <row r="362" spans="1:51" x14ac:dyDescent="0.2">
      <c r="B362" s="48">
        <v>606.20000000000005</v>
      </c>
      <c r="C362" s="14"/>
      <c r="D362" s="14"/>
      <c r="E362" s="14"/>
      <c r="F362" s="19" t="s">
        <v>2247</v>
      </c>
      <c r="G362" s="19"/>
      <c r="H362" s="442"/>
      <c r="I362" s="40"/>
      <c r="J362" s="3"/>
      <c r="K362" s="59" t="s">
        <v>2247</v>
      </c>
      <c r="L362" s="183" t="s">
        <v>2683</v>
      </c>
      <c r="M362" s="616"/>
      <c r="N362" s="3"/>
      <c r="O362" s="609"/>
      <c r="P362" s="562"/>
      <c r="Q362" s="562"/>
      <c r="R362" s="562"/>
      <c r="S362" s="562"/>
      <c r="T362" s="562"/>
      <c r="U362" s="562"/>
      <c r="V362" s="562"/>
      <c r="W362" s="562"/>
      <c r="X362" s="562"/>
      <c r="Y362" s="562"/>
      <c r="Z362" s="562"/>
      <c r="AA362" s="562"/>
      <c r="AB362" s="562"/>
      <c r="AC362" s="562"/>
      <c r="AD362" s="562"/>
      <c r="AE362" s="562"/>
      <c r="AF362" s="562"/>
      <c r="AG362" s="562"/>
      <c r="AH362" s="562"/>
      <c r="AI362" s="562"/>
      <c r="AJ362" s="562"/>
      <c r="AK362" s="562"/>
      <c r="AL362" s="562"/>
      <c r="AM362" s="562"/>
      <c r="AN362" s="562"/>
      <c r="AO362" s="562"/>
      <c r="AP362" s="562"/>
      <c r="AQ362" s="562"/>
      <c r="AR362" s="562"/>
      <c r="AS362" s="562"/>
      <c r="AT362" s="562"/>
      <c r="AU362" s="562"/>
      <c r="AV362" s="562"/>
      <c r="AW362" s="562"/>
      <c r="AX362" s="562"/>
      <c r="AY362" s="562"/>
    </row>
    <row r="363" spans="1:51" x14ac:dyDescent="0.2">
      <c r="B363" s="48">
        <v>606.20000000000005</v>
      </c>
      <c r="C363" s="14"/>
      <c r="D363" s="14"/>
      <c r="E363" s="14"/>
      <c r="F363" s="14" t="s">
        <v>2444</v>
      </c>
      <c r="G363" s="14"/>
      <c r="H363" s="441"/>
      <c r="I363" s="40"/>
      <c r="J363" s="3"/>
      <c r="K363" s="55" t="s">
        <v>2444</v>
      </c>
      <c r="L363" s="183" t="s">
        <v>2684</v>
      </c>
      <c r="M363" s="616"/>
      <c r="N363" s="3"/>
      <c r="O363" s="609"/>
      <c r="P363" s="562"/>
      <c r="Q363" s="562"/>
      <c r="R363" s="562"/>
      <c r="S363" s="562"/>
      <c r="T363" s="562"/>
      <c r="U363" s="562"/>
      <c r="V363" s="562"/>
      <c r="W363" s="562"/>
      <c r="X363" s="562"/>
      <c r="Y363" s="562"/>
      <c r="Z363" s="562"/>
      <c r="AA363" s="562"/>
      <c r="AB363" s="562"/>
      <c r="AC363" s="562"/>
      <c r="AD363" s="562"/>
      <c r="AE363" s="562"/>
      <c r="AF363" s="562"/>
      <c r="AG363" s="562"/>
      <c r="AH363" s="562"/>
      <c r="AI363" s="562"/>
      <c r="AJ363" s="562"/>
      <c r="AK363" s="562"/>
      <c r="AL363" s="562"/>
      <c r="AM363" s="562"/>
      <c r="AN363" s="562"/>
      <c r="AO363" s="562"/>
      <c r="AP363" s="562"/>
      <c r="AQ363" s="562"/>
      <c r="AR363" s="562"/>
      <c r="AS363" s="562"/>
      <c r="AT363" s="562"/>
      <c r="AU363" s="562"/>
      <c r="AV363" s="562"/>
      <c r="AW363" s="562"/>
      <c r="AX363" s="562"/>
      <c r="AY363" s="562"/>
    </row>
    <row r="364" spans="1:51" x14ac:dyDescent="0.2">
      <c r="B364" s="48">
        <v>606.20000000000005</v>
      </c>
      <c r="C364" s="14"/>
      <c r="D364" s="14"/>
      <c r="E364" s="14"/>
      <c r="F364" s="14" t="s">
        <v>2540</v>
      </c>
      <c r="G364" s="14"/>
      <c r="H364" s="441"/>
      <c r="I364" s="40"/>
      <c r="J364" s="3"/>
      <c r="K364" s="57" t="s">
        <v>2540</v>
      </c>
      <c r="L364" s="632" t="s">
        <v>2685</v>
      </c>
      <c r="M364" s="616"/>
      <c r="N364" s="3"/>
      <c r="O364" s="609"/>
      <c r="P364" s="562"/>
      <c r="Q364" s="562"/>
      <c r="R364" s="562"/>
      <c r="S364" s="562"/>
      <c r="T364" s="562"/>
      <c r="U364" s="562"/>
      <c r="V364" s="562"/>
      <c r="W364" s="562"/>
      <c r="X364" s="562"/>
      <c r="Y364" s="562"/>
      <c r="Z364" s="562"/>
      <c r="AA364" s="562"/>
      <c r="AB364" s="562"/>
      <c r="AC364" s="562"/>
      <c r="AD364" s="562"/>
      <c r="AE364" s="562"/>
      <c r="AF364" s="562"/>
      <c r="AG364" s="562"/>
      <c r="AH364" s="562"/>
      <c r="AI364" s="562"/>
      <c r="AJ364" s="562"/>
      <c r="AK364" s="562"/>
      <c r="AL364" s="562"/>
      <c r="AM364" s="562"/>
      <c r="AN364" s="562"/>
      <c r="AO364" s="562"/>
      <c r="AP364" s="562"/>
      <c r="AQ364" s="562"/>
      <c r="AR364" s="562"/>
      <c r="AS364" s="562"/>
      <c r="AT364" s="562"/>
      <c r="AU364" s="562"/>
      <c r="AV364" s="562"/>
      <c r="AW364" s="562"/>
      <c r="AX364" s="562"/>
      <c r="AY364" s="562"/>
    </row>
    <row r="365" spans="1:51" x14ac:dyDescent="0.2">
      <c r="B365" s="48">
        <v>606.20000000000005</v>
      </c>
      <c r="C365" s="14"/>
      <c r="D365" s="14"/>
      <c r="E365" s="14"/>
      <c r="F365" s="14" t="s">
        <v>2542</v>
      </c>
      <c r="G365" s="14"/>
      <c r="H365" s="441"/>
      <c r="I365" s="40"/>
      <c r="J365" s="3"/>
      <c r="K365" s="57" t="s">
        <v>2542</v>
      </c>
      <c r="L365" s="632" t="s">
        <v>2686</v>
      </c>
      <c r="M365" s="616"/>
      <c r="N365" s="3"/>
      <c r="O365" s="609"/>
      <c r="P365" s="562"/>
      <c r="Q365" s="562"/>
      <c r="R365" s="562"/>
      <c r="S365" s="562"/>
      <c r="T365" s="562"/>
      <c r="U365" s="562"/>
      <c r="V365" s="562"/>
      <c r="W365" s="562"/>
      <c r="X365" s="562"/>
      <c r="Y365" s="562"/>
      <c r="Z365" s="562"/>
      <c r="AA365" s="562"/>
      <c r="AB365" s="562"/>
      <c r="AC365" s="562"/>
      <c r="AD365" s="562"/>
      <c r="AE365" s="562"/>
      <c r="AF365" s="562"/>
      <c r="AG365" s="562"/>
      <c r="AH365" s="562"/>
      <c r="AI365" s="562"/>
      <c r="AJ365" s="562"/>
      <c r="AK365" s="562"/>
      <c r="AL365" s="562"/>
      <c r="AM365" s="562"/>
      <c r="AN365" s="562"/>
      <c r="AO365" s="562"/>
      <c r="AP365" s="562"/>
      <c r="AQ365" s="562"/>
      <c r="AR365" s="562"/>
      <c r="AS365" s="562"/>
      <c r="AT365" s="562"/>
      <c r="AU365" s="562"/>
      <c r="AV365" s="562"/>
      <c r="AW365" s="562"/>
      <c r="AX365" s="562"/>
      <c r="AY365" s="562"/>
    </row>
    <row r="366" spans="1:51" s="117" customFormat="1" x14ac:dyDescent="0.2">
      <c r="A366" s="13"/>
      <c r="B366" s="48">
        <v>606.20000000000005</v>
      </c>
      <c r="C366" s="14"/>
      <c r="D366" s="14"/>
      <c r="E366" s="14"/>
      <c r="F366" s="14" t="s">
        <v>2544</v>
      </c>
      <c r="G366" s="14"/>
      <c r="H366" s="441"/>
      <c r="I366" s="40"/>
      <c r="J366" s="3"/>
      <c r="K366" s="57"/>
      <c r="L366" s="632"/>
      <c r="M366" s="616"/>
      <c r="N366" s="3"/>
      <c r="O366" s="609"/>
      <c r="P366" s="562"/>
      <c r="Q366" s="562"/>
      <c r="R366" s="562"/>
      <c r="S366" s="562"/>
      <c r="T366" s="562"/>
      <c r="U366" s="562"/>
      <c r="V366" s="562"/>
      <c r="W366" s="562" t="s">
        <v>2687</v>
      </c>
      <c r="X366" s="562"/>
      <c r="Y366" s="562"/>
      <c r="Z366" s="562"/>
      <c r="AA366" s="562"/>
      <c r="AB366" s="562"/>
      <c r="AC366" s="562"/>
      <c r="AD366" s="562"/>
      <c r="AE366" s="562"/>
      <c r="AF366" s="562"/>
      <c r="AG366" s="562"/>
      <c r="AH366" s="562"/>
      <c r="AI366" s="562"/>
      <c r="AJ366" s="562"/>
      <c r="AK366" s="562"/>
      <c r="AL366" s="562"/>
      <c r="AM366" s="562"/>
      <c r="AN366" s="562"/>
      <c r="AO366" s="562"/>
      <c r="AP366" s="562"/>
      <c r="AQ366" s="562"/>
      <c r="AR366" s="562"/>
      <c r="AS366" s="562"/>
      <c r="AT366" s="562"/>
      <c r="AU366" s="562"/>
      <c r="AV366" s="562"/>
      <c r="AW366" s="562"/>
      <c r="AX366" s="562"/>
      <c r="AY366" s="562"/>
    </row>
    <row r="367" spans="1:51" x14ac:dyDescent="0.2">
      <c r="B367" s="48">
        <v>606.20000000000005</v>
      </c>
      <c r="C367" s="14"/>
      <c r="D367" s="14"/>
      <c r="E367" s="14" t="s">
        <v>2181</v>
      </c>
      <c r="F367" s="49" t="s">
        <v>2329</v>
      </c>
      <c r="G367" s="49"/>
      <c r="H367" s="445"/>
      <c r="I367" s="40"/>
      <c r="J367" s="134" t="s">
        <v>2181</v>
      </c>
      <c r="K367" s="65"/>
      <c r="L367" s="791" t="s">
        <v>2688</v>
      </c>
      <c r="M367" s="800">
        <v>3</v>
      </c>
      <c r="N367" s="98"/>
      <c r="O367" s="793">
        <f>IF(AND(S367,NOT(ISBLANK(W367)),NOT(ISBLANK(W368))),M367,0)</f>
        <v>0</v>
      </c>
      <c r="P367" s="562" t="b">
        <v>1</v>
      </c>
      <c r="Q367" s="562" t="b">
        <v>1</v>
      </c>
      <c r="R367" s="562" t="b">
        <v>0</v>
      </c>
      <c r="S367" s="562" t="b">
        <v>1</v>
      </c>
      <c r="T367" s="562" t="b">
        <v>0</v>
      </c>
      <c r="U367" s="64" t="str">
        <f t="shared" ref="U367:U373" si="86">SUBSTITUTE(SUBSTITUTE(SUBSTITUTE("dd"&amp;B367&amp;C367&amp;D367&amp;E367&amp;F367,".","_"),"(","_"),")","")</f>
        <v>dd606,2_1a</v>
      </c>
      <c r="V367" s="562"/>
      <c r="W367" s="6"/>
      <c r="X367" s="563"/>
      <c r="Y367" s="562"/>
      <c r="Z367" s="562"/>
      <c r="AA367" s="562"/>
      <c r="AB367" s="562"/>
      <c r="AC367" s="562" t="b">
        <f>OR(AD367:AE367)</f>
        <v>0</v>
      </c>
      <c r="AD367" s="562" t="b">
        <v>0</v>
      </c>
      <c r="AE367" s="562" t="b">
        <f>AND(NOT(ISBLANK(W367)),LEN(X367)=0)</f>
        <v>0</v>
      </c>
      <c r="AF367" s="562"/>
      <c r="AG367" s="562"/>
      <c r="AH367" s="562"/>
      <c r="AI367" s="562"/>
      <c r="AJ367" s="562"/>
      <c r="AK367" s="562"/>
      <c r="AL367" s="190" t="str">
        <f>SUBSTITUTE(SUBSTITUTE(SUBSTITUTE("dpa"&amp;$B367&amp;$C367&amp;$D367&amp;$E367&amp;$F367,".","_"),"(","_"),")","")</f>
        <v>dpa606,2_1a</v>
      </c>
      <c r="AM367" s="190">
        <f>M367</f>
        <v>3</v>
      </c>
      <c r="AN367" s="190" t="str">
        <f>SUBSTITUTE(SUBSTITUTE(SUBSTITUTE("dpc"&amp;$B367&amp;$C367&amp;$D367&amp;$E367&amp;$F367,".","_"),"(","_"),")","")</f>
        <v>dpc606,2_1a</v>
      </c>
      <c r="AO367" s="190">
        <f>O367</f>
        <v>0</v>
      </c>
      <c r="AP367" s="190" t="str">
        <f t="shared" ref="AP367:AP368" si="87">SUBSTITUTE(SUBSTITUTE(SUBSTITUTE("dch"&amp;$B367&amp;$C367&amp;$D367&amp;$E367&amp;$F367,".","_"),"(","_"),")","")</f>
        <v>dch606,2_1a</v>
      </c>
      <c r="AQ367" s="190">
        <f>W367</f>
        <v>0</v>
      </c>
      <c r="AR367" s="562" t="str">
        <f>SUBSTITUTE(SUBSTITUTE(SUBSTITUTE("dnt"&amp;$B367&amp;$C367&amp;$D367&amp;$E367&amp;$F367,".","_"),"(","_"),")","")</f>
        <v>dnt606,2_1a</v>
      </c>
      <c r="AS367" s="190">
        <f>X367</f>
        <v>0</v>
      </c>
      <c r="AT367" s="562"/>
      <c r="AU367" s="562"/>
      <c r="AV367" s="562"/>
      <c r="AW367" s="562"/>
      <c r="AX367" s="562"/>
      <c r="AY367" s="562"/>
    </row>
    <row r="368" spans="1:51" x14ac:dyDescent="0.2">
      <c r="B368" s="48">
        <v>606.20000000000005</v>
      </c>
      <c r="C368" s="14"/>
      <c r="D368" s="14"/>
      <c r="E368" s="14" t="s">
        <v>2181</v>
      </c>
      <c r="F368" s="49" t="s">
        <v>2331</v>
      </c>
      <c r="G368" s="49"/>
      <c r="H368" s="445"/>
      <c r="I368" s="40"/>
      <c r="J368" s="134"/>
      <c r="K368" s="65"/>
      <c r="L368" s="791"/>
      <c r="M368" s="800"/>
      <c r="N368" s="98"/>
      <c r="O368" s="793"/>
      <c r="P368" s="562" t="b">
        <v>1</v>
      </c>
      <c r="Q368" s="562" t="b">
        <v>1</v>
      </c>
      <c r="R368" s="562" t="b">
        <v>0</v>
      </c>
      <c r="S368" s="562" t="b">
        <v>1</v>
      </c>
      <c r="T368" s="562" t="b">
        <v>0</v>
      </c>
      <c r="U368" s="64" t="str">
        <f t="shared" si="86"/>
        <v>dd606,2_1b</v>
      </c>
      <c r="V368" s="562"/>
      <c r="W368" s="6"/>
      <c r="X368" s="787"/>
      <c r="Y368" s="562"/>
      <c r="Z368" s="562"/>
      <c r="AA368" s="562"/>
      <c r="AB368" s="562"/>
      <c r="AC368" s="562" t="b">
        <f>OR(AD368:AE368)</f>
        <v>0</v>
      </c>
      <c r="AD368" s="562" t="b">
        <v>0</v>
      </c>
      <c r="AE368" s="562" t="b">
        <f>AND(NOT(ISBLANK(W368)),LEN(X368)=0)</f>
        <v>0</v>
      </c>
      <c r="AF368" s="562"/>
      <c r="AG368" s="562"/>
      <c r="AH368" s="562"/>
      <c r="AI368" s="562"/>
      <c r="AJ368" s="562"/>
      <c r="AK368" s="562"/>
      <c r="AL368" s="562"/>
      <c r="AM368" s="562"/>
      <c r="AN368" s="562"/>
      <c r="AO368" s="562"/>
      <c r="AP368" s="190" t="str">
        <f t="shared" si="87"/>
        <v>dch606,2_1b</v>
      </c>
      <c r="AQ368" s="190">
        <f>W368</f>
        <v>0</v>
      </c>
      <c r="AR368" s="562" t="str">
        <f>SUBSTITUTE(SUBSTITUTE(SUBSTITUTE("dnt"&amp;$B368&amp;$C368&amp;$D368&amp;$E368&amp;$F368,".","_"),"(","_"),")","")</f>
        <v>dnt606,2_1b</v>
      </c>
      <c r="AS368" s="190">
        <f>X368</f>
        <v>0</v>
      </c>
      <c r="AT368" s="562"/>
      <c r="AU368" s="562"/>
      <c r="AV368" s="562"/>
      <c r="AW368" s="562"/>
      <c r="AX368" s="562"/>
      <c r="AY368" s="562"/>
    </row>
    <row r="369" spans="1:51" x14ac:dyDescent="0.2">
      <c r="B369" s="48">
        <v>606.20000000000005</v>
      </c>
      <c r="C369" s="14"/>
      <c r="D369" s="14"/>
      <c r="E369" s="14" t="s">
        <v>2181</v>
      </c>
      <c r="F369" s="49"/>
      <c r="G369" s="49"/>
      <c r="H369" s="445"/>
      <c r="I369" s="40"/>
      <c r="J369" s="159"/>
      <c r="K369" s="126"/>
      <c r="L369" s="634" t="s">
        <v>2689</v>
      </c>
      <c r="M369" s="801"/>
      <c r="N369" s="165"/>
      <c r="O369" s="794"/>
      <c r="P369" s="562"/>
      <c r="Q369" s="562"/>
      <c r="R369" s="562"/>
      <c r="S369" s="562"/>
      <c r="T369" s="562"/>
      <c r="U369" s="64"/>
      <c r="V369" s="562"/>
      <c r="W369" s="562"/>
      <c r="X369" s="787"/>
      <c r="Y369" s="562"/>
      <c r="Z369" s="562"/>
      <c r="AA369" s="562"/>
      <c r="AB369" s="562"/>
      <c r="AC369" s="562"/>
      <c r="AD369" s="562"/>
      <c r="AE369" s="562"/>
      <c r="AF369" s="562"/>
      <c r="AG369" s="562"/>
      <c r="AH369" s="562"/>
      <c r="AI369" s="562"/>
      <c r="AJ369" s="562"/>
      <c r="AK369" s="562"/>
      <c r="AL369" s="562"/>
      <c r="AM369" s="562"/>
      <c r="AN369" s="562"/>
      <c r="AO369" s="562"/>
      <c r="AP369" s="562"/>
      <c r="AQ369" s="562"/>
      <c r="AR369" s="562"/>
      <c r="AS369" s="562"/>
      <c r="AT369" s="562"/>
      <c r="AU369" s="562"/>
      <c r="AV369" s="562"/>
      <c r="AW369" s="562"/>
      <c r="AX369" s="562"/>
      <c r="AY369" s="562"/>
    </row>
    <row r="370" spans="1:51" s="117" customFormat="1" x14ac:dyDescent="0.2">
      <c r="A370" s="13"/>
      <c r="B370" s="48">
        <v>606.20000000000005</v>
      </c>
      <c r="C370" s="14"/>
      <c r="D370" s="14"/>
      <c r="E370" s="14" t="s">
        <v>2183</v>
      </c>
      <c r="F370" s="49" t="s">
        <v>2329</v>
      </c>
      <c r="G370" s="49"/>
      <c r="H370" s="445"/>
      <c r="I370" s="40"/>
      <c r="J370" s="20" t="s">
        <v>2183</v>
      </c>
      <c r="K370" s="53"/>
      <c r="L370" s="817" t="s">
        <v>2690</v>
      </c>
      <c r="M370" s="814">
        <v>4</v>
      </c>
      <c r="N370" s="3"/>
      <c r="O370" s="795">
        <f>IF(AND(S370,NOT(ISBLANK(W370)),NOT(ISBLANK(W371))),M370,0)</f>
        <v>0</v>
      </c>
      <c r="P370" s="562" t="b">
        <v>1</v>
      </c>
      <c r="Q370" s="562" t="b">
        <v>1</v>
      </c>
      <c r="R370" s="562" t="b">
        <v>0</v>
      </c>
      <c r="S370" s="562" t="b">
        <v>1</v>
      </c>
      <c r="T370" s="562" t="b">
        <v>0</v>
      </c>
      <c r="U370" s="64" t="str">
        <f t="shared" si="86"/>
        <v>dd606,2_2a</v>
      </c>
      <c r="V370" s="562"/>
      <c r="W370" s="6"/>
      <c r="X370" s="563"/>
      <c r="Y370" s="562"/>
      <c r="Z370" s="562"/>
      <c r="AA370" s="562"/>
      <c r="AB370" s="562"/>
      <c r="AC370" s="562" t="b">
        <f>OR(AD370:AE370)</f>
        <v>0</v>
      </c>
      <c r="AD370" s="562" t="b">
        <v>0</v>
      </c>
      <c r="AE370" s="562" t="b">
        <f>AND(NOT(ISBLANK(W370)),LEN(X370)=0)</f>
        <v>0</v>
      </c>
      <c r="AF370" s="562"/>
      <c r="AG370" s="562"/>
      <c r="AH370" s="562"/>
      <c r="AI370" s="562"/>
      <c r="AJ370" s="562"/>
      <c r="AK370" s="562"/>
      <c r="AL370" s="190" t="str">
        <f>SUBSTITUTE(SUBSTITUTE(SUBSTITUTE("dpa"&amp;$B370&amp;$C370&amp;$D370&amp;$E370&amp;$F370,".","_"),"(","_"),")","")</f>
        <v>dpa606,2_2a</v>
      </c>
      <c r="AM370" s="190">
        <f>M370</f>
        <v>4</v>
      </c>
      <c r="AN370" s="190" t="str">
        <f>SUBSTITUTE(SUBSTITUTE(SUBSTITUTE("dpc"&amp;$B370&amp;$C370&amp;$D370&amp;$E370&amp;$F370,".","_"),"(","_"),")","")</f>
        <v>dpc606,2_2a</v>
      </c>
      <c r="AO370" s="190">
        <f>O370</f>
        <v>0</v>
      </c>
      <c r="AP370" s="190" t="str">
        <f t="shared" ref="AP370:AP371" si="88">SUBSTITUTE(SUBSTITUTE(SUBSTITUTE("dch"&amp;$B370&amp;$C370&amp;$D370&amp;$E370&amp;$F370,".","_"),"(","_"),")","")</f>
        <v>dch606,2_2a</v>
      </c>
      <c r="AQ370" s="190">
        <f>W370</f>
        <v>0</v>
      </c>
      <c r="AR370" s="562" t="str">
        <f>SUBSTITUTE(SUBSTITUTE(SUBSTITUTE("dnt"&amp;$B370&amp;$C370&amp;$D370&amp;$E370&amp;$F370,".","_"),"(","_"),")","")</f>
        <v>dnt606,2_2a</v>
      </c>
      <c r="AS370" s="190">
        <f>X370</f>
        <v>0</v>
      </c>
      <c r="AT370" s="562"/>
      <c r="AU370" s="562"/>
      <c r="AV370" s="562"/>
      <c r="AW370" s="562"/>
      <c r="AX370" s="562"/>
      <c r="AY370" s="562"/>
    </row>
    <row r="371" spans="1:51" x14ac:dyDescent="0.2">
      <c r="B371" s="48">
        <v>606.20000000000005</v>
      </c>
      <c r="C371" s="14"/>
      <c r="D371" s="14"/>
      <c r="E371" s="14" t="s">
        <v>2183</v>
      </c>
      <c r="F371" s="49" t="s">
        <v>2331</v>
      </c>
      <c r="G371" s="49"/>
      <c r="H371" s="445"/>
      <c r="I371" s="40"/>
      <c r="J371" s="3"/>
      <c r="K371" s="53"/>
      <c r="L371" s="817"/>
      <c r="M371" s="814"/>
      <c r="N371" s="3"/>
      <c r="O371" s="795"/>
      <c r="P371" s="562" t="b">
        <v>1</v>
      </c>
      <c r="Q371" s="562" t="b">
        <v>1</v>
      </c>
      <c r="R371" s="562" t="b">
        <v>0</v>
      </c>
      <c r="S371" s="562" t="b">
        <v>1</v>
      </c>
      <c r="T371" s="562" t="b">
        <v>0</v>
      </c>
      <c r="U371" s="64" t="str">
        <f t="shared" si="86"/>
        <v>dd606,2_2b</v>
      </c>
      <c r="V371" s="562"/>
      <c r="W371" s="6"/>
      <c r="X371" s="787"/>
      <c r="Y371" s="562"/>
      <c r="Z371" s="562"/>
      <c r="AA371" s="562"/>
      <c r="AB371" s="562"/>
      <c r="AC371" s="562" t="b">
        <f>OR(AD371:AE371)</f>
        <v>0</v>
      </c>
      <c r="AD371" s="562" t="b">
        <v>0</v>
      </c>
      <c r="AE371" s="562" t="b">
        <f>AND(NOT(ISBLANK(W371)),LEN(X371)=0)</f>
        <v>0</v>
      </c>
      <c r="AF371" s="562"/>
      <c r="AG371" s="562"/>
      <c r="AH371" s="562"/>
      <c r="AI371" s="562"/>
      <c r="AJ371" s="562"/>
      <c r="AK371" s="562"/>
      <c r="AL371" s="562"/>
      <c r="AM371" s="562"/>
      <c r="AN371" s="562"/>
      <c r="AO371" s="562"/>
      <c r="AP371" s="190" t="str">
        <f t="shared" si="88"/>
        <v>dch606,2_2b</v>
      </c>
      <c r="AQ371" s="190">
        <f>W371</f>
        <v>0</v>
      </c>
      <c r="AR371" s="562" t="str">
        <f>SUBSTITUTE(SUBSTITUTE(SUBSTITUTE("dnt"&amp;$B371&amp;$C371&amp;$D371&amp;$E371&amp;$F371,".","_"),"(","_"),")","")</f>
        <v>dnt606,2_2b</v>
      </c>
      <c r="AS371" s="190">
        <f>X371</f>
        <v>0</v>
      </c>
      <c r="AT371" s="562"/>
      <c r="AU371" s="562"/>
      <c r="AV371" s="562"/>
      <c r="AW371" s="562"/>
      <c r="AX371" s="562"/>
      <c r="AY371" s="562"/>
    </row>
    <row r="372" spans="1:51" ht="16" thickBot="1" x14ac:dyDescent="0.25">
      <c r="B372" s="48">
        <v>606.20000000000005</v>
      </c>
      <c r="C372" s="14"/>
      <c r="D372" s="14"/>
      <c r="E372" s="14" t="s">
        <v>2183</v>
      </c>
      <c r="F372" s="49"/>
      <c r="G372" s="49"/>
      <c r="H372" s="445"/>
      <c r="I372" s="40"/>
      <c r="J372" s="3"/>
      <c r="K372" s="53"/>
      <c r="L372" s="629" t="s">
        <v>2689</v>
      </c>
      <c r="M372" s="814"/>
      <c r="N372" s="3"/>
      <c r="O372" s="795"/>
      <c r="P372" s="562"/>
      <c r="Q372" s="562"/>
      <c r="R372" s="562"/>
      <c r="S372" s="562"/>
      <c r="T372" s="562"/>
      <c r="U372" s="64"/>
      <c r="V372" s="562"/>
      <c r="W372" s="562"/>
      <c r="X372" s="825"/>
      <c r="Y372" s="562"/>
      <c r="Z372" s="562"/>
      <c r="AA372" s="562"/>
      <c r="AB372" s="562"/>
      <c r="AC372" s="562"/>
      <c r="AD372" s="562"/>
      <c r="AE372" s="562"/>
      <c r="AF372" s="562"/>
      <c r="AG372" s="562"/>
      <c r="AH372" s="562"/>
      <c r="AI372" s="562"/>
      <c r="AJ372" s="562"/>
      <c r="AK372" s="562"/>
      <c r="AL372" s="562"/>
      <c r="AM372" s="562"/>
      <c r="AN372" s="562"/>
      <c r="AO372" s="562"/>
      <c r="AP372" s="562"/>
      <c r="AQ372" s="562"/>
      <c r="AR372" s="562"/>
      <c r="AS372" s="562"/>
      <c r="AT372" s="562"/>
      <c r="AU372" s="562"/>
      <c r="AV372" s="562"/>
      <c r="AW372" s="562"/>
      <c r="AX372" s="562"/>
      <c r="AY372" s="562"/>
    </row>
    <row r="373" spans="1:51" s="117" customFormat="1" ht="16" thickTop="1" x14ac:dyDescent="0.2">
      <c r="A373" s="13"/>
      <c r="B373" s="48">
        <v>606.29999999999995</v>
      </c>
      <c r="C373" s="14"/>
      <c r="D373" s="14"/>
      <c r="E373" s="14"/>
      <c r="F373" s="14"/>
      <c r="G373" s="14"/>
      <c r="H373" s="441"/>
      <c r="I373" s="131" t="s">
        <v>2691</v>
      </c>
      <c r="J373" s="132"/>
      <c r="K373" s="133"/>
      <c r="L373" s="819" t="s">
        <v>2692</v>
      </c>
      <c r="M373" s="827" t="s">
        <v>2646</v>
      </c>
      <c r="N373" s="132"/>
      <c r="O373" s="823">
        <f ca="1">IFERROR(MATCH(W373,INDIRECT(U373),0),0)*2</f>
        <v>0</v>
      </c>
      <c r="P373" s="74" t="b">
        <v>1</v>
      </c>
      <c r="Q373" s="74" t="b">
        <v>1</v>
      </c>
      <c r="R373" s="74" t="b">
        <v>0</v>
      </c>
      <c r="S373" s="74" t="b">
        <v>1</v>
      </c>
      <c r="T373" s="74" t="b">
        <v>0</v>
      </c>
      <c r="U373" s="74" t="str">
        <f t="shared" si="86"/>
        <v>dd606,3</v>
      </c>
      <c r="V373" s="74"/>
      <c r="W373" s="141"/>
      <c r="X373" s="796"/>
      <c r="Y373" s="562"/>
      <c r="Z373" s="562"/>
      <c r="AA373" s="562"/>
      <c r="AB373" s="562"/>
      <c r="AC373" s="562" t="b">
        <f>OR(AD373:AE373)</f>
        <v>0</v>
      </c>
      <c r="AD373" s="562" t="b">
        <v>0</v>
      </c>
      <c r="AE373" s="562" t="b">
        <f>AND(NOT(ISBLANK(W373)),LEN(X373)=0)</f>
        <v>0</v>
      </c>
      <c r="AF373" s="562"/>
      <c r="AG373" s="562"/>
      <c r="AH373" s="562"/>
      <c r="AI373" s="562"/>
      <c r="AJ373" s="562"/>
      <c r="AK373" s="562"/>
      <c r="AL373" s="190" t="str">
        <f>SUBSTITUTE(SUBSTITUTE(SUBSTITUTE("dpa"&amp;$B373&amp;$C373&amp;$D373&amp;$E373&amp;$F373,".","_"),"(","_"),")","")</f>
        <v>dpa606,3</v>
      </c>
      <c r="AM373" s="190" t="str">
        <f>M373</f>
        <v>6 Max</v>
      </c>
      <c r="AN373" s="190" t="str">
        <f>SUBSTITUTE(SUBSTITUTE(SUBSTITUTE("dpc"&amp;$B373&amp;$C373&amp;$D373&amp;$E373&amp;$F373,".","_"),"(","_"),")","")</f>
        <v>dpc606,3</v>
      </c>
      <c r="AO373" s="190">
        <f ca="1">O373</f>
        <v>0</v>
      </c>
      <c r="AP373" s="190" t="str">
        <f t="shared" ref="AP373" si="89">SUBSTITUTE(SUBSTITUTE(SUBSTITUTE("dch"&amp;$B373&amp;$C373&amp;$D373&amp;$E373&amp;$F373,".","_"),"(","_"),")","")</f>
        <v>dch606,3</v>
      </c>
      <c r="AQ373" s="190">
        <f>W373</f>
        <v>0</v>
      </c>
      <c r="AR373" s="562" t="str">
        <f>SUBSTITUTE(SUBSTITUTE(SUBSTITUTE("dnt"&amp;$B373&amp;$C373&amp;$D373&amp;$E373&amp;$F373,".","_"),"(","_"),")","")</f>
        <v>dnt606,3</v>
      </c>
      <c r="AS373" s="190">
        <f>X373</f>
        <v>0</v>
      </c>
      <c r="AT373" s="562"/>
      <c r="AU373" s="562"/>
      <c r="AV373" s="562"/>
      <c r="AW373" s="562"/>
      <c r="AX373" s="562"/>
      <c r="AY373" s="562"/>
    </row>
    <row r="374" spans="1:51" x14ac:dyDescent="0.2">
      <c r="B374" s="48">
        <v>606.29999999999995</v>
      </c>
      <c r="C374" s="14"/>
      <c r="D374" s="14"/>
      <c r="E374" s="14"/>
      <c r="F374" s="14"/>
      <c r="G374" s="14"/>
      <c r="H374" s="441"/>
      <c r="I374" s="99"/>
      <c r="J374" s="98"/>
      <c r="K374" s="65"/>
      <c r="L374" s="820"/>
      <c r="M374" s="800"/>
      <c r="N374" s="98"/>
      <c r="O374" s="793"/>
      <c r="P374" s="64"/>
      <c r="Q374" s="64"/>
      <c r="R374" s="64"/>
      <c r="S374" s="64"/>
      <c r="T374" s="64"/>
      <c r="U374" s="64"/>
      <c r="V374" s="64"/>
      <c r="W374" s="64"/>
      <c r="X374" s="797"/>
      <c r="Y374" s="562"/>
      <c r="Z374" s="562"/>
      <c r="AA374" s="562"/>
      <c r="AB374" s="562"/>
      <c r="AC374" s="562"/>
      <c r="AD374" s="562"/>
      <c r="AE374" s="562"/>
      <c r="AF374" s="562"/>
      <c r="AG374" s="562"/>
      <c r="AH374" s="562"/>
      <c r="AI374" s="562"/>
      <c r="AJ374" s="562"/>
      <c r="AK374" s="562"/>
      <c r="AL374" s="562"/>
      <c r="AM374" s="562"/>
      <c r="AN374" s="562"/>
      <c r="AO374" s="562"/>
      <c r="AP374" s="562"/>
      <c r="AQ374" s="562"/>
      <c r="AR374" s="562"/>
      <c r="AS374" s="562"/>
      <c r="AT374" s="562"/>
      <c r="AU374" s="562"/>
      <c r="AV374" s="562"/>
      <c r="AW374" s="562"/>
      <c r="AX374" s="562"/>
      <c r="AY374" s="562"/>
    </row>
    <row r="375" spans="1:51" x14ac:dyDescent="0.2">
      <c r="B375" s="48">
        <v>606.29999999999995</v>
      </c>
      <c r="C375" s="14"/>
      <c r="D375" s="14"/>
      <c r="E375" s="14"/>
      <c r="F375" s="14"/>
      <c r="G375" s="14"/>
      <c r="H375" s="441"/>
      <c r="I375" s="99"/>
      <c r="J375" s="98"/>
      <c r="K375" s="65"/>
      <c r="L375" s="820"/>
      <c r="M375" s="800"/>
      <c r="N375" s="98"/>
      <c r="O375" s="793"/>
      <c r="P375" s="64"/>
      <c r="Q375" s="64"/>
      <c r="R375" s="64"/>
      <c r="S375" s="64"/>
      <c r="T375" s="64"/>
      <c r="U375" s="64"/>
      <c r="V375" s="64"/>
      <c r="W375" s="64"/>
      <c r="X375" s="797"/>
      <c r="Y375" s="562"/>
      <c r="Z375" s="562"/>
      <c r="AA375" s="562"/>
      <c r="AB375" s="562"/>
      <c r="AC375" s="562"/>
      <c r="AD375" s="562"/>
      <c r="AE375" s="562"/>
      <c r="AF375" s="562"/>
      <c r="AG375" s="562"/>
      <c r="AH375" s="562"/>
      <c r="AI375" s="562"/>
      <c r="AJ375" s="562"/>
      <c r="AK375" s="562"/>
      <c r="AL375" s="562"/>
      <c r="AM375" s="562"/>
      <c r="AN375" s="562"/>
      <c r="AO375" s="562"/>
      <c r="AP375" s="562"/>
      <c r="AQ375" s="562"/>
      <c r="AR375" s="562"/>
      <c r="AS375" s="562"/>
      <c r="AT375" s="562"/>
      <c r="AU375" s="562"/>
      <c r="AV375" s="562"/>
      <c r="AW375" s="562"/>
      <c r="AX375" s="562"/>
      <c r="AY375" s="562"/>
    </row>
    <row r="376" spans="1:51" x14ac:dyDescent="0.2">
      <c r="B376" s="48">
        <v>606.29999999999995</v>
      </c>
      <c r="C376" s="14"/>
      <c r="D376" s="14"/>
      <c r="E376" s="14"/>
      <c r="F376" s="14"/>
      <c r="G376" s="14"/>
      <c r="H376" s="441"/>
      <c r="I376" s="99"/>
      <c r="J376" s="98"/>
      <c r="K376" s="65"/>
      <c r="L376" s="820"/>
      <c r="M376" s="800"/>
      <c r="N376" s="98"/>
      <c r="O376" s="793"/>
      <c r="P376" s="64"/>
      <c r="Q376" s="64"/>
      <c r="R376" s="64"/>
      <c r="S376" s="64"/>
      <c r="T376" s="64"/>
      <c r="U376" s="64"/>
      <c r="V376" s="64"/>
      <c r="W376" s="64"/>
      <c r="X376" s="797"/>
      <c r="Y376" s="562"/>
      <c r="Z376" s="562"/>
      <c r="AA376" s="562"/>
      <c r="AB376" s="562"/>
      <c r="AC376" s="562"/>
      <c r="AD376" s="562"/>
      <c r="AE376" s="562"/>
      <c r="AF376" s="562"/>
      <c r="AG376" s="562"/>
      <c r="AH376" s="562"/>
      <c r="AI376" s="562"/>
      <c r="AJ376" s="562"/>
      <c r="AK376" s="562"/>
      <c r="AL376" s="562"/>
      <c r="AM376" s="562"/>
      <c r="AN376" s="562"/>
      <c r="AO376" s="562"/>
      <c r="AP376" s="562"/>
      <c r="AQ376" s="562"/>
      <c r="AR376" s="562"/>
      <c r="AS376" s="562"/>
      <c r="AT376" s="562"/>
      <c r="AU376" s="562"/>
      <c r="AV376" s="562"/>
      <c r="AW376" s="562"/>
      <c r="AX376" s="562"/>
      <c r="AY376" s="562"/>
    </row>
    <row r="377" spans="1:51" s="101" customFormat="1" x14ac:dyDescent="0.2">
      <c r="A377" s="13"/>
      <c r="B377" s="48">
        <v>606.29999999999995</v>
      </c>
      <c r="C377" s="14"/>
      <c r="D377" s="14"/>
      <c r="E377" s="14"/>
      <c r="F377" s="14"/>
      <c r="G377" s="14"/>
      <c r="H377" s="441"/>
      <c r="I377" s="99"/>
      <c r="J377" s="98"/>
      <c r="K377" s="65"/>
      <c r="L377" s="631" t="s">
        <v>2693</v>
      </c>
      <c r="M377" s="800"/>
      <c r="N377" s="98"/>
      <c r="O377" s="793"/>
      <c r="P377" s="64"/>
      <c r="Q377" s="64"/>
      <c r="R377" s="64"/>
      <c r="S377" s="64"/>
      <c r="T377" s="64"/>
      <c r="U377" s="64"/>
      <c r="V377" s="64"/>
      <c r="W377" s="64"/>
      <c r="X377" s="797"/>
      <c r="Y377" s="562"/>
      <c r="Z377" s="562"/>
      <c r="AA377" s="562"/>
      <c r="AB377" s="562"/>
      <c r="AC377" s="562"/>
      <c r="AD377" s="562"/>
      <c r="AE377" s="562"/>
      <c r="AF377" s="562"/>
      <c r="AG377" s="562"/>
      <c r="AH377" s="562"/>
      <c r="AI377" s="562"/>
      <c r="AJ377" s="562"/>
      <c r="AK377" s="562"/>
      <c r="AL377" s="562"/>
      <c r="AM377" s="562"/>
      <c r="AN377" s="562"/>
      <c r="AO377" s="562"/>
      <c r="AP377" s="562"/>
      <c r="AQ377" s="562"/>
      <c r="AR377" s="562"/>
      <c r="AS377" s="562"/>
      <c r="AT377" s="562"/>
      <c r="AU377" s="562"/>
      <c r="AV377" s="562"/>
      <c r="AW377" s="562"/>
      <c r="AX377" s="562"/>
      <c r="AY377" s="562"/>
    </row>
    <row r="378" spans="1:51" x14ac:dyDescent="0.2">
      <c r="B378" s="48">
        <v>606.29999999999995</v>
      </c>
      <c r="C378" s="14"/>
      <c r="D378" s="14"/>
      <c r="E378" s="14"/>
      <c r="F378" s="14"/>
      <c r="G378" s="14"/>
      <c r="H378" s="441"/>
      <c r="I378" s="99"/>
      <c r="J378" s="98"/>
      <c r="K378" s="65"/>
      <c r="L378" s="633" t="s">
        <v>2694</v>
      </c>
      <c r="M378" s="800"/>
      <c r="N378" s="98"/>
      <c r="O378" s="793"/>
      <c r="P378" s="64"/>
      <c r="Q378" s="64"/>
      <c r="R378" s="64"/>
      <c r="S378" s="64"/>
      <c r="T378" s="64"/>
      <c r="U378" s="64"/>
      <c r="V378" s="64"/>
      <c r="W378" s="64"/>
      <c r="X378" s="786"/>
      <c r="Y378" s="562"/>
      <c r="Z378" s="562"/>
      <c r="AA378" s="562"/>
      <c r="AB378" s="562"/>
      <c r="AC378" s="562"/>
      <c r="AD378" s="562"/>
      <c r="AE378" s="562"/>
      <c r="AF378" s="562"/>
      <c r="AG378" s="562"/>
      <c r="AH378" s="562"/>
      <c r="AI378" s="562"/>
      <c r="AJ378" s="562"/>
      <c r="AK378" s="562"/>
      <c r="AL378" s="562"/>
      <c r="AM378" s="562"/>
      <c r="AN378" s="562"/>
      <c r="AO378" s="562"/>
      <c r="AP378" s="562"/>
      <c r="AQ378" s="562"/>
      <c r="AR378" s="562"/>
      <c r="AS378" s="562"/>
      <c r="AT378" s="562"/>
      <c r="AU378" s="562"/>
      <c r="AV378" s="562"/>
      <c r="AW378" s="562"/>
      <c r="AX378" s="562"/>
      <c r="AY378" s="562"/>
    </row>
    <row r="379" spans="1:51" s="117" customFormat="1" ht="19" x14ac:dyDescent="0.25">
      <c r="A379" s="13"/>
      <c r="B379" s="48">
        <v>607</v>
      </c>
      <c r="C379" s="14"/>
      <c r="D379" s="14"/>
      <c r="E379" s="14"/>
      <c r="F379" s="14"/>
      <c r="G379" s="14"/>
      <c r="H379" s="441"/>
      <c r="I379" s="8" t="s">
        <v>2695</v>
      </c>
      <c r="J379" s="16"/>
      <c r="K379" s="52"/>
      <c r="L379" s="180"/>
      <c r="M379" s="225"/>
      <c r="N379" s="266"/>
      <c r="O379" s="264"/>
      <c r="P379" s="16"/>
      <c r="Q379" s="16"/>
      <c r="R379" s="16"/>
      <c r="S379" s="16"/>
      <c r="T379" s="16"/>
      <c r="U379" s="16"/>
      <c r="V379" s="16"/>
      <c r="W379" s="16"/>
      <c r="X379" s="16"/>
      <c r="Y379" s="562"/>
      <c r="Z379" s="562"/>
      <c r="AA379" s="562"/>
      <c r="AB379" s="562"/>
      <c r="AC379" s="562"/>
      <c r="AD379" s="562"/>
      <c r="AE379" s="562"/>
      <c r="AF379" s="562"/>
      <c r="AG379" s="562"/>
      <c r="AH379" s="562"/>
      <c r="AI379" s="562"/>
      <c r="AJ379" s="562"/>
      <c r="AK379" s="562"/>
      <c r="AL379" s="562"/>
      <c r="AM379" s="562"/>
      <c r="AN379" s="562"/>
      <c r="AO379" s="562"/>
      <c r="AP379" s="562"/>
      <c r="AQ379" s="562"/>
      <c r="AR379" s="562"/>
      <c r="AS379" s="562"/>
      <c r="AT379" s="562"/>
      <c r="AU379" s="562"/>
      <c r="AV379" s="562"/>
      <c r="AW379" s="562"/>
      <c r="AX379" s="562"/>
      <c r="AY379" s="562"/>
    </row>
    <row r="380" spans="1:51" x14ac:dyDescent="0.2">
      <c r="B380" s="48">
        <v>607.1</v>
      </c>
      <c r="C380" s="14"/>
      <c r="D380" s="14"/>
      <c r="E380" s="14"/>
      <c r="F380" s="14"/>
      <c r="G380" s="14"/>
      <c r="H380" s="441"/>
      <c r="I380" s="40" t="s">
        <v>2696</v>
      </c>
      <c r="J380" s="3"/>
      <c r="K380" s="53"/>
      <c r="L380" s="775" t="s">
        <v>2697</v>
      </c>
      <c r="M380" s="616"/>
      <c r="N380" s="3"/>
      <c r="O380" s="609"/>
      <c r="P380" s="562"/>
      <c r="Q380" s="562"/>
      <c r="R380" s="562"/>
      <c r="S380" s="562"/>
      <c r="T380" s="562"/>
      <c r="U380" s="562"/>
      <c r="V380" s="562"/>
      <c r="W380" s="562"/>
      <c r="X380" s="562"/>
      <c r="Y380" s="562"/>
      <c r="Z380" s="562"/>
      <c r="AA380" s="562"/>
      <c r="AB380" s="562"/>
      <c r="AC380" s="562"/>
      <c r="AD380" s="562"/>
      <c r="AE380" s="562"/>
      <c r="AF380" s="562"/>
      <c r="AG380" s="562"/>
      <c r="AH380" s="562"/>
      <c r="AI380" s="562"/>
      <c r="AJ380" s="562"/>
      <c r="AK380" s="562"/>
      <c r="AL380" s="562"/>
      <c r="AM380" s="562"/>
      <c r="AN380" s="562"/>
      <c r="AO380" s="562"/>
      <c r="AP380" s="562"/>
      <c r="AQ380" s="562"/>
      <c r="AR380" s="562"/>
      <c r="AS380" s="562"/>
      <c r="AT380" s="562"/>
      <c r="AU380" s="562"/>
      <c r="AV380" s="562"/>
      <c r="AW380" s="562"/>
      <c r="AX380" s="562"/>
      <c r="AY380" s="562"/>
    </row>
    <row r="381" spans="1:51" x14ac:dyDescent="0.2">
      <c r="B381" s="48">
        <v>607.1</v>
      </c>
      <c r="C381" s="14"/>
      <c r="D381" s="14"/>
      <c r="E381" s="14"/>
      <c r="F381" s="14"/>
      <c r="G381" s="14"/>
      <c r="H381" s="441"/>
      <c r="I381" s="40"/>
      <c r="J381" s="3"/>
      <c r="K381" s="53"/>
      <c r="L381" s="775"/>
      <c r="M381" s="616"/>
      <c r="N381" s="3"/>
      <c r="O381" s="609"/>
      <c r="P381" s="562"/>
      <c r="Q381" s="562"/>
      <c r="R381" s="562"/>
      <c r="S381" s="562"/>
      <c r="T381" s="562"/>
      <c r="U381" s="562"/>
      <c r="V381" s="562"/>
      <c r="W381" s="562"/>
      <c r="X381" s="562"/>
      <c r="Y381" s="562"/>
      <c r="Z381" s="562"/>
      <c r="AA381" s="562"/>
      <c r="AB381" s="562"/>
      <c r="AC381" s="562"/>
      <c r="AD381" s="562"/>
      <c r="AE381" s="562"/>
      <c r="AF381" s="562"/>
      <c r="AG381" s="562"/>
      <c r="AH381" s="562"/>
      <c r="AI381" s="562"/>
      <c r="AJ381" s="562"/>
      <c r="AK381" s="562"/>
      <c r="AL381" s="562"/>
      <c r="AM381" s="562"/>
      <c r="AN381" s="562"/>
      <c r="AO381" s="562"/>
      <c r="AP381" s="562"/>
      <c r="AQ381" s="562"/>
      <c r="AR381" s="562"/>
      <c r="AS381" s="562"/>
      <c r="AT381" s="562"/>
      <c r="AU381" s="562"/>
      <c r="AV381" s="562"/>
      <c r="AW381" s="562"/>
      <c r="AX381" s="562"/>
      <c r="AY381" s="562"/>
    </row>
    <row r="382" spans="1:51" x14ac:dyDescent="0.2">
      <c r="B382" s="48">
        <v>607.1</v>
      </c>
      <c r="C382" s="14"/>
      <c r="D382" s="14"/>
      <c r="E382" s="14" t="s">
        <v>2181</v>
      </c>
      <c r="F382" s="14"/>
      <c r="G382" s="14"/>
      <c r="H382" s="441"/>
      <c r="I382" s="40"/>
      <c r="J382" s="134" t="s">
        <v>2181</v>
      </c>
      <c r="K382" s="65"/>
      <c r="L382" s="791" t="s">
        <v>2698</v>
      </c>
      <c r="M382" s="800">
        <v>3</v>
      </c>
      <c r="N382" s="98"/>
      <c r="O382" s="793">
        <f>M382*S382*W382</f>
        <v>0</v>
      </c>
      <c r="P382" s="562" t="b">
        <v>0</v>
      </c>
      <c r="Q382" s="562" t="b">
        <v>1</v>
      </c>
      <c r="R382" s="562" t="b">
        <v>0</v>
      </c>
      <c r="S382" s="562" t="b">
        <v>1</v>
      </c>
      <c r="T382" s="562" t="b">
        <v>0</v>
      </c>
      <c r="U382" s="562"/>
      <c r="V382" s="562"/>
      <c r="W382" s="18"/>
      <c r="X382" s="787"/>
      <c r="Y382" s="562"/>
      <c r="Z382" s="562"/>
      <c r="AA382" s="562"/>
      <c r="AB382" s="562"/>
      <c r="AC382" s="562"/>
      <c r="AD382" s="562"/>
      <c r="AE382" s="562"/>
      <c r="AF382" s="562"/>
      <c r="AG382" s="562"/>
      <c r="AH382" s="562"/>
      <c r="AI382" s="562"/>
      <c r="AJ382" s="562"/>
      <c r="AK382" s="562"/>
      <c r="AL382" s="190" t="str">
        <f>SUBSTITUTE(SUBSTITUTE(SUBSTITUTE("dpa"&amp;$B382&amp;$C382&amp;$D382&amp;$E382&amp;$F382,".","_"),"(","_"),")","")</f>
        <v>dpa607,1_1</v>
      </c>
      <c r="AM382" s="190">
        <f>M382</f>
        <v>3</v>
      </c>
      <c r="AN382" s="190" t="str">
        <f>SUBSTITUTE(SUBSTITUTE(SUBSTITUTE("dpc"&amp;$B382&amp;$C382&amp;$D382&amp;$E382&amp;$F382,".","_"),"(","_"),")","")</f>
        <v>dpc607,1_1</v>
      </c>
      <c r="AO382" s="190">
        <f>O382</f>
        <v>0</v>
      </c>
      <c r="AP382" s="190" t="str">
        <f t="shared" ref="AP382" si="90">SUBSTITUTE(SUBSTITUTE(SUBSTITUTE("dch"&amp;$B382&amp;$C382&amp;$D382&amp;$E382&amp;$F382,".","_"),"(","_"),")","")</f>
        <v>dch607,1_1</v>
      </c>
      <c r="AQ382" s="190">
        <f>W382</f>
        <v>0</v>
      </c>
      <c r="AR382" s="562" t="str">
        <f>SUBSTITUTE(SUBSTITUTE(SUBSTITUTE("dnt"&amp;$B382&amp;$C382&amp;$D382&amp;$E382&amp;$F382,".","_"),"(","_"),")","")</f>
        <v>dnt607,1_1</v>
      </c>
      <c r="AS382" s="190">
        <f>X382</f>
        <v>0</v>
      </c>
      <c r="AT382" s="562"/>
      <c r="AU382" s="562"/>
      <c r="AV382" s="562"/>
      <c r="AW382" s="562"/>
      <c r="AX382" s="562"/>
      <c r="AY382" s="562"/>
    </row>
    <row r="383" spans="1:51" x14ac:dyDescent="0.2">
      <c r="B383" s="48">
        <v>607.1</v>
      </c>
      <c r="C383" s="14"/>
      <c r="D383" s="14"/>
      <c r="E383" s="14" t="s">
        <v>2181</v>
      </c>
      <c r="F383" s="14"/>
      <c r="G383" s="14"/>
      <c r="H383" s="441"/>
      <c r="I383" s="40"/>
      <c r="J383" s="159"/>
      <c r="K383" s="126"/>
      <c r="L383" s="792"/>
      <c r="M383" s="801"/>
      <c r="N383" s="165"/>
      <c r="O383" s="794"/>
      <c r="P383" s="562"/>
      <c r="Q383" s="562"/>
      <c r="R383" s="562"/>
      <c r="S383" s="562"/>
      <c r="T383" s="562"/>
      <c r="U383" s="562"/>
      <c r="V383" s="562"/>
      <c r="W383" s="562"/>
      <c r="X383" s="787"/>
      <c r="Y383" s="562"/>
      <c r="Z383" s="562"/>
      <c r="AA383" s="562"/>
      <c r="AB383" s="562"/>
      <c r="AC383" s="562"/>
      <c r="AD383" s="562"/>
      <c r="AE383" s="562"/>
      <c r="AF383" s="562"/>
      <c r="AG383" s="562"/>
      <c r="AH383" s="562"/>
      <c r="AI383" s="562"/>
      <c r="AJ383" s="562"/>
      <c r="AK383" s="562"/>
      <c r="AL383" s="562"/>
      <c r="AM383" s="562"/>
      <c r="AN383" s="562"/>
      <c r="AO383" s="562"/>
      <c r="AP383" s="562"/>
      <c r="AQ383" s="562"/>
      <c r="AR383" s="562"/>
      <c r="AS383" s="562"/>
      <c r="AT383" s="562"/>
      <c r="AU383" s="562"/>
      <c r="AV383" s="562"/>
      <c r="AW383" s="562"/>
      <c r="AX383" s="562"/>
      <c r="AY383" s="562"/>
    </row>
    <row r="384" spans="1:51" ht="16" thickBot="1" x14ac:dyDescent="0.25">
      <c r="B384" s="48">
        <v>607.1</v>
      </c>
      <c r="C384" s="14"/>
      <c r="D384" s="14"/>
      <c r="E384" s="14" t="s">
        <v>2183</v>
      </c>
      <c r="F384" s="14"/>
      <c r="G384" s="14"/>
      <c r="H384" s="441"/>
      <c r="I384" s="40"/>
      <c r="J384" s="20" t="s">
        <v>2183</v>
      </c>
      <c r="K384" s="53"/>
      <c r="L384" s="632" t="s">
        <v>2699</v>
      </c>
      <c r="M384" s="616">
        <v>3</v>
      </c>
      <c r="N384" s="3"/>
      <c r="O384" s="609">
        <f>M384*S384*W384</f>
        <v>0</v>
      </c>
      <c r="P384" s="562" t="b">
        <v>0</v>
      </c>
      <c r="Q384" s="562" t="b">
        <v>1</v>
      </c>
      <c r="R384" s="562" t="b">
        <v>0</v>
      </c>
      <c r="S384" s="562" t="b">
        <v>1</v>
      </c>
      <c r="T384" s="562" t="b">
        <v>0</v>
      </c>
      <c r="U384" s="562"/>
      <c r="V384" s="562"/>
      <c r="W384" s="69"/>
      <c r="X384" s="568"/>
      <c r="Y384" s="562"/>
      <c r="Z384" s="562"/>
      <c r="AA384" s="562"/>
      <c r="AB384" s="562"/>
      <c r="AC384" s="562"/>
      <c r="AD384" s="562"/>
      <c r="AE384" s="562"/>
      <c r="AF384" s="562"/>
      <c r="AG384" s="562"/>
      <c r="AH384" s="562"/>
      <c r="AI384" s="562"/>
      <c r="AJ384" s="562"/>
      <c r="AK384" s="562"/>
      <c r="AL384" s="190" t="str">
        <f t="shared" ref="AL384:AL385" si="91">SUBSTITUTE(SUBSTITUTE(SUBSTITUTE("dpa"&amp;$B384&amp;$C384&amp;$D384&amp;$E384&amp;$F384,".","_"),"(","_"),")","")</f>
        <v>dpa607,1_2</v>
      </c>
      <c r="AM384" s="190">
        <f>M384</f>
        <v>3</v>
      </c>
      <c r="AN384" s="190" t="str">
        <f t="shared" ref="AN384:AN385" si="92">SUBSTITUTE(SUBSTITUTE(SUBSTITUTE("dpc"&amp;$B384&amp;$C384&amp;$D384&amp;$E384&amp;$F384,".","_"),"(","_"),")","")</f>
        <v>dpc607,1_2</v>
      </c>
      <c r="AO384" s="190">
        <f>O384</f>
        <v>0</v>
      </c>
      <c r="AP384" s="190" t="str">
        <f t="shared" ref="AP384:AP385" si="93">SUBSTITUTE(SUBSTITUTE(SUBSTITUTE("dch"&amp;$B384&amp;$C384&amp;$D384&amp;$E384&amp;$F384,".","_"),"(","_"),")","")</f>
        <v>dch607,1_2</v>
      </c>
      <c r="AQ384" s="190">
        <f>W384</f>
        <v>0</v>
      </c>
      <c r="AR384" s="562" t="str">
        <f>SUBSTITUTE(SUBSTITUTE(SUBSTITUTE("dnt"&amp;$B384&amp;$C384&amp;$D384&amp;$E384&amp;$F384,".","_"),"(","_"),")","")</f>
        <v>dnt607,1_2</v>
      </c>
      <c r="AS384" s="190">
        <f>X384</f>
        <v>0</v>
      </c>
      <c r="AT384" s="562"/>
      <c r="AU384" s="562"/>
      <c r="AV384" s="562"/>
      <c r="AW384" s="562"/>
      <c r="AX384" s="562"/>
      <c r="AY384" s="562"/>
    </row>
    <row r="385" spans="1:51" ht="16" thickTop="1" x14ac:dyDescent="0.2">
      <c r="B385" s="48">
        <v>607.20000000000005</v>
      </c>
      <c r="C385" s="14"/>
      <c r="D385" s="14"/>
      <c r="E385" s="14"/>
      <c r="F385" s="14"/>
      <c r="G385" s="14"/>
      <c r="H385" s="441"/>
      <c r="I385" s="131" t="s">
        <v>2700</v>
      </c>
      <c r="J385" s="132"/>
      <c r="K385" s="133"/>
      <c r="L385" s="819" t="s">
        <v>2701</v>
      </c>
      <c r="M385" s="827">
        <v>1</v>
      </c>
      <c r="N385" s="132"/>
      <c r="O385" s="823">
        <f>M385*S385*W385</f>
        <v>0</v>
      </c>
      <c r="P385" s="562" t="b">
        <v>0</v>
      </c>
      <c r="Q385" s="562" t="b">
        <v>1</v>
      </c>
      <c r="R385" s="74" t="b">
        <v>0</v>
      </c>
      <c r="S385" s="74" t="b">
        <v>1</v>
      </c>
      <c r="T385" s="74" t="b">
        <v>0</v>
      </c>
      <c r="U385" s="74"/>
      <c r="V385" s="74"/>
      <c r="W385" s="91"/>
      <c r="X385" s="802"/>
      <c r="Y385" s="562"/>
      <c r="Z385" s="562"/>
      <c r="AA385" s="562"/>
      <c r="AB385" s="562"/>
      <c r="AC385" s="562"/>
      <c r="AD385" s="562"/>
      <c r="AE385" s="562"/>
      <c r="AF385" s="562"/>
      <c r="AG385" s="562"/>
      <c r="AH385" s="562"/>
      <c r="AI385" s="562"/>
      <c r="AJ385" s="562"/>
      <c r="AK385" s="562"/>
      <c r="AL385" s="190" t="str">
        <f t="shared" si="91"/>
        <v>dpa607,2</v>
      </c>
      <c r="AM385" s="190">
        <f>M385</f>
        <v>1</v>
      </c>
      <c r="AN385" s="190" t="str">
        <f t="shared" si="92"/>
        <v>dpc607,2</v>
      </c>
      <c r="AO385" s="190">
        <f>O385</f>
        <v>0</v>
      </c>
      <c r="AP385" s="190" t="str">
        <f t="shared" si="93"/>
        <v>dch607,2</v>
      </c>
      <c r="AQ385" s="190">
        <f>W385</f>
        <v>0</v>
      </c>
      <c r="AR385" s="562" t="str">
        <f>SUBSTITUTE(SUBSTITUTE(SUBSTITUTE("dnt"&amp;$B385&amp;$C385&amp;$D385&amp;$E385&amp;$F385,".","_"),"(","_"),")","")</f>
        <v>dnt607,2</v>
      </c>
      <c r="AS385" s="190">
        <f>X385</f>
        <v>0</v>
      </c>
      <c r="AT385" s="562"/>
      <c r="AU385" s="562"/>
      <c r="AV385" s="562"/>
      <c r="AW385" s="562"/>
      <c r="AX385" s="562"/>
      <c r="AY385" s="562"/>
    </row>
    <row r="386" spans="1:51" x14ac:dyDescent="0.2">
      <c r="B386" s="48">
        <v>607.20000000000005</v>
      </c>
      <c r="C386" s="14"/>
      <c r="D386" s="14"/>
      <c r="E386" s="14"/>
      <c r="F386" s="14"/>
      <c r="G386" s="14"/>
      <c r="H386" s="441"/>
      <c r="I386" s="99"/>
      <c r="J386" s="98"/>
      <c r="K386" s="65"/>
      <c r="L386" s="820"/>
      <c r="M386" s="800"/>
      <c r="N386" s="98"/>
      <c r="O386" s="793"/>
      <c r="P386" s="64"/>
      <c r="Q386" s="64"/>
      <c r="R386" s="64"/>
      <c r="S386" s="64"/>
      <c r="T386" s="64"/>
      <c r="U386" s="64"/>
      <c r="V386" s="64"/>
      <c r="W386" s="64"/>
      <c r="X386" s="798"/>
      <c r="Y386" s="562"/>
      <c r="Z386" s="562"/>
      <c r="AA386" s="562"/>
      <c r="AB386" s="562"/>
      <c r="AC386" s="562"/>
      <c r="AD386" s="562"/>
      <c r="AE386" s="562"/>
      <c r="AF386" s="562"/>
      <c r="AG386" s="562"/>
      <c r="AH386" s="562"/>
      <c r="AI386" s="562"/>
      <c r="AJ386" s="562"/>
      <c r="AK386" s="562"/>
      <c r="AL386" s="562"/>
      <c r="AM386" s="562"/>
      <c r="AN386" s="562"/>
      <c r="AO386" s="562"/>
      <c r="AP386" s="562"/>
      <c r="AQ386" s="562"/>
      <c r="AR386" s="562"/>
      <c r="AS386" s="562"/>
      <c r="AT386" s="562"/>
      <c r="AU386" s="562"/>
      <c r="AV386" s="562"/>
      <c r="AW386" s="562"/>
      <c r="AX386" s="562"/>
      <c r="AY386" s="562"/>
    </row>
    <row r="387" spans="1:51" ht="19" x14ac:dyDescent="0.25">
      <c r="B387" s="48">
        <v>608</v>
      </c>
      <c r="C387" s="14"/>
      <c r="D387" s="14"/>
      <c r="E387" s="14"/>
      <c r="F387" s="14"/>
      <c r="G387" s="14"/>
      <c r="H387" s="441"/>
      <c r="I387" s="8" t="s">
        <v>2702</v>
      </c>
      <c r="J387" s="16"/>
      <c r="K387" s="52"/>
      <c r="L387" s="180"/>
      <c r="M387" s="225"/>
      <c r="N387" s="266"/>
      <c r="O387" s="264"/>
      <c r="P387" s="16"/>
      <c r="Q387" s="16"/>
      <c r="R387" s="16"/>
      <c r="S387" s="16"/>
      <c r="T387" s="16"/>
      <c r="U387" s="16"/>
      <c r="V387" s="16"/>
      <c r="W387" s="16"/>
      <c r="X387" s="16"/>
      <c r="Y387" s="562"/>
      <c r="Z387" s="562"/>
      <c r="AA387" s="562"/>
      <c r="AB387" s="562"/>
      <c r="AC387" s="562"/>
      <c r="AD387" s="562"/>
      <c r="AE387" s="562"/>
      <c r="AF387" s="562"/>
      <c r="AG387" s="562"/>
      <c r="AH387" s="562"/>
      <c r="AI387" s="562"/>
      <c r="AJ387" s="562"/>
      <c r="AK387" s="562"/>
      <c r="AL387" s="562"/>
      <c r="AM387" s="562"/>
      <c r="AN387" s="562"/>
      <c r="AO387" s="562"/>
      <c r="AP387" s="562"/>
      <c r="AQ387" s="562"/>
      <c r="AR387" s="562"/>
      <c r="AS387" s="562"/>
      <c r="AT387" s="562"/>
      <c r="AU387" s="562"/>
      <c r="AV387" s="562"/>
      <c r="AW387" s="562"/>
      <c r="AX387" s="562"/>
      <c r="AY387" s="562"/>
    </row>
    <row r="388" spans="1:51" x14ac:dyDescent="0.2">
      <c r="B388" s="48">
        <v>608.1</v>
      </c>
      <c r="C388" s="14"/>
      <c r="D388" s="14"/>
      <c r="E388" s="14"/>
      <c r="F388" s="14"/>
      <c r="G388" s="14"/>
      <c r="H388" s="441"/>
      <c r="I388" s="40" t="s">
        <v>2703</v>
      </c>
      <c r="J388" s="3"/>
      <c r="K388" s="53"/>
      <c r="L388" s="775" t="s">
        <v>2704</v>
      </c>
      <c r="M388" s="864" t="s">
        <v>2705</v>
      </c>
      <c r="N388" s="3"/>
      <c r="O388" s="795">
        <f ca="1">IFERROR(MATCH(W388,INDIRECT(U388),0),0)*3</f>
        <v>0</v>
      </c>
      <c r="P388" s="562" t="b">
        <v>1</v>
      </c>
      <c r="Q388" s="562" t="b">
        <v>1</v>
      </c>
      <c r="R388" s="562" t="b">
        <v>0</v>
      </c>
      <c r="S388" s="562" t="b">
        <v>1</v>
      </c>
      <c r="T388" s="562" t="b">
        <v>0</v>
      </c>
      <c r="U388" s="64" t="str">
        <f>SUBSTITUTE(SUBSTITUTE(SUBSTITUTE("dd"&amp;B388&amp;C388&amp;D388&amp;E388&amp;F388,".","_"),"(","_"),")","")</f>
        <v>dd608,1</v>
      </c>
      <c r="V388" s="562"/>
      <c r="W388" s="6"/>
      <c r="X388" s="825"/>
      <c r="Y388" s="562"/>
      <c r="Z388" s="562"/>
      <c r="AA388" s="562"/>
      <c r="AB388" s="562"/>
      <c r="AC388" s="562" t="b">
        <f>OR(AD388:AE388)</f>
        <v>0</v>
      </c>
      <c r="AD388" s="562" t="b">
        <v>0</v>
      </c>
      <c r="AE388" s="562" t="b">
        <f>AND(NOT(ISBLANK(W388)),LEN(X388)=0)</f>
        <v>0</v>
      </c>
      <c r="AF388" s="562"/>
      <c r="AG388" s="562"/>
      <c r="AH388" s="562"/>
      <c r="AI388" s="562"/>
      <c r="AJ388" s="562"/>
      <c r="AK388" s="562"/>
      <c r="AL388" s="190" t="str">
        <f>SUBSTITUTE(SUBSTITUTE(SUBSTITUTE("dpa"&amp;$B388&amp;$C388&amp;$D388&amp;$E388&amp;$F388,".","_"),"(","_"),")","")</f>
        <v>dpa608,1</v>
      </c>
      <c r="AM388" s="190" t="str">
        <f>M388</f>
        <v>9 Max
3 per material</v>
      </c>
      <c r="AN388" s="190" t="str">
        <f>SUBSTITUTE(SUBSTITUTE(SUBSTITUTE("dpc"&amp;$B388&amp;$C388&amp;$D388&amp;$E388&amp;$F388,".","_"),"(","_"),")","")</f>
        <v>dpc608,1</v>
      </c>
      <c r="AO388" s="190">
        <f ca="1">O388</f>
        <v>0</v>
      </c>
      <c r="AP388" s="190" t="str">
        <f t="shared" ref="AP388" si="94">SUBSTITUTE(SUBSTITUTE(SUBSTITUTE("dch"&amp;$B388&amp;$C388&amp;$D388&amp;$E388&amp;$F388,".","_"),"(","_"),")","")</f>
        <v>dch608,1</v>
      </c>
      <c r="AQ388" s="190">
        <f>W388</f>
        <v>0</v>
      </c>
      <c r="AR388" s="562" t="str">
        <f>SUBSTITUTE(SUBSTITUTE(SUBSTITUTE("dnt"&amp;$B388&amp;$C388&amp;$D388&amp;$E388&amp;$F388,".","_"),"(","_"),")","")</f>
        <v>dnt608,1</v>
      </c>
      <c r="AS388" s="190">
        <f>X388</f>
        <v>0</v>
      </c>
      <c r="AT388" s="562"/>
      <c r="AU388" s="562"/>
      <c r="AV388" s="562"/>
      <c r="AW388" s="562"/>
      <c r="AX388" s="562"/>
      <c r="AY388" s="562"/>
    </row>
    <row r="389" spans="1:51" x14ac:dyDescent="0.2">
      <c r="B389" s="48">
        <v>608.1</v>
      </c>
      <c r="C389" s="14"/>
      <c r="D389" s="14"/>
      <c r="E389" s="14"/>
      <c r="F389" s="14"/>
      <c r="G389" s="14"/>
      <c r="H389" s="441"/>
      <c r="I389" s="40"/>
      <c r="J389" s="3"/>
      <c r="K389" s="53"/>
      <c r="L389" s="775"/>
      <c r="M389" s="864"/>
      <c r="N389" s="3"/>
      <c r="O389" s="795"/>
      <c r="P389" s="562"/>
      <c r="Q389" s="562"/>
      <c r="R389" s="562"/>
      <c r="S389" s="562"/>
      <c r="T389" s="562"/>
      <c r="U389" s="562"/>
      <c r="V389" s="562"/>
      <c r="W389" s="562"/>
      <c r="X389" s="797"/>
      <c r="Y389" s="562"/>
      <c r="Z389" s="562"/>
      <c r="AA389" s="562"/>
      <c r="AB389" s="562"/>
      <c r="AC389" s="562"/>
      <c r="AD389" s="562"/>
      <c r="AE389" s="562"/>
      <c r="AF389" s="562"/>
      <c r="AG389" s="562"/>
      <c r="AH389" s="562"/>
      <c r="AI389" s="562"/>
      <c r="AJ389" s="562"/>
      <c r="AK389" s="562"/>
      <c r="AL389" s="562"/>
      <c r="AM389" s="562"/>
      <c r="AN389" s="562"/>
      <c r="AO389" s="562"/>
      <c r="AP389" s="562"/>
      <c r="AQ389" s="562"/>
      <c r="AR389" s="562"/>
      <c r="AS389" s="562"/>
      <c r="AT389" s="562"/>
      <c r="AU389" s="562"/>
      <c r="AV389" s="562"/>
      <c r="AW389" s="562"/>
      <c r="AX389" s="562"/>
      <c r="AY389" s="562"/>
    </row>
    <row r="390" spans="1:51" x14ac:dyDescent="0.2">
      <c r="B390" s="48">
        <v>608.1</v>
      </c>
      <c r="C390" s="14"/>
      <c r="D390" s="14"/>
      <c r="E390" s="14"/>
      <c r="F390" s="14"/>
      <c r="G390" s="14"/>
      <c r="H390" s="441"/>
      <c r="I390" s="40"/>
      <c r="J390" s="3"/>
      <c r="K390" s="53"/>
      <c r="L390" s="775"/>
      <c r="M390" s="864"/>
      <c r="N390" s="3"/>
      <c r="O390" s="795"/>
      <c r="P390" s="562"/>
      <c r="Q390" s="562"/>
      <c r="R390" s="562"/>
      <c r="S390" s="562"/>
      <c r="T390" s="562"/>
      <c r="U390" s="562"/>
      <c r="V390" s="562"/>
      <c r="W390" s="562"/>
      <c r="X390" s="797"/>
      <c r="Y390" s="562"/>
      <c r="Z390" s="562"/>
      <c r="AA390" s="562"/>
      <c r="AB390" s="562"/>
      <c r="AC390" s="562"/>
      <c r="AD390" s="562"/>
      <c r="AE390" s="562"/>
      <c r="AF390" s="562"/>
      <c r="AG390" s="562"/>
      <c r="AH390" s="562"/>
      <c r="AI390" s="562"/>
      <c r="AJ390" s="562"/>
      <c r="AK390" s="562"/>
      <c r="AL390" s="562"/>
      <c r="AM390" s="562"/>
      <c r="AN390" s="562"/>
      <c r="AO390" s="562"/>
      <c r="AP390" s="562"/>
      <c r="AQ390" s="562"/>
      <c r="AR390" s="562"/>
      <c r="AS390" s="562"/>
      <c r="AT390" s="562"/>
      <c r="AU390" s="562"/>
      <c r="AV390" s="562"/>
      <c r="AW390" s="562"/>
      <c r="AX390" s="562"/>
      <c r="AY390" s="562"/>
    </row>
    <row r="391" spans="1:51" x14ac:dyDescent="0.2">
      <c r="B391" s="48">
        <v>608.1</v>
      </c>
      <c r="C391" s="14"/>
      <c r="D391" s="14"/>
      <c r="E391" s="14" t="s">
        <v>2181</v>
      </c>
      <c r="F391" s="14"/>
      <c r="G391" s="14"/>
      <c r="H391" s="441"/>
      <c r="I391" s="40"/>
      <c r="J391" s="20" t="s">
        <v>2181</v>
      </c>
      <c r="K391" s="53"/>
      <c r="L391" s="817" t="s">
        <v>2706</v>
      </c>
      <c r="M391" s="864"/>
      <c r="N391" s="3"/>
      <c r="O391" s="795"/>
      <c r="P391" s="562"/>
      <c r="Q391" s="562"/>
      <c r="R391" s="562"/>
      <c r="S391" s="562"/>
      <c r="T391" s="562"/>
      <c r="U391" s="562"/>
      <c r="V391" s="562"/>
      <c r="W391" s="562"/>
      <c r="X391" s="797"/>
      <c r="Y391" s="562"/>
      <c r="Z391" s="562"/>
      <c r="AA391" s="562"/>
      <c r="AB391" s="562"/>
      <c r="AC391" s="562"/>
      <c r="AD391" s="562"/>
      <c r="AE391" s="562"/>
      <c r="AF391" s="562"/>
      <c r="AG391" s="562"/>
      <c r="AH391" s="562"/>
      <c r="AI391" s="562"/>
      <c r="AJ391" s="562"/>
      <c r="AK391" s="562"/>
      <c r="AL391" s="562"/>
      <c r="AM391" s="562"/>
      <c r="AN391" s="562"/>
      <c r="AO391" s="562"/>
      <c r="AP391" s="562"/>
      <c r="AQ391" s="562"/>
      <c r="AR391" s="562"/>
      <c r="AS391" s="562"/>
      <c r="AT391" s="562"/>
      <c r="AU391" s="562"/>
      <c r="AV391" s="562"/>
      <c r="AW391" s="562"/>
      <c r="AX391" s="562"/>
      <c r="AY391" s="562"/>
    </row>
    <row r="392" spans="1:51" x14ac:dyDescent="0.2">
      <c r="B392" s="48">
        <v>608.1</v>
      </c>
      <c r="C392" s="14"/>
      <c r="D392" s="14"/>
      <c r="E392" s="14" t="s">
        <v>2181</v>
      </c>
      <c r="F392" s="14"/>
      <c r="G392" s="14"/>
      <c r="H392" s="441"/>
      <c r="I392" s="40"/>
      <c r="J392" s="20"/>
      <c r="K392" s="53"/>
      <c r="L392" s="817"/>
      <c r="M392" s="864"/>
      <c r="N392" s="3"/>
      <c r="O392" s="795"/>
      <c r="P392" s="562"/>
      <c r="Q392" s="562"/>
      <c r="R392" s="562"/>
      <c r="S392" s="562"/>
      <c r="T392" s="562"/>
      <c r="U392" s="562"/>
      <c r="V392" s="562"/>
      <c r="W392" s="562"/>
      <c r="X392" s="797"/>
      <c r="Y392" s="562"/>
      <c r="Z392" s="562"/>
      <c r="AA392" s="562"/>
      <c r="AB392" s="562"/>
      <c r="AC392" s="562"/>
      <c r="AD392" s="562"/>
      <c r="AE392" s="562"/>
      <c r="AF392" s="562"/>
      <c r="AG392" s="562"/>
      <c r="AH392" s="562"/>
      <c r="AI392" s="562"/>
      <c r="AJ392" s="562"/>
      <c r="AK392" s="562"/>
      <c r="AL392" s="562"/>
      <c r="AM392" s="562"/>
      <c r="AN392" s="562"/>
      <c r="AO392" s="562"/>
      <c r="AP392" s="562"/>
      <c r="AQ392" s="562"/>
      <c r="AR392" s="562"/>
      <c r="AS392" s="562"/>
      <c r="AT392" s="562"/>
      <c r="AU392" s="562"/>
      <c r="AV392" s="562"/>
      <c r="AW392" s="562"/>
      <c r="AX392" s="562"/>
      <c r="AY392" s="562"/>
    </row>
    <row r="393" spans="1:51" x14ac:dyDescent="0.2">
      <c r="B393" s="48">
        <v>608.1</v>
      </c>
      <c r="C393" s="14"/>
      <c r="D393" s="14"/>
      <c r="E393" s="14" t="s">
        <v>2183</v>
      </c>
      <c r="F393" s="14"/>
      <c r="G393" s="14"/>
      <c r="H393" s="441"/>
      <c r="I393" s="40"/>
      <c r="J393" s="20" t="s">
        <v>2183</v>
      </c>
      <c r="K393" s="53"/>
      <c r="L393" s="632" t="s">
        <v>2707</v>
      </c>
      <c r="M393" s="864"/>
      <c r="N393" s="3"/>
      <c r="O393" s="795"/>
      <c r="P393" s="562"/>
      <c r="Q393" s="562"/>
      <c r="R393" s="562"/>
      <c r="S393" s="562"/>
      <c r="T393" s="562"/>
      <c r="U393" s="562"/>
      <c r="V393" s="562"/>
      <c r="W393" s="562"/>
      <c r="X393" s="797"/>
      <c r="Y393" s="562"/>
      <c r="Z393" s="562"/>
      <c r="AA393" s="562"/>
      <c r="AB393" s="562"/>
      <c r="AC393" s="562"/>
      <c r="AD393" s="562"/>
      <c r="AE393" s="562"/>
      <c r="AF393" s="562"/>
      <c r="AG393" s="562"/>
      <c r="AH393" s="562"/>
      <c r="AI393" s="562"/>
      <c r="AJ393" s="562"/>
      <c r="AK393" s="562"/>
      <c r="AL393" s="562"/>
      <c r="AM393" s="562"/>
      <c r="AN393" s="562"/>
      <c r="AO393" s="562"/>
      <c r="AP393" s="562"/>
      <c r="AQ393" s="562"/>
      <c r="AR393" s="562"/>
      <c r="AS393" s="562"/>
      <c r="AT393" s="562"/>
      <c r="AU393" s="562"/>
      <c r="AV393" s="562"/>
      <c r="AW393" s="562"/>
      <c r="AX393" s="562"/>
      <c r="AY393" s="562"/>
    </row>
    <row r="394" spans="1:51" x14ac:dyDescent="0.2">
      <c r="B394" s="48">
        <v>608.1</v>
      </c>
      <c r="C394" s="14"/>
      <c r="D394" s="14"/>
      <c r="E394" s="14" t="s">
        <v>2185</v>
      </c>
      <c r="F394" s="14"/>
      <c r="G394" s="14"/>
      <c r="H394" s="441"/>
      <c r="I394" s="40"/>
      <c r="J394" s="20" t="s">
        <v>2185</v>
      </c>
      <c r="K394" s="53"/>
      <c r="L394" s="632" t="s">
        <v>2708</v>
      </c>
      <c r="M394" s="864"/>
      <c r="N394" s="3"/>
      <c r="O394" s="795"/>
      <c r="P394" s="562"/>
      <c r="Q394" s="562"/>
      <c r="R394" s="562"/>
      <c r="S394" s="562"/>
      <c r="T394" s="562"/>
      <c r="U394" s="562"/>
      <c r="V394" s="562"/>
      <c r="W394" s="562"/>
      <c r="X394" s="797"/>
      <c r="Y394" s="562"/>
      <c r="Z394" s="562"/>
      <c r="AA394" s="562"/>
      <c r="AB394" s="562"/>
      <c r="AC394" s="562"/>
      <c r="AD394" s="562"/>
      <c r="AE394" s="562"/>
      <c r="AF394" s="562"/>
      <c r="AG394" s="562"/>
      <c r="AH394" s="562"/>
      <c r="AI394" s="562"/>
      <c r="AJ394" s="562"/>
      <c r="AK394" s="562"/>
      <c r="AL394" s="562"/>
      <c r="AM394" s="562"/>
      <c r="AN394" s="562"/>
      <c r="AO394" s="562"/>
      <c r="AP394" s="562"/>
      <c r="AQ394" s="562"/>
      <c r="AR394" s="562"/>
      <c r="AS394" s="562"/>
      <c r="AT394" s="562"/>
      <c r="AU394" s="562"/>
      <c r="AV394" s="562"/>
      <c r="AW394" s="562"/>
      <c r="AX394" s="562"/>
      <c r="AY394" s="562"/>
    </row>
    <row r="395" spans="1:51" ht="15" customHeight="1" x14ac:dyDescent="0.2">
      <c r="B395" s="48">
        <v>608.1</v>
      </c>
      <c r="C395" s="14"/>
      <c r="D395" s="14"/>
      <c r="E395" s="14"/>
      <c r="F395" s="14"/>
      <c r="G395" s="14"/>
      <c r="H395" s="441"/>
      <c r="I395" s="40"/>
      <c r="J395" s="20"/>
      <c r="K395" s="53"/>
      <c r="L395" s="618" t="s">
        <v>2709</v>
      </c>
      <c r="M395" s="864"/>
      <c r="N395" s="3"/>
      <c r="O395" s="795"/>
      <c r="P395" s="562"/>
      <c r="Q395" s="562"/>
      <c r="R395" s="562"/>
      <c r="S395" s="562"/>
      <c r="T395" s="562"/>
      <c r="U395" s="562"/>
      <c r="V395" s="562"/>
      <c r="W395" s="562"/>
      <c r="X395" s="786"/>
      <c r="Y395" s="562"/>
      <c r="Z395" s="562"/>
      <c r="AA395" s="562"/>
      <c r="AB395" s="562"/>
      <c r="AC395" s="562"/>
      <c r="AD395" s="562"/>
      <c r="AE395" s="562"/>
      <c r="AF395" s="562"/>
      <c r="AG395" s="562"/>
      <c r="AH395" s="562"/>
      <c r="AI395" s="562"/>
      <c r="AJ395" s="562"/>
      <c r="AK395" s="562"/>
      <c r="AL395" s="562"/>
      <c r="AM395" s="562"/>
      <c r="AN395" s="562"/>
      <c r="AO395" s="562"/>
      <c r="AP395" s="562"/>
      <c r="AQ395" s="562"/>
      <c r="AR395" s="562"/>
      <c r="AS395" s="562"/>
      <c r="AT395" s="562"/>
      <c r="AU395" s="562"/>
      <c r="AV395" s="562"/>
      <c r="AW395" s="562"/>
      <c r="AX395" s="562"/>
      <c r="AY395" s="562"/>
    </row>
    <row r="396" spans="1:51" s="117" customFormat="1" ht="15" customHeight="1" x14ac:dyDescent="0.25">
      <c r="A396" s="13"/>
      <c r="B396" s="48">
        <v>609</v>
      </c>
      <c r="C396" s="14"/>
      <c r="D396" s="14"/>
      <c r="E396" s="14"/>
      <c r="F396" s="14"/>
      <c r="G396" s="14"/>
      <c r="H396" s="441"/>
      <c r="I396" s="8" t="s">
        <v>2710</v>
      </c>
      <c r="J396" s="16"/>
      <c r="K396" s="52"/>
      <c r="L396" s="180"/>
      <c r="M396" s="225"/>
      <c r="N396" s="266"/>
      <c r="O396" s="264"/>
      <c r="P396" s="16"/>
      <c r="Q396" s="16"/>
      <c r="R396" s="16"/>
      <c r="S396" s="16"/>
      <c r="T396" s="16"/>
      <c r="U396" s="16"/>
      <c r="V396" s="16"/>
      <c r="W396" s="16"/>
      <c r="X396" s="16"/>
      <c r="Y396" s="562"/>
      <c r="Z396" s="562"/>
      <c r="AA396" s="562"/>
      <c r="AB396" s="562"/>
      <c r="AC396" s="562"/>
      <c r="AD396" s="562"/>
      <c r="AE396" s="562"/>
      <c r="AF396" s="562"/>
      <c r="AG396" s="562"/>
      <c r="AH396" s="562"/>
      <c r="AI396" s="562"/>
      <c r="AJ396" s="562"/>
      <c r="AK396" s="562"/>
      <c r="AL396" s="562"/>
      <c r="AM396" s="562"/>
      <c r="AN396" s="562"/>
      <c r="AO396" s="562"/>
      <c r="AP396" s="562"/>
      <c r="AQ396" s="562"/>
      <c r="AR396" s="562"/>
      <c r="AS396" s="562"/>
      <c r="AT396" s="562"/>
      <c r="AU396" s="562"/>
      <c r="AV396" s="562"/>
      <c r="AW396" s="562"/>
      <c r="AX396" s="562"/>
      <c r="AY396" s="562"/>
    </row>
    <row r="397" spans="1:51" x14ac:dyDescent="0.2">
      <c r="B397" s="48">
        <v>609.1</v>
      </c>
      <c r="C397" s="14" t="s">
        <v>2329</v>
      </c>
      <c r="D397" s="14"/>
      <c r="E397" s="14"/>
      <c r="F397" s="14"/>
      <c r="G397" s="14"/>
      <c r="H397" s="441"/>
      <c r="I397" s="40" t="s">
        <v>2711</v>
      </c>
      <c r="J397" s="3"/>
      <c r="K397" s="53"/>
      <c r="L397" s="775" t="s">
        <v>2712</v>
      </c>
      <c r="M397" s="864" t="s">
        <v>2713</v>
      </c>
      <c r="N397" s="3"/>
      <c r="O397" s="795">
        <f ca="1">MIN(10,IFERROR(MATCH(W398,INDIRECT(U398),0),0)*2+IFERROR(MATCH(W401,INDIRECT(U401),0),0))</f>
        <v>0</v>
      </c>
      <c r="P397" s="562"/>
      <c r="Q397" s="562"/>
      <c r="R397" s="562"/>
      <c r="S397" s="562"/>
      <c r="T397" s="562"/>
      <c r="U397" s="562"/>
      <c r="V397" s="562"/>
      <c r="W397" s="562" t="s">
        <v>2714</v>
      </c>
      <c r="X397" s="787"/>
      <c r="Y397" s="562"/>
      <c r="Z397" s="562"/>
      <c r="AA397" s="562"/>
      <c r="AB397" s="562"/>
      <c r="AC397" s="562"/>
      <c r="AD397" s="562"/>
      <c r="AE397" s="562"/>
      <c r="AF397" s="562"/>
      <c r="AG397" s="562"/>
      <c r="AH397" s="562"/>
      <c r="AI397" s="562"/>
      <c r="AJ397" s="562"/>
      <c r="AK397" s="562"/>
      <c r="AL397" s="190" t="str">
        <f>SUBSTITUTE(SUBSTITUTE(SUBSTITUTE("dpa"&amp;$B397&amp;$C397&amp;$D397&amp;$E397&amp;$F397,".","_"),"(","_"),")","")</f>
        <v>dpa609,1a</v>
      </c>
      <c r="AM397" s="190" t="str">
        <f>M397</f>
        <v>10 Max
2 per each major comp. 
and 
1 per each minor comp.</v>
      </c>
      <c r="AN397" s="190" t="str">
        <f>SUBSTITUTE(SUBSTITUTE(SUBSTITUTE("dpc"&amp;$B397&amp;$C397&amp;$D397&amp;$E397&amp;$F397,".","_"),"(","_"),")","")</f>
        <v>dpc609,1a</v>
      </c>
      <c r="AO397" s="190">
        <f ca="1">O397</f>
        <v>0</v>
      </c>
      <c r="AP397" s="562"/>
      <c r="AQ397" s="562"/>
      <c r="AR397" s="562" t="str">
        <f>SUBSTITUTE(SUBSTITUTE(SUBSTITUTE("dnt"&amp;$B397&amp;$C397&amp;$D397&amp;$E397&amp;$F397,".","_"),"(","_"),")","")</f>
        <v>dnt609,1a</v>
      </c>
      <c r="AS397" s="190">
        <f>X397</f>
        <v>0</v>
      </c>
      <c r="AT397" s="562"/>
      <c r="AU397" s="562"/>
      <c r="AV397" s="562"/>
      <c r="AW397" s="562"/>
      <c r="AX397" s="562"/>
      <c r="AY397" s="562"/>
    </row>
    <row r="398" spans="1:51" x14ac:dyDescent="0.2">
      <c r="B398" s="48">
        <v>609.1</v>
      </c>
      <c r="C398" s="14" t="s">
        <v>2329</v>
      </c>
      <c r="D398" s="14"/>
      <c r="E398" s="14"/>
      <c r="F398" s="14"/>
      <c r="G398" s="14"/>
      <c r="H398" s="441"/>
      <c r="I398" s="40"/>
      <c r="J398" s="3"/>
      <c r="K398" s="53"/>
      <c r="L398" s="775"/>
      <c r="M398" s="864"/>
      <c r="N398" s="3"/>
      <c r="O398" s="795"/>
      <c r="P398" s="562" t="b">
        <v>1</v>
      </c>
      <c r="Q398" s="562" t="b">
        <v>1</v>
      </c>
      <c r="R398" s="562" t="b">
        <v>0</v>
      </c>
      <c r="S398" s="562" t="b">
        <v>1</v>
      </c>
      <c r="T398" s="562" t="b">
        <v>0</v>
      </c>
      <c r="U398" s="64" t="str">
        <f>SUBSTITUTE(SUBSTITUTE(SUBSTITUTE("dd"&amp;B398&amp;C398&amp;D398&amp;E398&amp;F398,".","_"),"(","_"),")","")</f>
        <v>dd609,1a</v>
      </c>
      <c r="V398" s="562"/>
      <c r="W398" s="6"/>
      <c r="X398" s="787"/>
      <c r="Y398" s="562"/>
      <c r="Z398" s="562"/>
      <c r="AA398" s="562"/>
      <c r="AB398" s="562"/>
      <c r="AC398" s="562" t="b">
        <f>OR(AD398:AE398)</f>
        <v>0</v>
      </c>
      <c r="AD398" s="562" t="b">
        <v>0</v>
      </c>
      <c r="AE398" s="562" t="b">
        <f>AND(NOT(ISBLANK(W398)),LEN(X397)=0)</f>
        <v>0</v>
      </c>
      <c r="AF398" s="562"/>
      <c r="AG398" s="562"/>
      <c r="AH398" s="562"/>
      <c r="AI398" s="562"/>
      <c r="AJ398" s="562"/>
      <c r="AK398" s="562"/>
      <c r="AL398" s="562"/>
      <c r="AM398" s="562"/>
      <c r="AN398" s="562"/>
      <c r="AO398" s="562"/>
      <c r="AP398" s="190" t="str">
        <f t="shared" ref="AP398" si="95">SUBSTITUTE(SUBSTITUTE(SUBSTITUTE("dch"&amp;$B398&amp;$C398&amp;$D398&amp;$E398&amp;$F398,".","_"),"(","_"),")","")</f>
        <v>dch609,1a</v>
      </c>
      <c r="AQ398" s="190">
        <f>W398</f>
        <v>0</v>
      </c>
      <c r="AR398" s="562"/>
      <c r="AS398" s="562"/>
      <c r="AT398" s="562"/>
      <c r="AU398" s="562"/>
      <c r="AV398" s="562"/>
      <c r="AW398" s="562"/>
      <c r="AX398" s="562"/>
      <c r="AY398" s="562"/>
    </row>
    <row r="399" spans="1:51" x14ac:dyDescent="0.2">
      <c r="B399" s="48">
        <v>609.1</v>
      </c>
      <c r="C399" s="14"/>
      <c r="D399" s="14"/>
      <c r="E399" s="14"/>
      <c r="F399" s="14"/>
      <c r="G399" s="14"/>
      <c r="H399" s="441"/>
      <c r="I399" s="40"/>
      <c r="J399" s="3"/>
      <c r="K399" s="53"/>
      <c r="L399" s="851" t="s">
        <v>2715</v>
      </c>
      <c r="M399" s="864"/>
      <c r="N399" s="3"/>
      <c r="O399" s="795"/>
      <c r="P399" s="562"/>
      <c r="Q399" s="562"/>
      <c r="R399" s="562"/>
      <c r="S399" s="562"/>
      <c r="T399" s="562"/>
      <c r="U399" s="562"/>
      <c r="V399" s="562"/>
      <c r="W399" s="562"/>
      <c r="X399" s="787"/>
      <c r="Y399" s="562"/>
      <c r="Z399" s="562"/>
      <c r="AA399" s="562"/>
      <c r="AB399" s="562"/>
      <c r="AC399" s="562"/>
      <c r="AD399" s="562"/>
      <c r="AE399" s="562"/>
      <c r="AF399" s="562"/>
      <c r="AG399" s="562"/>
      <c r="AH399" s="562"/>
      <c r="AI399" s="562"/>
      <c r="AJ399" s="562"/>
      <c r="AK399" s="562"/>
      <c r="AL399" s="562"/>
      <c r="AM399" s="562"/>
      <c r="AN399" s="562"/>
      <c r="AO399" s="562"/>
      <c r="AP399" s="562"/>
      <c r="AQ399" s="562"/>
      <c r="AR399" s="562"/>
      <c r="AS399" s="562"/>
      <c r="AT399" s="562"/>
      <c r="AU399" s="562"/>
      <c r="AV399" s="562"/>
      <c r="AW399" s="562"/>
      <c r="AX399" s="562"/>
      <c r="AY399" s="562"/>
    </row>
    <row r="400" spans="1:51" ht="15" customHeight="1" x14ac:dyDescent="0.2">
      <c r="B400" s="48">
        <v>609.1</v>
      </c>
      <c r="C400" s="14" t="s">
        <v>2331</v>
      </c>
      <c r="D400" s="14"/>
      <c r="E400" s="14"/>
      <c r="F400" s="14"/>
      <c r="G400" s="14"/>
      <c r="H400" s="441"/>
      <c r="I400" s="40"/>
      <c r="J400" s="3"/>
      <c r="K400" s="53"/>
      <c r="L400" s="851"/>
      <c r="M400" s="864"/>
      <c r="N400" s="3"/>
      <c r="O400" s="795"/>
      <c r="P400" s="562"/>
      <c r="Q400" s="562"/>
      <c r="R400" s="562"/>
      <c r="S400" s="562"/>
      <c r="T400" s="562"/>
      <c r="U400" s="562"/>
      <c r="V400" s="562"/>
      <c r="W400" s="562" t="s">
        <v>2716</v>
      </c>
      <c r="X400" s="825"/>
      <c r="Y400" s="562"/>
      <c r="Z400" s="562"/>
      <c r="AA400" s="562"/>
      <c r="AB400" s="562"/>
      <c r="AC400" s="562"/>
      <c r="AD400" s="562"/>
      <c r="AE400" s="562"/>
      <c r="AF400" s="562"/>
      <c r="AG400" s="562"/>
      <c r="AH400" s="562"/>
      <c r="AI400" s="562"/>
      <c r="AJ400" s="562"/>
      <c r="AK400" s="562"/>
      <c r="AL400" s="562"/>
      <c r="AM400" s="562"/>
      <c r="AN400" s="562"/>
      <c r="AO400" s="562"/>
      <c r="AP400" s="562"/>
      <c r="AQ400" s="562"/>
      <c r="AR400" s="562" t="str">
        <f>SUBSTITUTE(SUBSTITUTE(SUBSTITUTE("dnt"&amp;$B400&amp;$C400&amp;$D400&amp;$E400&amp;$F400,".","_"),"(","_"),")","")</f>
        <v>dnt609,1b</v>
      </c>
      <c r="AS400" s="190">
        <f>X400</f>
        <v>0</v>
      </c>
      <c r="AT400" s="562"/>
      <c r="AU400" s="562"/>
      <c r="AV400" s="562"/>
      <c r="AW400" s="562"/>
      <c r="AX400" s="562"/>
      <c r="AY400" s="562"/>
    </row>
    <row r="401" spans="1:51" x14ac:dyDescent="0.2">
      <c r="B401" s="48">
        <v>609.1</v>
      </c>
      <c r="C401" s="14" t="s">
        <v>2331</v>
      </c>
      <c r="D401" s="14"/>
      <c r="E401" s="14"/>
      <c r="F401" s="14"/>
      <c r="G401" s="14"/>
      <c r="H401" s="441"/>
      <c r="I401" s="40"/>
      <c r="J401" s="3"/>
      <c r="K401" s="53"/>
      <c r="L401" s="851"/>
      <c r="M401" s="864"/>
      <c r="N401" s="3"/>
      <c r="O401" s="795"/>
      <c r="P401" s="562" t="b">
        <v>1</v>
      </c>
      <c r="Q401" s="562" t="b">
        <v>1</v>
      </c>
      <c r="R401" s="562" t="b">
        <v>0</v>
      </c>
      <c r="S401" s="562" t="b">
        <v>1</v>
      </c>
      <c r="T401" s="562" t="b">
        <v>0</v>
      </c>
      <c r="U401" s="64" t="str">
        <f>SUBSTITUTE(SUBSTITUTE(SUBSTITUTE("dd"&amp;B401&amp;C401&amp;D401&amp;E401&amp;F401,".","_"),"(","_"),")","")</f>
        <v>dd609,1b</v>
      </c>
      <c r="V401" s="562"/>
      <c r="W401" s="6"/>
      <c r="X401" s="797"/>
      <c r="Y401" s="562"/>
      <c r="Z401" s="562"/>
      <c r="AA401" s="562"/>
      <c r="AB401" s="562"/>
      <c r="AC401" s="562" t="b">
        <f>OR(AD401:AE401)</f>
        <v>0</v>
      </c>
      <c r="AD401" s="562" t="b">
        <v>0</v>
      </c>
      <c r="AE401" s="562" t="b">
        <f>AND(NOT(ISBLANK(W401)),LEN(X400)=0)</f>
        <v>0</v>
      </c>
      <c r="AF401" s="562"/>
      <c r="AG401" s="562"/>
      <c r="AH401" s="562"/>
      <c r="AI401" s="562"/>
      <c r="AJ401" s="562"/>
      <c r="AK401" s="562"/>
      <c r="AL401" s="562"/>
      <c r="AM401" s="562"/>
      <c r="AN401" s="562"/>
      <c r="AO401" s="562"/>
      <c r="AP401" s="190" t="str">
        <f t="shared" ref="AP401" si="96">SUBSTITUTE(SUBSTITUTE(SUBSTITUTE("dch"&amp;$B401&amp;$C401&amp;$D401&amp;$E401&amp;$F401,".","_"),"(","_"),")","")</f>
        <v>dch609,1b</v>
      </c>
      <c r="AQ401" s="190">
        <f>W401</f>
        <v>0</v>
      </c>
      <c r="AR401" s="562"/>
      <c r="AS401" s="562"/>
      <c r="AT401" s="562"/>
      <c r="AU401" s="562"/>
      <c r="AV401" s="562"/>
      <c r="AW401" s="562"/>
      <c r="AX401" s="562"/>
      <c r="AY401" s="562"/>
    </row>
    <row r="402" spans="1:51" s="117" customFormat="1" x14ac:dyDescent="0.2">
      <c r="A402" s="13"/>
      <c r="B402" s="48">
        <v>609.1</v>
      </c>
      <c r="C402" s="14"/>
      <c r="D402" s="14"/>
      <c r="E402" s="14"/>
      <c r="F402" s="14"/>
      <c r="G402" s="14"/>
      <c r="H402" s="441"/>
      <c r="I402" s="40"/>
      <c r="J402" s="3"/>
      <c r="K402" s="53"/>
      <c r="L402" s="833" t="s">
        <v>2717</v>
      </c>
      <c r="M402" s="864"/>
      <c r="N402" s="3"/>
      <c r="O402" s="795"/>
      <c r="P402" s="562"/>
      <c r="Q402" s="562"/>
      <c r="R402" s="562"/>
      <c r="S402" s="562"/>
      <c r="T402" s="562"/>
      <c r="U402" s="562"/>
      <c r="V402" s="562"/>
      <c r="W402" s="562"/>
      <c r="X402" s="797"/>
      <c r="Y402" s="562"/>
      <c r="Z402" s="562"/>
      <c r="AA402" s="562"/>
      <c r="AB402" s="562"/>
      <c r="AC402" s="562"/>
      <c r="AD402" s="562"/>
      <c r="AE402" s="562"/>
      <c r="AF402" s="562"/>
      <c r="AG402" s="562"/>
      <c r="AH402" s="562"/>
      <c r="AI402" s="562"/>
      <c r="AJ402" s="562"/>
      <c r="AK402" s="562"/>
      <c r="AL402" s="562"/>
      <c r="AM402" s="562"/>
      <c r="AN402" s="562"/>
      <c r="AO402" s="562"/>
      <c r="AP402" s="562"/>
      <c r="AQ402" s="562"/>
      <c r="AR402" s="562"/>
      <c r="AS402" s="562"/>
      <c r="AT402" s="562"/>
      <c r="AU402" s="562"/>
      <c r="AV402" s="562"/>
      <c r="AW402" s="562"/>
      <c r="AX402" s="562"/>
      <c r="AY402" s="562"/>
    </row>
    <row r="403" spans="1:51" ht="15" customHeight="1" x14ac:dyDescent="0.2">
      <c r="B403" s="48">
        <v>609.1</v>
      </c>
      <c r="C403" s="14"/>
      <c r="D403" s="14"/>
      <c r="E403" s="14"/>
      <c r="F403" s="14"/>
      <c r="G403" s="14"/>
      <c r="H403" s="441"/>
      <c r="I403" s="40"/>
      <c r="J403" s="3"/>
      <c r="K403" s="53"/>
      <c r="L403" s="845"/>
      <c r="M403" s="864"/>
      <c r="N403" s="3"/>
      <c r="O403" s="795"/>
      <c r="P403" s="562"/>
      <c r="Q403" s="562"/>
      <c r="R403" s="562"/>
      <c r="S403" s="562"/>
      <c r="T403" s="562"/>
      <c r="U403" s="562"/>
      <c r="V403" s="562"/>
      <c r="W403" s="562"/>
      <c r="X403" s="786"/>
      <c r="Y403" s="562"/>
      <c r="Z403" s="562"/>
      <c r="AA403" s="562"/>
      <c r="AB403" s="562"/>
      <c r="AC403" s="562"/>
      <c r="AD403" s="562"/>
      <c r="AE403" s="562"/>
      <c r="AF403" s="562"/>
      <c r="AG403" s="562"/>
      <c r="AH403" s="562"/>
      <c r="AI403" s="562"/>
      <c r="AJ403" s="562"/>
      <c r="AK403" s="562"/>
      <c r="AL403" s="562"/>
      <c r="AM403" s="562"/>
      <c r="AN403" s="562"/>
      <c r="AO403" s="562"/>
      <c r="AP403" s="562"/>
      <c r="AQ403" s="562"/>
      <c r="AR403" s="562"/>
      <c r="AS403" s="562"/>
      <c r="AT403" s="562"/>
      <c r="AU403" s="562"/>
      <c r="AV403" s="562"/>
      <c r="AW403" s="562"/>
      <c r="AX403" s="562"/>
      <c r="AY403" s="562"/>
    </row>
    <row r="404" spans="1:51" s="117" customFormat="1" ht="15" customHeight="1" x14ac:dyDescent="0.25">
      <c r="A404" s="13"/>
      <c r="B404" s="48">
        <v>610</v>
      </c>
      <c r="C404" s="14"/>
      <c r="D404" s="14"/>
      <c r="E404" s="14"/>
      <c r="F404" s="14"/>
      <c r="G404" s="14"/>
      <c r="H404" s="441"/>
      <c r="I404" s="8" t="s">
        <v>2718</v>
      </c>
      <c r="J404" s="16"/>
      <c r="K404" s="52"/>
      <c r="L404" s="180"/>
      <c r="M404" s="225"/>
      <c r="N404" s="266"/>
      <c r="O404" s="264"/>
      <c r="P404" s="16"/>
      <c r="Q404" s="16"/>
      <c r="R404" s="16"/>
      <c r="S404" s="16"/>
      <c r="T404" s="16"/>
      <c r="U404" s="16"/>
      <c r="V404" s="16"/>
      <c r="W404" s="16"/>
      <c r="X404" s="16"/>
      <c r="Y404" s="562"/>
      <c r="Z404" s="562"/>
      <c r="AA404" s="562"/>
      <c r="AB404" s="562"/>
      <c r="AC404" s="562"/>
      <c r="AD404" s="562"/>
      <c r="AE404" s="562"/>
      <c r="AF404" s="562"/>
      <c r="AG404" s="562"/>
      <c r="AH404" s="562"/>
      <c r="AI404" s="562"/>
      <c r="AJ404" s="562"/>
      <c r="AK404" s="562"/>
      <c r="AL404" s="562"/>
      <c r="AM404" s="562"/>
      <c r="AN404" s="562"/>
      <c r="AO404" s="562"/>
      <c r="AP404" s="562"/>
      <c r="AQ404" s="562"/>
      <c r="AR404" s="562"/>
      <c r="AS404" s="562"/>
      <c r="AT404" s="562"/>
      <c r="AU404" s="562"/>
      <c r="AV404" s="562"/>
      <c r="AW404" s="562"/>
      <c r="AX404" s="562"/>
      <c r="AY404" s="562"/>
    </row>
    <row r="405" spans="1:51" x14ac:dyDescent="0.2">
      <c r="B405" s="48">
        <v>610.1</v>
      </c>
      <c r="C405" s="14"/>
      <c r="D405" s="14"/>
      <c r="E405" s="14"/>
      <c r="F405" s="14"/>
      <c r="G405" s="14"/>
      <c r="H405" s="441"/>
      <c r="I405" s="40" t="s">
        <v>2719</v>
      </c>
      <c r="J405" s="3"/>
      <c r="K405" s="53"/>
      <c r="L405" s="775" t="s">
        <v>2720</v>
      </c>
      <c r="M405" s="41"/>
      <c r="N405" s="3"/>
      <c r="O405" s="609"/>
      <c r="P405" s="562"/>
      <c r="Q405" s="562"/>
      <c r="R405" s="562"/>
      <c r="S405" s="562"/>
      <c r="T405" s="562"/>
      <c r="U405" s="562"/>
      <c r="V405" s="562"/>
      <c r="W405" s="562"/>
      <c r="X405" s="562"/>
      <c r="Y405" s="562"/>
      <c r="Z405" s="562"/>
      <c r="AA405" s="562"/>
      <c r="AB405" s="562"/>
      <c r="AC405" s="562"/>
      <c r="AD405" s="562"/>
      <c r="AE405" s="562"/>
      <c r="AF405" s="562"/>
      <c r="AG405" s="562"/>
      <c r="AH405" s="562"/>
      <c r="AI405" s="562"/>
      <c r="AJ405" s="562"/>
      <c r="AK405" s="562"/>
      <c r="AL405" s="562"/>
      <c r="AM405" s="562"/>
      <c r="AN405" s="562"/>
      <c r="AO405" s="562"/>
      <c r="AP405" s="562"/>
      <c r="AQ405" s="562"/>
      <c r="AR405" s="562"/>
      <c r="AS405" s="562"/>
      <c r="AT405" s="562"/>
      <c r="AU405" s="562"/>
      <c r="AV405" s="562"/>
      <c r="AW405" s="562"/>
      <c r="AX405" s="562"/>
      <c r="AY405" s="562"/>
    </row>
    <row r="406" spans="1:51" ht="15" customHeight="1" x14ac:dyDescent="0.2">
      <c r="B406" s="48">
        <v>610.1</v>
      </c>
      <c r="C406" s="14"/>
      <c r="D406" s="14"/>
      <c r="E406" s="14"/>
      <c r="F406" s="14"/>
      <c r="G406" s="14"/>
      <c r="H406" s="441"/>
      <c r="I406" s="40"/>
      <c r="J406" s="3"/>
      <c r="K406" s="53"/>
      <c r="L406" s="775"/>
      <c r="M406" s="41"/>
      <c r="N406" s="3"/>
      <c r="O406" s="609"/>
      <c r="P406" s="562"/>
      <c r="Q406" s="562"/>
      <c r="R406" s="562"/>
      <c r="S406" s="562"/>
      <c r="T406" s="562"/>
      <c r="U406" s="562"/>
      <c r="V406" s="562"/>
      <c r="W406" s="562"/>
      <c r="X406" s="562"/>
      <c r="Y406" s="562"/>
      <c r="Z406" s="562"/>
      <c r="AA406" s="562"/>
      <c r="AB406" s="562"/>
      <c r="AC406" s="562"/>
      <c r="AD406" s="562"/>
      <c r="AE406" s="562"/>
      <c r="AF406" s="562"/>
      <c r="AG406" s="562"/>
      <c r="AH406" s="562"/>
      <c r="AI406" s="562"/>
      <c r="AJ406" s="562"/>
      <c r="AK406" s="562"/>
      <c r="AL406" s="562"/>
      <c r="AM406" s="562"/>
      <c r="AN406" s="562"/>
      <c r="AO406" s="562"/>
      <c r="AP406" s="562"/>
      <c r="AQ406" s="562"/>
      <c r="AR406" s="562"/>
      <c r="AS406" s="562"/>
      <c r="AT406" s="562"/>
      <c r="AU406" s="562"/>
      <c r="AV406" s="562"/>
      <c r="AW406" s="562"/>
      <c r="AX406" s="562"/>
      <c r="AY406" s="562"/>
    </row>
    <row r="407" spans="1:51" x14ac:dyDescent="0.2">
      <c r="B407" s="48">
        <v>610.1</v>
      </c>
      <c r="C407" s="14"/>
      <c r="D407" s="14"/>
      <c r="E407" s="14"/>
      <c r="F407" s="14"/>
      <c r="G407" s="14"/>
      <c r="H407" s="441"/>
      <c r="I407" s="40"/>
      <c r="J407" s="3"/>
      <c r="K407" s="53"/>
      <c r="L407" s="775"/>
      <c r="M407" s="41"/>
      <c r="N407" s="3"/>
      <c r="O407" s="609"/>
      <c r="P407" s="562"/>
      <c r="Q407" s="562"/>
      <c r="R407" s="562"/>
      <c r="S407" s="562"/>
      <c r="T407" s="562"/>
      <c r="U407" s="562"/>
      <c r="V407" s="562"/>
      <c r="W407" s="562"/>
      <c r="X407" s="562"/>
      <c r="Y407" s="562"/>
      <c r="Z407" s="562"/>
      <c r="AA407" s="562"/>
      <c r="AB407" s="562"/>
      <c r="AC407" s="562"/>
      <c r="AD407" s="562"/>
      <c r="AE407" s="562"/>
      <c r="AF407" s="562"/>
      <c r="AG407" s="562"/>
      <c r="AH407" s="562"/>
      <c r="AI407" s="562"/>
      <c r="AJ407" s="562"/>
      <c r="AK407" s="562"/>
      <c r="AL407" s="562"/>
      <c r="AM407" s="562"/>
      <c r="AN407" s="562"/>
      <c r="AO407" s="562"/>
      <c r="AP407" s="562"/>
      <c r="AQ407" s="562"/>
      <c r="AR407" s="562"/>
      <c r="AS407" s="562"/>
      <c r="AT407" s="562"/>
      <c r="AU407" s="562"/>
      <c r="AV407" s="562"/>
      <c r="AW407" s="562"/>
      <c r="AX407" s="562"/>
      <c r="AY407" s="562"/>
    </row>
    <row r="408" spans="1:51" x14ac:dyDescent="0.2">
      <c r="B408" s="48">
        <v>610.1</v>
      </c>
      <c r="C408" s="14"/>
      <c r="D408" s="14"/>
      <c r="E408" s="14"/>
      <c r="F408" s="14"/>
      <c r="G408" s="14"/>
      <c r="H408" s="441"/>
      <c r="I408" s="40"/>
      <c r="J408" s="3"/>
      <c r="K408" s="53"/>
      <c r="L408" s="775"/>
      <c r="M408" s="41"/>
      <c r="N408" s="3"/>
      <c r="O408" s="609"/>
      <c r="P408" s="562"/>
      <c r="Q408" s="562"/>
      <c r="R408" s="562"/>
      <c r="S408" s="562"/>
      <c r="T408" s="562"/>
      <c r="U408" s="562"/>
      <c r="V408" s="562"/>
      <c r="W408" s="562"/>
      <c r="X408" s="562"/>
      <c r="Y408" s="562"/>
      <c r="Z408" s="562"/>
      <c r="AA408" s="562"/>
      <c r="AB408" s="562"/>
      <c r="AC408" s="562"/>
      <c r="AD408" s="562"/>
      <c r="AE408" s="562"/>
      <c r="AF408" s="562"/>
      <c r="AG408" s="562"/>
      <c r="AH408" s="562"/>
      <c r="AI408" s="562"/>
      <c r="AJ408" s="562"/>
      <c r="AK408" s="562"/>
      <c r="AL408" s="562"/>
      <c r="AM408" s="562"/>
      <c r="AN408" s="562"/>
      <c r="AO408" s="562"/>
      <c r="AP408" s="562"/>
      <c r="AQ408" s="562"/>
      <c r="AR408" s="562"/>
      <c r="AS408" s="562"/>
      <c r="AT408" s="562"/>
      <c r="AU408" s="562"/>
      <c r="AV408" s="562"/>
      <c r="AW408" s="562"/>
      <c r="AX408" s="562"/>
      <c r="AY408" s="562"/>
    </row>
    <row r="409" spans="1:51" x14ac:dyDescent="0.2">
      <c r="B409" s="48">
        <v>610.1</v>
      </c>
      <c r="C409" s="14"/>
      <c r="D409" s="14"/>
      <c r="E409" s="14"/>
      <c r="F409" s="14"/>
      <c r="G409" s="14"/>
      <c r="H409" s="441"/>
      <c r="I409" s="40"/>
      <c r="J409" s="3"/>
      <c r="K409" s="53"/>
      <c r="L409" s="775"/>
      <c r="M409" s="41"/>
      <c r="N409" s="3"/>
      <c r="O409" s="609"/>
      <c r="P409" s="562"/>
      <c r="Q409" s="562"/>
      <c r="R409" s="562"/>
      <c r="S409" s="562"/>
      <c r="T409" s="562"/>
      <c r="U409" s="562"/>
      <c r="V409" s="562"/>
      <c r="W409" s="562"/>
      <c r="X409" s="562"/>
      <c r="Y409" s="562"/>
      <c r="Z409" s="562"/>
      <c r="AA409" s="562"/>
      <c r="AB409" s="562"/>
      <c r="AC409" s="562"/>
      <c r="AD409" s="562"/>
      <c r="AE409" s="562"/>
      <c r="AF409" s="562"/>
      <c r="AG409" s="562"/>
      <c r="AH409" s="562"/>
      <c r="AI409" s="562"/>
      <c r="AJ409" s="562"/>
      <c r="AK409" s="562"/>
      <c r="AL409" s="562"/>
      <c r="AM409" s="562"/>
      <c r="AN409" s="562"/>
      <c r="AO409" s="562"/>
      <c r="AP409" s="562"/>
      <c r="AQ409" s="562"/>
      <c r="AR409" s="562"/>
      <c r="AS409" s="562"/>
      <c r="AT409" s="562"/>
      <c r="AU409" s="562"/>
      <c r="AV409" s="562"/>
      <c r="AW409" s="562"/>
      <c r="AX409" s="562"/>
      <c r="AY409" s="562"/>
    </row>
    <row r="410" spans="1:51" ht="16" thickBot="1" x14ac:dyDescent="0.25">
      <c r="B410" s="48">
        <v>610.1</v>
      </c>
      <c r="C410" s="14"/>
      <c r="D410" s="14"/>
      <c r="E410" s="14"/>
      <c r="F410" s="14"/>
      <c r="G410" s="14"/>
      <c r="H410" s="441"/>
      <c r="I410" s="40"/>
      <c r="J410" s="3"/>
      <c r="K410" s="53"/>
      <c r="L410" s="775"/>
      <c r="M410" s="41"/>
      <c r="N410" s="3"/>
      <c r="O410" s="609"/>
      <c r="P410" s="562"/>
      <c r="Q410" s="562"/>
      <c r="R410" s="562"/>
      <c r="S410" s="562"/>
      <c r="T410" s="562"/>
      <c r="U410" s="562"/>
      <c r="V410" s="562"/>
      <c r="W410" s="562"/>
      <c r="X410" s="562"/>
      <c r="Y410" s="562"/>
      <c r="Z410" s="562"/>
      <c r="AA410" s="562"/>
      <c r="AB410" s="562"/>
      <c r="AC410" s="562"/>
      <c r="AD410" s="562"/>
      <c r="AE410" s="562"/>
      <c r="AF410" s="562"/>
      <c r="AG410" s="562"/>
      <c r="AH410" s="562"/>
      <c r="AI410" s="562"/>
      <c r="AJ410" s="562"/>
      <c r="AK410" s="562"/>
      <c r="AL410" s="562"/>
      <c r="AM410" s="562"/>
      <c r="AN410" s="562"/>
      <c r="AO410" s="562"/>
      <c r="AP410" s="562"/>
      <c r="AQ410" s="562"/>
      <c r="AR410" s="562"/>
      <c r="AS410" s="562"/>
      <c r="AT410" s="562"/>
      <c r="AU410" s="562"/>
      <c r="AV410" s="562"/>
      <c r="AW410" s="562"/>
      <c r="AX410" s="562"/>
      <c r="AY410" s="562"/>
    </row>
    <row r="411" spans="1:51" ht="16" thickTop="1" x14ac:dyDescent="0.2">
      <c r="B411" s="48" t="s">
        <v>2721</v>
      </c>
      <c r="C411" s="14"/>
      <c r="D411" s="14"/>
      <c r="E411" s="14"/>
      <c r="F411" s="14"/>
      <c r="G411" s="14"/>
      <c r="H411" s="441"/>
      <c r="I411" s="131" t="s">
        <v>2722</v>
      </c>
      <c r="J411" s="132"/>
      <c r="K411" s="133"/>
      <c r="L411" s="819" t="s">
        <v>2723</v>
      </c>
      <c r="M411" s="267"/>
      <c r="N411" s="132"/>
      <c r="O411" s="623"/>
      <c r="P411" s="74"/>
      <c r="Q411" s="74"/>
      <c r="R411" s="74"/>
      <c r="S411" s="74"/>
      <c r="T411" s="74"/>
      <c r="U411" s="74"/>
      <c r="V411" s="74"/>
      <c r="W411" s="74"/>
      <c r="X411" s="74"/>
      <c r="Y411" s="562"/>
      <c r="Z411" s="562"/>
      <c r="AA411" s="562"/>
      <c r="AB411" s="562"/>
      <c r="AC411" s="562"/>
      <c r="AD411" s="562"/>
      <c r="AE411" s="562"/>
      <c r="AF411" s="562"/>
      <c r="AG411" s="562"/>
      <c r="AH411" s="562"/>
      <c r="AI411" s="562"/>
      <c r="AJ411" s="562"/>
      <c r="AK411" s="562"/>
      <c r="AL411" s="562"/>
      <c r="AM411" s="562"/>
      <c r="AN411" s="562"/>
      <c r="AO411" s="562"/>
      <c r="AP411" s="562"/>
      <c r="AQ411" s="562"/>
      <c r="AR411" s="562"/>
      <c r="AS411" s="562"/>
      <c r="AT411" s="562"/>
      <c r="AU411" s="562"/>
      <c r="AV411" s="562"/>
      <c r="AW411" s="562"/>
      <c r="AX411" s="562"/>
      <c r="AY411" s="562"/>
    </row>
    <row r="412" spans="1:51" x14ac:dyDescent="0.2">
      <c r="B412" s="48" t="s">
        <v>2721</v>
      </c>
      <c r="C412" s="14"/>
      <c r="D412" s="14"/>
      <c r="E412" s="14"/>
      <c r="F412" s="14"/>
      <c r="G412" s="14"/>
      <c r="H412" s="441"/>
      <c r="I412" s="99"/>
      <c r="J412" s="98"/>
      <c r="K412" s="65"/>
      <c r="L412" s="820"/>
      <c r="M412" s="268"/>
      <c r="N412" s="98"/>
      <c r="O412" s="607"/>
      <c r="P412" s="64"/>
      <c r="Q412" s="64"/>
      <c r="R412" s="64"/>
      <c r="S412" s="64"/>
      <c r="T412" s="64"/>
      <c r="U412" s="64"/>
      <c r="V412" s="64"/>
      <c r="W412" s="64"/>
      <c r="X412" s="64"/>
      <c r="Y412" s="562"/>
      <c r="Z412" s="562"/>
      <c r="AA412" s="562"/>
      <c r="AB412" s="562"/>
      <c r="AC412" s="562"/>
      <c r="AD412" s="562"/>
      <c r="AE412" s="562"/>
      <c r="AF412" s="562"/>
      <c r="AG412" s="562"/>
      <c r="AH412" s="562"/>
      <c r="AI412" s="562"/>
      <c r="AJ412" s="562"/>
      <c r="AK412" s="562"/>
      <c r="AL412" s="562"/>
      <c r="AM412" s="562"/>
      <c r="AN412" s="562"/>
      <c r="AO412" s="562"/>
      <c r="AP412" s="562"/>
      <c r="AQ412" s="562"/>
      <c r="AR412" s="562"/>
      <c r="AS412" s="562"/>
      <c r="AT412" s="562"/>
      <c r="AU412" s="562"/>
      <c r="AV412" s="562"/>
      <c r="AW412" s="562"/>
      <c r="AX412" s="562"/>
      <c r="AY412" s="562"/>
    </row>
    <row r="413" spans="1:51" x14ac:dyDescent="0.2">
      <c r="B413" s="48" t="s">
        <v>2721</v>
      </c>
      <c r="C413" s="14"/>
      <c r="D413" s="14"/>
      <c r="E413" s="14" t="s">
        <v>2181</v>
      </c>
      <c r="F413" s="49"/>
      <c r="G413" s="49"/>
      <c r="H413" s="445"/>
      <c r="I413" s="40"/>
      <c r="J413" s="134" t="s">
        <v>2181</v>
      </c>
      <c r="K413" s="65"/>
      <c r="L413" s="791" t="s">
        <v>2724</v>
      </c>
      <c r="M413" s="800">
        <v>8</v>
      </c>
      <c r="N413" s="98"/>
      <c r="O413" s="793">
        <f>M413*S413*W413</f>
        <v>0</v>
      </c>
      <c r="P413" s="562" t="b">
        <v>1</v>
      </c>
      <c r="Q413" s="562" t="b">
        <v>0</v>
      </c>
      <c r="R413" s="562" t="b">
        <v>0</v>
      </c>
      <c r="S413" s="562" t="b">
        <f>NOT(OR(NOT(ISBLANK(W437)),NOT(ISBLANK(W444)),NOT(ISBLANK(W450)),NOT(ISBLANK(W456)),NOT(ISBLANK(W462)),NOT(ISBLANK(W468))))</f>
        <v>1</v>
      </c>
      <c r="T413" s="64" t="b">
        <f>AND(NOT(S413),W413=TRUE)</f>
        <v>0</v>
      </c>
      <c r="U413" s="562"/>
      <c r="V413" s="562"/>
      <c r="W413" s="18"/>
      <c r="X413" s="787"/>
      <c r="Y413" s="562"/>
      <c r="Z413" s="562"/>
      <c r="AA413" s="562"/>
      <c r="AB413" s="562"/>
      <c r="AC413" s="562" t="b">
        <f>OR(AD413:AE413)</f>
        <v>0</v>
      </c>
      <c r="AD413" s="562" t="b">
        <f>T413</f>
        <v>0</v>
      </c>
      <c r="AE413" s="562"/>
      <c r="AF413" s="562"/>
      <c r="AG413" s="562"/>
      <c r="AH413" s="562"/>
      <c r="AI413" s="562"/>
      <c r="AJ413" s="562"/>
      <c r="AK413" s="562"/>
      <c r="AL413" s="190" t="str">
        <f>SUBSTITUTE(SUBSTITUTE(SUBSTITUTE("dpa"&amp;$B413&amp;$C413&amp;$D413&amp;$E413&amp;$F413,".","_"),"(","_"),")","")</f>
        <v>dpa610_1_1_1</v>
      </c>
      <c r="AM413" s="190">
        <f>M413</f>
        <v>8</v>
      </c>
      <c r="AN413" s="190" t="str">
        <f>SUBSTITUTE(SUBSTITUTE(SUBSTITUTE("dpc"&amp;$B413&amp;$C413&amp;$D413&amp;$E413&amp;$F413,".","_"),"(","_"),")","")</f>
        <v>dpc610_1_1_1</v>
      </c>
      <c r="AO413" s="190">
        <f>O413</f>
        <v>0</v>
      </c>
      <c r="AP413" s="190" t="str">
        <f t="shared" ref="AP413" si="97">SUBSTITUTE(SUBSTITUTE(SUBSTITUTE("dch"&amp;$B413&amp;$C413&amp;$D413&amp;$E413&amp;$F413,".","_"),"(","_"),")","")</f>
        <v>dch610_1_1_1</v>
      </c>
      <c r="AQ413" s="190">
        <f>W413</f>
        <v>0</v>
      </c>
      <c r="AR413" s="562" t="str">
        <f>SUBSTITUTE(SUBSTITUTE(SUBSTITUTE("dnt"&amp;$B413&amp;$C413&amp;$D413&amp;$E413&amp;$F413,".","_"),"(","_"),")","")</f>
        <v>dnt610_1_1_1</v>
      </c>
      <c r="AS413" s="190">
        <f>X413</f>
        <v>0</v>
      </c>
      <c r="AT413" s="562"/>
      <c r="AU413" s="562"/>
      <c r="AV413" s="562"/>
      <c r="AW413" s="562"/>
      <c r="AX413" s="562"/>
      <c r="AY413" s="562"/>
    </row>
    <row r="414" spans="1:51" x14ac:dyDescent="0.2">
      <c r="B414" s="48" t="s">
        <v>2721</v>
      </c>
      <c r="C414" s="14"/>
      <c r="D414" s="14"/>
      <c r="E414" s="14"/>
      <c r="F414" s="49"/>
      <c r="G414" s="49"/>
      <c r="H414" s="445"/>
      <c r="I414" s="40"/>
      <c r="J414" s="98"/>
      <c r="K414" s="65"/>
      <c r="L414" s="791"/>
      <c r="M414" s="800"/>
      <c r="N414" s="98"/>
      <c r="O414" s="793"/>
      <c r="P414" s="562"/>
      <c r="Q414" s="562"/>
      <c r="R414" s="562"/>
      <c r="S414" s="562"/>
      <c r="T414" s="562"/>
      <c r="U414" s="562"/>
      <c r="V414" s="562"/>
      <c r="W414" s="562"/>
      <c r="X414" s="787"/>
      <c r="Y414" s="562"/>
      <c r="Z414" s="562"/>
      <c r="AA414" s="562"/>
      <c r="AB414" s="562"/>
      <c r="AC414" s="562"/>
      <c r="AD414" s="562"/>
      <c r="AE414" s="562"/>
      <c r="AF414" s="562"/>
      <c r="AG414" s="562"/>
      <c r="AH414" s="562"/>
      <c r="AI414" s="562"/>
      <c r="AJ414" s="562"/>
      <c r="AK414" s="562"/>
      <c r="AL414" s="562"/>
      <c r="AM414" s="562"/>
      <c r="AN414" s="562"/>
      <c r="AO414" s="562"/>
      <c r="AP414" s="562"/>
      <c r="AQ414" s="562"/>
      <c r="AR414" s="562"/>
      <c r="AS414" s="562"/>
      <c r="AT414" s="562"/>
      <c r="AU414" s="562"/>
      <c r="AV414" s="562"/>
      <c r="AW414" s="562"/>
      <c r="AX414" s="562"/>
      <c r="AY414" s="562"/>
    </row>
    <row r="415" spans="1:51" x14ac:dyDescent="0.2">
      <c r="B415" s="48" t="s">
        <v>2721</v>
      </c>
      <c r="C415" s="14"/>
      <c r="D415" s="14"/>
      <c r="E415" s="14"/>
      <c r="F415" s="49"/>
      <c r="G415" s="49"/>
      <c r="H415" s="445"/>
      <c r="I415" s="40"/>
      <c r="J415" s="98"/>
      <c r="K415" s="65"/>
      <c r="L415" s="791"/>
      <c r="M415" s="800"/>
      <c r="N415" s="98"/>
      <c r="O415" s="793"/>
      <c r="P415" s="562"/>
      <c r="Q415" s="562"/>
      <c r="R415" s="562"/>
      <c r="S415" s="562"/>
      <c r="T415" s="562"/>
      <c r="U415" s="562"/>
      <c r="V415" s="562"/>
      <c r="W415" s="562"/>
      <c r="X415" s="787"/>
      <c r="Y415" s="562"/>
      <c r="Z415" s="562"/>
      <c r="AA415" s="562"/>
      <c r="AB415" s="562"/>
      <c r="AC415" s="562"/>
      <c r="AD415" s="562"/>
      <c r="AE415" s="562"/>
      <c r="AF415" s="562"/>
      <c r="AG415" s="562"/>
      <c r="AH415" s="562"/>
      <c r="AI415" s="562"/>
      <c r="AJ415" s="562"/>
      <c r="AK415" s="562"/>
      <c r="AL415" s="562"/>
      <c r="AM415" s="562"/>
      <c r="AN415" s="562"/>
      <c r="AO415" s="562"/>
      <c r="AP415" s="562"/>
      <c r="AQ415" s="562"/>
      <c r="AR415" s="562"/>
      <c r="AS415" s="562"/>
      <c r="AT415" s="562"/>
      <c r="AU415" s="562"/>
      <c r="AV415" s="562"/>
      <c r="AW415" s="562"/>
      <c r="AX415" s="562"/>
      <c r="AY415" s="562"/>
    </row>
    <row r="416" spans="1:51" x14ac:dyDescent="0.2">
      <c r="B416" s="48" t="s">
        <v>2721</v>
      </c>
      <c r="C416" s="14"/>
      <c r="D416" s="14"/>
      <c r="E416" s="14" t="s">
        <v>2181</v>
      </c>
      <c r="F416" s="14" t="s">
        <v>2196</v>
      </c>
      <c r="G416" s="14"/>
      <c r="H416" s="441"/>
      <c r="I416" s="40"/>
      <c r="J416" s="98"/>
      <c r="K416" s="61" t="s">
        <v>2196</v>
      </c>
      <c r="L416" s="598" t="s">
        <v>2725</v>
      </c>
      <c r="M416" s="800"/>
      <c r="N416" s="98"/>
      <c r="O416" s="793"/>
      <c r="P416" s="562"/>
      <c r="Q416" s="562"/>
      <c r="R416" s="562"/>
      <c r="S416" s="562"/>
      <c r="T416" s="562"/>
      <c r="U416" s="562"/>
      <c r="V416" s="562"/>
      <c r="W416" s="562"/>
      <c r="X416" s="787"/>
      <c r="Y416" s="562"/>
      <c r="Z416" s="562"/>
      <c r="AA416" s="562"/>
      <c r="AB416" s="562"/>
      <c r="AC416" s="562"/>
      <c r="AD416" s="562"/>
      <c r="AE416" s="562"/>
      <c r="AF416" s="562"/>
      <c r="AG416" s="562"/>
      <c r="AH416" s="562"/>
      <c r="AI416" s="562"/>
      <c r="AJ416" s="562"/>
      <c r="AK416" s="562"/>
      <c r="AL416" s="562"/>
      <c r="AM416" s="562"/>
      <c r="AN416" s="562"/>
      <c r="AO416" s="562"/>
      <c r="AP416" s="562"/>
      <c r="AQ416" s="562"/>
      <c r="AR416" s="562"/>
      <c r="AS416" s="562"/>
      <c r="AT416" s="562"/>
      <c r="AU416" s="562"/>
      <c r="AV416" s="562"/>
      <c r="AW416" s="562"/>
      <c r="AX416" s="562"/>
      <c r="AY416" s="562"/>
    </row>
    <row r="417" spans="2:45" x14ac:dyDescent="0.2">
      <c r="B417" s="48" t="s">
        <v>2721</v>
      </c>
      <c r="C417" s="14"/>
      <c r="D417" s="14"/>
      <c r="E417" s="14" t="s">
        <v>2181</v>
      </c>
      <c r="F417" s="14" t="s">
        <v>2198</v>
      </c>
      <c r="G417" s="14"/>
      <c r="H417" s="441"/>
      <c r="I417" s="40"/>
      <c r="J417" s="98"/>
      <c r="K417" s="61" t="s">
        <v>2198</v>
      </c>
      <c r="L417" s="598" t="s">
        <v>2726</v>
      </c>
      <c r="M417" s="800"/>
      <c r="N417" s="98"/>
      <c r="O417" s="793"/>
      <c r="P417" s="562"/>
      <c r="Q417" s="562"/>
      <c r="R417" s="562"/>
      <c r="S417" s="562"/>
      <c r="T417" s="562"/>
      <c r="U417" s="562"/>
      <c r="V417" s="562"/>
      <c r="W417" s="562"/>
      <c r="X417" s="787"/>
      <c r="Y417" s="562"/>
      <c r="Z417" s="562"/>
      <c r="AA417" s="562"/>
      <c r="AB417" s="562"/>
      <c r="AC417" s="562"/>
      <c r="AD417" s="562"/>
      <c r="AE417" s="562"/>
      <c r="AF417" s="562"/>
      <c r="AG417" s="562"/>
      <c r="AH417" s="562"/>
      <c r="AI417" s="562"/>
      <c r="AJ417" s="562"/>
      <c r="AK417" s="562"/>
      <c r="AL417" s="562"/>
      <c r="AM417" s="562"/>
      <c r="AN417" s="562"/>
      <c r="AO417" s="562"/>
      <c r="AP417" s="562"/>
      <c r="AQ417" s="562"/>
      <c r="AR417" s="562"/>
      <c r="AS417" s="562"/>
    </row>
    <row r="418" spans="2:45" x14ac:dyDescent="0.2">
      <c r="B418" s="48" t="s">
        <v>2721</v>
      </c>
      <c r="C418" s="14"/>
      <c r="D418" s="14"/>
      <c r="E418" s="14" t="s">
        <v>2181</v>
      </c>
      <c r="F418" s="14" t="s">
        <v>2200</v>
      </c>
      <c r="G418" s="14"/>
      <c r="H418" s="441"/>
      <c r="I418" s="40"/>
      <c r="J418" s="98"/>
      <c r="K418" s="61" t="s">
        <v>2200</v>
      </c>
      <c r="L418" s="598" t="s">
        <v>2727</v>
      </c>
      <c r="M418" s="800"/>
      <c r="N418" s="98"/>
      <c r="O418" s="793"/>
      <c r="P418" s="562"/>
      <c r="Q418" s="562"/>
      <c r="R418" s="562"/>
      <c r="S418" s="562"/>
      <c r="T418" s="562"/>
      <c r="U418" s="562"/>
      <c r="V418" s="562"/>
      <c r="W418" s="562"/>
      <c r="X418" s="787"/>
      <c r="Y418" s="562"/>
      <c r="Z418" s="562"/>
      <c r="AA418" s="562"/>
      <c r="AB418" s="562"/>
      <c r="AC418" s="562"/>
      <c r="AD418" s="562"/>
      <c r="AE418" s="562"/>
      <c r="AF418" s="562"/>
      <c r="AG418" s="562"/>
      <c r="AH418" s="562"/>
      <c r="AI418" s="562"/>
      <c r="AJ418" s="562"/>
      <c r="AK418" s="562"/>
      <c r="AL418" s="562"/>
      <c r="AM418" s="562"/>
      <c r="AN418" s="562"/>
      <c r="AO418" s="562"/>
      <c r="AP418" s="562"/>
      <c r="AQ418" s="562"/>
      <c r="AR418" s="562"/>
      <c r="AS418" s="562"/>
    </row>
    <row r="419" spans="2:45" x14ac:dyDescent="0.2">
      <c r="B419" s="48" t="s">
        <v>2721</v>
      </c>
      <c r="C419" s="14"/>
      <c r="D419" s="14"/>
      <c r="E419" s="14" t="s">
        <v>2181</v>
      </c>
      <c r="F419" s="19" t="s">
        <v>2247</v>
      </c>
      <c r="G419" s="19"/>
      <c r="H419" s="442"/>
      <c r="I419" s="40"/>
      <c r="J419" s="98"/>
      <c r="K419" s="79" t="s">
        <v>2247</v>
      </c>
      <c r="L419" s="598" t="s">
        <v>2728</v>
      </c>
      <c r="M419" s="800"/>
      <c r="N419" s="98"/>
      <c r="O419" s="793"/>
      <c r="P419" s="562"/>
      <c r="Q419" s="562"/>
      <c r="R419" s="562"/>
      <c r="S419" s="562"/>
      <c r="T419" s="562"/>
      <c r="U419" s="562"/>
      <c r="V419" s="562"/>
      <c r="W419" s="562"/>
      <c r="X419" s="787"/>
      <c r="Y419" s="562"/>
      <c r="Z419" s="562"/>
      <c r="AA419" s="562"/>
      <c r="AB419" s="562"/>
      <c r="AC419" s="562"/>
      <c r="AD419" s="562"/>
      <c r="AE419" s="562"/>
      <c r="AF419" s="562"/>
      <c r="AG419" s="562"/>
      <c r="AH419" s="562"/>
      <c r="AI419" s="562"/>
      <c r="AJ419" s="562"/>
      <c r="AK419" s="562"/>
      <c r="AL419" s="562"/>
      <c r="AM419" s="562"/>
      <c r="AN419" s="562"/>
      <c r="AO419" s="562"/>
      <c r="AP419" s="562"/>
      <c r="AQ419" s="562"/>
      <c r="AR419" s="562"/>
      <c r="AS419" s="562"/>
    </row>
    <row r="420" spans="2:45" x14ac:dyDescent="0.2">
      <c r="B420" s="48" t="s">
        <v>2721</v>
      </c>
      <c r="C420" s="14"/>
      <c r="D420" s="14"/>
      <c r="E420" s="14" t="s">
        <v>2181</v>
      </c>
      <c r="F420" s="14" t="s">
        <v>2444</v>
      </c>
      <c r="G420" s="14"/>
      <c r="H420" s="441"/>
      <c r="I420" s="40"/>
      <c r="J420" s="98"/>
      <c r="K420" s="140" t="s">
        <v>2444</v>
      </c>
      <c r="L420" s="598" t="s">
        <v>2729</v>
      </c>
      <c r="M420" s="800"/>
      <c r="N420" s="98"/>
      <c r="O420" s="793"/>
      <c r="P420" s="562"/>
      <c r="Q420" s="562"/>
      <c r="R420" s="562"/>
      <c r="S420" s="562"/>
      <c r="T420" s="562"/>
      <c r="U420" s="562"/>
      <c r="V420" s="562"/>
      <c r="W420" s="562"/>
      <c r="X420" s="787"/>
      <c r="Y420" s="562"/>
      <c r="Z420" s="562"/>
      <c r="AA420" s="562"/>
      <c r="AB420" s="562"/>
      <c r="AC420" s="562"/>
      <c r="AD420" s="562"/>
      <c r="AE420" s="562"/>
      <c r="AF420" s="562"/>
      <c r="AG420" s="562"/>
      <c r="AH420" s="562"/>
      <c r="AI420" s="562"/>
      <c r="AJ420" s="562"/>
      <c r="AK420" s="562"/>
      <c r="AL420" s="562"/>
      <c r="AM420" s="562"/>
      <c r="AN420" s="562"/>
      <c r="AO420" s="562"/>
      <c r="AP420" s="562"/>
      <c r="AQ420" s="562"/>
      <c r="AR420" s="562"/>
      <c r="AS420" s="562"/>
    </row>
    <row r="421" spans="2:45" x14ac:dyDescent="0.2">
      <c r="B421" s="48" t="s">
        <v>2721</v>
      </c>
      <c r="C421" s="14"/>
      <c r="D421" s="14"/>
      <c r="E421" s="14" t="s">
        <v>2181</v>
      </c>
      <c r="F421" s="14" t="s">
        <v>2540</v>
      </c>
      <c r="G421" s="14"/>
      <c r="H421" s="441"/>
      <c r="I421" s="40"/>
      <c r="J421" s="165"/>
      <c r="K421" s="125" t="s">
        <v>2540</v>
      </c>
      <c r="L421" s="599" t="s">
        <v>2730</v>
      </c>
      <c r="M421" s="801"/>
      <c r="N421" s="165"/>
      <c r="O421" s="794"/>
      <c r="P421" s="562"/>
      <c r="Q421" s="562"/>
      <c r="R421" s="562"/>
      <c r="S421" s="562"/>
      <c r="T421" s="562"/>
      <c r="U421" s="562"/>
      <c r="V421" s="562"/>
      <c r="W421" s="562"/>
      <c r="X421" s="787"/>
      <c r="Y421" s="562"/>
      <c r="Z421" s="562"/>
      <c r="AA421" s="562"/>
      <c r="AB421" s="562"/>
      <c r="AC421" s="562"/>
      <c r="AD421" s="562"/>
      <c r="AE421" s="562"/>
      <c r="AF421" s="562"/>
      <c r="AG421" s="562"/>
      <c r="AH421" s="562"/>
      <c r="AI421" s="562"/>
      <c r="AJ421" s="562"/>
      <c r="AK421" s="562"/>
      <c r="AL421" s="562"/>
      <c r="AM421" s="562"/>
      <c r="AN421" s="562"/>
      <c r="AO421" s="562"/>
      <c r="AP421" s="562"/>
      <c r="AQ421" s="562"/>
      <c r="AR421" s="562"/>
      <c r="AS421" s="562"/>
    </row>
    <row r="422" spans="2:45" x14ac:dyDescent="0.2">
      <c r="B422" s="48" t="s">
        <v>2721</v>
      </c>
      <c r="C422" s="14"/>
      <c r="D422" s="14"/>
      <c r="E422" s="14" t="s">
        <v>2183</v>
      </c>
      <c r="F422" s="49"/>
      <c r="G422" s="49"/>
      <c r="H422" s="445"/>
      <c r="I422" s="40"/>
      <c r="J422" s="164" t="s">
        <v>2183</v>
      </c>
      <c r="K422" s="147"/>
      <c r="L422" s="831" t="s">
        <v>2731</v>
      </c>
      <c r="M422" s="824">
        <v>5</v>
      </c>
      <c r="N422" s="146"/>
      <c r="O422" s="815">
        <f>M422*S422*W422</f>
        <v>0</v>
      </c>
      <c r="P422" s="562" t="b">
        <v>1</v>
      </c>
      <c r="Q422" s="562" t="b">
        <v>0</v>
      </c>
      <c r="R422" s="562" t="b">
        <v>0</v>
      </c>
      <c r="S422" s="562" t="b">
        <f>NOT(OR(NOT(ISBLANK(W437)),NOT(ISBLANK(W444)),NOT(ISBLANK(W450)),NOT(ISBLANK(W456)),NOT(ISBLANK(W462)),NOT(ISBLANK(W468))))</f>
        <v>1</v>
      </c>
      <c r="T422" s="64" t="b">
        <f>AND(NOT(S422),W422=TRUE)</f>
        <v>0</v>
      </c>
      <c r="U422" s="562"/>
      <c r="V422" s="562"/>
      <c r="W422" s="18"/>
      <c r="X422" s="787"/>
      <c r="Y422" s="562"/>
      <c r="Z422" s="562"/>
      <c r="AA422" s="562"/>
      <c r="AB422" s="562"/>
      <c r="AC422" s="562" t="b">
        <f>OR(AD422:AE422)</f>
        <v>0</v>
      </c>
      <c r="AD422" s="562" t="b">
        <f>T422</f>
        <v>0</v>
      </c>
      <c r="AE422" s="562"/>
      <c r="AF422" s="562"/>
      <c r="AG422" s="562"/>
      <c r="AH422" s="562"/>
      <c r="AI422" s="562"/>
      <c r="AJ422" s="562"/>
      <c r="AK422" s="562"/>
      <c r="AL422" s="190" t="str">
        <f>SUBSTITUTE(SUBSTITUTE(SUBSTITUTE("dpa"&amp;$B422&amp;$C422&amp;$D422&amp;$E422&amp;$F422,".","_"),"(","_"),")","")</f>
        <v>dpa610_1_1_2</v>
      </c>
      <c r="AM422" s="190">
        <f>M422</f>
        <v>5</v>
      </c>
      <c r="AN422" s="190" t="str">
        <f>SUBSTITUTE(SUBSTITUTE(SUBSTITUTE("dpc"&amp;$B422&amp;$C422&amp;$D422&amp;$E422&amp;$F422,".","_"),"(","_"),")","")</f>
        <v>dpc610_1_1_2</v>
      </c>
      <c r="AO422" s="190">
        <f>O422</f>
        <v>0</v>
      </c>
      <c r="AP422" s="190" t="str">
        <f t="shared" ref="AP422" si="98">SUBSTITUTE(SUBSTITUTE(SUBSTITUTE("dch"&amp;$B422&amp;$C422&amp;$D422&amp;$E422&amp;$F422,".","_"),"(","_"),")","")</f>
        <v>dch610_1_1_2</v>
      </c>
      <c r="AQ422" s="190">
        <f>W422</f>
        <v>0</v>
      </c>
      <c r="AR422" s="562" t="str">
        <f>SUBSTITUTE(SUBSTITUTE(SUBSTITUTE("dnt"&amp;$B422&amp;$C422&amp;$D422&amp;$E422&amp;$F422,".","_"),"(","_"),")","")</f>
        <v>dnt610_1_1_2</v>
      </c>
      <c r="AS422" s="190">
        <f>X422</f>
        <v>0</v>
      </c>
    </row>
    <row r="423" spans="2:45" x14ac:dyDescent="0.2">
      <c r="B423" s="48" t="s">
        <v>2721</v>
      </c>
      <c r="C423" s="14"/>
      <c r="D423" s="14"/>
      <c r="E423" s="14" t="s">
        <v>2183</v>
      </c>
      <c r="F423" s="49"/>
      <c r="G423" s="49"/>
      <c r="H423" s="445"/>
      <c r="I423" s="40"/>
      <c r="J423" s="98"/>
      <c r="K423" s="65"/>
      <c r="L423" s="791"/>
      <c r="M423" s="800"/>
      <c r="N423" s="98"/>
      <c r="O423" s="793"/>
      <c r="P423" s="562"/>
      <c r="Q423" s="562"/>
      <c r="R423" s="562"/>
      <c r="S423" s="562"/>
      <c r="T423" s="562"/>
      <c r="U423" s="562"/>
      <c r="V423" s="562"/>
      <c r="W423" s="562"/>
      <c r="X423" s="787"/>
      <c r="Y423" s="562"/>
      <c r="Z423" s="562"/>
      <c r="AA423" s="562"/>
      <c r="AB423" s="562"/>
      <c r="AC423" s="562"/>
      <c r="AD423" s="562"/>
      <c r="AE423" s="562"/>
      <c r="AF423" s="562"/>
      <c r="AG423" s="562"/>
      <c r="AH423" s="562"/>
      <c r="AI423" s="562"/>
      <c r="AJ423" s="562"/>
      <c r="AK423" s="562"/>
      <c r="AL423" s="562"/>
      <c r="AM423" s="562"/>
      <c r="AN423" s="562"/>
      <c r="AO423" s="562"/>
      <c r="AP423" s="562"/>
      <c r="AQ423" s="562"/>
      <c r="AR423" s="562"/>
      <c r="AS423" s="562"/>
    </row>
    <row r="424" spans="2:45" x14ac:dyDescent="0.2">
      <c r="B424" s="48" t="s">
        <v>2721</v>
      </c>
      <c r="C424" s="14"/>
      <c r="D424" s="14"/>
      <c r="E424" s="14" t="s">
        <v>2183</v>
      </c>
      <c r="F424" s="49"/>
      <c r="G424" s="49"/>
      <c r="H424" s="445"/>
      <c r="I424" s="40"/>
      <c r="J424" s="98"/>
      <c r="K424" s="65"/>
      <c r="L424" s="791"/>
      <c r="M424" s="800"/>
      <c r="N424" s="98"/>
      <c r="O424" s="793"/>
      <c r="P424" s="562"/>
      <c r="Q424" s="562"/>
      <c r="R424" s="562"/>
      <c r="S424" s="562"/>
      <c r="T424" s="562"/>
      <c r="U424" s="562"/>
      <c r="V424" s="562"/>
      <c r="W424" s="562"/>
      <c r="X424" s="787"/>
      <c r="Y424" s="562"/>
      <c r="Z424" s="562"/>
      <c r="AA424" s="562"/>
      <c r="AB424" s="562"/>
      <c r="AC424" s="562"/>
      <c r="AD424" s="562"/>
      <c r="AE424" s="562"/>
      <c r="AF424" s="562"/>
      <c r="AG424" s="562"/>
      <c r="AH424" s="562"/>
      <c r="AI424" s="562"/>
      <c r="AJ424" s="562"/>
      <c r="AK424" s="562"/>
      <c r="AL424" s="562"/>
      <c r="AM424" s="562"/>
      <c r="AN424" s="562"/>
      <c r="AO424" s="562"/>
      <c r="AP424" s="562"/>
      <c r="AQ424" s="562"/>
      <c r="AR424" s="562"/>
      <c r="AS424" s="562"/>
    </row>
    <row r="425" spans="2:45" x14ac:dyDescent="0.2">
      <c r="B425" s="48" t="s">
        <v>2721</v>
      </c>
      <c r="C425" s="14"/>
      <c r="D425" s="14"/>
      <c r="E425" s="14" t="s">
        <v>2183</v>
      </c>
      <c r="F425" s="49"/>
      <c r="G425" s="49"/>
      <c r="H425" s="445"/>
      <c r="I425" s="40"/>
      <c r="J425" s="98"/>
      <c r="K425" s="65"/>
      <c r="L425" s="791"/>
      <c r="M425" s="800"/>
      <c r="N425" s="98"/>
      <c r="O425" s="793"/>
      <c r="P425" s="562"/>
      <c r="Q425" s="562"/>
      <c r="R425" s="562"/>
      <c r="S425" s="562"/>
      <c r="T425" s="562"/>
      <c r="U425" s="562"/>
      <c r="V425" s="562"/>
      <c r="W425" s="562"/>
      <c r="X425" s="787"/>
      <c r="Y425" s="562"/>
      <c r="Z425" s="562"/>
      <c r="AA425" s="562"/>
      <c r="AB425" s="562"/>
      <c r="AC425" s="562"/>
      <c r="AD425" s="562"/>
      <c r="AE425" s="562"/>
      <c r="AF425" s="562"/>
      <c r="AG425" s="562"/>
      <c r="AH425" s="562"/>
      <c r="AI425" s="562"/>
      <c r="AJ425" s="562"/>
      <c r="AK425" s="562"/>
      <c r="AL425" s="562"/>
      <c r="AM425" s="562"/>
      <c r="AN425" s="562"/>
      <c r="AO425" s="562"/>
      <c r="AP425" s="562"/>
      <c r="AQ425" s="562"/>
      <c r="AR425" s="562"/>
      <c r="AS425" s="562"/>
    </row>
    <row r="426" spans="2:45" x14ac:dyDescent="0.2">
      <c r="B426" s="48" t="s">
        <v>2721</v>
      </c>
      <c r="C426" s="14"/>
      <c r="D426" s="14"/>
      <c r="E426" s="14" t="s">
        <v>2183</v>
      </c>
      <c r="F426" s="49"/>
      <c r="G426" s="49"/>
      <c r="H426" s="445"/>
      <c r="I426" s="40"/>
      <c r="J426" s="98"/>
      <c r="K426" s="65"/>
      <c r="L426" s="791"/>
      <c r="M426" s="800"/>
      <c r="N426" s="98"/>
      <c r="O426" s="793"/>
      <c r="P426" s="562"/>
      <c r="Q426" s="562"/>
      <c r="R426" s="562"/>
      <c r="S426" s="562"/>
      <c r="T426" s="562"/>
      <c r="U426" s="562"/>
      <c r="V426" s="562"/>
      <c r="W426" s="562"/>
      <c r="X426" s="787"/>
      <c r="Y426" s="562"/>
      <c r="Z426" s="562"/>
      <c r="AA426" s="562"/>
      <c r="AB426" s="562"/>
      <c r="AC426" s="562"/>
      <c r="AD426" s="562"/>
      <c r="AE426" s="562"/>
      <c r="AF426" s="562"/>
      <c r="AG426" s="562"/>
      <c r="AH426" s="562"/>
      <c r="AI426" s="562"/>
      <c r="AJ426" s="562"/>
      <c r="AK426" s="562"/>
      <c r="AL426" s="562"/>
      <c r="AM426" s="562"/>
      <c r="AN426" s="562"/>
      <c r="AO426" s="562"/>
      <c r="AP426" s="562"/>
      <c r="AQ426" s="562"/>
      <c r="AR426" s="562"/>
      <c r="AS426" s="562"/>
    </row>
    <row r="427" spans="2:45" x14ac:dyDescent="0.2">
      <c r="B427" s="48" t="s">
        <v>2721</v>
      </c>
      <c r="C427" s="14"/>
      <c r="D427" s="14"/>
      <c r="E427" s="14" t="s">
        <v>2183</v>
      </c>
      <c r="F427" s="49"/>
      <c r="G427" s="49"/>
      <c r="H427" s="445"/>
      <c r="I427" s="40"/>
      <c r="J427" s="98"/>
      <c r="K427" s="65"/>
      <c r="L427" s="791"/>
      <c r="M427" s="800"/>
      <c r="N427" s="98"/>
      <c r="O427" s="793"/>
      <c r="P427" s="562"/>
      <c r="Q427" s="562"/>
      <c r="R427" s="562"/>
      <c r="S427" s="562"/>
      <c r="T427" s="562"/>
      <c r="U427" s="562"/>
      <c r="V427" s="562"/>
      <c r="W427" s="562"/>
      <c r="X427" s="787"/>
      <c r="Y427" s="562"/>
      <c r="Z427" s="562"/>
      <c r="AA427" s="562"/>
      <c r="AB427" s="562"/>
      <c r="AC427" s="562"/>
      <c r="AD427" s="562"/>
      <c r="AE427" s="562"/>
      <c r="AF427" s="562"/>
      <c r="AG427" s="562"/>
      <c r="AH427" s="562"/>
      <c r="AI427" s="562"/>
      <c r="AJ427" s="562"/>
      <c r="AK427" s="562"/>
      <c r="AL427" s="562"/>
      <c r="AM427" s="562"/>
      <c r="AN427" s="562"/>
      <c r="AO427" s="562"/>
      <c r="AP427" s="562"/>
      <c r="AQ427" s="562"/>
      <c r="AR427" s="562"/>
      <c r="AS427" s="562"/>
    </row>
    <row r="428" spans="2:45" x14ac:dyDescent="0.2">
      <c r="B428" s="48" t="s">
        <v>2721</v>
      </c>
      <c r="C428" s="14"/>
      <c r="D428" s="14"/>
      <c r="E428" s="14" t="s">
        <v>2183</v>
      </c>
      <c r="F428" s="49"/>
      <c r="G428" s="49"/>
      <c r="H428" s="445"/>
      <c r="I428" s="40"/>
      <c r="J428" s="165"/>
      <c r="K428" s="126"/>
      <c r="L428" s="792"/>
      <c r="M428" s="801"/>
      <c r="N428" s="165"/>
      <c r="O428" s="794"/>
      <c r="P428" s="562"/>
      <c r="Q428" s="562"/>
      <c r="R428" s="562"/>
      <c r="S428" s="562"/>
      <c r="T428" s="562"/>
      <c r="U428" s="562"/>
      <c r="V428" s="562"/>
      <c r="W428" s="562"/>
      <c r="X428" s="787"/>
      <c r="Y428" s="562"/>
      <c r="Z428" s="562"/>
      <c r="AA428" s="562"/>
      <c r="AB428" s="562"/>
      <c r="AC428" s="562"/>
      <c r="AD428" s="562"/>
      <c r="AE428" s="562"/>
      <c r="AF428" s="562"/>
      <c r="AG428" s="562"/>
      <c r="AH428" s="562"/>
      <c r="AI428" s="562"/>
      <c r="AJ428" s="562"/>
      <c r="AK428" s="562"/>
      <c r="AL428" s="562"/>
      <c r="AM428" s="562"/>
      <c r="AN428" s="562"/>
      <c r="AO428" s="562"/>
      <c r="AP428" s="562"/>
      <c r="AQ428" s="562"/>
      <c r="AR428" s="562"/>
      <c r="AS428" s="562"/>
    </row>
    <row r="429" spans="2:45" x14ac:dyDescent="0.2">
      <c r="B429" s="48" t="s">
        <v>2721</v>
      </c>
      <c r="C429" s="14"/>
      <c r="D429" s="14"/>
      <c r="E429" s="14" t="s">
        <v>2185</v>
      </c>
      <c r="F429" s="49"/>
      <c r="G429" s="49"/>
      <c r="H429" s="445"/>
      <c r="I429" s="40"/>
      <c r="J429" s="20" t="s">
        <v>2185</v>
      </c>
      <c r="K429" s="53"/>
      <c r="L429" s="817" t="s">
        <v>2732</v>
      </c>
      <c r="M429" s="814">
        <v>2</v>
      </c>
      <c r="N429" s="3"/>
      <c r="O429" s="795">
        <f>M429*S429*W429</f>
        <v>0</v>
      </c>
      <c r="P429" s="562" t="b">
        <v>1</v>
      </c>
      <c r="Q429" s="562" t="b">
        <v>0</v>
      </c>
      <c r="R429" s="562" t="b">
        <v>0</v>
      </c>
      <c r="S429" s="562" t="b">
        <f>NOT(OR(NOT(ISBLANK(W437)),NOT(ISBLANK(W444)),NOT(ISBLANK(W450)),NOT(ISBLANK(W456)),NOT(ISBLANK(W462)),NOT(ISBLANK(W468))))</f>
        <v>1</v>
      </c>
      <c r="T429" s="64" t="b">
        <f>AND(NOT(S429),W429=TRUE)</f>
        <v>0</v>
      </c>
      <c r="U429" s="562"/>
      <c r="V429" s="562"/>
      <c r="W429" s="18"/>
      <c r="X429" s="825"/>
      <c r="Y429" s="562"/>
      <c r="Z429" s="562"/>
      <c r="AA429" s="562"/>
      <c r="AB429" s="562"/>
      <c r="AC429" s="562" t="b">
        <f>OR(AD429:AE429)</f>
        <v>0</v>
      </c>
      <c r="AD429" s="562" t="b">
        <f>T429</f>
        <v>0</v>
      </c>
      <c r="AE429" s="562"/>
      <c r="AF429" s="562"/>
      <c r="AG429" s="562"/>
      <c r="AH429" s="562"/>
      <c r="AI429" s="562"/>
      <c r="AJ429" s="562"/>
      <c r="AK429" s="562"/>
      <c r="AL429" s="190" t="str">
        <f>SUBSTITUTE(SUBSTITUTE(SUBSTITUTE("dpa"&amp;$B429&amp;$C429&amp;$D429&amp;$E429&amp;$F429,".","_"),"(","_"),")","")</f>
        <v>dpa610_1_1_3</v>
      </c>
      <c r="AM429" s="190">
        <f>M429</f>
        <v>2</v>
      </c>
      <c r="AN429" s="190" t="str">
        <f>SUBSTITUTE(SUBSTITUTE(SUBSTITUTE("dpc"&amp;$B429&amp;$C429&amp;$D429&amp;$E429&amp;$F429,".","_"),"(","_"),")","")</f>
        <v>dpc610_1_1_3</v>
      </c>
      <c r="AO429" s="190">
        <f>O429</f>
        <v>0</v>
      </c>
      <c r="AP429" s="190" t="str">
        <f t="shared" ref="AP429" si="99">SUBSTITUTE(SUBSTITUTE(SUBSTITUTE("dch"&amp;$B429&amp;$C429&amp;$D429&amp;$E429&amp;$F429,".","_"),"(","_"),")","")</f>
        <v>dch610_1_1_3</v>
      </c>
      <c r="AQ429" s="190">
        <f>W429</f>
        <v>0</v>
      </c>
      <c r="AR429" s="562" t="str">
        <f>SUBSTITUTE(SUBSTITUTE(SUBSTITUTE("dnt"&amp;$B429&amp;$C429&amp;$D429&amp;$E429&amp;$F429,".","_"),"(","_"),")","")</f>
        <v>dnt610_1_1_3</v>
      </c>
      <c r="AS429" s="190">
        <f>X429</f>
        <v>0</v>
      </c>
    </row>
    <row r="430" spans="2:45" ht="16" thickBot="1" x14ac:dyDescent="0.25">
      <c r="B430" s="48" t="s">
        <v>2721</v>
      </c>
      <c r="C430" s="14"/>
      <c r="D430" s="14"/>
      <c r="E430" s="14" t="s">
        <v>2185</v>
      </c>
      <c r="F430" s="49"/>
      <c r="G430" s="49"/>
      <c r="H430" s="445"/>
      <c r="I430" s="40"/>
      <c r="J430" s="3"/>
      <c r="K430" s="53"/>
      <c r="L430" s="817"/>
      <c r="M430" s="814"/>
      <c r="N430" s="3"/>
      <c r="O430" s="795"/>
      <c r="P430" s="562"/>
      <c r="Q430" s="562"/>
      <c r="R430" s="562"/>
      <c r="S430" s="562"/>
      <c r="T430" s="562"/>
      <c r="U430" s="562"/>
      <c r="V430" s="562"/>
      <c r="W430" s="562"/>
      <c r="X430" s="797"/>
      <c r="Y430" s="562"/>
      <c r="Z430" s="562"/>
      <c r="AA430" s="562"/>
      <c r="AB430" s="562"/>
      <c r="AC430" s="562"/>
      <c r="AD430" s="562"/>
      <c r="AE430" s="562"/>
      <c r="AF430" s="562"/>
      <c r="AG430" s="562"/>
      <c r="AH430" s="562"/>
      <c r="AI430" s="562"/>
      <c r="AJ430" s="562"/>
      <c r="AK430" s="562"/>
      <c r="AL430" s="562"/>
      <c r="AM430" s="562"/>
      <c r="AN430" s="562"/>
      <c r="AO430" s="562"/>
      <c r="AP430" s="562"/>
      <c r="AQ430" s="562"/>
      <c r="AR430" s="562"/>
      <c r="AS430" s="562"/>
    </row>
    <row r="431" spans="2:45" ht="16" thickTop="1" x14ac:dyDescent="0.2">
      <c r="B431" s="48" t="s">
        <v>2733</v>
      </c>
      <c r="C431" s="14"/>
      <c r="D431" s="14"/>
      <c r="E431" s="14"/>
      <c r="F431" s="14"/>
      <c r="G431" s="14"/>
      <c r="H431" s="441"/>
      <c r="I431" s="131" t="s">
        <v>2734</v>
      </c>
      <c r="J431" s="132"/>
      <c r="K431" s="133"/>
      <c r="L431" s="819" t="s">
        <v>2735</v>
      </c>
      <c r="M431" s="827" t="s">
        <v>2736</v>
      </c>
      <c r="N431" s="132"/>
      <c r="O431" s="823">
        <f ca="1">MIN(10,(R438+R445)+IFERROR((INDEX({3,3,6,4,4,6,8,5,5,9,9,10},MATCH(R449*4+S449*5,{8,9,10,12,13,14,15,16,17,18,19,20},0))),0))</f>
        <v>0</v>
      </c>
      <c r="P431" s="74"/>
      <c r="Q431" s="74"/>
      <c r="R431" s="74"/>
      <c r="S431" s="74"/>
      <c r="T431" s="74"/>
      <c r="U431" s="74"/>
      <c r="V431" s="74"/>
      <c r="W431" s="74"/>
      <c r="X431" s="74"/>
      <c r="Y431" s="562"/>
      <c r="Z431" s="562"/>
      <c r="AA431" s="562"/>
      <c r="AB431" s="562"/>
      <c r="AC431" s="562"/>
      <c r="AD431" s="562"/>
      <c r="AE431" s="562"/>
      <c r="AF431" s="562"/>
      <c r="AG431" s="562"/>
      <c r="AH431" s="562"/>
      <c r="AI431" s="562"/>
      <c r="AJ431" s="562"/>
      <c r="AK431" s="562"/>
      <c r="AL431" s="190" t="str">
        <f>SUBSTITUTE(SUBSTITUTE(SUBSTITUTE("dpa"&amp;$B431&amp;$C431&amp;$D431&amp;$E431&amp;$F431,".","_"),"(","_"),")","")</f>
        <v>dpa610_1_2</v>
      </c>
      <c r="AM431" s="190" t="str">
        <f>M431</f>
        <v xml:space="preserve">10 Max </v>
      </c>
      <c r="AN431" s="190" t="str">
        <f>SUBSTITUTE(SUBSTITUTE(SUBSTITUTE("dpc"&amp;$B431&amp;$C431&amp;$D431&amp;$E431&amp;$F431,".","_"),"(","_"),")","")</f>
        <v>dpc610_1_2</v>
      </c>
      <c r="AO431" s="190">
        <f ca="1">O431</f>
        <v>0</v>
      </c>
      <c r="AP431" s="562"/>
      <c r="AQ431" s="562"/>
      <c r="AR431" s="562"/>
      <c r="AS431" s="562"/>
    </row>
    <row r="432" spans="2:45" x14ac:dyDescent="0.2">
      <c r="B432" s="48" t="s">
        <v>2733</v>
      </c>
      <c r="C432" s="14"/>
      <c r="D432" s="14"/>
      <c r="E432" s="14"/>
      <c r="F432" s="14"/>
      <c r="G432" s="14"/>
      <c r="H432" s="441"/>
      <c r="I432" s="99"/>
      <c r="J432" s="98"/>
      <c r="K432" s="65"/>
      <c r="L432" s="820"/>
      <c r="M432" s="800"/>
      <c r="N432" s="98"/>
      <c r="O432" s="793"/>
      <c r="P432" s="64"/>
      <c r="Q432" s="64"/>
      <c r="R432" s="64"/>
      <c r="S432" s="64"/>
      <c r="T432" s="64"/>
      <c r="U432" s="64"/>
      <c r="V432" s="64"/>
      <c r="W432" s="64"/>
      <c r="X432" s="64"/>
      <c r="Y432" s="562"/>
      <c r="Z432" s="562"/>
      <c r="AA432" s="562"/>
      <c r="AB432" s="562"/>
      <c r="AC432" s="562"/>
      <c r="AD432" s="562"/>
      <c r="AE432" s="562"/>
      <c r="AF432" s="562"/>
      <c r="AG432" s="562"/>
      <c r="AH432" s="562"/>
      <c r="AI432" s="562"/>
      <c r="AJ432" s="562"/>
      <c r="AK432" s="562"/>
      <c r="AL432" s="562"/>
      <c r="AM432" s="562"/>
      <c r="AN432" s="562"/>
      <c r="AO432" s="562"/>
      <c r="AP432" s="562"/>
      <c r="AQ432" s="562"/>
      <c r="AR432" s="562"/>
      <c r="AS432" s="562"/>
    </row>
    <row r="433" spans="1:51" x14ac:dyDescent="0.2">
      <c r="B433" s="48" t="s">
        <v>2733</v>
      </c>
      <c r="C433" s="14"/>
      <c r="D433" s="14"/>
      <c r="E433" s="14"/>
      <c r="F433" s="14"/>
      <c r="G433" s="14"/>
      <c r="H433" s="441"/>
      <c r="I433" s="99"/>
      <c r="J433" s="98"/>
      <c r="K433" s="65"/>
      <c r="L433" s="820"/>
      <c r="M433" s="800"/>
      <c r="N433" s="98"/>
      <c r="O433" s="793"/>
      <c r="P433" s="64"/>
      <c r="Q433" s="64"/>
      <c r="R433" s="64"/>
      <c r="S433" s="64"/>
      <c r="T433" s="64"/>
      <c r="U433" s="64"/>
      <c r="V433" s="64"/>
      <c r="W433" s="64"/>
      <c r="X433" s="64"/>
      <c r="Y433" s="562"/>
      <c r="Z433" s="562"/>
      <c r="AA433" s="562"/>
      <c r="AB433" s="562"/>
      <c r="AC433" s="562"/>
      <c r="AD433" s="562"/>
      <c r="AE433" s="562"/>
      <c r="AF433" s="562"/>
      <c r="AG433" s="562"/>
      <c r="AH433" s="562"/>
      <c r="AI433" s="562"/>
      <c r="AJ433" s="562"/>
      <c r="AK433" s="562"/>
      <c r="AL433" s="562"/>
      <c r="AM433" s="562"/>
      <c r="AN433" s="562"/>
      <c r="AO433" s="562"/>
      <c r="AP433" s="562"/>
      <c r="AQ433" s="562"/>
      <c r="AR433" s="562"/>
      <c r="AS433" s="562"/>
      <c r="AT433" s="562"/>
      <c r="AU433" s="562"/>
      <c r="AV433" s="562"/>
      <c r="AW433" s="562"/>
      <c r="AX433" s="562"/>
      <c r="AY433" s="562"/>
    </row>
    <row r="434" spans="1:51" x14ac:dyDescent="0.2">
      <c r="B434" s="48" t="s">
        <v>2733</v>
      </c>
      <c r="C434" s="14"/>
      <c r="D434" s="14"/>
      <c r="E434" s="14"/>
      <c r="F434" s="14"/>
      <c r="G434" s="14"/>
      <c r="H434" s="441"/>
      <c r="I434" s="170"/>
      <c r="J434" s="165"/>
      <c r="K434" s="126"/>
      <c r="L434" s="832"/>
      <c r="M434" s="801"/>
      <c r="N434" s="165"/>
      <c r="O434" s="794"/>
      <c r="P434" s="64"/>
      <c r="Q434" s="64"/>
      <c r="R434" s="64"/>
      <c r="S434" s="64"/>
      <c r="T434" s="64"/>
      <c r="U434" s="64"/>
      <c r="V434" s="64"/>
      <c r="W434" s="64"/>
      <c r="X434" s="64"/>
      <c r="Y434" s="562"/>
      <c r="Z434" s="562"/>
      <c r="AA434" s="562"/>
      <c r="AB434" s="562"/>
      <c r="AC434" s="562"/>
      <c r="AD434" s="562"/>
      <c r="AE434" s="562"/>
      <c r="AF434" s="562"/>
      <c r="AG434" s="562"/>
      <c r="AH434" s="562"/>
      <c r="AI434" s="562"/>
      <c r="AJ434" s="562"/>
      <c r="AK434" s="562"/>
      <c r="AL434" s="562"/>
      <c r="AM434" s="562"/>
      <c r="AN434" s="562"/>
      <c r="AO434" s="562"/>
      <c r="AP434" s="562"/>
      <c r="AQ434" s="562"/>
      <c r="AR434" s="562"/>
      <c r="AS434" s="562"/>
      <c r="AT434" s="562"/>
      <c r="AU434" s="562"/>
      <c r="AV434" s="562"/>
      <c r="AW434" s="562"/>
      <c r="AX434" s="562"/>
      <c r="AY434" s="562"/>
    </row>
    <row r="435" spans="1:51" x14ac:dyDescent="0.2">
      <c r="B435" s="48" t="s">
        <v>2737</v>
      </c>
      <c r="C435" s="14"/>
      <c r="D435" s="14"/>
      <c r="E435" s="14"/>
      <c r="F435" s="14"/>
      <c r="G435" s="14"/>
      <c r="H435" s="441"/>
      <c r="I435" s="145" t="s">
        <v>2738</v>
      </c>
      <c r="J435" s="146"/>
      <c r="K435" s="147"/>
      <c r="L435" s="847" t="s">
        <v>2739</v>
      </c>
      <c r="M435" s="839" t="s">
        <v>2740</v>
      </c>
      <c r="N435" s="3"/>
      <c r="O435" s="609"/>
      <c r="P435" s="562"/>
      <c r="Q435" s="562"/>
      <c r="R435" s="562"/>
      <c r="S435" s="562"/>
      <c r="T435" s="562"/>
      <c r="U435" s="562"/>
      <c r="V435" s="562"/>
      <c r="W435" s="726" t="s">
        <v>2741</v>
      </c>
      <c r="X435" s="787"/>
      <c r="Y435" s="562"/>
      <c r="Z435" s="562"/>
      <c r="AA435" s="562"/>
      <c r="AB435" s="562"/>
      <c r="AC435" s="562"/>
      <c r="AD435" s="562"/>
      <c r="AE435" s="562"/>
      <c r="AF435" s="562"/>
      <c r="AG435" s="562"/>
      <c r="AH435" s="562"/>
      <c r="AI435" s="562"/>
      <c r="AJ435" s="562"/>
      <c r="AK435" s="562"/>
      <c r="AL435" s="190" t="str">
        <f>SUBSTITUTE(SUBSTITUTE(SUBSTITUTE("dpa"&amp;$B435&amp;$C435&amp;$D435&amp;$E435&amp;$F435,".","_"),"(","_"),")","")</f>
        <v>dpa610_1_2_1</v>
      </c>
      <c r="AM435" s="190" t="str">
        <f>M435</f>
        <v>per Table 11.610.1.2.1
10 Max</v>
      </c>
      <c r="AN435" s="562"/>
      <c r="AO435" s="562"/>
      <c r="AP435" s="562"/>
      <c r="AQ435" s="562"/>
      <c r="AR435" s="562" t="str">
        <f>SUBSTITUTE(SUBSTITUTE(SUBSTITUTE("dnt"&amp;$B435&amp;$C435&amp;$D435&amp;$E435&amp;$F435,".","_"),"(","_"),")","")</f>
        <v>dnt610_1_2_1</v>
      </c>
      <c r="AS435" s="190">
        <f>X435</f>
        <v>0</v>
      </c>
      <c r="AT435" s="562"/>
      <c r="AU435" s="562"/>
      <c r="AV435" s="562"/>
      <c r="AW435" s="562"/>
      <c r="AX435" s="562"/>
      <c r="AY435" s="562"/>
    </row>
    <row r="436" spans="1:51" x14ac:dyDescent="0.2">
      <c r="B436" s="48" t="s">
        <v>2737</v>
      </c>
      <c r="C436" s="14"/>
      <c r="D436" s="14"/>
      <c r="E436" s="14"/>
      <c r="F436" s="14"/>
      <c r="G436" s="14"/>
      <c r="H436" s="441"/>
      <c r="I436" s="99"/>
      <c r="J436" s="98"/>
      <c r="K436" s="65"/>
      <c r="L436" s="820"/>
      <c r="M436" s="840"/>
      <c r="N436" s="3"/>
      <c r="O436" s="609"/>
      <c r="P436" s="562"/>
      <c r="Q436" s="562"/>
      <c r="R436" s="562"/>
      <c r="S436" s="562"/>
      <c r="T436" s="562"/>
      <c r="U436" s="64"/>
      <c r="V436" s="562"/>
      <c r="W436" s="726"/>
      <c r="X436" s="787"/>
      <c r="Y436" s="562"/>
      <c r="Z436" s="562"/>
      <c r="AA436" s="562"/>
      <c r="AB436" s="562"/>
      <c r="AC436" s="562"/>
      <c r="AD436" s="562"/>
      <c r="AE436" s="562"/>
      <c r="AF436" s="562"/>
      <c r="AG436" s="562"/>
      <c r="AH436" s="562"/>
      <c r="AI436" s="562"/>
      <c r="AJ436" s="562"/>
      <c r="AK436" s="562"/>
      <c r="AL436" s="562"/>
      <c r="AM436" s="562"/>
      <c r="AN436" s="562"/>
      <c r="AO436" s="562"/>
      <c r="AP436" s="562"/>
      <c r="AQ436" s="562"/>
      <c r="AR436" s="562"/>
      <c r="AS436" s="562"/>
      <c r="AT436" s="562"/>
      <c r="AU436" s="562"/>
      <c r="AV436" s="562"/>
      <c r="AW436" s="562"/>
      <c r="AX436" s="562"/>
      <c r="AY436" s="562"/>
    </row>
    <row r="437" spans="1:51" x14ac:dyDescent="0.2">
      <c r="B437" s="48" t="s">
        <v>2737</v>
      </c>
      <c r="C437" s="14"/>
      <c r="D437" s="14"/>
      <c r="E437" s="14" t="s">
        <v>2329</v>
      </c>
      <c r="F437" s="14"/>
      <c r="G437" s="14"/>
      <c r="H437" s="441"/>
      <c r="I437" s="99"/>
      <c r="J437" s="98"/>
      <c r="K437" s="65"/>
      <c r="L437" s="820"/>
      <c r="M437" s="840"/>
      <c r="N437" s="3"/>
      <c r="O437" s="609"/>
      <c r="P437" s="562" t="b">
        <v>1</v>
      </c>
      <c r="Q437" s="562" t="b">
        <v>0</v>
      </c>
      <c r="R437" s="562" t="b">
        <v>0</v>
      </c>
      <c r="S437" s="562" t="b">
        <f>COUNTIF(W413:W429,TRUE)&lt;1</f>
        <v>1</v>
      </c>
      <c r="T437" s="64" t="b">
        <f>AND(NOT(S437),LEN(W437)&gt;0)</f>
        <v>0</v>
      </c>
      <c r="U437" s="64" t="str">
        <f>SUBSTITUTE(SUBSTITUTE(SUBSTITUTE("dd"&amp;B437&amp;C437&amp;D437&amp;E437&amp;F437,".","_"),"(","_"),")","")</f>
        <v>dd610_1_2_1a</v>
      </c>
      <c r="V437" s="562"/>
      <c r="W437" s="6"/>
      <c r="X437" s="787"/>
      <c r="Y437" s="562"/>
      <c r="Z437" s="562"/>
      <c r="AA437" s="562"/>
      <c r="AB437" s="562"/>
      <c r="AC437" s="562" t="b">
        <f>OR(AD437:AE437)</f>
        <v>0</v>
      </c>
      <c r="AD437" s="562" t="b">
        <f>T437</f>
        <v>0</v>
      </c>
      <c r="AE437" s="562" t="b">
        <f>AND(NOT(ISBLANK(W437)),LEN(X435)=0)</f>
        <v>0</v>
      </c>
      <c r="AF437" s="562"/>
      <c r="AG437" s="562"/>
      <c r="AH437" s="562"/>
      <c r="AI437" s="562"/>
      <c r="AJ437" s="562"/>
      <c r="AK437" s="562"/>
      <c r="AL437" s="562"/>
      <c r="AM437" s="562"/>
      <c r="AN437" s="562"/>
      <c r="AO437" s="562"/>
      <c r="AP437" s="190" t="str">
        <f t="shared" ref="AP437" si="100">SUBSTITUTE(SUBSTITUTE(SUBSTITUTE("dch"&amp;$B437&amp;$C437&amp;$D437&amp;$E437&amp;$F437,".","_"),"(","_"),")","")</f>
        <v>dch610_1_2_1a</v>
      </c>
      <c r="AQ437" s="190">
        <f>W437</f>
        <v>0</v>
      </c>
      <c r="AR437" s="562"/>
      <c r="AS437" s="562"/>
      <c r="AT437" s="562"/>
      <c r="AU437" s="562"/>
      <c r="AV437" s="562"/>
      <c r="AW437" s="562"/>
      <c r="AX437" s="562"/>
      <c r="AY437" s="562"/>
    </row>
    <row r="438" spans="1:51" x14ac:dyDescent="0.2">
      <c r="B438" s="48" t="s">
        <v>2737</v>
      </c>
      <c r="C438" s="14"/>
      <c r="D438" s="14"/>
      <c r="E438" s="14"/>
      <c r="F438" s="14" t="s">
        <v>2196</v>
      </c>
      <c r="G438" s="14"/>
      <c r="H438" s="441"/>
      <c r="I438" s="99"/>
      <c r="J438" s="98"/>
      <c r="K438" s="61" t="s">
        <v>2196</v>
      </c>
      <c r="L438" s="598" t="s">
        <v>2725</v>
      </c>
      <c r="M438" s="840"/>
      <c r="N438" s="3"/>
      <c r="O438" s="609"/>
      <c r="P438" s="562"/>
      <c r="Q438" s="562"/>
      <c r="R438" s="1">
        <f ca="1">2*IFERROR(MATCH(W437,INDIRECT(U437),0),0)*S437</f>
        <v>0</v>
      </c>
      <c r="S438" s="562"/>
      <c r="T438" s="562"/>
      <c r="U438" s="562"/>
      <c r="V438" s="562"/>
      <c r="W438" s="562"/>
      <c r="X438" s="787"/>
      <c r="Y438" s="562"/>
      <c r="Z438" s="562"/>
      <c r="AA438" s="562"/>
      <c r="AB438" s="562"/>
      <c r="AC438" s="562"/>
      <c r="AD438" s="562"/>
      <c r="AE438" s="562"/>
      <c r="AF438" s="562"/>
      <c r="AG438" s="562"/>
      <c r="AH438" s="562"/>
      <c r="AI438" s="562"/>
      <c r="AJ438" s="562"/>
      <c r="AK438" s="562"/>
      <c r="AL438" s="562"/>
      <c r="AM438" s="562"/>
      <c r="AN438" s="562"/>
      <c r="AO438" s="562"/>
      <c r="AP438" s="562"/>
      <c r="AQ438" s="562"/>
      <c r="AR438" s="562"/>
      <c r="AS438" s="562"/>
      <c r="AT438" s="562"/>
      <c r="AU438" s="562"/>
      <c r="AV438" s="562"/>
      <c r="AW438" s="562"/>
      <c r="AX438" s="562"/>
      <c r="AY438" s="562"/>
    </row>
    <row r="439" spans="1:51" x14ac:dyDescent="0.2">
      <c r="B439" s="48" t="s">
        <v>2737</v>
      </c>
      <c r="C439" s="14"/>
      <c r="D439" s="14"/>
      <c r="E439" s="14"/>
      <c r="F439" s="14" t="s">
        <v>2198</v>
      </c>
      <c r="G439" s="14"/>
      <c r="H439" s="441"/>
      <c r="I439" s="99"/>
      <c r="J439" s="98"/>
      <c r="K439" s="61" t="s">
        <v>2198</v>
      </c>
      <c r="L439" s="598" t="s">
        <v>2726</v>
      </c>
      <c r="M439" s="840"/>
      <c r="N439" s="3"/>
      <c r="O439" s="609"/>
      <c r="P439" s="562"/>
      <c r="Q439" s="562"/>
      <c r="R439" s="562"/>
      <c r="S439" s="562"/>
      <c r="T439" s="562"/>
      <c r="U439" s="562"/>
      <c r="V439" s="562"/>
      <c r="W439" s="562"/>
      <c r="X439" s="787"/>
      <c r="Y439" s="562"/>
      <c r="Z439" s="562"/>
      <c r="AA439" s="562"/>
      <c r="AB439" s="562"/>
      <c r="AC439" s="562"/>
      <c r="AD439" s="562"/>
      <c r="AE439" s="562"/>
      <c r="AF439" s="562"/>
      <c r="AG439" s="562"/>
      <c r="AH439" s="562"/>
      <c r="AI439" s="562"/>
      <c r="AJ439" s="562"/>
      <c r="AK439" s="562"/>
      <c r="AL439" s="562"/>
      <c r="AM439" s="562"/>
      <c r="AN439" s="562"/>
      <c r="AO439" s="562"/>
      <c r="AP439" s="562"/>
      <c r="AQ439" s="562"/>
      <c r="AR439" s="562"/>
      <c r="AS439" s="562"/>
      <c r="AT439" s="562"/>
      <c r="AU439" s="562"/>
      <c r="AV439" s="562"/>
      <c r="AW439" s="562"/>
      <c r="AX439" s="562"/>
      <c r="AY439" s="562"/>
    </row>
    <row r="440" spans="1:51" x14ac:dyDescent="0.2">
      <c r="B440" s="48" t="s">
        <v>2737</v>
      </c>
      <c r="C440" s="14"/>
      <c r="D440" s="14"/>
      <c r="E440" s="14"/>
      <c r="F440" s="14" t="s">
        <v>2200</v>
      </c>
      <c r="G440" s="14"/>
      <c r="H440" s="441"/>
      <c r="I440" s="99"/>
      <c r="J440" s="98"/>
      <c r="K440" s="61" t="s">
        <v>2200</v>
      </c>
      <c r="L440" s="598" t="s">
        <v>2727</v>
      </c>
      <c r="M440" s="840"/>
      <c r="N440" s="3"/>
      <c r="O440" s="609"/>
      <c r="P440" s="562"/>
      <c r="Q440" s="562"/>
      <c r="R440" s="562"/>
      <c r="S440" s="562"/>
      <c r="T440" s="562"/>
      <c r="U440" s="562"/>
      <c r="V440" s="562"/>
      <c r="W440" s="562"/>
      <c r="X440" s="787"/>
      <c r="Y440" s="562"/>
      <c r="Z440" s="562"/>
      <c r="AA440" s="562"/>
      <c r="AB440" s="562"/>
      <c r="AC440" s="562"/>
      <c r="AD440" s="562"/>
      <c r="AE440" s="562"/>
      <c r="AF440" s="562"/>
      <c r="AG440" s="562"/>
      <c r="AH440" s="562"/>
      <c r="AI440" s="562"/>
      <c r="AJ440" s="562"/>
      <c r="AK440" s="562"/>
      <c r="AL440" s="562"/>
      <c r="AM440" s="562"/>
      <c r="AN440" s="562"/>
      <c r="AO440" s="562"/>
      <c r="AP440" s="562"/>
      <c r="AQ440" s="562"/>
      <c r="AR440" s="562"/>
      <c r="AS440" s="562"/>
      <c r="AT440" s="562"/>
      <c r="AU440" s="562"/>
      <c r="AV440" s="562"/>
      <c r="AW440" s="562"/>
      <c r="AX440" s="562"/>
      <c r="AY440" s="562"/>
    </row>
    <row r="441" spans="1:51" x14ac:dyDescent="0.2">
      <c r="B441" s="48" t="s">
        <v>2737</v>
      </c>
      <c r="C441" s="14"/>
      <c r="D441" s="14"/>
      <c r="E441" s="14"/>
      <c r="F441" s="19" t="s">
        <v>2247</v>
      </c>
      <c r="G441" s="19"/>
      <c r="H441" s="442"/>
      <c r="I441" s="99"/>
      <c r="J441" s="98"/>
      <c r="K441" s="79" t="s">
        <v>2247</v>
      </c>
      <c r="L441" s="598" t="s">
        <v>2728</v>
      </c>
      <c r="M441" s="840"/>
      <c r="N441" s="3"/>
      <c r="O441" s="609"/>
      <c r="P441" s="562"/>
      <c r="Q441" s="562"/>
      <c r="R441" s="562"/>
      <c r="S441" s="562"/>
      <c r="T441" s="562"/>
      <c r="U441" s="64"/>
      <c r="V441" s="562"/>
      <c r="W441" s="562"/>
      <c r="X441" s="787"/>
      <c r="Y441" s="562"/>
      <c r="Z441" s="562"/>
      <c r="AA441" s="562"/>
      <c r="AB441" s="562"/>
      <c r="AC441" s="562"/>
      <c r="AD441" s="562"/>
      <c r="AE441" s="562"/>
      <c r="AF441" s="562"/>
      <c r="AG441" s="562"/>
      <c r="AH441" s="562"/>
      <c r="AI441" s="562"/>
      <c r="AJ441" s="562"/>
      <c r="AK441" s="562"/>
      <c r="AL441" s="562"/>
      <c r="AM441" s="562"/>
      <c r="AN441" s="562"/>
      <c r="AO441" s="562"/>
      <c r="AP441" s="562"/>
      <c r="AQ441" s="562"/>
      <c r="AR441" s="562"/>
      <c r="AS441" s="562"/>
      <c r="AT441" s="562"/>
      <c r="AU441" s="562"/>
      <c r="AV441" s="562"/>
      <c r="AW441" s="562"/>
      <c r="AX441" s="562"/>
      <c r="AY441" s="562"/>
    </row>
    <row r="442" spans="1:51" x14ac:dyDescent="0.2">
      <c r="B442" s="48" t="s">
        <v>2737</v>
      </c>
      <c r="C442" s="14"/>
      <c r="D442" s="14"/>
      <c r="E442" s="14"/>
      <c r="F442" s="14" t="s">
        <v>2444</v>
      </c>
      <c r="G442" s="14"/>
      <c r="H442" s="441"/>
      <c r="I442" s="99"/>
      <c r="J442" s="98"/>
      <c r="K442" s="140" t="s">
        <v>2444</v>
      </c>
      <c r="L442" s="598" t="s">
        <v>2729</v>
      </c>
      <c r="M442" s="840"/>
      <c r="N442" s="3"/>
      <c r="O442" s="609"/>
      <c r="P442" s="562"/>
      <c r="Q442" s="562"/>
      <c r="R442" s="562"/>
      <c r="S442" s="562"/>
      <c r="T442" s="562"/>
      <c r="U442" s="562"/>
      <c r="V442" s="562"/>
      <c r="W442" s="726" t="s">
        <v>2742</v>
      </c>
      <c r="X442" s="787"/>
      <c r="Y442" s="562"/>
      <c r="Z442" s="562"/>
      <c r="AA442" s="562"/>
      <c r="AB442" s="562"/>
      <c r="AC442" s="562"/>
      <c r="AD442" s="562"/>
      <c r="AE442" s="562"/>
      <c r="AF442" s="562"/>
      <c r="AG442" s="562"/>
      <c r="AH442" s="562"/>
      <c r="AI442" s="562"/>
      <c r="AJ442" s="562"/>
      <c r="AK442" s="562"/>
      <c r="AL442" s="562"/>
      <c r="AM442" s="562"/>
      <c r="AN442" s="562"/>
      <c r="AO442" s="562"/>
      <c r="AP442" s="562"/>
      <c r="AQ442" s="562"/>
      <c r="AR442" s="562" t="str">
        <f>SUBSTITUTE(SUBSTITUTE(SUBSTITUTE("dnt"&amp;$B442&amp;$C442&amp;$D442&amp;$E442&amp;$F442,".","_"),"(","_"),")","")</f>
        <v>dnt610_1_2_1_e</v>
      </c>
      <c r="AS442" s="190">
        <f>X442</f>
        <v>0</v>
      </c>
      <c r="AT442" s="562"/>
      <c r="AU442" s="562"/>
      <c r="AV442" s="562"/>
      <c r="AW442" s="562"/>
      <c r="AX442" s="562"/>
      <c r="AY442" s="562"/>
    </row>
    <row r="443" spans="1:51" ht="15" customHeight="1" x14ac:dyDescent="0.2">
      <c r="B443" s="48" t="s">
        <v>2737</v>
      </c>
      <c r="C443" s="14"/>
      <c r="D443" s="14"/>
      <c r="E443" s="14"/>
      <c r="F443" s="14" t="s">
        <v>2540</v>
      </c>
      <c r="G443" s="14"/>
      <c r="H443" s="441"/>
      <c r="I443" s="99"/>
      <c r="J443" s="98"/>
      <c r="K443" s="61" t="s">
        <v>2540</v>
      </c>
      <c r="L443" s="598" t="s">
        <v>2730</v>
      </c>
      <c r="M443" s="840"/>
      <c r="N443" s="3"/>
      <c r="O443" s="609"/>
      <c r="P443" s="562"/>
      <c r="Q443" s="562"/>
      <c r="R443" s="562"/>
      <c r="S443" s="562"/>
      <c r="T443" s="562"/>
      <c r="U443" s="64"/>
      <c r="V443" s="562"/>
      <c r="W443" s="726"/>
      <c r="X443" s="787"/>
      <c r="Y443" s="562"/>
      <c r="Z443" s="562"/>
      <c r="AA443" s="562"/>
      <c r="AB443" s="562"/>
      <c r="AC443" s="562"/>
      <c r="AD443" s="562"/>
      <c r="AE443" s="562"/>
      <c r="AF443" s="562"/>
      <c r="AG443" s="562"/>
      <c r="AH443" s="562"/>
      <c r="AI443" s="562"/>
      <c r="AJ443" s="562"/>
      <c r="AK443" s="562"/>
      <c r="AL443" s="562"/>
      <c r="AM443" s="562"/>
      <c r="AN443" s="562"/>
      <c r="AO443" s="562"/>
      <c r="AP443" s="562"/>
      <c r="AQ443" s="562"/>
      <c r="AR443" s="562"/>
      <c r="AS443" s="562"/>
      <c r="AT443" s="562"/>
      <c r="AU443" s="562"/>
      <c r="AV443" s="562"/>
      <c r="AW443" s="562"/>
      <c r="AX443" s="562"/>
      <c r="AY443" s="562"/>
    </row>
    <row r="444" spans="1:51" x14ac:dyDescent="0.2">
      <c r="B444" s="48" t="s">
        <v>2737</v>
      </c>
      <c r="C444" s="14"/>
      <c r="D444" s="14"/>
      <c r="E444" s="14" t="s">
        <v>2331</v>
      </c>
      <c r="F444" s="14"/>
      <c r="G444" s="14"/>
      <c r="H444" s="441"/>
      <c r="I444" s="99"/>
      <c r="J444" s="98"/>
      <c r="K444" s="64"/>
      <c r="L444" s="846" t="s">
        <v>2743</v>
      </c>
      <c r="M444" s="840"/>
      <c r="N444" s="3"/>
      <c r="O444" s="609"/>
      <c r="P444" s="562" t="b">
        <v>1</v>
      </c>
      <c r="Q444" s="562" t="b">
        <v>0</v>
      </c>
      <c r="R444" s="562" t="b">
        <v>0</v>
      </c>
      <c r="S444" s="562" t="b">
        <f>COUNTIF(W413:W429,TRUE)&lt;1</f>
        <v>1</v>
      </c>
      <c r="T444" s="64" t="b">
        <f>AND(NOT(S444),LEN(W444)&gt;0)</f>
        <v>0</v>
      </c>
      <c r="U444" s="64" t="str">
        <f>SUBSTITUTE(SUBSTITUTE(SUBSTITUTE("dd"&amp;B444&amp;C444&amp;D444&amp;E444&amp;F444,".","_"),"(","_"),")","")</f>
        <v>dd610_1_2_1b</v>
      </c>
      <c r="V444" s="562"/>
      <c r="W444" s="6"/>
      <c r="X444" s="787"/>
      <c r="Y444" s="562"/>
      <c r="Z444" s="562"/>
      <c r="AA444" s="562"/>
      <c r="AB444" s="562"/>
      <c r="AC444" s="562" t="b">
        <f>OR(AD444:AE444)</f>
        <v>0</v>
      </c>
      <c r="AD444" s="562" t="b">
        <f>T444</f>
        <v>0</v>
      </c>
      <c r="AE444" s="562" t="b">
        <f>AND(NOT(ISBLANK(W444)),LEN(X442)=0)</f>
        <v>0</v>
      </c>
      <c r="AF444" s="562"/>
      <c r="AG444" s="562"/>
      <c r="AH444" s="562"/>
      <c r="AI444" s="562"/>
      <c r="AJ444" s="562"/>
      <c r="AK444" s="562"/>
      <c r="AL444" s="562"/>
      <c r="AM444" s="562"/>
      <c r="AN444" s="562"/>
      <c r="AO444" s="562"/>
      <c r="AP444" s="190" t="str">
        <f t="shared" ref="AP444" si="101">SUBSTITUTE(SUBSTITUTE(SUBSTITUTE("dch"&amp;$B444&amp;$C444&amp;$D444&amp;$E444&amp;$F444,".","_"),"(","_"),")","")</f>
        <v>dch610_1_2_1b</v>
      </c>
      <c r="AQ444" s="190">
        <f>W444</f>
        <v>0</v>
      </c>
      <c r="AR444" s="562"/>
      <c r="AS444" s="562"/>
      <c r="AT444" s="562"/>
      <c r="AU444" s="562"/>
      <c r="AV444" s="562"/>
      <c r="AW444" s="562"/>
      <c r="AX444" s="562"/>
      <c r="AY444" s="562"/>
    </row>
    <row r="445" spans="1:51" ht="15" customHeight="1" x14ac:dyDescent="0.2">
      <c r="B445" s="48" t="s">
        <v>2737</v>
      </c>
      <c r="C445" s="14"/>
      <c r="D445" s="14"/>
      <c r="E445" s="14"/>
      <c r="F445" s="14"/>
      <c r="G445" s="14"/>
      <c r="H445" s="441"/>
      <c r="I445" s="99"/>
      <c r="J445" s="98"/>
      <c r="K445" s="631"/>
      <c r="L445" s="846"/>
      <c r="M445" s="840"/>
      <c r="N445" s="3"/>
      <c r="O445" s="609"/>
      <c r="P445" s="562"/>
      <c r="Q445" s="562"/>
      <c r="R445" s="1">
        <f ca="1">3*IFERROR(MATCH(W444,INDIRECT(U444),0),0)*S444</f>
        <v>0</v>
      </c>
      <c r="S445" s="562"/>
      <c r="T445" s="562"/>
      <c r="U445" s="562"/>
      <c r="V445" s="562"/>
      <c r="W445" s="562"/>
      <c r="X445" s="787"/>
      <c r="Y445" s="562"/>
      <c r="Z445" s="562"/>
      <c r="AA445" s="562"/>
      <c r="AB445" s="562"/>
      <c r="AC445" s="562"/>
      <c r="AD445" s="562"/>
      <c r="AE445" s="562"/>
      <c r="AF445" s="562"/>
      <c r="AG445" s="562"/>
      <c r="AH445" s="562"/>
      <c r="AI445" s="562"/>
      <c r="AJ445" s="562"/>
      <c r="AK445" s="562"/>
      <c r="AL445" s="562"/>
      <c r="AM445" s="562"/>
      <c r="AN445" s="562"/>
      <c r="AO445" s="562"/>
      <c r="AP445" s="562"/>
      <c r="AQ445" s="562"/>
      <c r="AR445" s="562"/>
      <c r="AS445" s="562"/>
      <c r="AT445" s="562"/>
      <c r="AU445" s="562"/>
      <c r="AV445" s="562"/>
      <c r="AW445" s="562"/>
      <c r="AX445" s="562"/>
      <c r="AY445" s="562"/>
    </row>
    <row r="446" spans="1:51" x14ac:dyDescent="0.2">
      <c r="B446" s="48" t="s">
        <v>2737</v>
      </c>
      <c r="C446" s="14"/>
      <c r="D446" s="14"/>
      <c r="E446" s="14"/>
      <c r="F446" s="14"/>
      <c r="G446" s="14"/>
      <c r="H446" s="441"/>
      <c r="I446" s="99"/>
      <c r="J446" s="98"/>
      <c r="K446" s="631"/>
      <c r="L446" s="846"/>
      <c r="M446" s="840"/>
      <c r="N446" s="3"/>
      <c r="O446" s="609"/>
      <c r="P446" s="562"/>
      <c r="Q446" s="562"/>
      <c r="R446" s="562"/>
      <c r="S446" s="562"/>
      <c r="T446" s="562"/>
      <c r="U446" s="562"/>
      <c r="V446" s="562"/>
      <c r="W446" s="562"/>
      <c r="X446" s="787"/>
      <c r="Y446" s="562"/>
      <c r="Z446" s="562"/>
      <c r="AA446" s="562"/>
      <c r="AB446" s="562"/>
      <c r="AC446" s="562"/>
      <c r="AD446" s="562"/>
      <c r="AE446" s="562"/>
      <c r="AF446" s="562"/>
      <c r="AG446" s="562"/>
      <c r="AH446" s="562"/>
      <c r="AI446" s="562"/>
      <c r="AJ446" s="562"/>
      <c r="AK446" s="562"/>
      <c r="AL446" s="562"/>
      <c r="AM446" s="562"/>
      <c r="AN446" s="562"/>
      <c r="AO446" s="562"/>
      <c r="AP446" s="562"/>
      <c r="AQ446" s="562"/>
      <c r="AR446" s="562"/>
      <c r="AS446" s="562"/>
      <c r="AT446" s="562"/>
      <c r="AU446" s="562"/>
      <c r="AV446" s="562"/>
      <c r="AW446" s="562"/>
      <c r="AX446" s="562"/>
      <c r="AY446" s="562"/>
    </row>
    <row r="447" spans="1:51" s="117" customFormat="1" x14ac:dyDescent="0.2">
      <c r="A447" s="13"/>
      <c r="B447" s="48" t="s">
        <v>2737</v>
      </c>
      <c r="C447" s="14"/>
      <c r="D447" s="14"/>
      <c r="E447" s="14"/>
      <c r="F447" s="14"/>
      <c r="G447" s="14"/>
      <c r="H447" s="441"/>
      <c r="I447" s="99"/>
      <c r="J447" s="98"/>
      <c r="K447" s="631"/>
      <c r="L447" s="849" t="s">
        <v>2744</v>
      </c>
      <c r="M447" s="840"/>
      <c r="N447" s="3"/>
      <c r="O447" s="609"/>
      <c r="P447" s="562"/>
      <c r="Q447" s="562"/>
      <c r="R447" s="562"/>
      <c r="S447" s="562"/>
      <c r="T447" s="562"/>
      <c r="U447" s="562"/>
      <c r="V447" s="562"/>
      <c r="W447" s="562"/>
      <c r="X447" s="787"/>
      <c r="Y447" s="562"/>
      <c r="Z447" s="562"/>
      <c r="AA447" s="562"/>
      <c r="AB447" s="562"/>
      <c r="AC447" s="562"/>
      <c r="AD447" s="562"/>
      <c r="AE447" s="562"/>
      <c r="AF447" s="562"/>
      <c r="AG447" s="562"/>
      <c r="AH447" s="562"/>
      <c r="AI447" s="562"/>
      <c r="AJ447" s="562"/>
      <c r="AK447" s="562"/>
      <c r="AL447" s="562"/>
      <c r="AM447" s="562"/>
      <c r="AN447" s="562"/>
      <c r="AO447" s="562"/>
      <c r="AP447" s="562"/>
      <c r="AQ447" s="562"/>
      <c r="AR447" s="562"/>
      <c r="AS447" s="562"/>
      <c r="AT447" s="562"/>
      <c r="AU447" s="562"/>
      <c r="AV447" s="562"/>
      <c r="AW447" s="562"/>
      <c r="AX447" s="562"/>
      <c r="AY447" s="562"/>
    </row>
    <row r="448" spans="1:51" s="117" customFormat="1" x14ac:dyDescent="0.2">
      <c r="A448" s="13"/>
      <c r="B448" s="48" t="s">
        <v>2737</v>
      </c>
      <c r="C448" s="14"/>
      <c r="D448" s="14"/>
      <c r="E448" s="14"/>
      <c r="F448" s="14"/>
      <c r="G448" s="14"/>
      <c r="H448" s="441"/>
      <c r="I448" s="170"/>
      <c r="J448" s="165"/>
      <c r="K448" s="637"/>
      <c r="L448" s="850"/>
      <c r="M448" s="841"/>
      <c r="N448" s="3"/>
      <c r="O448" s="609"/>
      <c r="P448" s="562"/>
      <c r="Q448" s="562"/>
      <c r="R448" s="562"/>
      <c r="S448" s="562"/>
      <c r="T448" s="562"/>
      <c r="U448" s="562"/>
      <c r="V448" s="562"/>
      <c r="W448" s="562"/>
      <c r="X448" s="787"/>
      <c r="Y448" s="562"/>
      <c r="Z448" s="562"/>
      <c r="AA448" s="562"/>
      <c r="AB448" s="562"/>
      <c r="AC448" s="562"/>
      <c r="AD448" s="562"/>
      <c r="AE448" s="562"/>
      <c r="AF448" s="562"/>
      <c r="AG448" s="562"/>
      <c r="AH448" s="562"/>
      <c r="AI448" s="562"/>
      <c r="AJ448" s="562"/>
      <c r="AK448" s="562"/>
      <c r="AL448" s="562"/>
      <c r="AM448" s="562"/>
      <c r="AN448" s="562"/>
      <c r="AO448" s="562"/>
      <c r="AP448" s="562"/>
      <c r="AQ448" s="562"/>
      <c r="AR448" s="562"/>
      <c r="AS448" s="562"/>
      <c r="AT448" s="562"/>
      <c r="AU448" s="562"/>
      <c r="AV448" s="562"/>
      <c r="AW448" s="562"/>
      <c r="AX448" s="562"/>
      <c r="AY448" s="562"/>
    </row>
    <row r="449" spans="1:51" s="117" customFormat="1" x14ac:dyDescent="0.2">
      <c r="A449" s="13"/>
      <c r="B449" s="48" t="s">
        <v>2745</v>
      </c>
      <c r="C449" s="14"/>
      <c r="D449" s="14"/>
      <c r="E449" s="14" t="s">
        <v>2329</v>
      </c>
      <c r="F449" s="14"/>
      <c r="G449" s="14"/>
      <c r="H449" s="441"/>
      <c r="I449" s="40" t="s">
        <v>2746</v>
      </c>
      <c r="J449" s="3"/>
      <c r="K449" s="53"/>
      <c r="L449" s="775" t="s">
        <v>2747</v>
      </c>
      <c r="M449" s="842" t="s">
        <v>2748</v>
      </c>
      <c r="N449" s="3"/>
      <c r="O449" s="609"/>
      <c r="P449" s="562"/>
      <c r="Q449" s="562"/>
      <c r="R449" s="562">
        <f ca="1">COUNTIF(W450:W468,INDEX(INDIRECT(U450),1))*S450</f>
        <v>0</v>
      </c>
      <c r="S449" s="562">
        <f ca="1">COUNTIF(W450:W468,INDEX(INDIRECT(U450),2))*S450</f>
        <v>0</v>
      </c>
      <c r="T449" s="562"/>
      <c r="U449" s="562"/>
      <c r="V449" s="562"/>
      <c r="W449" s="562" t="s">
        <v>2749</v>
      </c>
      <c r="X449" s="787"/>
      <c r="Y449" s="562"/>
      <c r="Z449" s="562"/>
      <c r="AA449" s="562"/>
      <c r="AB449" s="562"/>
      <c r="AC449" s="562"/>
      <c r="AD449" s="562"/>
      <c r="AE449" s="562"/>
      <c r="AF449" s="562"/>
      <c r="AG449" s="562"/>
      <c r="AH449" s="562"/>
      <c r="AI449" s="562"/>
      <c r="AJ449" s="562"/>
      <c r="AK449" s="562"/>
      <c r="AL449" s="190" t="str">
        <f>SUBSTITUTE(SUBSTITUTE(SUBSTITUTE("dpa"&amp;$B449&amp;$C449&amp;$D449&amp;$E449&amp;$F449,".","_"),"(","_"),")","")</f>
        <v>dpa610_1_2_2a</v>
      </c>
      <c r="AM449" s="190" t="str">
        <f>M449</f>
        <v>per Table 11.610.1.2.2
10 Max</v>
      </c>
      <c r="AN449" s="562"/>
      <c r="AO449" s="562"/>
      <c r="AP449" s="562"/>
      <c r="AQ449" s="562"/>
      <c r="AR449" s="562" t="str">
        <f>SUBSTITUTE(SUBSTITUTE(SUBSTITUTE("dnt"&amp;$B449&amp;$C449&amp;$D449&amp;$E449&amp;$F449,".","_"),"(","_"),")","")</f>
        <v>dnt610_1_2_2a</v>
      </c>
      <c r="AS449" s="190">
        <f>X449</f>
        <v>0</v>
      </c>
      <c r="AT449" s="562"/>
      <c r="AU449" s="562"/>
      <c r="AV449" s="562"/>
      <c r="AW449" s="562"/>
      <c r="AX449" s="562"/>
      <c r="AY449" s="562"/>
    </row>
    <row r="450" spans="1:51" ht="15" customHeight="1" x14ac:dyDescent="0.2">
      <c r="B450" s="48" t="s">
        <v>2745</v>
      </c>
      <c r="C450" s="14"/>
      <c r="D450" s="14"/>
      <c r="E450" s="14" t="s">
        <v>2329</v>
      </c>
      <c r="F450" s="14"/>
      <c r="G450" s="14"/>
      <c r="H450" s="441"/>
      <c r="I450" s="40"/>
      <c r="J450" s="3"/>
      <c r="K450" s="53"/>
      <c r="L450" s="775"/>
      <c r="M450" s="842"/>
      <c r="N450" s="3"/>
      <c r="O450" s="609"/>
      <c r="P450" s="562" t="b">
        <v>1</v>
      </c>
      <c r="Q450" s="562" t="b">
        <v>0</v>
      </c>
      <c r="R450" s="562" t="b">
        <v>0</v>
      </c>
      <c r="S450" s="562" t="b">
        <f>COUNTIF(W413:W429,TRUE)&lt;1</f>
        <v>1</v>
      </c>
      <c r="T450" s="64" t="b">
        <f>AND(NOT(S450),LEN(W450)&gt;0)</f>
        <v>0</v>
      </c>
      <c r="U450" s="64" t="str">
        <f>SUBSTITUTE(SUBSTITUTE(SUBSTITUTE("dd"&amp;B450&amp;C450&amp;D450&amp;E450&amp;F450,".","_"),"(","_"),")","")</f>
        <v>dd610_1_2_2a</v>
      </c>
      <c r="V450" s="562"/>
      <c r="W450" s="6"/>
      <c r="X450" s="787"/>
      <c r="Y450" s="562"/>
      <c r="Z450" s="562"/>
      <c r="AA450" s="562"/>
      <c r="AB450" s="562"/>
      <c r="AC450" s="562" t="b">
        <f>OR(AD450:AE450)</f>
        <v>0</v>
      </c>
      <c r="AD450" s="562" t="b">
        <f>T450</f>
        <v>0</v>
      </c>
      <c r="AE450" s="562" t="b">
        <f>AND(NOT(ISBLANK(W450)),LEN(X449)=0)</f>
        <v>0</v>
      </c>
      <c r="AF450" s="562"/>
      <c r="AG450" s="562"/>
      <c r="AH450" s="562"/>
      <c r="AI450" s="562"/>
      <c r="AJ450" s="562"/>
      <c r="AK450" s="562"/>
      <c r="AL450" s="562"/>
      <c r="AM450" s="562"/>
      <c r="AN450" s="562"/>
      <c r="AO450" s="562"/>
      <c r="AP450" s="190" t="str">
        <f t="shared" ref="AP450" si="102">SUBSTITUTE(SUBSTITUTE(SUBSTITUTE("dch"&amp;$B450&amp;$C450&amp;$D450&amp;$E450&amp;$F450,".","_"),"(","_"),")","")</f>
        <v>dch610_1_2_2a</v>
      </c>
      <c r="AQ450" s="190">
        <f>W450</f>
        <v>0</v>
      </c>
      <c r="AR450" s="562"/>
      <c r="AS450" s="562"/>
      <c r="AT450" s="562"/>
      <c r="AU450" s="562"/>
      <c r="AV450" s="562"/>
      <c r="AW450" s="562"/>
      <c r="AX450" s="562"/>
      <c r="AY450" s="562"/>
    </row>
    <row r="451" spans="1:51" x14ac:dyDescent="0.2">
      <c r="B451" s="48" t="s">
        <v>2745</v>
      </c>
      <c r="C451" s="14"/>
      <c r="D451" s="14"/>
      <c r="E451" s="14"/>
      <c r="F451" s="14"/>
      <c r="G451" s="14"/>
      <c r="H451" s="441"/>
      <c r="I451" s="40"/>
      <c r="J451" s="3"/>
      <c r="K451" s="53"/>
      <c r="L451" s="775"/>
      <c r="M451" s="842"/>
      <c r="N451" s="3"/>
      <c r="O451" s="609"/>
      <c r="P451" s="562"/>
      <c r="Q451" s="562"/>
      <c r="R451" s="562"/>
      <c r="S451" s="562"/>
      <c r="T451" s="562"/>
      <c r="U451" s="562"/>
      <c r="V451" s="562"/>
      <c r="W451" s="562"/>
      <c r="X451" s="787"/>
      <c r="Y451" s="562"/>
      <c r="Z451" s="562"/>
      <c r="AA451" s="562"/>
      <c r="AB451" s="562"/>
      <c r="AC451" s="562"/>
      <c r="AD451" s="562"/>
      <c r="AE451" s="562"/>
      <c r="AF451" s="562"/>
      <c r="AG451" s="562"/>
      <c r="AH451" s="562"/>
      <c r="AI451" s="562"/>
      <c r="AJ451" s="562"/>
      <c r="AK451" s="562"/>
      <c r="AL451" s="562"/>
      <c r="AM451" s="562"/>
      <c r="AN451" s="562"/>
      <c r="AO451" s="562"/>
      <c r="AP451" s="562"/>
      <c r="AQ451" s="562"/>
      <c r="AR451" s="562"/>
      <c r="AS451" s="562"/>
      <c r="AT451" s="562"/>
      <c r="AU451" s="562"/>
      <c r="AV451" s="562"/>
      <c r="AW451" s="562"/>
      <c r="AX451" s="562"/>
      <c r="AY451" s="562"/>
    </row>
    <row r="452" spans="1:51" x14ac:dyDescent="0.2">
      <c r="B452" s="48" t="s">
        <v>2745</v>
      </c>
      <c r="C452" s="14"/>
      <c r="D452" s="14"/>
      <c r="E452" s="14"/>
      <c r="F452" s="14"/>
      <c r="G452" s="14"/>
      <c r="H452" s="441"/>
      <c r="I452" s="40"/>
      <c r="J452" s="3"/>
      <c r="K452" s="53"/>
      <c r="L452" s="775"/>
      <c r="M452" s="842"/>
      <c r="N452" s="3"/>
      <c r="O452" s="609"/>
      <c r="P452" s="562"/>
      <c r="Q452" s="562"/>
      <c r="R452" s="562"/>
      <c r="S452" s="562"/>
      <c r="T452" s="562"/>
      <c r="U452" s="562"/>
      <c r="V452" s="562"/>
      <c r="W452" s="562"/>
      <c r="X452" s="787"/>
      <c r="Y452" s="562"/>
      <c r="Z452" s="562"/>
      <c r="AA452" s="562"/>
      <c r="AB452" s="562"/>
      <c r="AC452" s="562"/>
      <c r="AD452" s="562"/>
      <c r="AE452" s="562"/>
      <c r="AF452" s="562"/>
      <c r="AG452" s="562"/>
      <c r="AH452" s="562"/>
      <c r="AI452" s="562"/>
      <c r="AJ452" s="562"/>
      <c r="AK452" s="562"/>
      <c r="AL452" s="562"/>
      <c r="AM452" s="562"/>
      <c r="AN452" s="562"/>
      <c r="AO452" s="562"/>
      <c r="AP452" s="562"/>
      <c r="AQ452" s="562"/>
      <c r="AR452" s="562"/>
      <c r="AS452" s="562"/>
      <c r="AT452" s="562"/>
      <c r="AU452" s="562"/>
      <c r="AV452" s="562"/>
      <c r="AW452" s="562"/>
      <c r="AX452" s="562"/>
      <c r="AY452" s="562"/>
    </row>
    <row r="453" spans="1:51" x14ac:dyDescent="0.2">
      <c r="B453" s="48" t="s">
        <v>2745</v>
      </c>
      <c r="C453" s="14"/>
      <c r="D453" s="14"/>
      <c r="E453" s="14"/>
      <c r="F453" s="14"/>
      <c r="G453" s="14"/>
      <c r="H453" s="441"/>
      <c r="I453" s="40"/>
      <c r="J453" s="3"/>
      <c r="K453" s="53"/>
      <c r="L453" s="775"/>
      <c r="M453" s="842"/>
      <c r="N453" s="3"/>
      <c r="O453" s="609"/>
      <c r="P453" s="562"/>
      <c r="Q453" s="562"/>
      <c r="R453" s="562"/>
      <c r="S453" s="562"/>
      <c r="T453" s="562"/>
      <c r="U453" s="562"/>
      <c r="V453" s="562"/>
      <c r="W453" s="562"/>
      <c r="X453" s="787"/>
      <c r="Y453" s="562"/>
      <c r="Z453" s="562"/>
      <c r="AA453" s="562"/>
      <c r="AB453" s="562"/>
      <c r="AC453" s="562"/>
      <c r="AD453" s="562"/>
      <c r="AE453" s="562"/>
      <c r="AF453" s="562"/>
      <c r="AG453" s="562"/>
      <c r="AH453" s="562"/>
      <c r="AI453" s="562"/>
      <c r="AJ453" s="562"/>
      <c r="AK453" s="562"/>
      <c r="AL453" s="562"/>
      <c r="AM453" s="562"/>
      <c r="AN453" s="562"/>
      <c r="AO453" s="562"/>
      <c r="AP453" s="562"/>
      <c r="AQ453" s="562"/>
      <c r="AR453" s="562"/>
      <c r="AS453" s="562"/>
      <c r="AT453" s="562"/>
      <c r="AU453" s="562"/>
      <c r="AV453" s="562"/>
      <c r="AW453" s="562"/>
      <c r="AX453" s="562"/>
      <c r="AY453" s="562"/>
    </row>
    <row r="454" spans="1:51" x14ac:dyDescent="0.2">
      <c r="B454" s="48" t="s">
        <v>2745</v>
      </c>
      <c r="C454" s="14"/>
      <c r="D454" s="14"/>
      <c r="E454" s="14"/>
      <c r="F454" s="14"/>
      <c r="G454" s="14"/>
      <c r="H454" s="441"/>
      <c r="I454" s="40"/>
      <c r="J454" s="3"/>
      <c r="K454" s="53"/>
      <c r="L454" s="775"/>
      <c r="M454" s="842"/>
      <c r="N454" s="3"/>
      <c r="O454" s="609"/>
      <c r="P454" s="562"/>
      <c r="Q454" s="562"/>
      <c r="R454" s="562"/>
      <c r="S454" s="562"/>
      <c r="T454" s="562"/>
      <c r="U454" s="562"/>
      <c r="V454" s="562"/>
      <c r="W454" s="562"/>
      <c r="X454" s="787"/>
      <c r="Y454" s="562"/>
      <c r="Z454" s="562"/>
      <c r="AA454" s="562"/>
      <c r="AB454" s="562"/>
      <c r="AC454" s="562"/>
      <c r="AD454" s="562"/>
      <c r="AE454" s="562"/>
      <c r="AF454" s="562"/>
      <c r="AG454" s="562"/>
      <c r="AH454" s="562"/>
      <c r="AI454" s="562"/>
      <c r="AJ454" s="562"/>
      <c r="AK454" s="562"/>
      <c r="AL454" s="562"/>
      <c r="AM454" s="562"/>
      <c r="AN454" s="562"/>
      <c r="AO454" s="562"/>
      <c r="AP454" s="562"/>
      <c r="AQ454" s="562"/>
      <c r="AR454" s="562"/>
      <c r="AS454" s="562"/>
      <c r="AT454" s="562"/>
      <c r="AU454" s="562"/>
      <c r="AV454" s="562"/>
      <c r="AW454" s="562"/>
      <c r="AX454" s="562"/>
      <c r="AY454" s="562"/>
    </row>
    <row r="455" spans="1:51" x14ac:dyDescent="0.2">
      <c r="B455" s="48" t="s">
        <v>2745</v>
      </c>
      <c r="C455" s="14"/>
      <c r="D455" s="14"/>
      <c r="E455" s="14" t="s">
        <v>2331</v>
      </c>
      <c r="F455" s="14"/>
      <c r="G455" s="14"/>
      <c r="H455" s="441"/>
      <c r="I455" s="40"/>
      <c r="J455" s="3"/>
      <c r="K455" s="53"/>
      <c r="L455" s="775"/>
      <c r="M455" s="842"/>
      <c r="N455" s="3"/>
      <c r="O455" s="609"/>
      <c r="P455" s="562"/>
      <c r="Q455" s="562"/>
      <c r="R455" s="562"/>
      <c r="S455" s="562"/>
      <c r="T455" s="562"/>
      <c r="U455" s="562"/>
      <c r="V455" s="562"/>
      <c r="W455" s="562" t="s">
        <v>2750</v>
      </c>
      <c r="X455" s="787"/>
      <c r="Y455" s="562"/>
      <c r="Z455" s="562"/>
      <c r="AA455" s="562"/>
      <c r="AB455" s="562"/>
      <c r="AC455" s="562"/>
      <c r="AD455" s="562"/>
      <c r="AE455" s="562"/>
      <c r="AF455" s="562"/>
      <c r="AG455" s="562"/>
      <c r="AH455" s="562"/>
      <c r="AI455" s="562"/>
      <c r="AJ455" s="562"/>
      <c r="AK455" s="562"/>
      <c r="AL455" s="562"/>
      <c r="AM455" s="562"/>
      <c r="AN455" s="562"/>
      <c r="AO455" s="562"/>
      <c r="AP455" s="562"/>
      <c r="AQ455" s="562"/>
      <c r="AR455" s="562" t="str">
        <f>SUBSTITUTE(SUBSTITUTE(SUBSTITUTE("dnt"&amp;$B455&amp;$C455&amp;$D455&amp;$E455&amp;$F455,".","_"),"(","_"),")","")</f>
        <v>dnt610_1_2_2b</v>
      </c>
      <c r="AS455" s="190">
        <f>X455</f>
        <v>0</v>
      </c>
      <c r="AT455" s="562"/>
      <c r="AU455" s="562"/>
      <c r="AV455" s="562"/>
      <c r="AW455" s="562"/>
      <c r="AX455" s="562"/>
      <c r="AY455" s="562"/>
    </row>
    <row r="456" spans="1:51" x14ac:dyDescent="0.2">
      <c r="B456" s="48" t="s">
        <v>2745</v>
      </c>
      <c r="C456" s="14"/>
      <c r="D456" s="14"/>
      <c r="E456" s="14" t="s">
        <v>2331</v>
      </c>
      <c r="F456" s="14"/>
      <c r="G456" s="14"/>
      <c r="H456" s="441"/>
      <c r="I456" s="40"/>
      <c r="J456" s="3"/>
      <c r="K456" s="53"/>
      <c r="L456" s="775"/>
      <c r="M456" s="842"/>
      <c r="N456" s="3"/>
      <c r="O456" s="609"/>
      <c r="P456" s="562" t="b">
        <v>1</v>
      </c>
      <c r="Q456" s="562" t="b">
        <v>0</v>
      </c>
      <c r="R456" s="562" t="b">
        <v>0</v>
      </c>
      <c r="S456" s="562" t="b">
        <f>COUNTIF(W413:W429,TRUE)&lt;1</f>
        <v>1</v>
      </c>
      <c r="T456" s="64" t="b">
        <f>AND(NOT(S456),LEN(W456)&gt;0)</f>
        <v>0</v>
      </c>
      <c r="U456" s="64" t="str">
        <f>SUBSTITUTE(SUBSTITUTE(SUBSTITUTE("dd"&amp;B456&amp;C456&amp;D456&amp;E456&amp;F456,".","_"),"(","_"),")","")</f>
        <v>dd610_1_2_2b</v>
      </c>
      <c r="V456" s="562"/>
      <c r="W456" s="6"/>
      <c r="X456" s="787"/>
      <c r="Y456" s="562"/>
      <c r="Z456" s="562"/>
      <c r="AA456" s="562"/>
      <c r="AB456" s="562"/>
      <c r="AC456" s="562" t="b">
        <f>OR(AD456:AE456)</f>
        <v>0</v>
      </c>
      <c r="AD456" s="562" t="b">
        <f>T456</f>
        <v>0</v>
      </c>
      <c r="AE456" s="562" t="b">
        <f>AND(NOT(ISBLANK(W456)),LEN(X455)=0)</f>
        <v>0</v>
      </c>
      <c r="AF456" s="562"/>
      <c r="AG456" s="562"/>
      <c r="AH456" s="562"/>
      <c r="AI456" s="562"/>
      <c r="AJ456" s="562"/>
      <c r="AK456" s="562"/>
      <c r="AL456" s="562"/>
      <c r="AM456" s="562"/>
      <c r="AN456" s="562"/>
      <c r="AO456" s="562"/>
      <c r="AP456" s="190" t="str">
        <f t="shared" ref="AP456" si="103">SUBSTITUTE(SUBSTITUTE(SUBSTITUTE("dch"&amp;$B456&amp;$C456&amp;$D456&amp;$E456&amp;$F456,".","_"),"(","_"),")","")</f>
        <v>dch610_1_2_2b</v>
      </c>
      <c r="AQ456" s="190">
        <f>W456</f>
        <v>0</v>
      </c>
      <c r="AR456" s="562"/>
      <c r="AS456" s="562"/>
      <c r="AT456" s="562"/>
      <c r="AU456" s="562"/>
      <c r="AV456" s="562"/>
      <c r="AW456" s="562"/>
      <c r="AX456" s="562"/>
      <c r="AY456" s="562"/>
    </row>
    <row r="457" spans="1:51" x14ac:dyDescent="0.2">
      <c r="B457" s="48" t="s">
        <v>2745</v>
      </c>
      <c r="C457" s="14"/>
      <c r="D457" s="14"/>
      <c r="E457" s="14"/>
      <c r="F457" s="14" t="s">
        <v>2196</v>
      </c>
      <c r="G457" s="14"/>
      <c r="H457" s="441"/>
      <c r="I457" s="40"/>
      <c r="J457" s="3"/>
      <c r="K457" s="57" t="s">
        <v>2196</v>
      </c>
      <c r="L457" s="632" t="s">
        <v>2751</v>
      </c>
      <c r="M457" s="842"/>
      <c r="N457" s="3"/>
      <c r="O457" s="609"/>
      <c r="P457" s="562"/>
      <c r="Q457" s="562"/>
      <c r="R457" s="562"/>
      <c r="S457" s="562"/>
      <c r="T457" s="562"/>
      <c r="U457" s="64"/>
      <c r="V457" s="562"/>
      <c r="W457" s="562"/>
      <c r="X457" s="787"/>
      <c r="Y457" s="562"/>
      <c r="Z457" s="562"/>
      <c r="AA457" s="562"/>
      <c r="AB457" s="562"/>
      <c r="AC457" s="562"/>
      <c r="AD457" s="562"/>
      <c r="AE457" s="562"/>
      <c r="AF457" s="562"/>
      <c r="AG457" s="562"/>
      <c r="AH457" s="562"/>
      <c r="AI457" s="562"/>
      <c r="AJ457" s="562"/>
      <c r="AK457" s="562"/>
      <c r="AL457" s="562"/>
      <c r="AM457" s="562"/>
      <c r="AN457" s="562"/>
      <c r="AO457" s="562"/>
      <c r="AP457" s="562"/>
      <c r="AQ457" s="562"/>
      <c r="AR457" s="562"/>
      <c r="AS457" s="562"/>
      <c r="AT457" s="562"/>
      <c r="AU457" s="562"/>
      <c r="AV457" s="562"/>
      <c r="AW457" s="562"/>
      <c r="AX457" s="562"/>
      <c r="AY457" s="562"/>
    </row>
    <row r="458" spans="1:51" x14ac:dyDescent="0.2">
      <c r="B458" s="48" t="s">
        <v>2745</v>
      </c>
      <c r="C458" s="14"/>
      <c r="D458" s="14"/>
      <c r="E458" s="14"/>
      <c r="F458" s="14" t="s">
        <v>2198</v>
      </c>
      <c r="G458" s="14"/>
      <c r="H458" s="441"/>
      <c r="I458" s="40"/>
      <c r="J458" s="3"/>
      <c r="K458" s="57" t="s">
        <v>2198</v>
      </c>
      <c r="L458" s="632" t="s">
        <v>2752</v>
      </c>
      <c r="M458" s="842"/>
      <c r="N458" s="3"/>
      <c r="O458" s="609"/>
      <c r="P458" s="562"/>
      <c r="Q458" s="562"/>
      <c r="R458" s="562"/>
      <c r="S458" s="562"/>
      <c r="T458" s="562"/>
      <c r="U458" s="64"/>
      <c r="V458" s="562"/>
      <c r="W458" s="562"/>
      <c r="X458" s="787"/>
      <c r="Y458" s="562"/>
      <c r="Z458" s="562"/>
      <c r="AA458" s="562"/>
      <c r="AB458" s="562"/>
      <c r="AC458" s="562"/>
      <c r="AD458" s="562"/>
      <c r="AE458" s="562"/>
      <c r="AF458" s="562"/>
      <c r="AG458" s="562"/>
      <c r="AH458" s="562"/>
      <c r="AI458" s="562"/>
      <c r="AJ458" s="562"/>
      <c r="AK458" s="562"/>
      <c r="AL458" s="562"/>
      <c r="AM458" s="562"/>
      <c r="AN458" s="562"/>
      <c r="AO458" s="562"/>
      <c r="AP458" s="562"/>
      <c r="AQ458" s="562"/>
      <c r="AR458" s="562"/>
      <c r="AS458" s="562"/>
      <c r="AT458" s="562"/>
      <c r="AU458" s="562"/>
      <c r="AV458" s="562"/>
      <c r="AW458" s="562"/>
      <c r="AX458" s="562"/>
      <c r="AY458" s="562"/>
    </row>
    <row r="459" spans="1:51" x14ac:dyDescent="0.2">
      <c r="B459" s="48" t="s">
        <v>2745</v>
      </c>
      <c r="C459" s="14"/>
      <c r="D459" s="14"/>
      <c r="E459" s="14"/>
      <c r="F459" s="14" t="s">
        <v>2200</v>
      </c>
      <c r="G459" s="14"/>
      <c r="H459" s="441"/>
      <c r="I459" s="40"/>
      <c r="J459" s="3"/>
      <c r="K459" s="57" t="s">
        <v>2200</v>
      </c>
      <c r="L459" s="632" t="s">
        <v>2753</v>
      </c>
      <c r="M459" s="842"/>
      <c r="N459" s="3"/>
      <c r="O459" s="609"/>
      <c r="P459" s="562"/>
      <c r="Q459" s="562"/>
      <c r="R459" s="562"/>
      <c r="S459" s="562"/>
      <c r="T459" s="562"/>
      <c r="U459" s="64"/>
      <c r="V459" s="562"/>
      <c r="W459" s="562"/>
      <c r="X459" s="787"/>
      <c r="Y459" s="562"/>
      <c r="Z459" s="562"/>
      <c r="AA459" s="562"/>
      <c r="AB459" s="562"/>
      <c r="AC459" s="562"/>
      <c r="AD459" s="562"/>
      <c r="AE459" s="562"/>
      <c r="AF459" s="562"/>
      <c r="AG459" s="562"/>
      <c r="AH459" s="562"/>
      <c r="AI459" s="562"/>
      <c r="AJ459" s="562"/>
      <c r="AK459" s="562"/>
      <c r="AL459" s="562"/>
      <c r="AM459" s="562"/>
      <c r="AN459" s="562"/>
      <c r="AO459" s="562"/>
      <c r="AP459" s="562"/>
      <c r="AQ459" s="562"/>
      <c r="AR459" s="562"/>
      <c r="AS459" s="562"/>
      <c r="AT459" s="562"/>
      <c r="AU459" s="562"/>
      <c r="AV459" s="562"/>
      <c r="AW459" s="562"/>
      <c r="AX459" s="562"/>
      <c r="AY459" s="562"/>
    </row>
    <row r="460" spans="1:51" x14ac:dyDescent="0.2">
      <c r="B460" s="48" t="s">
        <v>2745</v>
      </c>
      <c r="C460" s="14"/>
      <c r="D460" s="14"/>
      <c r="E460" s="14"/>
      <c r="F460" s="19" t="s">
        <v>2247</v>
      </c>
      <c r="G460" s="19"/>
      <c r="H460" s="442"/>
      <c r="I460" s="40"/>
      <c r="J460" s="3"/>
      <c r="K460" s="59" t="s">
        <v>2247</v>
      </c>
      <c r="L460" s="632" t="s">
        <v>2754</v>
      </c>
      <c r="M460" s="842"/>
      <c r="N460" s="3"/>
      <c r="O460" s="609"/>
      <c r="P460" s="562"/>
      <c r="Q460" s="562"/>
      <c r="R460" s="562"/>
      <c r="S460" s="562"/>
      <c r="T460" s="562"/>
      <c r="U460" s="64"/>
      <c r="V460" s="562"/>
      <c r="W460" s="562"/>
      <c r="X460" s="787"/>
      <c r="Y460" s="562"/>
      <c r="Z460" s="562"/>
      <c r="AA460" s="562"/>
      <c r="AB460" s="562"/>
      <c r="AC460" s="562"/>
      <c r="AD460" s="562"/>
      <c r="AE460" s="562"/>
      <c r="AF460" s="562"/>
      <c r="AG460" s="562"/>
      <c r="AH460" s="562"/>
      <c r="AI460" s="562"/>
      <c r="AJ460" s="562"/>
      <c r="AK460" s="562"/>
      <c r="AL460" s="562"/>
      <c r="AM460" s="562"/>
      <c r="AN460" s="562"/>
      <c r="AO460" s="562"/>
      <c r="AP460" s="562"/>
      <c r="AQ460" s="562"/>
      <c r="AR460" s="562"/>
      <c r="AS460" s="562"/>
      <c r="AT460" s="562"/>
      <c r="AU460" s="562"/>
      <c r="AV460" s="562"/>
      <c r="AW460" s="562"/>
      <c r="AX460" s="562"/>
      <c r="AY460" s="562"/>
    </row>
    <row r="461" spans="1:51" x14ac:dyDescent="0.2">
      <c r="B461" s="48" t="s">
        <v>2745</v>
      </c>
      <c r="C461" s="14"/>
      <c r="D461" s="14"/>
      <c r="E461" s="14" t="s">
        <v>2333</v>
      </c>
      <c r="F461" s="14"/>
      <c r="G461" s="14"/>
      <c r="H461" s="441"/>
      <c r="I461" s="40"/>
      <c r="J461" s="3"/>
      <c r="K461" s="53"/>
      <c r="L461" s="848" t="s">
        <v>2755</v>
      </c>
      <c r="M461" s="842"/>
      <c r="N461" s="3"/>
      <c r="O461" s="609"/>
      <c r="P461" s="562"/>
      <c r="Q461" s="562"/>
      <c r="R461" s="562"/>
      <c r="S461" s="562"/>
      <c r="T461" s="562"/>
      <c r="U461" s="562"/>
      <c r="V461" s="562"/>
      <c r="W461" s="562" t="s">
        <v>2756</v>
      </c>
      <c r="X461" s="787"/>
      <c r="Y461" s="562"/>
      <c r="Z461" s="562"/>
      <c r="AA461" s="562"/>
      <c r="AB461" s="562"/>
      <c r="AC461" s="562"/>
      <c r="AD461" s="562"/>
      <c r="AE461" s="562"/>
      <c r="AF461" s="562"/>
      <c r="AG461" s="562"/>
      <c r="AH461" s="562"/>
      <c r="AI461" s="562"/>
      <c r="AJ461" s="562"/>
      <c r="AK461" s="562"/>
      <c r="AL461" s="562"/>
      <c r="AM461" s="562"/>
      <c r="AN461" s="562"/>
      <c r="AO461" s="562"/>
      <c r="AP461" s="562"/>
      <c r="AQ461" s="562"/>
      <c r="AR461" s="562" t="str">
        <f>SUBSTITUTE(SUBSTITUTE(SUBSTITUTE("dnt"&amp;$B461&amp;$C461&amp;$D461&amp;$E461&amp;$F461,".","_"),"(","_"),")","")</f>
        <v>dnt610_1_2_2c</v>
      </c>
      <c r="AS461" s="190">
        <f>X461</f>
        <v>0</v>
      </c>
      <c r="AT461" s="562"/>
      <c r="AU461" s="562"/>
      <c r="AV461" s="562"/>
      <c r="AW461" s="562"/>
      <c r="AX461" s="562"/>
      <c r="AY461" s="562"/>
    </row>
    <row r="462" spans="1:51" x14ac:dyDescent="0.2">
      <c r="B462" s="48" t="s">
        <v>2745</v>
      </c>
      <c r="C462" s="14"/>
      <c r="D462" s="14"/>
      <c r="E462" s="14" t="s">
        <v>2333</v>
      </c>
      <c r="F462" s="14"/>
      <c r="G462" s="14"/>
      <c r="H462" s="441"/>
      <c r="I462" s="40"/>
      <c r="J462" s="3"/>
      <c r="K462" s="53"/>
      <c r="L462" s="848"/>
      <c r="M462" s="842"/>
      <c r="N462" s="3"/>
      <c r="O462" s="609"/>
      <c r="P462" s="562" t="b">
        <v>1</v>
      </c>
      <c r="Q462" s="562" t="b">
        <v>0</v>
      </c>
      <c r="R462" s="562" t="b">
        <v>0</v>
      </c>
      <c r="S462" s="562" t="b">
        <f>COUNTIF(W413:W429,TRUE)&lt;1</f>
        <v>1</v>
      </c>
      <c r="T462" s="64" t="b">
        <f>AND(NOT(S462),LEN(W462)&gt;0)</f>
        <v>0</v>
      </c>
      <c r="U462" s="64" t="str">
        <f>SUBSTITUTE(SUBSTITUTE(SUBSTITUTE("dd"&amp;B462&amp;C462&amp;D462&amp;E462&amp;F462,".","_"),"(","_"),")","")</f>
        <v>dd610_1_2_2c</v>
      </c>
      <c r="V462" s="562"/>
      <c r="W462" s="6"/>
      <c r="X462" s="787"/>
      <c r="Y462" s="562"/>
      <c r="Z462" s="562"/>
      <c r="AA462" s="562"/>
      <c r="AB462" s="562"/>
      <c r="AC462" s="562" t="b">
        <f>OR(AD462:AE462)</f>
        <v>0</v>
      </c>
      <c r="AD462" s="562" t="b">
        <f>T462</f>
        <v>0</v>
      </c>
      <c r="AE462" s="562" t="b">
        <f>AND(NOT(ISBLANK(W462)),LEN(X461)=0)</f>
        <v>0</v>
      </c>
      <c r="AF462" s="562"/>
      <c r="AG462" s="562"/>
      <c r="AH462" s="562"/>
      <c r="AI462" s="562"/>
      <c r="AJ462" s="562"/>
      <c r="AK462" s="562"/>
      <c r="AL462" s="562"/>
      <c r="AM462" s="562"/>
      <c r="AN462" s="562"/>
      <c r="AO462" s="562"/>
      <c r="AP462" s="190" t="str">
        <f t="shared" ref="AP462" si="104">SUBSTITUTE(SUBSTITUTE(SUBSTITUTE("dch"&amp;$B462&amp;$C462&amp;$D462&amp;$E462&amp;$F462,".","_"),"(","_"),")","")</f>
        <v>dch610_1_2_2c</v>
      </c>
      <c r="AQ462" s="190">
        <f>W462</f>
        <v>0</v>
      </c>
      <c r="AR462" s="562"/>
      <c r="AS462" s="562"/>
      <c r="AT462" s="562"/>
      <c r="AU462" s="562"/>
      <c r="AV462" s="562"/>
      <c r="AW462" s="562"/>
      <c r="AX462" s="562"/>
      <c r="AY462" s="562"/>
    </row>
    <row r="463" spans="1:51" s="117" customFormat="1" x14ac:dyDescent="0.2">
      <c r="A463" s="13"/>
      <c r="B463" s="48" t="s">
        <v>2745</v>
      </c>
      <c r="C463" s="14"/>
      <c r="D463" s="14"/>
      <c r="E463" s="14"/>
      <c r="F463" s="14" t="s">
        <v>2196</v>
      </c>
      <c r="G463" s="14"/>
      <c r="H463" s="441"/>
      <c r="I463" s="40"/>
      <c r="J463" s="3"/>
      <c r="K463" s="57" t="s">
        <v>2196</v>
      </c>
      <c r="L463" s="632" t="s">
        <v>2725</v>
      </c>
      <c r="M463" s="842"/>
      <c r="N463" s="3"/>
      <c r="O463" s="609"/>
      <c r="P463" s="562"/>
      <c r="Q463" s="562"/>
      <c r="R463" s="562"/>
      <c r="S463" s="562"/>
      <c r="T463" s="562"/>
      <c r="U463" s="562"/>
      <c r="V463" s="562"/>
      <c r="W463" s="562"/>
      <c r="X463" s="787"/>
      <c r="Y463" s="562"/>
      <c r="Z463" s="562"/>
      <c r="AA463" s="562"/>
      <c r="AB463" s="562"/>
      <c r="AC463" s="562"/>
      <c r="AD463" s="562"/>
      <c r="AE463" s="562"/>
      <c r="AF463" s="562"/>
      <c r="AG463" s="562"/>
      <c r="AH463" s="562"/>
      <c r="AI463" s="562"/>
      <c r="AJ463" s="562"/>
      <c r="AK463" s="562"/>
      <c r="AL463" s="562"/>
      <c r="AM463" s="562"/>
      <c r="AN463" s="562"/>
      <c r="AO463" s="562"/>
      <c r="AP463" s="562"/>
      <c r="AQ463" s="562"/>
      <c r="AR463" s="562"/>
      <c r="AS463" s="562"/>
      <c r="AT463" s="562"/>
      <c r="AU463" s="562"/>
      <c r="AV463" s="562"/>
      <c r="AW463" s="562"/>
      <c r="AX463" s="562"/>
      <c r="AY463" s="562"/>
    </row>
    <row r="464" spans="1:51" x14ac:dyDescent="0.2">
      <c r="B464" s="48" t="s">
        <v>2745</v>
      </c>
      <c r="C464" s="14"/>
      <c r="D464" s="14"/>
      <c r="E464" s="14"/>
      <c r="F464" s="14" t="s">
        <v>2198</v>
      </c>
      <c r="G464" s="14"/>
      <c r="H464" s="441"/>
      <c r="I464" s="40"/>
      <c r="J464" s="3"/>
      <c r="K464" s="57" t="s">
        <v>2198</v>
      </c>
      <c r="L464" s="632" t="s">
        <v>2726</v>
      </c>
      <c r="M464" s="842"/>
      <c r="N464" s="3"/>
      <c r="O464" s="609"/>
      <c r="P464" s="562"/>
      <c r="Q464" s="562"/>
      <c r="R464" s="562"/>
      <c r="S464" s="562"/>
      <c r="T464" s="562"/>
      <c r="U464" s="562"/>
      <c r="V464" s="562"/>
      <c r="W464" s="562"/>
      <c r="X464" s="787"/>
      <c r="Y464" s="562"/>
      <c r="Z464" s="562"/>
      <c r="AA464" s="562"/>
      <c r="AB464" s="562"/>
      <c r="AC464" s="562"/>
      <c r="AD464" s="562"/>
      <c r="AE464" s="562"/>
      <c r="AF464" s="562"/>
      <c r="AG464" s="562"/>
      <c r="AH464" s="562"/>
      <c r="AI464" s="562"/>
      <c r="AJ464" s="562"/>
      <c r="AK464" s="562"/>
      <c r="AL464" s="562"/>
      <c r="AM464" s="562"/>
      <c r="AN464" s="562"/>
      <c r="AO464" s="562"/>
      <c r="AP464" s="562"/>
      <c r="AQ464" s="562"/>
      <c r="AR464" s="562"/>
      <c r="AS464" s="562"/>
      <c r="AT464" s="562"/>
      <c r="AU464" s="562"/>
      <c r="AV464" s="562"/>
      <c r="AW464" s="562"/>
      <c r="AX464" s="562"/>
      <c r="AY464" s="562"/>
    </row>
    <row r="465" spans="1:51" x14ac:dyDescent="0.2">
      <c r="B465" s="48" t="s">
        <v>2745</v>
      </c>
      <c r="C465" s="14"/>
      <c r="D465" s="14"/>
      <c r="E465" s="14"/>
      <c r="F465" s="14" t="s">
        <v>2200</v>
      </c>
      <c r="G465" s="14"/>
      <c r="H465" s="441"/>
      <c r="I465" s="40"/>
      <c r="J465" s="3"/>
      <c r="K465" s="57" t="s">
        <v>2200</v>
      </c>
      <c r="L465" s="632" t="s">
        <v>2727</v>
      </c>
      <c r="M465" s="842"/>
      <c r="N465" s="3"/>
      <c r="O465" s="609"/>
      <c r="P465" s="562"/>
      <c r="Q465" s="562"/>
      <c r="R465" s="562"/>
      <c r="S465" s="562"/>
      <c r="T465" s="562"/>
      <c r="U465" s="562"/>
      <c r="V465" s="562"/>
      <c r="W465" s="562"/>
      <c r="X465" s="787"/>
      <c r="Y465" s="562"/>
      <c r="Z465" s="562"/>
      <c r="AA465" s="562"/>
      <c r="AB465" s="562"/>
      <c r="AC465" s="562"/>
      <c r="AD465" s="562"/>
      <c r="AE465" s="562"/>
      <c r="AF465" s="562"/>
      <c r="AG465" s="562"/>
      <c r="AH465" s="562"/>
      <c r="AI465" s="562"/>
      <c r="AJ465" s="562"/>
      <c r="AK465" s="562"/>
      <c r="AL465" s="562"/>
      <c r="AM465" s="562"/>
      <c r="AN465" s="562"/>
      <c r="AO465" s="562"/>
      <c r="AP465" s="562"/>
      <c r="AQ465" s="562"/>
      <c r="AR465" s="562"/>
      <c r="AS465" s="562"/>
      <c r="AT465" s="562"/>
      <c r="AU465" s="562"/>
      <c r="AV465" s="562"/>
      <c r="AW465" s="562"/>
      <c r="AX465" s="562"/>
      <c r="AY465" s="562"/>
    </row>
    <row r="466" spans="1:51" x14ac:dyDescent="0.2">
      <c r="B466" s="48" t="s">
        <v>2745</v>
      </c>
      <c r="C466" s="14"/>
      <c r="D466" s="14"/>
      <c r="E466" s="14"/>
      <c r="F466" s="19" t="s">
        <v>2247</v>
      </c>
      <c r="G466" s="19"/>
      <c r="H466" s="442"/>
      <c r="I466" s="40"/>
      <c r="J466" s="3"/>
      <c r="K466" s="59" t="s">
        <v>2247</v>
      </c>
      <c r="L466" s="632" t="s">
        <v>2728</v>
      </c>
      <c r="M466" s="842"/>
      <c r="N466" s="3"/>
      <c r="O466" s="609"/>
      <c r="P466" s="562"/>
      <c r="Q466" s="562"/>
      <c r="R466" s="562"/>
      <c r="S466" s="562"/>
      <c r="T466" s="562"/>
      <c r="U466" s="562"/>
      <c r="V466" s="562"/>
      <c r="W466" s="562"/>
      <c r="X466" s="787"/>
      <c r="Y466" s="562"/>
      <c r="Z466" s="562"/>
      <c r="AA466" s="562"/>
      <c r="AB466" s="562"/>
      <c r="AC466" s="562"/>
      <c r="AD466" s="562"/>
      <c r="AE466" s="562"/>
      <c r="AF466" s="562"/>
      <c r="AG466" s="562"/>
      <c r="AH466" s="562"/>
      <c r="AI466" s="562"/>
      <c r="AJ466" s="562"/>
      <c r="AK466" s="562"/>
      <c r="AL466" s="562"/>
      <c r="AM466" s="562"/>
      <c r="AN466" s="562"/>
      <c r="AO466" s="562"/>
      <c r="AP466" s="562"/>
      <c r="AQ466" s="562"/>
      <c r="AR466" s="562"/>
      <c r="AS466" s="562"/>
      <c r="AT466" s="562"/>
      <c r="AU466" s="562"/>
      <c r="AV466" s="562"/>
      <c r="AW466" s="562"/>
      <c r="AX466" s="562"/>
      <c r="AY466" s="562"/>
    </row>
    <row r="467" spans="1:51" x14ac:dyDescent="0.2">
      <c r="B467" s="48" t="s">
        <v>2745</v>
      </c>
      <c r="C467" s="14"/>
      <c r="D467" s="14"/>
      <c r="E467" s="14"/>
      <c r="F467" s="14" t="s">
        <v>2444</v>
      </c>
      <c r="G467" s="14"/>
      <c r="H467" s="441"/>
      <c r="I467" s="40"/>
      <c r="J467" s="3"/>
      <c r="K467" s="55" t="s">
        <v>2444</v>
      </c>
      <c r="L467" s="632" t="s">
        <v>2729</v>
      </c>
      <c r="M467" s="842"/>
      <c r="N467" s="3"/>
      <c r="O467" s="609"/>
      <c r="P467" s="562"/>
      <c r="Q467" s="562"/>
      <c r="R467" s="562"/>
      <c r="S467" s="562"/>
      <c r="T467" s="562"/>
      <c r="U467" s="562"/>
      <c r="V467" s="562"/>
      <c r="W467" s="562" t="s">
        <v>2757</v>
      </c>
      <c r="X467" s="787"/>
      <c r="Y467" s="562"/>
      <c r="Z467" s="562"/>
      <c r="AA467" s="562"/>
      <c r="AB467" s="562"/>
      <c r="AC467" s="562"/>
      <c r="AD467" s="562"/>
      <c r="AE467" s="562"/>
      <c r="AF467" s="562"/>
      <c r="AG467" s="562"/>
      <c r="AH467" s="562"/>
      <c r="AI467" s="562"/>
      <c r="AJ467" s="562"/>
      <c r="AK467" s="562"/>
      <c r="AL467" s="562"/>
      <c r="AM467" s="562"/>
      <c r="AN467" s="562"/>
      <c r="AO467" s="562"/>
      <c r="AP467" s="562"/>
      <c r="AQ467" s="562"/>
      <c r="AR467" s="562" t="str">
        <f>SUBSTITUTE(SUBSTITUTE(SUBSTITUTE("dnt"&amp;$B467&amp;$C467&amp;$D467&amp;$E467&amp;$F467,".","_"),"(","_"),")","")</f>
        <v>dnt610_1_2_2_e</v>
      </c>
      <c r="AS467" s="190">
        <f>X467</f>
        <v>0</v>
      </c>
      <c r="AT467" s="562"/>
      <c r="AU467" s="562"/>
      <c r="AV467" s="562"/>
      <c r="AW467" s="562"/>
      <c r="AX467" s="562"/>
      <c r="AY467" s="562"/>
    </row>
    <row r="468" spans="1:51" x14ac:dyDescent="0.2">
      <c r="B468" s="48" t="s">
        <v>2745</v>
      </c>
      <c r="C468" s="14"/>
      <c r="D468" s="14"/>
      <c r="E468" s="14"/>
      <c r="F468" s="14" t="s">
        <v>2540</v>
      </c>
      <c r="G468" s="14"/>
      <c r="H468" s="441"/>
      <c r="I468" s="40"/>
      <c r="J468" s="3"/>
      <c r="K468" s="57" t="s">
        <v>2540</v>
      </c>
      <c r="L468" s="632" t="s">
        <v>2730</v>
      </c>
      <c r="M468" s="842"/>
      <c r="N468" s="3"/>
      <c r="O468" s="609"/>
      <c r="P468" s="562" t="b">
        <v>1</v>
      </c>
      <c r="Q468" s="562" t="b">
        <v>0</v>
      </c>
      <c r="R468" s="562" t="b">
        <v>0</v>
      </c>
      <c r="S468" s="562" t="b">
        <f>COUNTIF(W413:W429,TRUE)&lt;1</f>
        <v>1</v>
      </c>
      <c r="T468" s="64" t="b">
        <f>AND(NOT(S468),LEN(W468)&gt;0)</f>
        <v>0</v>
      </c>
      <c r="U468" s="64" t="str">
        <f>SUBSTITUTE(SUBSTITUTE(SUBSTITUTE("dd"&amp;B468&amp;C468&amp;D468&amp;E468&amp;F468,".","_"),"(","_"),")","")</f>
        <v>dd610_1_2_2_f</v>
      </c>
      <c r="V468" s="562"/>
      <c r="W468" s="6"/>
      <c r="X468" s="787"/>
      <c r="Y468" s="562"/>
      <c r="Z468" s="562"/>
      <c r="AA468" s="562"/>
      <c r="AB468" s="562"/>
      <c r="AC468" s="562" t="b">
        <f>OR(AD468:AE468)</f>
        <v>0</v>
      </c>
      <c r="AD468" s="562" t="b">
        <f>T468</f>
        <v>0</v>
      </c>
      <c r="AE468" s="562" t="b">
        <f>AND(NOT(ISBLANK(W468)),LEN(X467)=0)</f>
        <v>0</v>
      </c>
      <c r="AF468" s="562"/>
      <c r="AG468" s="562"/>
      <c r="AH468" s="562"/>
      <c r="AI468" s="562"/>
      <c r="AJ468" s="562"/>
      <c r="AK468" s="562"/>
      <c r="AL468" s="562"/>
      <c r="AM468" s="562"/>
      <c r="AN468" s="562"/>
      <c r="AO468" s="562"/>
      <c r="AP468" s="190" t="str">
        <f t="shared" ref="AP468" si="105">SUBSTITUTE(SUBSTITUTE(SUBSTITUTE("dch"&amp;$B468&amp;$C468&amp;$D468&amp;$E468&amp;$F468,".","_"),"(","_"),")","")</f>
        <v>dch610_1_2_2_f</v>
      </c>
      <c r="AQ468" s="190">
        <f>W468</f>
        <v>0</v>
      </c>
      <c r="AR468" s="562"/>
      <c r="AS468" s="562"/>
      <c r="AT468" s="562"/>
      <c r="AU468" s="562"/>
      <c r="AV468" s="562"/>
      <c r="AW468" s="562"/>
      <c r="AX468" s="562"/>
      <c r="AY468" s="562"/>
    </row>
    <row r="469" spans="1:51" x14ac:dyDescent="0.2">
      <c r="B469" s="48" t="s">
        <v>2745</v>
      </c>
      <c r="C469" s="14"/>
      <c r="D469" s="14"/>
      <c r="E469" s="14"/>
      <c r="F469" s="14"/>
      <c r="G469" s="14"/>
      <c r="H469" s="441"/>
      <c r="I469" s="40"/>
      <c r="J469" s="3"/>
      <c r="K469" s="53"/>
      <c r="L469" s="851" t="s">
        <v>2758</v>
      </c>
      <c r="M469" s="842"/>
      <c r="N469" s="3"/>
      <c r="O469" s="609"/>
      <c r="P469" s="562"/>
      <c r="Q469" s="562"/>
      <c r="R469" s="562"/>
      <c r="S469" s="562"/>
      <c r="T469" s="562"/>
      <c r="U469" s="562"/>
      <c r="V469" s="562"/>
      <c r="W469" s="562"/>
      <c r="X469" s="787"/>
      <c r="Y469" s="562"/>
      <c r="Z469" s="562"/>
      <c r="AA469" s="562"/>
      <c r="AB469" s="562"/>
      <c r="AC469" s="562"/>
      <c r="AD469" s="562"/>
      <c r="AE469" s="562"/>
      <c r="AF469" s="562"/>
      <c r="AG469" s="562"/>
      <c r="AH469" s="562"/>
      <c r="AI469" s="562"/>
      <c r="AJ469" s="562"/>
      <c r="AK469" s="562"/>
      <c r="AL469" s="562"/>
      <c r="AM469" s="562"/>
      <c r="AN469" s="562"/>
      <c r="AO469" s="562"/>
      <c r="AP469" s="562"/>
      <c r="AQ469" s="562"/>
      <c r="AR469" s="562"/>
      <c r="AS469" s="562"/>
      <c r="AT469" s="562"/>
      <c r="AU469" s="562"/>
      <c r="AV469" s="562"/>
      <c r="AW469" s="562"/>
      <c r="AX469" s="562"/>
      <c r="AY469" s="562"/>
    </row>
    <row r="470" spans="1:51" x14ac:dyDescent="0.2">
      <c r="B470" s="48" t="s">
        <v>2745</v>
      </c>
      <c r="C470" s="14"/>
      <c r="D470" s="14"/>
      <c r="E470" s="14"/>
      <c r="F470" s="14"/>
      <c r="G470" s="14"/>
      <c r="H470" s="441"/>
      <c r="I470" s="40"/>
      <c r="J470" s="3"/>
      <c r="K470" s="53"/>
      <c r="L470" s="851"/>
      <c r="M470" s="842"/>
      <c r="N470" s="3"/>
      <c r="O470" s="609"/>
      <c r="P470" s="562"/>
      <c r="Q470" s="562"/>
      <c r="R470" s="562"/>
      <c r="S470" s="562"/>
      <c r="T470" s="562"/>
      <c r="U470" s="562"/>
      <c r="V470" s="562"/>
      <c r="W470" s="562"/>
      <c r="X470" s="787"/>
      <c r="Y470" s="562"/>
      <c r="Z470" s="562"/>
      <c r="AA470" s="562"/>
      <c r="AB470" s="562"/>
      <c r="AC470" s="562"/>
      <c r="AD470" s="562"/>
      <c r="AE470" s="562"/>
      <c r="AF470" s="562"/>
      <c r="AG470" s="562"/>
      <c r="AH470" s="562"/>
      <c r="AI470" s="562"/>
      <c r="AJ470" s="562"/>
      <c r="AK470" s="562"/>
      <c r="AL470" s="562"/>
      <c r="AM470" s="562"/>
      <c r="AN470" s="562"/>
      <c r="AO470" s="562"/>
      <c r="AP470" s="562"/>
      <c r="AQ470" s="562"/>
      <c r="AR470" s="562"/>
      <c r="AS470" s="562"/>
      <c r="AT470" s="562"/>
      <c r="AU470" s="562"/>
      <c r="AV470" s="562"/>
      <c r="AW470" s="562"/>
      <c r="AX470" s="562"/>
      <c r="AY470" s="562"/>
    </row>
    <row r="471" spans="1:51" x14ac:dyDescent="0.2">
      <c r="B471" s="48" t="s">
        <v>2745</v>
      </c>
      <c r="C471" s="14"/>
      <c r="D471" s="14"/>
      <c r="E471" s="14"/>
      <c r="F471" s="14"/>
      <c r="G471" s="14"/>
      <c r="H471" s="441"/>
      <c r="I471" s="40"/>
      <c r="J471" s="3"/>
      <c r="K471" s="53"/>
      <c r="L471" s="833" t="s">
        <v>2759</v>
      </c>
      <c r="M471" s="842"/>
      <c r="N471" s="3"/>
      <c r="O471" s="609"/>
      <c r="P471" s="562"/>
      <c r="Q471" s="562"/>
      <c r="R471" s="562"/>
      <c r="S471" s="562"/>
      <c r="T471" s="562"/>
      <c r="U471" s="562"/>
      <c r="V471" s="562"/>
      <c r="W471" s="562"/>
      <c r="X471" s="787"/>
      <c r="Y471" s="562"/>
      <c r="Z471" s="562"/>
      <c r="AA471" s="562"/>
      <c r="AB471" s="562"/>
      <c r="AC471" s="562"/>
      <c r="AD471" s="562"/>
      <c r="AE471" s="562"/>
      <c r="AF471" s="562"/>
      <c r="AG471" s="562"/>
      <c r="AH471" s="562"/>
      <c r="AI471" s="562"/>
      <c r="AJ471" s="562"/>
      <c r="AK471" s="562"/>
      <c r="AL471" s="562"/>
      <c r="AM471" s="562"/>
      <c r="AN471" s="562"/>
      <c r="AO471" s="562"/>
      <c r="AP471" s="562"/>
      <c r="AQ471" s="562"/>
      <c r="AR471" s="562"/>
      <c r="AS471" s="562"/>
      <c r="AT471" s="562"/>
      <c r="AU471" s="562"/>
      <c r="AV471" s="562"/>
      <c r="AW471" s="562"/>
      <c r="AX471" s="562"/>
      <c r="AY471" s="562"/>
    </row>
    <row r="472" spans="1:51" s="117" customFormat="1" x14ac:dyDescent="0.2">
      <c r="A472" s="13"/>
      <c r="B472" s="48" t="s">
        <v>2745</v>
      </c>
      <c r="C472" s="14"/>
      <c r="D472" s="14"/>
      <c r="E472" s="14"/>
      <c r="F472" s="14"/>
      <c r="G472" s="14"/>
      <c r="H472" s="441"/>
      <c r="I472" s="40"/>
      <c r="J472" s="3"/>
      <c r="K472" s="53"/>
      <c r="L472" s="845"/>
      <c r="M472" s="842"/>
      <c r="N472" s="3"/>
      <c r="O472" s="609"/>
      <c r="P472" s="562"/>
      <c r="Q472" s="562"/>
      <c r="R472" s="562"/>
      <c r="S472" s="562"/>
      <c r="T472" s="562"/>
      <c r="U472" s="562"/>
      <c r="V472" s="562"/>
      <c r="W472" s="562"/>
      <c r="X472" s="787"/>
      <c r="Y472" s="562"/>
      <c r="Z472" s="562"/>
      <c r="AA472" s="562"/>
      <c r="AB472" s="562"/>
      <c r="AC472" s="562"/>
      <c r="AD472" s="562"/>
      <c r="AE472" s="562"/>
      <c r="AF472" s="562"/>
      <c r="AG472" s="562"/>
      <c r="AH472" s="562"/>
      <c r="AI472" s="562"/>
      <c r="AJ472" s="562"/>
      <c r="AK472" s="562"/>
      <c r="AL472" s="562"/>
      <c r="AM472" s="562"/>
      <c r="AN472" s="562"/>
      <c r="AO472" s="562"/>
      <c r="AP472" s="562"/>
      <c r="AQ472" s="562"/>
      <c r="AR472" s="562"/>
      <c r="AS472" s="562"/>
      <c r="AT472" s="562"/>
      <c r="AU472" s="562"/>
      <c r="AV472" s="562"/>
      <c r="AW472" s="562"/>
      <c r="AX472" s="562"/>
      <c r="AY472" s="562"/>
    </row>
    <row r="473" spans="1:51" s="117" customFormat="1" ht="19" x14ac:dyDescent="0.25">
      <c r="A473" s="13"/>
      <c r="B473" s="48">
        <v>611</v>
      </c>
      <c r="C473" s="14"/>
      <c r="D473" s="14"/>
      <c r="E473" s="14"/>
      <c r="F473" s="14"/>
      <c r="G473" s="14"/>
      <c r="H473" s="441"/>
      <c r="I473" s="8" t="s">
        <v>2760</v>
      </c>
      <c r="J473" s="16"/>
      <c r="K473" s="52"/>
      <c r="L473" s="180"/>
      <c r="M473" s="225"/>
      <c r="N473" s="266"/>
      <c r="O473" s="264"/>
      <c r="P473" s="16"/>
      <c r="Q473" s="16"/>
      <c r="R473" s="16"/>
      <c r="S473" s="16"/>
      <c r="T473" s="16"/>
      <c r="U473" s="16"/>
      <c r="V473" s="16"/>
      <c r="W473" s="16"/>
      <c r="X473" s="16"/>
      <c r="Y473" s="562"/>
      <c r="Z473" s="562"/>
      <c r="AA473" s="562"/>
      <c r="AB473" s="562"/>
      <c r="AC473" s="562"/>
      <c r="AD473" s="562"/>
      <c r="AE473" s="562"/>
      <c r="AF473" s="562"/>
      <c r="AG473" s="562"/>
      <c r="AH473" s="562"/>
      <c r="AI473" s="562"/>
      <c r="AJ473" s="562"/>
      <c r="AK473" s="562"/>
      <c r="AL473" s="562"/>
      <c r="AM473" s="562"/>
      <c r="AN473" s="562"/>
      <c r="AO473" s="562"/>
      <c r="AP473" s="562"/>
      <c r="AQ473" s="562"/>
      <c r="AR473" s="562"/>
      <c r="AS473" s="562"/>
      <c r="AT473" s="562"/>
      <c r="AU473" s="562"/>
      <c r="AV473" s="562"/>
      <c r="AW473" s="562"/>
      <c r="AX473" s="562"/>
      <c r="AY473" s="562"/>
    </row>
    <row r="474" spans="1:51" x14ac:dyDescent="0.2">
      <c r="B474" s="48">
        <v>611.1</v>
      </c>
      <c r="C474" s="14"/>
      <c r="D474" s="14"/>
      <c r="E474" s="14"/>
      <c r="F474" s="14"/>
      <c r="G474" s="14"/>
      <c r="H474" s="441"/>
      <c r="I474" s="40" t="s">
        <v>2761</v>
      </c>
      <c r="J474" s="3"/>
      <c r="K474" s="53"/>
      <c r="L474" s="775" t="s">
        <v>2762</v>
      </c>
      <c r="M474" s="814" t="s">
        <v>2763</v>
      </c>
      <c r="N474" s="3"/>
      <c r="O474" s="795">
        <f ca="1">IFERROR(MATCH(W474,INDIRECT(U474),0),0)</f>
        <v>0</v>
      </c>
      <c r="P474" s="562" t="b">
        <v>1</v>
      </c>
      <c r="Q474" s="562" t="b">
        <v>1</v>
      </c>
      <c r="R474" s="562" t="b">
        <v>0</v>
      </c>
      <c r="S474" s="562" t="b">
        <v>1</v>
      </c>
      <c r="T474" s="562" t="b">
        <v>0</v>
      </c>
      <c r="U474" s="64" t="str">
        <f>SUBSTITUTE(SUBSTITUTE(SUBSTITUTE("dd"&amp;B474&amp;C474&amp;D474&amp;E474&amp;F474,".","_"),"(","_"),")","")</f>
        <v>dd611,1</v>
      </c>
      <c r="V474" s="562"/>
      <c r="W474" s="6"/>
      <c r="X474" s="787"/>
      <c r="Y474" s="562"/>
      <c r="Z474" s="562"/>
      <c r="AA474" s="562"/>
      <c r="AB474" s="562"/>
      <c r="AC474" s="562" t="b">
        <f>OR(AD474:AE474)</f>
        <v>0</v>
      </c>
      <c r="AD474" s="562" t="b">
        <v>0</v>
      </c>
      <c r="AE474" s="562" t="b">
        <f>AND(NOT(ISBLANK(W474)),LEN(X474)=0)</f>
        <v>0</v>
      </c>
      <c r="AF474" s="562"/>
      <c r="AG474" s="562"/>
      <c r="AH474" s="562"/>
      <c r="AI474" s="562"/>
      <c r="AJ474" s="562"/>
      <c r="AK474" s="562"/>
      <c r="AL474" s="190" t="str">
        <f>SUBSTITUTE(SUBSTITUTE(SUBSTITUTE("dpa"&amp;$B474&amp;$C474&amp;$D474&amp;$E474&amp;$F474,".","_"),"(","_"),")","")</f>
        <v>dpa611,1</v>
      </c>
      <c r="AM474" s="190" t="str">
        <f>M474</f>
        <v>10 Max</v>
      </c>
      <c r="AN474" s="190" t="str">
        <f>SUBSTITUTE(SUBSTITUTE(SUBSTITUTE("dpc"&amp;$B474&amp;$C474&amp;$D474&amp;$E474&amp;$F474,".","_"),"(","_"),")","")</f>
        <v>dpc611,1</v>
      </c>
      <c r="AO474" s="190">
        <f ca="1">O474</f>
        <v>0</v>
      </c>
      <c r="AP474" s="190" t="str">
        <f t="shared" ref="AP474" si="106">SUBSTITUTE(SUBSTITUTE(SUBSTITUTE("dch"&amp;$B474&amp;$C474&amp;$D474&amp;$E474&amp;$F474,".","_"),"(","_"),")","")</f>
        <v>dch611,1</v>
      </c>
      <c r="AQ474" s="190">
        <f>W474</f>
        <v>0</v>
      </c>
      <c r="AR474" s="562" t="str">
        <f>SUBSTITUTE(SUBSTITUTE(SUBSTITUTE("dnt"&amp;$B474&amp;$C474&amp;$D474&amp;$E474&amp;$F474,".","_"),"(","_"),")","")</f>
        <v>dnt611,1</v>
      </c>
      <c r="AS474" s="190">
        <f>X474</f>
        <v>0</v>
      </c>
      <c r="AT474" s="562"/>
      <c r="AU474" s="562"/>
      <c r="AV474" s="562"/>
      <c r="AW474" s="562"/>
      <c r="AX474" s="562"/>
      <c r="AY474" s="562"/>
    </row>
    <row r="475" spans="1:51" x14ac:dyDescent="0.2">
      <c r="B475" s="48">
        <v>611.1</v>
      </c>
      <c r="C475" s="14"/>
      <c r="D475" s="14"/>
      <c r="E475" s="14"/>
      <c r="F475" s="14"/>
      <c r="G475" s="14"/>
      <c r="H475" s="441"/>
      <c r="I475" s="40"/>
      <c r="J475" s="3"/>
      <c r="K475" s="53"/>
      <c r="L475" s="775"/>
      <c r="M475" s="814"/>
      <c r="N475" s="3"/>
      <c r="O475" s="795"/>
      <c r="P475" s="562"/>
      <c r="Q475" s="562"/>
      <c r="R475" s="562"/>
      <c r="S475" s="562"/>
      <c r="T475" s="562"/>
      <c r="U475" s="562"/>
      <c r="V475" s="562"/>
      <c r="W475" s="562"/>
      <c r="X475" s="787"/>
      <c r="Y475" s="562"/>
      <c r="Z475" s="562"/>
      <c r="AA475" s="562"/>
      <c r="AB475" s="562"/>
      <c r="AC475" s="562"/>
      <c r="AD475" s="562"/>
      <c r="AE475" s="562"/>
      <c r="AF475" s="562"/>
      <c r="AG475" s="562"/>
      <c r="AH475" s="562"/>
      <c r="AI475" s="562"/>
      <c r="AJ475" s="562"/>
      <c r="AK475" s="562"/>
      <c r="AL475" s="562"/>
      <c r="AM475" s="562"/>
      <c r="AN475" s="562"/>
      <c r="AO475" s="562"/>
      <c r="AP475" s="562"/>
      <c r="AQ475" s="562"/>
      <c r="AR475" s="562"/>
      <c r="AS475" s="562"/>
      <c r="AT475" s="562"/>
      <c r="AU475" s="562"/>
      <c r="AV475" s="562"/>
      <c r="AW475" s="562"/>
      <c r="AX475" s="562"/>
      <c r="AY475" s="562"/>
    </row>
    <row r="476" spans="1:51" x14ac:dyDescent="0.2">
      <c r="B476" s="48">
        <v>611.1</v>
      </c>
      <c r="C476" s="14"/>
      <c r="D476" s="14"/>
      <c r="E476" s="14"/>
      <c r="F476" s="14"/>
      <c r="G476" s="14"/>
      <c r="H476" s="441"/>
      <c r="I476" s="40"/>
      <c r="J476" s="3"/>
      <c r="K476" s="53"/>
      <c r="L476" s="775"/>
      <c r="M476" s="814"/>
      <c r="N476" s="3"/>
      <c r="O476" s="795"/>
      <c r="P476" s="562"/>
      <c r="Q476" s="562"/>
      <c r="R476" s="562"/>
      <c r="S476" s="562"/>
      <c r="T476" s="562"/>
      <c r="U476" s="562"/>
      <c r="V476" s="562"/>
      <c r="W476" s="562"/>
      <c r="X476" s="787"/>
      <c r="Y476" s="562"/>
      <c r="Z476" s="562"/>
      <c r="AA476" s="562"/>
      <c r="AB476" s="562"/>
      <c r="AC476" s="562"/>
      <c r="AD476" s="562"/>
      <c r="AE476" s="562"/>
      <c r="AF476" s="562"/>
      <c r="AG476" s="562"/>
      <c r="AH476" s="562"/>
      <c r="AI476" s="562"/>
      <c r="AJ476" s="562"/>
      <c r="AK476" s="562"/>
      <c r="AL476" s="562"/>
      <c r="AM476" s="562"/>
      <c r="AN476" s="562"/>
      <c r="AO476" s="562"/>
      <c r="AP476" s="562"/>
      <c r="AQ476" s="562"/>
      <c r="AR476" s="562"/>
      <c r="AS476" s="562"/>
      <c r="AT476" s="562"/>
      <c r="AU476" s="562"/>
      <c r="AV476" s="562"/>
      <c r="AW476" s="562"/>
      <c r="AX476" s="562"/>
      <c r="AY476" s="562"/>
    </row>
    <row r="477" spans="1:51" x14ac:dyDescent="0.2">
      <c r="B477" s="48">
        <v>611.1</v>
      </c>
      <c r="C477" s="14"/>
      <c r="D477" s="14"/>
      <c r="E477" s="14"/>
      <c r="F477" s="14"/>
      <c r="G477" s="14"/>
      <c r="H477" s="441"/>
      <c r="I477" s="40"/>
      <c r="J477" s="3"/>
      <c r="K477" s="53"/>
      <c r="L477" s="775"/>
      <c r="M477" s="814"/>
      <c r="N477" s="3"/>
      <c r="O477" s="795"/>
      <c r="P477" s="562"/>
      <c r="Q477" s="562"/>
      <c r="R477" s="562"/>
      <c r="S477" s="562"/>
      <c r="T477" s="562"/>
      <c r="U477" s="562"/>
      <c r="V477" s="562"/>
      <c r="W477" s="562"/>
      <c r="X477" s="787"/>
      <c r="Y477" s="562"/>
      <c r="Z477" s="562"/>
      <c r="AA477" s="562"/>
      <c r="AB477" s="562"/>
      <c r="AC477" s="562"/>
      <c r="AD477" s="562"/>
      <c r="AE477" s="562"/>
      <c r="AF477" s="562"/>
      <c r="AG477" s="562"/>
      <c r="AH477" s="562"/>
      <c r="AI477" s="562"/>
      <c r="AJ477" s="562"/>
      <c r="AK477" s="562"/>
      <c r="AL477" s="562"/>
      <c r="AM477" s="562"/>
      <c r="AN477" s="562"/>
      <c r="AO477" s="562"/>
      <c r="AP477" s="562"/>
      <c r="AQ477" s="562"/>
      <c r="AR477" s="562"/>
      <c r="AS477" s="562"/>
      <c r="AT477" s="562"/>
      <c r="AU477" s="562"/>
      <c r="AV477" s="562"/>
      <c r="AW477" s="562"/>
      <c r="AX477" s="562"/>
      <c r="AY477" s="562"/>
    </row>
    <row r="478" spans="1:51" x14ac:dyDescent="0.2">
      <c r="B478" s="48">
        <v>611.1</v>
      </c>
      <c r="C478" s="14"/>
      <c r="D478" s="14"/>
      <c r="E478" s="14"/>
      <c r="F478" s="14"/>
      <c r="G478" s="14"/>
      <c r="H478" s="441"/>
      <c r="I478" s="40"/>
      <c r="J478" s="3"/>
      <c r="K478" s="53"/>
      <c r="L478" s="775"/>
      <c r="M478" s="814"/>
      <c r="N478" s="3"/>
      <c r="O478" s="795"/>
      <c r="P478" s="562"/>
      <c r="Q478" s="562"/>
      <c r="R478" s="562"/>
      <c r="S478" s="562"/>
      <c r="T478" s="562"/>
      <c r="U478" s="562"/>
      <c r="V478" s="562"/>
      <c r="W478" s="562"/>
      <c r="X478" s="787"/>
      <c r="Y478" s="562"/>
      <c r="Z478" s="562"/>
      <c r="AA478" s="562"/>
      <c r="AB478" s="562"/>
      <c r="AC478" s="562"/>
      <c r="AD478" s="562"/>
      <c r="AE478" s="562"/>
      <c r="AF478" s="562"/>
      <c r="AG478" s="562"/>
      <c r="AH478" s="562"/>
      <c r="AI478" s="562"/>
      <c r="AJ478" s="562"/>
      <c r="AK478" s="562"/>
      <c r="AL478" s="562"/>
      <c r="AM478" s="562"/>
      <c r="AN478" s="562"/>
      <c r="AO478" s="562"/>
      <c r="AP478" s="562"/>
      <c r="AQ478" s="562"/>
      <c r="AR478" s="562"/>
      <c r="AS478" s="562"/>
      <c r="AT478" s="562"/>
      <c r="AU478" s="562"/>
      <c r="AV478" s="562"/>
      <c r="AW478" s="562"/>
      <c r="AX478" s="562"/>
      <c r="AY478" s="562"/>
    </row>
    <row r="479" spans="1:51" x14ac:dyDescent="0.2">
      <c r="B479" s="48">
        <v>611.1</v>
      </c>
      <c r="C479" s="14"/>
      <c r="D479" s="14"/>
      <c r="E479" s="14"/>
      <c r="F479" s="14"/>
      <c r="G479" s="14"/>
      <c r="H479" s="441"/>
      <c r="I479" s="40"/>
      <c r="J479" s="3"/>
      <c r="K479" s="53"/>
      <c r="L479" s="288" t="s">
        <v>2764</v>
      </c>
      <c r="M479" s="814"/>
      <c r="N479" s="3"/>
      <c r="O479" s="795"/>
      <c r="P479" s="562"/>
      <c r="Q479" s="562"/>
      <c r="R479" s="562"/>
      <c r="S479" s="562"/>
      <c r="T479" s="562"/>
      <c r="U479" s="562"/>
      <c r="V479" s="562"/>
      <c r="W479" s="562"/>
      <c r="X479" s="787"/>
      <c r="Y479" s="562"/>
      <c r="Z479" s="562"/>
      <c r="AA479" s="562"/>
      <c r="AB479" s="562"/>
      <c r="AC479" s="562"/>
      <c r="AD479" s="562"/>
      <c r="AE479" s="562"/>
      <c r="AF479" s="562"/>
      <c r="AG479" s="562"/>
      <c r="AH479" s="562"/>
      <c r="AI479" s="562"/>
      <c r="AJ479" s="562"/>
      <c r="AK479" s="562"/>
      <c r="AL479" s="562"/>
      <c r="AM479" s="562"/>
      <c r="AN479" s="562"/>
      <c r="AO479" s="562"/>
      <c r="AP479" s="562"/>
      <c r="AQ479" s="562"/>
      <c r="AR479" s="562"/>
      <c r="AS479" s="562"/>
      <c r="AT479" s="562"/>
      <c r="AU479" s="562"/>
      <c r="AV479" s="562"/>
      <c r="AW479" s="562"/>
      <c r="AX479" s="562"/>
      <c r="AY479" s="562"/>
    </row>
    <row r="480" spans="1:51" x14ac:dyDescent="0.2">
      <c r="B480" s="48">
        <v>611.1</v>
      </c>
      <c r="C480" s="14"/>
      <c r="D480" s="14"/>
      <c r="E480" s="14"/>
      <c r="F480" s="14"/>
      <c r="G480" s="14"/>
      <c r="H480" s="441"/>
      <c r="I480" s="40"/>
      <c r="J480" s="3"/>
      <c r="K480" s="53"/>
      <c r="L480" s="816" t="s">
        <v>2765</v>
      </c>
      <c r="M480" s="814"/>
      <c r="N480" s="3"/>
      <c r="O480" s="795"/>
      <c r="P480" s="562"/>
      <c r="Q480" s="562"/>
      <c r="R480" s="562"/>
      <c r="S480" s="562"/>
      <c r="T480" s="562"/>
      <c r="U480" s="562"/>
      <c r="V480" s="562"/>
      <c r="W480" s="562"/>
      <c r="X480" s="787"/>
      <c r="Y480" s="562"/>
      <c r="Z480" s="562"/>
      <c r="AA480" s="562"/>
      <c r="AB480" s="562"/>
      <c r="AC480" s="562"/>
      <c r="AD480" s="562"/>
      <c r="AE480" s="562"/>
      <c r="AF480" s="562"/>
      <c r="AG480" s="562"/>
      <c r="AH480" s="562"/>
      <c r="AI480" s="562"/>
      <c r="AJ480" s="562"/>
      <c r="AK480" s="562"/>
      <c r="AL480" s="562"/>
      <c r="AM480" s="562"/>
      <c r="AN480" s="562"/>
      <c r="AO480" s="562"/>
      <c r="AP480" s="562"/>
      <c r="AQ480" s="562"/>
      <c r="AR480" s="562"/>
      <c r="AS480" s="562"/>
      <c r="AT480" s="562"/>
      <c r="AU480" s="562"/>
      <c r="AV480" s="562"/>
      <c r="AW480" s="562"/>
      <c r="AX480" s="562"/>
      <c r="AY480" s="562"/>
    </row>
    <row r="481" spans="1:51" s="120" customFormat="1" ht="16" thickBot="1" x14ac:dyDescent="0.25">
      <c r="A481" s="13"/>
      <c r="B481" s="48">
        <v>611.1</v>
      </c>
      <c r="C481" s="14"/>
      <c r="D481" s="14"/>
      <c r="E481" s="14"/>
      <c r="F481" s="14"/>
      <c r="G481" s="14"/>
      <c r="H481" s="441"/>
      <c r="I481" s="40"/>
      <c r="J481" s="3"/>
      <c r="K481" s="53"/>
      <c r="L481" s="833"/>
      <c r="M481" s="814"/>
      <c r="N481" s="3"/>
      <c r="O481" s="795"/>
      <c r="P481" s="562"/>
      <c r="Q481" s="562"/>
      <c r="R481" s="562"/>
      <c r="S481" s="562"/>
      <c r="T481" s="562"/>
      <c r="U481" s="562"/>
      <c r="V481" s="562"/>
      <c r="W481" s="562"/>
      <c r="X481" s="825"/>
      <c r="Y481" s="562"/>
      <c r="Z481" s="562"/>
      <c r="AA481" s="562"/>
      <c r="AB481" s="562"/>
      <c r="AC481" s="562"/>
      <c r="AD481" s="562"/>
      <c r="AE481" s="562"/>
      <c r="AF481" s="562"/>
      <c r="AG481" s="562"/>
      <c r="AH481" s="562"/>
      <c r="AI481" s="562"/>
      <c r="AJ481" s="562"/>
      <c r="AK481" s="562"/>
      <c r="AL481" s="562"/>
      <c r="AM481" s="562"/>
      <c r="AN481" s="562"/>
      <c r="AO481" s="562"/>
      <c r="AP481" s="562"/>
      <c r="AQ481" s="562"/>
      <c r="AR481" s="562"/>
      <c r="AS481" s="562"/>
      <c r="AT481" s="562"/>
      <c r="AU481" s="562"/>
      <c r="AV481" s="562"/>
      <c r="AW481" s="562"/>
      <c r="AX481" s="562"/>
      <c r="AY481" s="562"/>
    </row>
    <row r="482" spans="1:51" s="120" customFormat="1" ht="16" thickTop="1" x14ac:dyDescent="0.2">
      <c r="A482" s="13"/>
      <c r="B482" s="48">
        <v>611.20000000000005</v>
      </c>
      <c r="C482" s="14"/>
      <c r="D482" s="14"/>
      <c r="E482" s="14"/>
      <c r="F482" s="14"/>
      <c r="G482" s="14"/>
      <c r="H482" s="441"/>
      <c r="I482" s="131" t="s">
        <v>2766</v>
      </c>
      <c r="J482" s="132"/>
      <c r="K482" s="133"/>
      <c r="L482" s="819" t="s">
        <v>2767</v>
      </c>
      <c r="M482" s="827" t="s">
        <v>2768</v>
      </c>
      <c r="N482" s="132"/>
      <c r="O482" s="823">
        <f>MIN(9,M485*S485*W485+M486*S486*W486+M487*S487*W487+M488*S488*W488+M489*S489*W489+M490*S490*W490+M491*S491*W491)</f>
        <v>0</v>
      </c>
      <c r="P482" s="74"/>
      <c r="Q482" s="74"/>
      <c r="R482" s="74"/>
      <c r="S482" s="74"/>
      <c r="T482" s="74"/>
      <c r="U482" s="74"/>
      <c r="V482" s="74"/>
      <c r="W482" s="74"/>
      <c r="X482" s="74"/>
      <c r="Y482" s="562"/>
      <c r="Z482" s="562"/>
      <c r="AA482" s="562"/>
      <c r="AB482" s="562"/>
      <c r="AC482" s="562"/>
      <c r="AD482" s="562"/>
      <c r="AE482" s="562"/>
      <c r="AF482" s="562"/>
      <c r="AG482" s="562"/>
      <c r="AH482" s="562"/>
      <c r="AI482" s="562"/>
      <c r="AJ482" s="562"/>
      <c r="AK482" s="562"/>
      <c r="AL482" s="190" t="str">
        <f>SUBSTITUTE(SUBSTITUTE(SUBSTITUTE("dpa"&amp;$B482&amp;$C482&amp;$D482&amp;$E482&amp;$F482,".","_"),"(","_"),")","")</f>
        <v>dpa611,2</v>
      </c>
      <c r="AM482" s="190" t="str">
        <f>M482</f>
        <v>9 Max</v>
      </c>
      <c r="AN482" s="190" t="str">
        <f>SUBSTITUTE(SUBSTITUTE(SUBSTITUTE("dpc"&amp;$B482&amp;$C482&amp;$D482&amp;$E482&amp;$F482,".","_"),"(","_"),")","")</f>
        <v>dpc611,2</v>
      </c>
      <c r="AO482" s="190">
        <f>O482</f>
        <v>0</v>
      </c>
      <c r="AP482" s="562"/>
      <c r="AQ482" s="562"/>
      <c r="AR482" s="562"/>
      <c r="AS482" s="562"/>
      <c r="AT482" s="562"/>
      <c r="AU482" s="562"/>
      <c r="AV482" s="562"/>
      <c r="AW482" s="562"/>
      <c r="AX482" s="562"/>
      <c r="AY482" s="562"/>
    </row>
    <row r="483" spans="1:51" x14ac:dyDescent="0.2">
      <c r="B483" s="48">
        <v>611.20000000000005</v>
      </c>
      <c r="C483" s="14"/>
      <c r="D483" s="14"/>
      <c r="E483" s="14"/>
      <c r="F483" s="14"/>
      <c r="G483" s="14"/>
      <c r="H483" s="441"/>
      <c r="I483" s="99"/>
      <c r="J483" s="98"/>
      <c r="K483" s="65"/>
      <c r="L483" s="820"/>
      <c r="M483" s="800"/>
      <c r="N483" s="98"/>
      <c r="O483" s="793"/>
      <c r="P483" s="64"/>
      <c r="Q483" s="64"/>
      <c r="R483" s="64"/>
      <c r="S483" s="64"/>
      <c r="T483" s="64"/>
      <c r="U483" s="64"/>
      <c r="V483" s="64"/>
      <c r="W483" s="64"/>
      <c r="X483" s="64"/>
      <c r="Y483" s="562"/>
      <c r="Z483" s="562"/>
      <c r="AA483" s="562"/>
      <c r="AB483" s="562"/>
      <c r="AC483" s="562"/>
      <c r="AD483" s="562"/>
      <c r="AE483" s="562"/>
      <c r="AF483" s="562"/>
      <c r="AG483" s="562"/>
      <c r="AH483" s="562"/>
      <c r="AI483" s="562"/>
      <c r="AJ483" s="562"/>
      <c r="AK483" s="562"/>
      <c r="AL483" s="562"/>
      <c r="AM483" s="562"/>
      <c r="AN483" s="562"/>
      <c r="AO483" s="562"/>
      <c r="AP483" s="562"/>
      <c r="AQ483" s="562"/>
      <c r="AR483" s="562"/>
      <c r="AS483" s="562"/>
      <c r="AT483" s="562"/>
      <c r="AU483" s="562"/>
      <c r="AV483" s="562"/>
      <c r="AW483" s="562"/>
      <c r="AX483" s="562"/>
      <c r="AY483" s="562"/>
    </row>
    <row r="484" spans="1:51" x14ac:dyDescent="0.2">
      <c r="B484" s="48">
        <v>611.20000000000005</v>
      </c>
      <c r="C484" s="14"/>
      <c r="D484" s="14"/>
      <c r="E484" s="14"/>
      <c r="F484" s="14"/>
      <c r="G484" s="14"/>
      <c r="H484" s="441"/>
      <c r="I484" s="99"/>
      <c r="J484" s="98"/>
      <c r="K484" s="65"/>
      <c r="L484" s="820"/>
      <c r="M484" s="800"/>
      <c r="N484" s="98"/>
      <c r="O484" s="793"/>
      <c r="P484" s="64"/>
      <c r="Q484" s="64"/>
      <c r="R484" s="64"/>
      <c r="S484" s="64"/>
      <c r="T484" s="64"/>
      <c r="U484" s="64"/>
      <c r="V484" s="64"/>
      <c r="W484" s="64"/>
      <c r="X484" s="64"/>
      <c r="Y484" s="562"/>
      <c r="Z484" s="562"/>
      <c r="AA484" s="562"/>
      <c r="AB484" s="562"/>
      <c r="AC484" s="562"/>
      <c r="AD484" s="562"/>
      <c r="AE484" s="562"/>
      <c r="AF484" s="562"/>
      <c r="AG484" s="562"/>
      <c r="AH484" s="562"/>
      <c r="AI484" s="562"/>
      <c r="AJ484" s="562"/>
      <c r="AK484" s="562"/>
      <c r="AL484" s="562"/>
      <c r="AM484" s="562"/>
      <c r="AN484" s="562"/>
      <c r="AO484" s="562"/>
      <c r="AP484" s="562"/>
      <c r="AQ484" s="562"/>
      <c r="AR484" s="562"/>
      <c r="AS484" s="562"/>
      <c r="AT484" s="562"/>
      <c r="AU484" s="562"/>
      <c r="AV484" s="562"/>
      <c r="AW484" s="562"/>
      <c r="AX484" s="562"/>
      <c r="AY484" s="562"/>
    </row>
    <row r="485" spans="1:51" x14ac:dyDescent="0.2">
      <c r="B485" s="48">
        <v>611.20000000000005</v>
      </c>
      <c r="C485" s="14"/>
      <c r="D485" s="14"/>
      <c r="E485" s="14" t="s">
        <v>2181</v>
      </c>
      <c r="F485" s="14"/>
      <c r="G485" s="14"/>
      <c r="H485" s="441"/>
      <c r="I485" s="40"/>
      <c r="J485" s="159" t="s">
        <v>2181</v>
      </c>
      <c r="K485" s="126"/>
      <c r="L485" s="599" t="s">
        <v>2769</v>
      </c>
      <c r="M485" s="611">
        <v>3</v>
      </c>
      <c r="N485" s="3"/>
      <c r="O485" s="609"/>
      <c r="P485" s="562" t="b">
        <v>1</v>
      </c>
      <c r="Q485" s="562" t="b">
        <v>1</v>
      </c>
      <c r="R485" s="562" t="b">
        <v>0</v>
      </c>
      <c r="S485" s="562" t="b">
        <v>1</v>
      </c>
      <c r="T485" s="562" t="b">
        <v>0</v>
      </c>
      <c r="U485" s="562"/>
      <c r="V485" s="562"/>
      <c r="W485" s="18"/>
      <c r="X485" s="563"/>
      <c r="Y485" s="562"/>
      <c r="Z485" s="562"/>
      <c r="AA485" s="562"/>
      <c r="AB485" s="562"/>
      <c r="AC485" s="562" t="b">
        <f t="shared" ref="AC485:AC491" si="107">OR(AD485:AE485)</f>
        <v>0</v>
      </c>
      <c r="AD485" s="562" t="b">
        <f t="shared" ref="AD485:AD491" si="108">T485</f>
        <v>0</v>
      </c>
      <c r="AE485" s="562" t="b">
        <v>0</v>
      </c>
      <c r="AF485" s="562"/>
      <c r="AG485" s="562"/>
      <c r="AH485" s="562"/>
      <c r="AI485" s="562"/>
      <c r="AJ485" s="562"/>
      <c r="AK485" s="562"/>
      <c r="AL485" s="190" t="str">
        <f t="shared" ref="AL485:AL491" si="109">SUBSTITUTE(SUBSTITUTE(SUBSTITUTE("dpa"&amp;$B485&amp;$C485&amp;$D485&amp;$E485&amp;$F485,".","_"),"(","_"),")","")</f>
        <v>dpa611,2_1</v>
      </c>
      <c r="AM485" s="190">
        <f t="shared" ref="AM485:AM491" si="110">M485</f>
        <v>3</v>
      </c>
      <c r="AN485" s="562"/>
      <c r="AO485" s="562"/>
      <c r="AP485" s="190" t="str">
        <f t="shared" ref="AP485:AP491" si="111">SUBSTITUTE(SUBSTITUTE(SUBSTITUTE("dch"&amp;$B485&amp;$C485&amp;$D485&amp;$E485&amp;$F485,".","_"),"(","_"),")","")</f>
        <v>dch611,2_1</v>
      </c>
      <c r="AQ485" s="190">
        <f t="shared" ref="AQ485:AQ491" si="112">W485</f>
        <v>0</v>
      </c>
      <c r="AR485" s="562" t="str">
        <f t="shared" ref="AR485:AR491" si="113">SUBSTITUTE(SUBSTITUTE(SUBSTITUTE("dnt"&amp;$B485&amp;$C485&amp;$D485&amp;$E485&amp;$F485,".","_"),"(","_"),")","")</f>
        <v>dnt611,2_1</v>
      </c>
      <c r="AS485" s="190">
        <f t="shared" ref="AS485:AS491" si="114">X485</f>
        <v>0</v>
      </c>
      <c r="AT485" s="562"/>
      <c r="AU485" s="562"/>
      <c r="AV485" s="562"/>
      <c r="AW485" s="562"/>
      <c r="AX485" s="562"/>
      <c r="AY485" s="562"/>
    </row>
    <row r="486" spans="1:51" x14ac:dyDescent="0.2">
      <c r="B486" s="48">
        <v>611.20000000000005</v>
      </c>
      <c r="C486" s="14"/>
      <c r="D486" s="14"/>
      <c r="E486" s="14" t="s">
        <v>2183</v>
      </c>
      <c r="F486" s="14"/>
      <c r="G486" s="14"/>
      <c r="H486" s="441"/>
      <c r="I486" s="40"/>
      <c r="J486" s="161" t="s">
        <v>2183</v>
      </c>
      <c r="K486" s="162"/>
      <c r="L486" s="205" t="s">
        <v>2770</v>
      </c>
      <c r="M486" s="249">
        <v>3</v>
      </c>
      <c r="N486" s="3"/>
      <c r="O486" s="609"/>
      <c r="P486" s="562" t="b">
        <v>1</v>
      </c>
      <c r="Q486" s="562" t="b">
        <v>1</v>
      </c>
      <c r="R486" s="562" t="b">
        <v>0</v>
      </c>
      <c r="S486" s="562" t="b">
        <v>1</v>
      </c>
      <c r="T486" s="562" t="b">
        <v>0</v>
      </c>
      <c r="U486" s="562"/>
      <c r="V486" s="562"/>
      <c r="W486" s="18"/>
      <c r="X486" s="563"/>
      <c r="Y486" s="562"/>
      <c r="Z486" s="562"/>
      <c r="AA486" s="562"/>
      <c r="AB486" s="562"/>
      <c r="AC486" s="562" t="b">
        <f t="shared" si="107"/>
        <v>0</v>
      </c>
      <c r="AD486" s="562" t="b">
        <f t="shared" si="108"/>
        <v>0</v>
      </c>
      <c r="AE486" s="562" t="b">
        <v>0</v>
      </c>
      <c r="AF486" s="562"/>
      <c r="AG486" s="562"/>
      <c r="AH486" s="562"/>
      <c r="AI486" s="562"/>
      <c r="AJ486" s="562"/>
      <c r="AK486" s="562"/>
      <c r="AL486" s="190" t="str">
        <f t="shared" si="109"/>
        <v>dpa611,2_2</v>
      </c>
      <c r="AM486" s="190">
        <f t="shared" si="110"/>
        <v>3</v>
      </c>
      <c r="AN486" s="562"/>
      <c r="AO486" s="562"/>
      <c r="AP486" s="190" t="str">
        <f t="shared" si="111"/>
        <v>dch611,2_2</v>
      </c>
      <c r="AQ486" s="190">
        <f t="shared" si="112"/>
        <v>0</v>
      </c>
      <c r="AR486" s="562" t="str">
        <f t="shared" si="113"/>
        <v>dnt611,2_2</v>
      </c>
      <c r="AS486" s="190">
        <f t="shared" si="114"/>
        <v>0</v>
      </c>
      <c r="AT486" s="562"/>
      <c r="AU486" s="562"/>
      <c r="AV486" s="562"/>
      <c r="AW486" s="562"/>
      <c r="AX486" s="562"/>
      <c r="AY486" s="562"/>
    </row>
    <row r="487" spans="1:51" x14ac:dyDescent="0.2">
      <c r="B487" s="48">
        <v>611.20000000000005</v>
      </c>
      <c r="C487" s="14"/>
      <c r="D487" s="14"/>
      <c r="E487" s="14" t="s">
        <v>2185</v>
      </c>
      <c r="F487" s="14"/>
      <c r="G487" s="14"/>
      <c r="H487" s="441"/>
      <c r="I487" s="40"/>
      <c r="J487" s="161" t="s">
        <v>2185</v>
      </c>
      <c r="K487" s="162"/>
      <c r="L487" s="205" t="s">
        <v>2771</v>
      </c>
      <c r="M487" s="249">
        <v>3</v>
      </c>
      <c r="N487" s="3"/>
      <c r="O487" s="609"/>
      <c r="P487" s="562" t="b">
        <v>1</v>
      </c>
      <c r="Q487" s="562" t="b">
        <v>1</v>
      </c>
      <c r="R487" s="562" t="b">
        <v>0</v>
      </c>
      <c r="S487" s="562" t="b">
        <v>1</v>
      </c>
      <c r="T487" s="562" t="b">
        <v>0</v>
      </c>
      <c r="U487" s="562"/>
      <c r="V487" s="562"/>
      <c r="W487" s="18"/>
      <c r="X487" s="563"/>
      <c r="Y487" s="562"/>
      <c r="Z487" s="562"/>
      <c r="AA487" s="562"/>
      <c r="AB487" s="562"/>
      <c r="AC487" s="562" t="b">
        <f t="shared" si="107"/>
        <v>0</v>
      </c>
      <c r="AD487" s="562" t="b">
        <f t="shared" si="108"/>
        <v>0</v>
      </c>
      <c r="AE487" s="562" t="b">
        <v>0</v>
      </c>
      <c r="AF487" s="562"/>
      <c r="AG487" s="562"/>
      <c r="AH487" s="562"/>
      <c r="AI487" s="562"/>
      <c r="AJ487" s="562"/>
      <c r="AK487" s="562"/>
      <c r="AL487" s="190" t="str">
        <f t="shared" si="109"/>
        <v>dpa611,2_3</v>
      </c>
      <c r="AM487" s="190">
        <f t="shared" si="110"/>
        <v>3</v>
      </c>
      <c r="AN487" s="562"/>
      <c r="AO487" s="562"/>
      <c r="AP487" s="190" t="str">
        <f t="shared" si="111"/>
        <v>dch611,2_3</v>
      </c>
      <c r="AQ487" s="190">
        <f t="shared" si="112"/>
        <v>0</v>
      </c>
      <c r="AR487" s="562" t="str">
        <f t="shared" si="113"/>
        <v>dnt611,2_3</v>
      </c>
      <c r="AS487" s="190">
        <f t="shared" si="114"/>
        <v>0</v>
      </c>
      <c r="AT487" s="562"/>
      <c r="AU487" s="562"/>
      <c r="AV487" s="562"/>
      <c r="AW487" s="562"/>
      <c r="AX487" s="562"/>
      <c r="AY487" s="562"/>
    </row>
    <row r="488" spans="1:51" x14ac:dyDescent="0.2">
      <c r="B488" s="48">
        <v>611.20000000000005</v>
      </c>
      <c r="C488" s="14"/>
      <c r="D488" s="14"/>
      <c r="E488" s="14" t="s">
        <v>2192</v>
      </c>
      <c r="F488" s="14"/>
      <c r="G488" s="14"/>
      <c r="H488" s="441"/>
      <c r="I488" s="40"/>
      <c r="J488" s="161" t="s">
        <v>2192</v>
      </c>
      <c r="K488" s="162"/>
      <c r="L488" s="205" t="s">
        <v>2772</v>
      </c>
      <c r="M488" s="249">
        <v>3</v>
      </c>
      <c r="N488" s="3"/>
      <c r="O488" s="609"/>
      <c r="P488" s="562" t="b">
        <v>1</v>
      </c>
      <c r="Q488" s="562" t="b">
        <v>1</v>
      </c>
      <c r="R488" s="562" t="b">
        <v>0</v>
      </c>
      <c r="S488" s="562" t="b">
        <v>1</v>
      </c>
      <c r="T488" s="562" t="b">
        <v>0</v>
      </c>
      <c r="U488" s="562"/>
      <c r="V488" s="562"/>
      <c r="W488" s="18"/>
      <c r="X488" s="563"/>
      <c r="Y488" s="562"/>
      <c r="Z488" s="562"/>
      <c r="AA488" s="562"/>
      <c r="AB488" s="562"/>
      <c r="AC488" s="562" t="b">
        <f t="shared" si="107"/>
        <v>0</v>
      </c>
      <c r="AD488" s="562" t="b">
        <f t="shared" si="108"/>
        <v>0</v>
      </c>
      <c r="AE488" s="562" t="b">
        <v>0</v>
      </c>
      <c r="AF488" s="562"/>
      <c r="AG488" s="562"/>
      <c r="AH488" s="562"/>
      <c r="AI488" s="562"/>
      <c r="AJ488" s="562"/>
      <c r="AK488" s="562"/>
      <c r="AL488" s="190" t="str">
        <f t="shared" si="109"/>
        <v>dpa611,2_4</v>
      </c>
      <c r="AM488" s="190">
        <f t="shared" si="110"/>
        <v>3</v>
      </c>
      <c r="AN488" s="562"/>
      <c r="AO488" s="562"/>
      <c r="AP488" s="190" t="str">
        <f t="shared" si="111"/>
        <v>dch611,2_4</v>
      </c>
      <c r="AQ488" s="190">
        <f t="shared" si="112"/>
        <v>0</v>
      </c>
      <c r="AR488" s="562" t="str">
        <f t="shared" si="113"/>
        <v>dnt611,2_4</v>
      </c>
      <c r="AS488" s="190">
        <f t="shared" si="114"/>
        <v>0</v>
      </c>
      <c r="AT488" s="562"/>
      <c r="AU488" s="562"/>
      <c r="AV488" s="562"/>
      <c r="AW488" s="562"/>
      <c r="AX488" s="562"/>
      <c r="AY488" s="562"/>
    </row>
    <row r="489" spans="1:51" x14ac:dyDescent="0.2">
      <c r="B489" s="48">
        <v>611.20000000000005</v>
      </c>
      <c r="C489" s="14"/>
      <c r="D489" s="14"/>
      <c r="E489" s="14" t="s">
        <v>2194</v>
      </c>
      <c r="F489" s="14"/>
      <c r="G489" s="14"/>
      <c r="H489" s="441"/>
      <c r="I489" s="40"/>
      <c r="J489" s="161" t="s">
        <v>2194</v>
      </c>
      <c r="K489" s="162"/>
      <c r="L489" s="205" t="s">
        <v>2773</v>
      </c>
      <c r="M489" s="249">
        <v>3</v>
      </c>
      <c r="N489" s="3"/>
      <c r="O489" s="609"/>
      <c r="P489" s="562" t="b">
        <v>1</v>
      </c>
      <c r="Q489" s="562" t="b">
        <v>1</v>
      </c>
      <c r="R489" s="562" t="b">
        <v>0</v>
      </c>
      <c r="S489" s="562" t="b">
        <v>1</v>
      </c>
      <c r="T489" s="562" t="b">
        <v>0</v>
      </c>
      <c r="U489" s="562"/>
      <c r="V489" s="562"/>
      <c r="W489" s="18"/>
      <c r="X489" s="563"/>
      <c r="Y489" s="562"/>
      <c r="Z489" s="562"/>
      <c r="AA489" s="562"/>
      <c r="AB489" s="562"/>
      <c r="AC489" s="562" t="b">
        <f t="shared" si="107"/>
        <v>0</v>
      </c>
      <c r="AD489" s="562" t="b">
        <f t="shared" si="108"/>
        <v>0</v>
      </c>
      <c r="AE489" s="562" t="b">
        <v>0</v>
      </c>
      <c r="AF489" s="562"/>
      <c r="AG489" s="562"/>
      <c r="AH489" s="562"/>
      <c r="AI489" s="562"/>
      <c r="AJ489" s="562"/>
      <c r="AK489" s="562"/>
      <c r="AL489" s="190" t="str">
        <f t="shared" si="109"/>
        <v>dpa611,2_5</v>
      </c>
      <c r="AM489" s="190">
        <f t="shared" si="110"/>
        <v>3</v>
      </c>
      <c r="AN489" s="562"/>
      <c r="AO489" s="562"/>
      <c r="AP489" s="190" t="str">
        <f t="shared" si="111"/>
        <v>dch611,2_5</v>
      </c>
      <c r="AQ489" s="190">
        <f t="shared" si="112"/>
        <v>0</v>
      </c>
      <c r="AR489" s="562" t="str">
        <f t="shared" si="113"/>
        <v>dnt611,2_5</v>
      </c>
      <c r="AS489" s="190">
        <f t="shared" si="114"/>
        <v>0</v>
      </c>
      <c r="AT489" s="562"/>
      <c r="AU489" s="562"/>
      <c r="AV489" s="562"/>
      <c r="AW489" s="562"/>
      <c r="AX489" s="562"/>
      <c r="AY489" s="562"/>
    </row>
    <row r="490" spans="1:51" x14ac:dyDescent="0.2">
      <c r="B490" s="48">
        <v>611.20000000000005</v>
      </c>
      <c r="C490" s="14"/>
      <c r="D490" s="14"/>
      <c r="E490" s="14" t="s">
        <v>2221</v>
      </c>
      <c r="F490" s="14"/>
      <c r="G490" s="14"/>
      <c r="H490" s="441"/>
      <c r="I490" s="40"/>
      <c r="J490" s="161" t="s">
        <v>2221</v>
      </c>
      <c r="K490" s="162"/>
      <c r="L490" s="205" t="s">
        <v>2774</v>
      </c>
      <c r="M490" s="249">
        <v>3</v>
      </c>
      <c r="N490" s="3"/>
      <c r="O490" s="609"/>
      <c r="P490" s="562" t="b">
        <v>1</v>
      </c>
      <c r="Q490" s="562" t="b">
        <v>1</v>
      </c>
      <c r="R490" s="562" t="b">
        <v>0</v>
      </c>
      <c r="S490" s="562" t="b">
        <v>1</v>
      </c>
      <c r="T490" s="562" t="b">
        <v>0</v>
      </c>
      <c r="U490" s="562"/>
      <c r="V490" s="562"/>
      <c r="W490" s="18"/>
      <c r="X490" s="563"/>
      <c r="Y490" s="562"/>
      <c r="Z490" s="562"/>
      <c r="AA490" s="562"/>
      <c r="AB490" s="562"/>
      <c r="AC490" s="562" t="b">
        <f t="shared" si="107"/>
        <v>0</v>
      </c>
      <c r="AD490" s="562" t="b">
        <f t="shared" si="108"/>
        <v>0</v>
      </c>
      <c r="AE490" s="562" t="b">
        <v>0</v>
      </c>
      <c r="AF490" s="562"/>
      <c r="AG490" s="562"/>
      <c r="AH490" s="562"/>
      <c r="AI490" s="562"/>
      <c r="AJ490" s="562"/>
      <c r="AK490" s="562"/>
      <c r="AL490" s="190" t="str">
        <f t="shared" si="109"/>
        <v>dpa611,2_6</v>
      </c>
      <c r="AM490" s="190">
        <f t="shared" si="110"/>
        <v>3</v>
      </c>
      <c r="AN490" s="562"/>
      <c r="AO490" s="562"/>
      <c r="AP490" s="190" t="str">
        <f t="shared" si="111"/>
        <v>dch611,2_6</v>
      </c>
      <c r="AQ490" s="190">
        <f t="shared" si="112"/>
        <v>0</v>
      </c>
      <c r="AR490" s="562" t="str">
        <f t="shared" si="113"/>
        <v>dnt611,2_6</v>
      </c>
      <c r="AS490" s="190">
        <f t="shared" si="114"/>
        <v>0</v>
      </c>
      <c r="AT490" s="562"/>
      <c r="AU490" s="562"/>
      <c r="AV490" s="562"/>
      <c r="AW490" s="562"/>
      <c r="AX490" s="562"/>
      <c r="AY490" s="562"/>
    </row>
    <row r="491" spans="1:51" x14ac:dyDescent="0.2">
      <c r="B491" s="48">
        <v>611.20000000000005</v>
      </c>
      <c r="C491" s="14"/>
      <c r="D491" s="14"/>
      <c r="E491" s="14" t="s">
        <v>2223</v>
      </c>
      <c r="F491" s="14"/>
      <c r="G491" s="14"/>
      <c r="H491" s="441"/>
      <c r="I491" s="40"/>
      <c r="J491" s="20" t="s">
        <v>2223</v>
      </c>
      <c r="K491" s="53"/>
      <c r="L491" s="817" t="s">
        <v>2775</v>
      </c>
      <c r="M491" s="814">
        <v>3</v>
      </c>
      <c r="N491" s="3"/>
      <c r="O491" s="609"/>
      <c r="P491" s="562" t="b">
        <v>1</v>
      </c>
      <c r="Q491" s="562" t="b">
        <v>1</v>
      </c>
      <c r="R491" s="562" t="b">
        <v>0</v>
      </c>
      <c r="S491" s="562" t="b">
        <v>1</v>
      </c>
      <c r="T491" s="562" t="b">
        <v>0</v>
      </c>
      <c r="U491" s="562"/>
      <c r="V491" s="562"/>
      <c r="W491" s="18"/>
      <c r="X491" s="787"/>
      <c r="Y491" s="562"/>
      <c r="Z491" s="562"/>
      <c r="AA491" s="562"/>
      <c r="AB491" s="562"/>
      <c r="AC491" s="562" t="b">
        <f t="shared" si="107"/>
        <v>0</v>
      </c>
      <c r="AD491" s="562" t="b">
        <f t="shared" si="108"/>
        <v>0</v>
      </c>
      <c r="AE491" s="562" t="b">
        <v>0</v>
      </c>
      <c r="AF491" s="562"/>
      <c r="AG491" s="562"/>
      <c r="AH491" s="562"/>
      <c r="AI491" s="562"/>
      <c r="AJ491" s="562"/>
      <c r="AK491" s="562"/>
      <c r="AL491" s="190" t="str">
        <f t="shared" si="109"/>
        <v>dpa611,2_7</v>
      </c>
      <c r="AM491" s="190">
        <f t="shared" si="110"/>
        <v>3</v>
      </c>
      <c r="AN491" s="562"/>
      <c r="AO491" s="562"/>
      <c r="AP491" s="190" t="str">
        <f t="shared" si="111"/>
        <v>dch611,2_7</v>
      </c>
      <c r="AQ491" s="190">
        <f t="shared" si="112"/>
        <v>0</v>
      </c>
      <c r="AR491" s="562" t="str">
        <f t="shared" si="113"/>
        <v>dnt611,2_7</v>
      </c>
      <c r="AS491" s="190">
        <f t="shared" si="114"/>
        <v>0</v>
      </c>
      <c r="AT491" s="562"/>
      <c r="AU491" s="562"/>
      <c r="AV491" s="562"/>
      <c r="AW491" s="562"/>
      <c r="AX491" s="562"/>
      <c r="AY491" s="562"/>
    </row>
    <row r="492" spans="1:51" ht="16" thickBot="1" x14ac:dyDescent="0.25">
      <c r="B492" s="48">
        <v>611.20000000000005</v>
      </c>
      <c r="C492" s="14"/>
      <c r="D492" s="14"/>
      <c r="E492" s="14" t="s">
        <v>2223</v>
      </c>
      <c r="F492" s="14"/>
      <c r="G492" s="14"/>
      <c r="H492" s="441"/>
      <c r="I492" s="40"/>
      <c r="J492" s="20"/>
      <c r="K492" s="53"/>
      <c r="L492" s="817"/>
      <c r="M492" s="814"/>
      <c r="N492" s="3"/>
      <c r="O492" s="609"/>
      <c r="P492" s="562"/>
      <c r="Q492" s="562"/>
      <c r="R492" s="562"/>
      <c r="S492" s="562"/>
      <c r="T492" s="562"/>
      <c r="U492" s="562"/>
      <c r="V492" s="562"/>
      <c r="W492" s="562"/>
      <c r="X492" s="825"/>
      <c r="Y492" s="562"/>
      <c r="Z492" s="562"/>
      <c r="AA492" s="562"/>
      <c r="AB492" s="562"/>
      <c r="AC492" s="562"/>
      <c r="AD492" s="562"/>
      <c r="AE492" s="562"/>
      <c r="AF492" s="562"/>
      <c r="AG492" s="562"/>
      <c r="AH492" s="562"/>
      <c r="AI492" s="562"/>
      <c r="AJ492" s="562"/>
      <c r="AK492" s="562"/>
      <c r="AL492" s="562"/>
      <c r="AM492" s="562"/>
      <c r="AN492" s="562"/>
      <c r="AO492" s="562"/>
      <c r="AP492" s="562"/>
      <c r="AQ492" s="562"/>
      <c r="AR492" s="562"/>
      <c r="AS492" s="562"/>
      <c r="AT492" s="562"/>
      <c r="AU492" s="562"/>
      <c r="AV492" s="562"/>
      <c r="AW492" s="562"/>
      <c r="AX492" s="562"/>
      <c r="AY492" s="562"/>
    </row>
    <row r="493" spans="1:51" ht="16" thickTop="1" x14ac:dyDescent="0.2">
      <c r="B493" s="48">
        <v>611.29999999999995</v>
      </c>
      <c r="C493" s="14"/>
      <c r="D493" s="14"/>
      <c r="E493" s="14"/>
      <c r="F493" s="14"/>
      <c r="G493" s="14"/>
      <c r="H493" s="441"/>
      <c r="I493" s="131" t="s">
        <v>2776</v>
      </c>
      <c r="J493" s="151"/>
      <c r="K493" s="133"/>
      <c r="L493" s="819" t="s">
        <v>2777</v>
      </c>
      <c r="M493" s="827" t="s">
        <v>2436</v>
      </c>
      <c r="N493" s="132"/>
      <c r="O493" s="823">
        <f>MIN(12,M495*S495*W495+M500*S500*W500+M504*S504*W504+M506*S506*W506+M508*S508*W508+M509*S509*W509+M510*S510*W510+M514*S514*W514+M516*S516*W516)</f>
        <v>0</v>
      </c>
      <c r="P493" s="74"/>
      <c r="Q493" s="74"/>
      <c r="R493" s="74"/>
      <c r="S493" s="74"/>
      <c r="T493" s="74"/>
      <c r="U493" s="74"/>
      <c r="V493" s="74"/>
      <c r="W493" s="74"/>
      <c r="X493" s="74"/>
      <c r="Y493" s="562"/>
      <c r="Z493" s="562"/>
      <c r="AA493" s="562"/>
      <c r="AB493" s="562"/>
      <c r="AC493" s="562"/>
      <c r="AD493" s="562"/>
      <c r="AE493" s="562"/>
      <c r="AF493" s="562"/>
      <c r="AG493" s="562"/>
      <c r="AH493" s="562"/>
      <c r="AI493" s="562"/>
      <c r="AJ493" s="562"/>
      <c r="AK493" s="562"/>
      <c r="AL493" s="190" t="str">
        <f>SUBSTITUTE(SUBSTITUTE(SUBSTITUTE("dpa"&amp;$B493&amp;$C493&amp;$D493&amp;$E493&amp;$F493,".","_"),"(","_"),")","")</f>
        <v>dpa611,3</v>
      </c>
      <c r="AM493" s="190" t="str">
        <f>M493</f>
        <v>12 Max</v>
      </c>
      <c r="AN493" s="190" t="str">
        <f>SUBSTITUTE(SUBSTITUTE(SUBSTITUTE("dpc"&amp;$B493&amp;$C493&amp;$D493&amp;$E493&amp;$F493,".","_"),"(","_"),")","")</f>
        <v>dpc611,3</v>
      </c>
      <c r="AO493" s="190">
        <f>O493</f>
        <v>0</v>
      </c>
      <c r="AP493" s="562"/>
      <c r="AQ493" s="562"/>
      <c r="AR493" s="562"/>
      <c r="AS493" s="562"/>
      <c r="AT493" s="562"/>
      <c r="AU493" s="562"/>
      <c r="AV493" s="562"/>
      <c r="AW493" s="562"/>
      <c r="AX493" s="562"/>
      <c r="AY493" s="562"/>
    </row>
    <row r="494" spans="1:51" x14ac:dyDescent="0.2">
      <c r="B494" s="48">
        <v>611.29999999999995</v>
      </c>
      <c r="C494" s="14"/>
      <c r="D494" s="14"/>
      <c r="E494" s="14"/>
      <c r="F494" s="14"/>
      <c r="G494" s="14"/>
      <c r="H494" s="441"/>
      <c r="I494" s="99"/>
      <c r="J494" s="98"/>
      <c r="K494" s="65"/>
      <c r="L494" s="820"/>
      <c r="M494" s="800"/>
      <c r="N494" s="98"/>
      <c r="O494" s="793"/>
      <c r="P494" s="64"/>
      <c r="Q494" s="64"/>
      <c r="R494" s="64"/>
      <c r="S494" s="64"/>
      <c r="T494" s="64"/>
      <c r="U494" s="64"/>
      <c r="V494" s="64"/>
      <c r="W494" s="64"/>
      <c r="X494" s="64"/>
      <c r="Y494" s="562"/>
      <c r="Z494" s="562"/>
      <c r="AA494" s="562"/>
      <c r="AB494" s="562"/>
      <c r="AC494" s="562"/>
      <c r="AD494" s="562"/>
      <c r="AE494" s="562"/>
      <c r="AF494" s="562"/>
      <c r="AG494" s="562"/>
      <c r="AH494" s="562"/>
      <c r="AI494" s="562"/>
      <c r="AJ494" s="562"/>
      <c r="AK494" s="562"/>
      <c r="AL494" s="562"/>
      <c r="AM494" s="562"/>
      <c r="AN494" s="562"/>
      <c r="AO494" s="562"/>
      <c r="AP494" s="562"/>
      <c r="AQ494" s="562"/>
      <c r="AR494" s="562"/>
      <c r="AS494" s="562"/>
      <c r="AT494" s="562"/>
      <c r="AU494" s="562"/>
      <c r="AV494" s="562"/>
      <c r="AW494" s="562"/>
      <c r="AX494" s="562"/>
      <c r="AY494" s="562"/>
    </row>
    <row r="495" spans="1:51" x14ac:dyDescent="0.2">
      <c r="B495" s="48">
        <v>611.29999999999995</v>
      </c>
      <c r="C495" s="14"/>
      <c r="D495" s="14"/>
      <c r="E495" s="14" t="s">
        <v>2181</v>
      </c>
      <c r="F495" s="14"/>
      <c r="G495" s="14"/>
      <c r="H495" s="441"/>
      <c r="I495" s="40"/>
      <c r="J495" s="134" t="s">
        <v>2181</v>
      </c>
      <c r="K495" s="65"/>
      <c r="L495" s="791" t="s">
        <v>2778</v>
      </c>
      <c r="M495" s="800">
        <v>3</v>
      </c>
      <c r="N495" s="3"/>
      <c r="O495" s="609"/>
      <c r="P495" s="562" t="b">
        <v>1</v>
      </c>
      <c r="Q495" s="562" t="b">
        <v>1</v>
      </c>
      <c r="R495" s="562" t="b">
        <v>0</v>
      </c>
      <c r="S495" s="562" t="b">
        <v>1</v>
      </c>
      <c r="T495" s="562" t="b">
        <v>0</v>
      </c>
      <c r="U495" s="562"/>
      <c r="V495" s="562"/>
      <c r="W495" s="18"/>
      <c r="X495" s="787"/>
      <c r="Y495" s="562"/>
      <c r="Z495" s="562"/>
      <c r="AA495" s="562"/>
      <c r="AB495" s="562"/>
      <c r="AC495" s="562"/>
      <c r="AD495" s="562"/>
      <c r="AE495" s="562"/>
      <c r="AF495" s="562"/>
      <c r="AG495" s="562"/>
      <c r="AH495" s="562"/>
      <c r="AI495" s="562"/>
      <c r="AJ495" s="562"/>
      <c r="AK495" s="562"/>
      <c r="AL495" s="190" t="str">
        <f>SUBSTITUTE(SUBSTITUTE(SUBSTITUTE("dpa"&amp;$B495&amp;$C495&amp;$D495&amp;$E495&amp;$F495,".","_"),"(","_"),")","")</f>
        <v>dpa611,3_1</v>
      </c>
      <c r="AM495" s="190">
        <f>M495</f>
        <v>3</v>
      </c>
      <c r="AN495" s="562"/>
      <c r="AO495" s="562"/>
      <c r="AP495" s="190" t="str">
        <f t="shared" ref="AP495" si="115">SUBSTITUTE(SUBSTITUTE(SUBSTITUTE("dch"&amp;$B495&amp;$C495&amp;$D495&amp;$E495&amp;$F495,".","_"),"(","_"),")","")</f>
        <v>dch611,3_1</v>
      </c>
      <c r="AQ495" s="190">
        <f>W495</f>
        <v>0</v>
      </c>
      <c r="AR495" s="562" t="str">
        <f>SUBSTITUTE(SUBSTITUTE(SUBSTITUTE("dnt"&amp;$B495&amp;$C495&amp;$D495&amp;$E495&amp;$F495,".","_"),"(","_"),")","")</f>
        <v>dnt611,3_1</v>
      </c>
      <c r="AS495" s="190">
        <f>X495</f>
        <v>0</v>
      </c>
      <c r="AT495" s="562"/>
      <c r="AU495" s="562"/>
      <c r="AV495" s="562"/>
      <c r="AW495" s="562"/>
      <c r="AX495" s="562"/>
      <c r="AY495" s="562"/>
    </row>
    <row r="496" spans="1:51" x14ac:dyDescent="0.2">
      <c r="B496" s="48">
        <v>611.29999999999995</v>
      </c>
      <c r="C496" s="14"/>
      <c r="D496" s="14"/>
      <c r="E496" s="14" t="s">
        <v>2181</v>
      </c>
      <c r="F496" s="14"/>
      <c r="G496" s="14"/>
      <c r="H496" s="441"/>
      <c r="I496" s="40"/>
      <c r="J496" s="98"/>
      <c r="K496" s="65"/>
      <c r="L496" s="791"/>
      <c r="M496" s="800"/>
      <c r="N496" s="3"/>
      <c r="O496" s="609"/>
      <c r="P496" s="562"/>
      <c r="Q496" s="562"/>
      <c r="R496" s="562"/>
      <c r="S496" s="562"/>
      <c r="T496" s="562"/>
      <c r="U496" s="562"/>
      <c r="V496" s="562"/>
      <c r="W496" s="562"/>
      <c r="X496" s="787"/>
      <c r="Y496" s="562"/>
      <c r="Z496" s="562"/>
      <c r="AA496" s="562"/>
      <c r="AB496" s="562"/>
      <c r="AC496" s="562"/>
      <c r="AD496" s="562"/>
      <c r="AE496" s="562"/>
      <c r="AF496" s="562"/>
      <c r="AG496" s="562"/>
      <c r="AH496" s="562"/>
      <c r="AI496" s="562"/>
      <c r="AJ496" s="562"/>
      <c r="AK496" s="562"/>
      <c r="AL496" s="562"/>
      <c r="AM496" s="562"/>
      <c r="AN496" s="562"/>
      <c r="AO496" s="562"/>
      <c r="AP496" s="562"/>
      <c r="AQ496" s="562"/>
      <c r="AR496" s="562"/>
      <c r="AS496" s="562"/>
      <c r="AT496" s="562"/>
      <c r="AU496" s="562"/>
      <c r="AV496" s="562"/>
      <c r="AW496" s="562"/>
      <c r="AX496" s="562"/>
      <c r="AY496" s="562"/>
    </row>
    <row r="497" spans="1:51" x14ac:dyDescent="0.2">
      <c r="B497" s="48">
        <v>611.29999999999995</v>
      </c>
      <c r="C497" s="14"/>
      <c r="D497" s="14"/>
      <c r="E497" s="14" t="s">
        <v>2181</v>
      </c>
      <c r="F497" s="14"/>
      <c r="G497" s="14"/>
      <c r="H497" s="441"/>
      <c r="I497" s="40"/>
      <c r="J497" s="98"/>
      <c r="K497" s="65"/>
      <c r="L497" s="791"/>
      <c r="M497" s="800"/>
      <c r="N497" s="3"/>
      <c r="O497" s="609"/>
      <c r="P497" s="562"/>
      <c r="Q497" s="562"/>
      <c r="R497" s="562"/>
      <c r="S497" s="562"/>
      <c r="T497" s="562"/>
      <c r="U497" s="562"/>
      <c r="V497" s="562"/>
      <c r="W497" s="562"/>
      <c r="X497" s="787"/>
      <c r="Y497" s="562"/>
      <c r="Z497" s="562"/>
      <c r="AA497" s="562"/>
      <c r="AB497" s="562"/>
      <c r="AC497" s="562"/>
      <c r="AD497" s="562"/>
      <c r="AE497" s="562"/>
      <c r="AF497" s="562"/>
      <c r="AG497" s="562"/>
      <c r="AH497" s="562"/>
      <c r="AI497" s="562"/>
      <c r="AJ497" s="562"/>
      <c r="AK497" s="562"/>
      <c r="AL497" s="562"/>
      <c r="AM497" s="562"/>
      <c r="AN497" s="562"/>
      <c r="AO497" s="562"/>
      <c r="AP497" s="562"/>
      <c r="AQ497" s="562"/>
      <c r="AR497" s="562"/>
      <c r="AS497" s="562"/>
      <c r="AT497" s="562"/>
      <c r="AU497" s="562"/>
      <c r="AV497" s="562"/>
      <c r="AW497" s="562"/>
      <c r="AX497" s="562"/>
      <c r="AY497" s="562"/>
    </row>
    <row r="498" spans="1:51" x14ac:dyDescent="0.2">
      <c r="B498" s="48">
        <v>611.29999999999995</v>
      </c>
      <c r="C498" s="14"/>
      <c r="D498" s="14"/>
      <c r="E498" s="14" t="s">
        <v>2181</v>
      </c>
      <c r="F498" s="14"/>
      <c r="G498" s="14"/>
      <c r="H498" s="441"/>
      <c r="I498" s="40"/>
      <c r="J498" s="98"/>
      <c r="K498" s="65"/>
      <c r="L498" s="791"/>
      <c r="M498" s="800"/>
      <c r="N498" s="3"/>
      <c r="O498" s="609"/>
      <c r="P498" s="562"/>
      <c r="Q498" s="562"/>
      <c r="R498" s="562"/>
      <c r="S498" s="562"/>
      <c r="T498" s="562"/>
      <c r="U498" s="562"/>
      <c r="V498" s="562"/>
      <c r="W498" s="562"/>
      <c r="X498" s="787"/>
      <c r="Y498" s="562"/>
      <c r="Z498" s="562"/>
      <c r="AA498" s="562"/>
      <c r="AB498" s="562"/>
      <c r="AC498" s="562"/>
      <c r="AD498" s="562"/>
      <c r="AE498" s="562"/>
      <c r="AF498" s="562"/>
      <c r="AG498" s="562"/>
      <c r="AH498" s="562"/>
      <c r="AI498" s="562"/>
      <c r="AJ498" s="562"/>
      <c r="AK498" s="562"/>
      <c r="AL498" s="562"/>
      <c r="AM498" s="562"/>
      <c r="AN498" s="562"/>
      <c r="AO498" s="562"/>
      <c r="AP498" s="562"/>
      <c r="AQ498" s="562"/>
      <c r="AR498" s="562"/>
      <c r="AS498" s="562"/>
      <c r="AT498" s="562"/>
      <c r="AU498" s="562"/>
      <c r="AV498" s="562"/>
      <c r="AW498" s="562"/>
      <c r="AX498" s="562"/>
      <c r="AY498" s="562"/>
    </row>
    <row r="499" spans="1:51" s="120" customFormat="1" x14ac:dyDescent="0.2">
      <c r="A499" s="13"/>
      <c r="B499" s="48">
        <v>611.29999999999995</v>
      </c>
      <c r="C499" s="14"/>
      <c r="D499" s="14"/>
      <c r="E499" s="14" t="s">
        <v>2181</v>
      </c>
      <c r="F499" s="14"/>
      <c r="G499" s="14"/>
      <c r="H499" s="441"/>
      <c r="I499" s="40"/>
      <c r="J499" s="165"/>
      <c r="K499" s="126"/>
      <c r="L499" s="792"/>
      <c r="M499" s="801"/>
      <c r="N499" s="3"/>
      <c r="O499" s="609"/>
      <c r="P499" s="562"/>
      <c r="Q499" s="562"/>
      <c r="R499" s="562"/>
      <c r="S499" s="562"/>
      <c r="T499" s="562"/>
      <c r="U499" s="562"/>
      <c r="V499" s="562"/>
      <c r="W499" s="562"/>
      <c r="X499" s="787"/>
      <c r="Y499" s="562"/>
      <c r="Z499" s="562"/>
      <c r="AA499" s="562"/>
      <c r="AB499" s="562"/>
      <c r="AC499" s="562"/>
      <c r="AD499" s="562"/>
      <c r="AE499" s="562"/>
      <c r="AF499" s="562"/>
      <c r="AG499" s="562"/>
      <c r="AH499" s="562"/>
      <c r="AI499" s="562"/>
      <c r="AJ499" s="562"/>
      <c r="AK499" s="562"/>
      <c r="AL499" s="562"/>
      <c r="AM499" s="562"/>
      <c r="AN499" s="562"/>
      <c r="AO499" s="562"/>
      <c r="AP499" s="562"/>
      <c r="AQ499" s="562"/>
      <c r="AR499" s="562"/>
      <c r="AS499" s="562"/>
      <c r="AT499" s="562"/>
      <c r="AU499" s="562"/>
      <c r="AV499" s="562"/>
      <c r="AW499" s="562"/>
      <c r="AX499" s="562"/>
      <c r="AY499" s="562"/>
    </row>
    <row r="500" spans="1:51" x14ac:dyDescent="0.2">
      <c r="B500" s="48">
        <v>611.29999999999995</v>
      </c>
      <c r="C500" s="14"/>
      <c r="D500" s="14"/>
      <c r="E500" s="14" t="s">
        <v>2183</v>
      </c>
      <c r="F500" s="14"/>
      <c r="G500" s="14"/>
      <c r="H500" s="441"/>
      <c r="I500" s="40"/>
      <c r="J500" s="164" t="s">
        <v>2183</v>
      </c>
      <c r="K500" s="147"/>
      <c r="L500" s="831" t="s">
        <v>2779</v>
      </c>
      <c r="M500" s="824">
        <v>3</v>
      </c>
      <c r="N500" s="3"/>
      <c r="O500" s="609"/>
      <c r="P500" s="562" t="b">
        <v>1</v>
      </c>
      <c r="Q500" s="562" t="b">
        <v>1</v>
      </c>
      <c r="R500" s="562" t="b">
        <v>0</v>
      </c>
      <c r="S500" s="562" t="b">
        <f>IF(W495=TRUE,TRUE,FALSE)</f>
        <v>0</v>
      </c>
      <c r="T500" s="64" t="b">
        <f>AND(NOT(S500),W500=TRUE)</f>
        <v>0</v>
      </c>
      <c r="U500" s="562"/>
      <c r="V500" s="562"/>
      <c r="W500" s="18"/>
      <c r="X500" s="787"/>
      <c r="Y500" s="562"/>
      <c r="Z500" s="562"/>
      <c r="AA500" s="562"/>
      <c r="AB500" s="562"/>
      <c r="AC500" s="562" t="b">
        <f>OR(AD500:AE500)</f>
        <v>0</v>
      </c>
      <c r="AD500" s="562" t="b">
        <f>T500</f>
        <v>0</v>
      </c>
      <c r="AE500" s="562"/>
      <c r="AF500" s="562"/>
      <c r="AG500" s="562"/>
      <c r="AH500" s="562"/>
      <c r="AI500" s="562"/>
      <c r="AJ500" s="562"/>
      <c r="AK500" s="562"/>
      <c r="AL500" s="190" t="str">
        <f>SUBSTITUTE(SUBSTITUTE(SUBSTITUTE("dpa"&amp;$B500&amp;$C500&amp;$D500&amp;$E500&amp;$F500,".","_"),"(","_"),")","")</f>
        <v>dpa611,3_2</v>
      </c>
      <c r="AM500" s="190">
        <f>M500</f>
        <v>3</v>
      </c>
      <c r="AN500" s="562"/>
      <c r="AO500" s="562"/>
      <c r="AP500" s="190" t="str">
        <f t="shared" ref="AP500" si="116">SUBSTITUTE(SUBSTITUTE(SUBSTITUTE("dch"&amp;$B500&amp;$C500&amp;$D500&amp;$E500&amp;$F500,".","_"),"(","_"),")","")</f>
        <v>dch611,3_2</v>
      </c>
      <c r="AQ500" s="190">
        <f>W500</f>
        <v>0</v>
      </c>
      <c r="AR500" s="562" t="str">
        <f>SUBSTITUTE(SUBSTITUTE(SUBSTITUTE("dnt"&amp;$B500&amp;$C500&amp;$D500&amp;$E500&amp;$F500,".","_"),"(","_"),")","")</f>
        <v>dnt611,3_2</v>
      </c>
      <c r="AS500" s="190">
        <f>X500</f>
        <v>0</v>
      </c>
      <c r="AT500" s="562"/>
      <c r="AU500" s="562"/>
      <c r="AV500" s="562"/>
      <c r="AW500" s="562"/>
      <c r="AX500" s="562"/>
      <c r="AY500" s="562"/>
    </row>
    <row r="501" spans="1:51" x14ac:dyDescent="0.2">
      <c r="B501" s="48">
        <v>611.29999999999995</v>
      </c>
      <c r="C501" s="14"/>
      <c r="D501" s="14"/>
      <c r="E501" s="14" t="s">
        <v>2183</v>
      </c>
      <c r="F501" s="14"/>
      <c r="G501" s="14"/>
      <c r="H501" s="441"/>
      <c r="I501" s="40"/>
      <c r="J501" s="98"/>
      <c r="K501" s="65"/>
      <c r="L501" s="791"/>
      <c r="M501" s="800"/>
      <c r="N501" s="3"/>
      <c r="O501" s="609"/>
      <c r="P501" s="562"/>
      <c r="Q501" s="562"/>
      <c r="R501" s="562"/>
      <c r="S501" s="562"/>
      <c r="T501" s="562"/>
      <c r="U501" s="562"/>
      <c r="V501" s="562"/>
      <c r="W501" s="562"/>
      <c r="X501" s="787"/>
      <c r="Y501" s="562"/>
      <c r="Z501" s="562"/>
      <c r="AA501" s="562"/>
      <c r="AB501" s="562"/>
      <c r="AC501" s="562"/>
      <c r="AD501" s="562"/>
      <c r="AE501" s="562"/>
      <c r="AF501" s="562"/>
      <c r="AG501" s="562"/>
      <c r="AH501" s="562"/>
      <c r="AI501" s="562"/>
      <c r="AJ501" s="562"/>
      <c r="AK501" s="562"/>
      <c r="AL501" s="562"/>
      <c r="AM501" s="562"/>
      <c r="AN501" s="562"/>
      <c r="AO501" s="562"/>
      <c r="AP501" s="562"/>
      <c r="AQ501" s="562"/>
      <c r="AR501" s="562"/>
      <c r="AS501" s="562"/>
      <c r="AT501" s="562"/>
      <c r="AU501" s="562"/>
      <c r="AV501" s="562"/>
      <c r="AW501" s="562"/>
      <c r="AX501" s="562"/>
      <c r="AY501" s="562"/>
    </row>
    <row r="502" spans="1:51" x14ac:dyDescent="0.2">
      <c r="B502" s="48">
        <v>611.29999999999995</v>
      </c>
      <c r="C502" s="14"/>
      <c r="D502" s="14"/>
      <c r="E502" s="14" t="s">
        <v>2183</v>
      </c>
      <c r="F502" s="14"/>
      <c r="G502" s="14"/>
      <c r="H502" s="441"/>
      <c r="I502" s="40"/>
      <c r="J502" s="98"/>
      <c r="K502" s="65"/>
      <c r="L502" s="791"/>
      <c r="M502" s="800"/>
      <c r="N502" s="3"/>
      <c r="O502" s="609"/>
      <c r="P502" s="562"/>
      <c r="Q502" s="562"/>
      <c r="R502" s="562"/>
      <c r="S502" s="562"/>
      <c r="T502" s="562"/>
      <c r="U502" s="562"/>
      <c r="V502" s="562"/>
      <c r="W502" s="562"/>
      <c r="X502" s="787"/>
      <c r="Y502" s="562"/>
      <c r="Z502" s="562"/>
      <c r="AA502" s="562"/>
      <c r="AB502" s="562"/>
      <c r="AC502" s="562"/>
      <c r="AD502" s="562"/>
      <c r="AE502" s="562"/>
      <c r="AF502" s="562"/>
      <c r="AG502" s="562"/>
      <c r="AH502" s="562"/>
      <c r="AI502" s="562"/>
      <c r="AJ502" s="562"/>
      <c r="AK502" s="562"/>
      <c r="AL502" s="562"/>
      <c r="AM502" s="562"/>
      <c r="AN502" s="562"/>
      <c r="AO502" s="562"/>
      <c r="AP502" s="562"/>
      <c r="AQ502" s="562"/>
      <c r="AR502" s="562"/>
      <c r="AS502" s="562"/>
      <c r="AT502" s="562"/>
      <c r="AU502" s="562"/>
      <c r="AV502" s="562"/>
      <c r="AW502" s="562"/>
      <c r="AX502" s="562"/>
      <c r="AY502" s="562"/>
    </row>
    <row r="503" spans="1:51" x14ac:dyDescent="0.2">
      <c r="B503" s="48">
        <v>611.29999999999995</v>
      </c>
      <c r="C503" s="14"/>
      <c r="D503" s="14"/>
      <c r="E503" s="14" t="s">
        <v>2183</v>
      </c>
      <c r="F503" s="14"/>
      <c r="G503" s="14"/>
      <c r="H503" s="441"/>
      <c r="I503" s="40"/>
      <c r="J503" s="165"/>
      <c r="K503" s="126"/>
      <c r="L503" s="792"/>
      <c r="M503" s="801"/>
      <c r="N503" s="3"/>
      <c r="O503" s="609"/>
      <c r="P503" s="562"/>
      <c r="Q503" s="562"/>
      <c r="R503" s="562"/>
      <c r="S503" s="562"/>
      <c r="T503" s="562"/>
      <c r="U503" s="562"/>
      <c r="V503" s="562"/>
      <c r="W503" s="562"/>
      <c r="X503" s="787"/>
      <c r="Y503" s="562"/>
      <c r="Z503" s="562"/>
      <c r="AA503" s="562"/>
      <c r="AB503" s="562"/>
      <c r="AC503" s="562"/>
      <c r="AD503" s="562"/>
      <c r="AE503" s="562"/>
      <c r="AF503" s="562"/>
      <c r="AG503" s="562"/>
      <c r="AH503" s="562"/>
      <c r="AI503" s="562"/>
      <c r="AJ503" s="562"/>
      <c r="AK503" s="562"/>
      <c r="AL503" s="562"/>
      <c r="AM503" s="562"/>
      <c r="AN503" s="562"/>
      <c r="AO503" s="562"/>
      <c r="AP503" s="562"/>
      <c r="AQ503" s="562"/>
      <c r="AR503" s="562"/>
      <c r="AS503" s="562"/>
      <c r="AT503" s="562"/>
      <c r="AU503" s="562"/>
      <c r="AV503" s="562"/>
      <c r="AW503" s="562"/>
      <c r="AX503" s="562"/>
      <c r="AY503" s="562"/>
    </row>
    <row r="504" spans="1:51" x14ac:dyDescent="0.2">
      <c r="B504" s="48">
        <v>611.29999999999995</v>
      </c>
      <c r="C504" s="14"/>
      <c r="D504" s="14"/>
      <c r="E504" s="14" t="s">
        <v>2185</v>
      </c>
      <c r="F504" s="14"/>
      <c r="G504" s="14"/>
      <c r="H504" s="441"/>
      <c r="I504" s="40"/>
      <c r="J504" s="164" t="s">
        <v>2185</v>
      </c>
      <c r="K504" s="147"/>
      <c r="L504" s="831" t="s">
        <v>2780</v>
      </c>
      <c r="M504" s="824">
        <v>3</v>
      </c>
      <c r="N504" s="3"/>
      <c r="O504" s="609"/>
      <c r="P504" s="562" t="b">
        <v>1</v>
      </c>
      <c r="Q504" s="562" t="b">
        <v>1</v>
      </c>
      <c r="R504" s="562" t="b">
        <v>0</v>
      </c>
      <c r="S504" s="562" t="b">
        <f>IF(W495=TRUE,TRUE,FALSE)</f>
        <v>0</v>
      </c>
      <c r="T504" s="64" t="b">
        <f>AND(NOT(S504),W504=TRUE)</f>
        <v>0</v>
      </c>
      <c r="U504" s="562"/>
      <c r="V504" s="562"/>
      <c r="W504" s="18"/>
      <c r="X504" s="787"/>
      <c r="Y504" s="562"/>
      <c r="Z504" s="562"/>
      <c r="AA504" s="562"/>
      <c r="AB504" s="562"/>
      <c r="AC504" s="562" t="b">
        <f>OR(AD504:AE504)</f>
        <v>0</v>
      </c>
      <c r="AD504" s="562" t="b">
        <f>T504</f>
        <v>0</v>
      </c>
      <c r="AE504" s="562"/>
      <c r="AF504" s="562"/>
      <c r="AG504" s="562"/>
      <c r="AH504" s="562"/>
      <c r="AI504" s="562"/>
      <c r="AJ504" s="562"/>
      <c r="AK504" s="562"/>
      <c r="AL504" s="190" t="str">
        <f>SUBSTITUTE(SUBSTITUTE(SUBSTITUTE("dpa"&amp;$B504&amp;$C504&amp;$D504&amp;$E504&amp;$F504,".","_"),"(","_"),")","")</f>
        <v>dpa611,3_3</v>
      </c>
      <c r="AM504" s="190">
        <f>M504</f>
        <v>3</v>
      </c>
      <c r="AN504" s="562"/>
      <c r="AO504" s="562"/>
      <c r="AP504" s="190" t="str">
        <f t="shared" ref="AP504" si="117">SUBSTITUTE(SUBSTITUTE(SUBSTITUTE("dch"&amp;$B504&amp;$C504&amp;$D504&amp;$E504&amp;$F504,".","_"),"(","_"),")","")</f>
        <v>dch611,3_3</v>
      </c>
      <c r="AQ504" s="190">
        <f>W504</f>
        <v>0</v>
      </c>
      <c r="AR504" s="562" t="str">
        <f>SUBSTITUTE(SUBSTITUTE(SUBSTITUTE("dnt"&amp;$B504&amp;$C504&amp;$D504&amp;$E504&amp;$F504,".","_"),"(","_"),")","")</f>
        <v>dnt611,3_3</v>
      </c>
      <c r="AS504" s="190">
        <f>X504</f>
        <v>0</v>
      </c>
      <c r="AT504" s="562"/>
      <c r="AU504" s="562"/>
      <c r="AV504" s="562"/>
      <c r="AW504" s="562"/>
      <c r="AX504" s="562"/>
      <c r="AY504" s="562"/>
    </row>
    <row r="505" spans="1:51" x14ac:dyDescent="0.2">
      <c r="B505" s="48">
        <v>611.29999999999995</v>
      </c>
      <c r="C505" s="14"/>
      <c r="D505" s="14"/>
      <c r="E505" s="14" t="s">
        <v>2185</v>
      </c>
      <c r="F505" s="14"/>
      <c r="G505" s="14"/>
      <c r="H505" s="441"/>
      <c r="I505" s="40"/>
      <c r="J505" s="165"/>
      <c r="K505" s="126"/>
      <c r="L505" s="792"/>
      <c r="M505" s="801"/>
      <c r="N505" s="3"/>
      <c r="O505" s="609"/>
      <c r="P505" s="562"/>
      <c r="Q505" s="562"/>
      <c r="R505" s="562"/>
      <c r="S505" s="562"/>
      <c r="T505" s="562"/>
      <c r="U505" s="562"/>
      <c r="V505" s="562"/>
      <c r="W505" s="562"/>
      <c r="X505" s="787"/>
      <c r="Y505" s="562"/>
      <c r="Z505" s="562"/>
      <c r="AA505" s="562"/>
      <c r="AB505" s="562"/>
      <c r="AC505" s="562"/>
      <c r="AD505" s="562"/>
      <c r="AE505" s="562"/>
      <c r="AF505" s="562"/>
      <c r="AG505" s="562"/>
      <c r="AH505" s="562"/>
      <c r="AI505" s="562"/>
      <c r="AJ505" s="562"/>
      <c r="AK505" s="562"/>
      <c r="AL505" s="562"/>
      <c r="AM505" s="562"/>
      <c r="AN505" s="562"/>
      <c r="AO505" s="562"/>
      <c r="AP505" s="562"/>
      <c r="AQ505" s="562"/>
      <c r="AR505" s="562"/>
      <c r="AS505" s="562"/>
      <c r="AT505" s="562"/>
      <c r="AU505" s="562"/>
      <c r="AV505" s="562"/>
      <c r="AW505" s="562"/>
      <c r="AX505" s="562"/>
      <c r="AY505" s="562"/>
    </row>
    <row r="506" spans="1:51" x14ac:dyDescent="0.2">
      <c r="B506" s="48">
        <v>611.29999999999995</v>
      </c>
      <c r="C506" s="14"/>
      <c r="D506" s="14"/>
      <c r="E506" s="14" t="s">
        <v>2192</v>
      </c>
      <c r="F506" s="14"/>
      <c r="G506" s="14"/>
      <c r="H506" s="441"/>
      <c r="I506" s="40"/>
      <c r="J506" s="164" t="s">
        <v>2192</v>
      </c>
      <c r="K506" s="147"/>
      <c r="L506" s="831" t="s">
        <v>2781</v>
      </c>
      <c r="M506" s="824">
        <v>1</v>
      </c>
      <c r="N506" s="3"/>
      <c r="O506" s="609"/>
      <c r="P506" s="562" t="b">
        <v>1</v>
      </c>
      <c r="Q506" s="562" t="b">
        <v>0</v>
      </c>
      <c r="R506" s="562" t="b">
        <v>0</v>
      </c>
      <c r="S506" s="562" t="b">
        <v>1</v>
      </c>
      <c r="T506" s="562" t="b">
        <v>0</v>
      </c>
      <c r="U506" s="562"/>
      <c r="V506" s="562"/>
      <c r="W506" s="18"/>
      <c r="X506" s="787"/>
      <c r="Y506" s="562"/>
      <c r="Z506" s="562"/>
      <c r="AA506" s="562"/>
      <c r="AB506" s="562"/>
      <c r="AC506" s="562"/>
      <c r="AD506" s="562"/>
      <c r="AE506" s="562"/>
      <c r="AF506" s="562"/>
      <c r="AG506" s="562"/>
      <c r="AH506" s="562"/>
      <c r="AI506" s="562"/>
      <c r="AJ506" s="562"/>
      <c r="AK506" s="562"/>
      <c r="AL506" s="190" t="str">
        <f>SUBSTITUTE(SUBSTITUTE(SUBSTITUTE("dpa"&amp;$B506&amp;$C506&amp;$D506&amp;$E506&amp;$F506,".","_"),"(","_"),")","")</f>
        <v>dpa611,3_4</v>
      </c>
      <c r="AM506" s="190">
        <f>M506</f>
        <v>1</v>
      </c>
      <c r="AN506" s="562"/>
      <c r="AO506" s="562"/>
      <c r="AP506" s="190" t="str">
        <f t="shared" ref="AP506" si="118">SUBSTITUTE(SUBSTITUTE(SUBSTITUTE("dch"&amp;$B506&amp;$C506&amp;$D506&amp;$E506&amp;$F506,".","_"),"(","_"),")","")</f>
        <v>dch611,3_4</v>
      </c>
      <c r="AQ506" s="190">
        <f>W506</f>
        <v>0</v>
      </c>
      <c r="AR506" s="562" t="str">
        <f>SUBSTITUTE(SUBSTITUTE(SUBSTITUTE("dnt"&amp;$B506&amp;$C506&amp;$D506&amp;$E506&amp;$F506,".","_"),"(","_"),")","")</f>
        <v>dnt611,3_4</v>
      </c>
      <c r="AS506" s="190">
        <f>X506</f>
        <v>0</v>
      </c>
      <c r="AT506" s="562"/>
      <c r="AU506" s="562"/>
      <c r="AV506" s="562"/>
      <c r="AW506" s="562"/>
      <c r="AX506" s="562"/>
      <c r="AY506" s="562"/>
    </row>
    <row r="507" spans="1:51" x14ac:dyDescent="0.2">
      <c r="B507" s="48">
        <v>611.29999999999995</v>
      </c>
      <c r="C507" s="14"/>
      <c r="D507" s="14"/>
      <c r="E507" s="14" t="s">
        <v>2192</v>
      </c>
      <c r="F507" s="14"/>
      <c r="G507" s="14"/>
      <c r="H507" s="441"/>
      <c r="I507" s="40"/>
      <c r="J507" s="165"/>
      <c r="K507" s="126"/>
      <c r="L507" s="792"/>
      <c r="M507" s="801"/>
      <c r="N507" s="3"/>
      <c r="O507" s="609"/>
      <c r="P507" s="562"/>
      <c r="Q507" s="562"/>
      <c r="R507" s="562"/>
      <c r="S507" s="562"/>
      <c r="T507" s="562"/>
      <c r="U507" s="562"/>
      <c r="V507" s="562"/>
      <c r="W507" s="562"/>
      <c r="X507" s="787"/>
      <c r="Y507" s="562"/>
      <c r="Z507" s="562"/>
      <c r="AA507" s="562"/>
      <c r="AB507" s="562"/>
      <c r="AC507" s="562"/>
      <c r="AD507" s="562"/>
      <c r="AE507" s="562"/>
      <c r="AF507" s="562"/>
      <c r="AG507" s="562"/>
      <c r="AH507" s="562"/>
      <c r="AI507" s="562"/>
      <c r="AJ507" s="562"/>
      <c r="AK507" s="562"/>
      <c r="AL507" s="562"/>
      <c r="AM507" s="562"/>
      <c r="AN507" s="562"/>
      <c r="AO507" s="562"/>
      <c r="AP507" s="562"/>
      <c r="AQ507" s="562"/>
      <c r="AR507" s="562"/>
      <c r="AS507" s="562"/>
      <c r="AT507" s="562"/>
      <c r="AU507" s="562"/>
      <c r="AV507" s="562"/>
      <c r="AW507" s="562"/>
      <c r="AX507" s="562"/>
      <c r="AY507" s="562"/>
    </row>
    <row r="508" spans="1:51" x14ac:dyDescent="0.2">
      <c r="B508" s="48">
        <v>611.29999999999995</v>
      </c>
      <c r="C508" s="14"/>
      <c r="D508" s="14"/>
      <c r="E508" s="14" t="s">
        <v>2194</v>
      </c>
      <c r="F508" s="14"/>
      <c r="G508" s="14"/>
      <c r="H508" s="441"/>
      <c r="I508" s="40"/>
      <c r="J508" s="161" t="s">
        <v>2194</v>
      </c>
      <c r="K508" s="162"/>
      <c r="L508" s="205" t="s">
        <v>2782</v>
      </c>
      <c r="M508" s="249">
        <v>1</v>
      </c>
      <c r="N508" s="3"/>
      <c r="O508" s="609"/>
      <c r="P508" s="562" t="b">
        <v>1</v>
      </c>
      <c r="Q508" s="562" t="b">
        <v>1</v>
      </c>
      <c r="R508" s="562" t="b">
        <v>0</v>
      </c>
      <c r="S508" s="562" t="b">
        <v>1</v>
      </c>
      <c r="T508" s="562" t="b">
        <v>0</v>
      </c>
      <c r="U508" s="562"/>
      <c r="V508" s="562"/>
      <c r="W508" s="18"/>
      <c r="X508" s="563"/>
      <c r="Y508" s="562"/>
      <c r="Z508" s="562"/>
      <c r="AA508" s="562"/>
      <c r="AB508" s="562"/>
      <c r="AC508" s="562"/>
      <c r="AD508" s="562"/>
      <c r="AE508" s="562"/>
      <c r="AF508" s="562"/>
      <c r="AG508" s="562"/>
      <c r="AH508" s="562"/>
      <c r="AI508" s="562"/>
      <c r="AJ508" s="562"/>
      <c r="AK508" s="562"/>
      <c r="AL508" s="190" t="str">
        <f t="shared" ref="AL508:AL510" si="119">SUBSTITUTE(SUBSTITUTE(SUBSTITUTE("dpa"&amp;$B508&amp;$C508&amp;$D508&amp;$E508&amp;$F508,".","_"),"(","_"),")","")</f>
        <v>dpa611,3_5</v>
      </c>
      <c r="AM508" s="190">
        <f>M508</f>
        <v>1</v>
      </c>
      <c r="AN508" s="562"/>
      <c r="AO508" s="562"/>
      <c r="AP508" s="190" t="str">
        <f t="shared" ref="AP508:AP510" si="120">SUBSTITUTE(SUBSTITUTE(SUBSTITUTE("dch"&amp;$B508&amp;$C508&amp;$D508&amp;$E508&amp;$F508,".","_"),"(","_"),")","")</f>
        <v>dch611,3_5</v>
      </c>
      <c r="AQ508" s="190">
        <f>W508</f>
        <v>0</v>
      </c>
      <c r="AR508" s="562" t="str">
        <f>SUBSTITUTE(SUBSTITUTE(SUBSTITUTE("dnt"&amp;$B508&amp;$C508&amp;$D508&amp;$E508&amp;$F508,".","_"),"(","_"),")","")</f>
        <v>dnt611,3_5</v>
      </c>
      <c r="AS508" s="190">
        <f>X508</f>
        <v>0</v>
      </c>
      <c r="AT508" s="562"/>
      <c r="AU508" s="562"/>
      <c r="AV508" s="562"/>
      <c r="AW508" s="562"/>
      <c r="AX508" s="562"/>
      <c r="AY508" s="562"/>
    </row>
    <row r="509" spans="1:51" x14ac:dyDescent="0.2">
      <c r="B509" s="48">
        <v>611.29999999999995</v>
      </c>
      <c r="C509" s="14"/>
      <c r="D509" s="14"/>
      <c r="E509" s="14" t="s">
        <v>2221</v>
      </c>
      <c r="F509" s="14"/>
      <c r="G509" s="14"/>
      <c r="H509" s="441"/>
      <c r="I509" s="40"/>
      <c r="J509" s="161" t="s">
        <v>2221</v>
      </c>
      <c r="K509" s="162"/>
      <c r="L509" s="205" t="s">
        <v>2783</v>
      </c>
      <c r="M509" s="249">
        <v>1</v>
      </c>
      <c r="N509" s="3"/>
      <c r="O509" s="609"/>
      <c r="P509" s="562" t="b">
        <v>1</v>
      </c>
      <c r="Q509" s="562" t="b">
        <v>1</v>
      </c>
      <c r="R509" s="562" t="b">
        <v>0</v>
      </c>
      <c r="S509" s="562" t="b">
        <v>1</v>
      </c>
      <c r="T509" s="562" t="b">
        <v>0</v>
      </c>
      <c r="U509" s="562"/>
      <c r="V509" s="562"/>
      <c r="W509" s="18"/>
      <c r="X509" s="563"/>
      <c r="Y509" s="562"/>
      <c r="Z509" s="562"/>
      <c r="AA509" s="562"/>
      <c r="AB509" s="562"/>
      <c r="AC509" s="562"/>
      <c r="AD509" s="562"/>
      <c r="AE509" s="562"/>
      <c r="AF509" s="562"/>
      <c r="AG509" s="562"/>
      <c r="AH509" s="562"/>
      <c r="AI509" s="562"/>
      <c r="AJ509" s="562"/>
      <c r="AK509" s="562"/>
      <c r="AL509" s="190" t="str">
        <f t="shared" si="119"/>
        <v>dpa611,3_6</v>
      </c>
      <c r="AM509" s="190">
        <f>M509</f>
        <v>1</v>
      </c>
      <c r="AN509" s="562"/>
      <c r="AO509" s="562"/>
      <c r="AP509" s="190" t="str">
        <f t="shared" si="120"/>
        <v>dch611,3_6</v>
      </c>
      <c r="AQ509" s="190">
        <f>W509</f>
        <v>0</v>
      </c>
      <c r="AR509" s="562" t="str">
        <f>SUBSTITUTE(SUBSTITUTE(SUBSTITUTE("dnt"&amp;$B509&amp;$C509&amp;$D509&amp;$E509&amp;$F509,".","_"),"(","_"),")","")</f>
        <v>dnt611,3_6</v>
      </c>
      <c r="AS509" s="190">
        <f>X509</f>
        <v>0</v>
      </c>
      <c r="AT509" s="562"/>
      <c r="AU509" s="562"/>
      <c r="AV509" s="562"/>
      <c r="AW509" s="562"/>
      <c r="AX509" s="562"/>
      <c r="AY509" s="562"/>
    </row>
    <row r="510" spans="1:51" x14ac:dyDescent="0.2">
      <c r="B510" s="48">
        <v>611.29999999999995</v>
      </c>
      <c r="C510" s="14"/>
      <c r="D510" s="14"/>
      <c r="E510" s="14" t="s">
        <v>2223</v>
      </c>
      <c r="F510" s="14"/>
      <c r="G510" s="14"/>
      <c r="H510" s="441"/>
      <c r="I510" s="40"/>
      <c r="J510" s="164" t="s">
        <v>2223</v>
      </c>
      <c r="K510" s="147"/>
      <c r="L510" s="831" t="s">
        <v>2784</v>
      </c>
      <c r="M510" s="824">
        <v>1</v>
      </c>
      <c r="N510" s="3"/>
      <c r="O510" s="609"/>
      <c r="P510" s="562" t="b">
        <v>1</v>
      </c>
      <c r="Q510" s="562" t="b">
        <v>1</v>
      </c>
      <c r="R510" s="562" t="b">
        <v>0</v>
      </c>
      <c r="S510" s="562" t="b">
        <v>1</v>
      </c>
      <c r="T510" s="562" t="b">
        <v>0</v>
      </c>
      <c r="U510" s="562"/>
      <c r="V510" s="562"/>
      <c r="W510" s="18"/>
      <c r="X510" s="787"/>
      <c r="Y510" s="562"/>
      <c r="Z510" s="562"/>
      <c r="AA510" s="562"/>
      <c r="AB510" s="562"/>
      <c r="AC510" s="562"/>
      <c r="AD510" s="562"/>
      <c r="AE510" s="562"/>
      <c r="AF510" s="562"/>
      <c r="AG510" s="562"/>
      <c r="AH510" s="562"/>
      <c r="AI510" s="562"/>
      <c r="AJ510" s="562"/>
      <c r="AK510" s="562"/>
      <c r="AL510" s="190" t="str">
        <f t="shared" si="119"/>
        <v>dpa611,3_7</v>
      </c>
      <c r="AM510" s="190">
        <f>M510</f>
        <v>1</v>
      </c>
      <c r="AN510" s="562"/>
      <c r="AO510" s="562"/>
      <c r="AP510" s="190" t="str">
        <f t="shared" si="120"/>
        <v>dch611,3_7</v>
      </c>
      <c r="AQ510" s="190">
        <f>W510</f>
        <v>0</v>
      </c>
      <c r="AR510" s="562" t="str">
        <f>SUBSTITUTE(SUBSTITUTE(SUBSTITUTE("dnt"&amp;$B510&amp;$C510&amp;$D510&amp;$E510&amp;$F510,".","_"),"(","_"),")","")</f>
        <v>dnt611,3_7</v>
      </c>
      <c r="AS510" s="190">
        <f>X510</f>
        <v>0</v>
      </c>
      <c r="AT510" s="562"/>
      <c r="AU510" s="562"/>
      <c r="AV510" s="562"/>
      <c r="AW510" s="562"/>
      <c r="AX510" s="562"/>
      <c r="AY510" s="562"/>
    </row>
    <row r="511" spans="1:51" x14ac:dyDescent="0.2">
      <c r="B511" s="48">
        <v>611.29999999999995</v>
      </c>
      <c r="C511" s="14"/>
      <c r="D511" s="14"/>
      <c r="E511" s="14" t="s">
        <v>2223</v>
      </c>
      <c r="F511" s="14"/>
      <c r="G511" s="14"/>
      <c r="H511" s="441"/>
      <c r="I511" s="40"/>
      <c r="J511" s="98"/>
      <c r="K511" s="65"/>
      <c r="L511" s="791"/>
      <c r="M511" s="800"/>
      <c r="N511" s="3"/>
      <c r="O511" s="609"/>
      <c r="P511" s="562"/>
      <c r="Q511" s="562"/>
      <c r="R511" s="562"/>
      <c r="S511" s="562"/>
      <c r="T511" s="562"/>
      <c r="U511" s="562"/>
      <c r="V511" s="562"/>
      <c r="W511" s="562"/>
      <c r="X511" s="787"/>
      <c r="Y511" s="562"/>
      <c r="Z511" s="562"/>
      <c r="AA511" s="562"/>
      <c r="AB511" s="562"/>
      <c r="AC511" s="562"/>
      <c r="AD511" s="562"/>
      <c r="AE511" s="562"/>
      <c r="AF511" s="562"/>
      <c r="AG511" s="562"/>
      <c r="AH511" s="562"/>
      <c r="AI511" s="562"/>
      <c r="AJ511" s="562"/>
      <c r="AK511" s="562"/>
      <c r="AL511" s="562"/>
      <c r="AM511" s="562"/>
      <c r="AN511" s="562"/>
      <c r="AO511" s="562"/>
      <c r="AP511" s="562"/>
      <c r="AQ511" s="562"/>
      <c r="AR511" s="562"/>
      <c r="AS511" s="562"/>
      <c r="AT511" s="562"/>
      <c r="AU511" s="562"/>
      <c r="AV511" s="562"/>
      <c r="AW511" s="562"/>
      <c r="AX511" s="562"/>
      <c r="AY511" s="562"/>
    </row>
    <row r="512" spans="1:51" x14ac:dyDescent="0.2">
      <c r="B512" s="48">
        <v>611.29999999999995</v>
      </c>
      <c r="C512" s="14"/>
      <c r="D512" s="14"/>
      <c r="E512" s="14" t="s">
        <v>2223</v>
      </c>
      <c r="F512" s="14"/>
      <c r="G512" s="14"/>
      <c r="H512" s="441"/>
      <c r="I512" s="40"/>
      <c r="J512" s="98"/>
      <c r="K512" s="65"/>
      <c r="L512" s="791"/>
      <c r="M512" s="800"/>
      <c r="N512" s="3"/>
      <c r="O512" s="609"/>
      <c r="P512" s="562"/>
      <c r="Q512" s="562"/>
      <c r="R512" s="562"/>
      <c r="S512" s="562"/>
      <c r="T512" s="562"/>
      <c r="U512" s="562"/>
      <c r="V512" s="562"/>
      <c r="W512" s="562"/>
      <c r="X512" s="787"/>
      <c r="Y512" s="562"/>
      <c r="Z512" s="562"/>
      <c r="AA512" s="562"/>
      <c r="AB512" s="562"/>
      <c r="AC512" s="562"/>
      <c r="AD512" s="562"/>
      <c r="AE512" s="562"/>
      <c r="AF512" s="562"/>
      <c r="AG512" s="562"/>
      <c r="AH512" s="562"/>
      <c r="AI512" s="562"/>
      <c r="AJ512" s="562"/>
      <c r="AK512" s="562"/>
      <c r="AL512" s="562"/>
      <c r="AM512" s="562"/>
      <c r="AN512" s="562"/>
      <c r="AO512" s="562"/>
      <c r="AP512" s="562"/>
      <c r="AQ512" s="562"/>
      <c r="AR512" s="562"/>
      <c r="AS512" s="562"/>
      <c r="AT512" s="562"/>
      <c r="AU512" s="562"/>
      <c r="AV512" s="562"/>
      <c r="AW512" s="562"/>
      <c r="AX512" s="562"/>
      <c r="AY512" s="562"/>
    </row>
    <row r="513" spans="2:45" x14ac:dyDescent="0.2">
      <c r="B513" s="48">
        <v>611.29999999999995</v>
      </c>
      <c r="C513" s="14"/>
      <c r="D513" s="14"/>
      <c r="E513" s="14" t="s">
        <v>2223</v>
      </c>
      <c r="F513" s="14"/>
      <c r="G513" s="14"/>
      <c r="H513" s="441"/>
      <c r="I513" s="40"/>
      <c r="J513" s="165"/>
      <c r="K513" s="126"/>
      <c r="L513" s="792"/>
      <c r="M513" s="801"/>
      <c r="N513" s="3"/>
      <c r="O513" s="609"/>
      <c r="P513" s="562"/>
      <c r="Q513" s="562"/>
      <c r="R513" s="562"/>
      <c r="S513" s="562"/>
      <c r="T513" s="562"/>
      <c r="U513" s="562"/>
      <c r="V513" s="562"/>
      <c r="W513" s="562"/>
      <c r="X513" s="787"/>
      <c r="Y513" s="562"/>
      <c r="Z513" s="562"/>
      <c r="AA513" s="562"/>
      <c r="AB513" s="562"/>
      <c r="AC513" s="562"/>
      <c r="AD513" s="562"/>
      <c r="AE513" s="562"/>
      <c r="AF513" s="562"/>
      <c r="AG513" s="562"/>
      <c r="AH513" s="562"/>
      <c r="AI513" s="562"/>
      <c r="AJ513" s="562"/>
      <c r="AK513" s="562"/>
      <c r="AL513" s="562"/>
      <c r="AM513" s="562"/>
      <c r="AN513" s="562"/>
      <c r="AO513" s="562"/>
      <c r="AP513" s="562"/>
      <c r="AQ513" s="562"/>
      <c r="AR513" s="562"/>
      <c r="AS513" s="562"/>
    </row>
    <row r="514" spans="2:45" x14ac:dyDescent="0.2">
      <c r="B514" s="48">
        <v>611.29999999999995</v>
      </c>
      <c r="C514" s="14"/>
      <c r="D514" s="14"/>
      <c r="E514" s="14" t="s">
        <v>2282</v>
      </c>
      <c r="F514" s="14"/>
      <c r="G514" s="14"/>
      <c r="H514" s="441"/>
      <c r="I514" s="40"/>
      <c r="J514" s="164" t="s">
        <v>2282</v>
      </c>
      <c r="K514" s="147"/>
      <c r="L514" s="831" t="s">
        <v>2785</v>
      </c>
      <c r="M514" s="824">
        <v>1</v>
      </c>
      <c r="N514" s="3"/>
      <c r="O514" s="609"/>
      <c r="P514" s="562" t="b">
        <v>1</v>
      </c>
      <c r="Q514" s="562" t="b">
        <v>1</v>
      </c>
      <c r="R514" s="562" t="b">
        <v>0</v>
      </c>
      <c r="S514" s="562" t="b">
        <v>1</v>
      </c>
      <c r="T514" s="562" t="b">
        <v>0</v>
      </c>
      <c r="U514" s="562"/>
      <c r="V514" s="562"/>
      <c r="W514" s="18"/>
      <c r="X514" s="787"/>
      <c r="Y514" s="562"/>
      <c r="Z514" s="562"/>
      <c r="AA514" s="562"/>
      <c r="AB514" s="562"/>
      <c r="AC514" s="562"/>
      <c r="AD514" s="562"/>
      <c r="AE514" s="562"/>
      <c r="AF514" s="562"/>
      <c r="AG514" s="562"/>
      <c r="AH514" s="562"/>
      <c r="AI514" s="562"/>
      <c r="AJ514" s="562"/>
      <c r="AK514" s="562"/>
      <c r="AL514" s="190" t="str">
        <f>SUBSTITUTE(SUBSTITUTE(SUBSTITUTE("dpa"&amp;$B514&amp;$C514&amp;$D514&amp;$E514&amp;$F514,".","_"),"(","_"),")","")</f>
        <v>dpa611,3_8</v>
      </c>
      <c r="AM514" s="190">
        <f>M514</f>
        <v>1</v>
      </c>
      <c r="AN514" s="562"/>
      <c r="AO514" s="562"/>
      <c r="AP514" s="190" t="str">
        <f t="shared" ref="AP514" si="121">SUBSTITUTE(SUBSTITUTE(SUBSTITUTE("dch"&amp;$B514&amp;$C514&amp;$D514&amp;$E514&amp;$F514,".","_"),"(","_"),")","")</f>
        <v>dch611,3_8</v>
      </c>
      <c r="AQ514" s="190">
        <f>W514</f>
        <v>0</v>
      </c>
      <c r="AR514" s="562" t="str">
        <f>SUBSTITUTE(SUBSTITUTE(SUBSTITUTE("dnt"&amp;$B514&amp;$C514&amp;$D514&amp;$E514&amp;$F514,".","_"),"(","_"),")","")</f>
        <v>dnt611,3_8</v>
      </c>
      <c r="AS514" s="190">
        <f>X514</f>
        <v>0</v>
      </c>
    </row>
    <row r="515" spans="2:45" x14ac:dyDescent="0.2">
      <c r="B515" s="48">
        <v>611.29999999999995</v>
      </c>
      <c r="C515" s="14"/>
      <c r="D515" s="14"/>
      <c r="E515" s="14" t="s">
        <v>2282</v>
      </c>
      <c r="F515" s="14"/>
      <c r="G515" s="14"/>
      <c r="H515" s="441"/>
      <c r="I515" s="40"/>
      <c r="J515" s="165"/>
      <c r="K515" s="126"/>
      <c r="L515" s="792"/>
      <c r="M515" s="801"/>
      <c r="N515" s="3"/>
      <c r="O515" s="609"/>
      <c r="P515" s="562"/>
      <c r="Q515" s="562"/>
      <c r="R515" s="562"/>
      <c r="S515" s="562"/>
      <c r="T515" s="562"/>
      <c r="U515" s="562"/>
      <c r="V515" s="562"/>
      <c r="W515" s="562"/>
      <c r="X515" s="787"/>
      <c r="Y515" s="562"/>
      <c r="Z515" s="562"/>
      <c r="AA515" s="562"/>
      <c r="AB515" s="562"/>
      <c r="AC515" s="562"/>
      <c r="AD515" s="562"/>
      <c r="AE515" s="562"/>
      <c r="AF515" s="562"/>
      <c r="AG515" s="562"/>
      <c r="AH515" s="562"/>
      <c r="AI515" s="562"/>
      <c r="AJ515" s="562"/>
      <c r="AK515" s="562"/>
      <c r="AL515" s="562"/>
      <c r="AM515" s="562"/>
      <c r="AN515" s="562"/>
      <c r="AO515" s="562"/>
      <c r="AP515" s="562"/>
      <c r="AQ515" s="562"/>
      <c r="AR515" s="562"/>
      <c r="AS515" s="562"/>
    </row>
    <row r="516" spans="2:45" x14ac:dyDescent="0.2">
      <c r="B516" s="48">
        <v>611.29999999999995</v>
      </c>
      <c r="C516" s="14"/>
      <c r="D516" s="14"/>
      <c r="E516" s="14" t="s">
        <v>2284</v>
      </c>
      <c r="F516" s="14"/>
      <c r="G516" s="14"/>
      <c r="H516" s="441"/>
      <c r="I516" s="40"/>
      <c r="J516" s="20" t="s">
        <v>2284</v>
      </c>
      <c r="K516" s="53"/>
      <c r="L516" s="817" t="s">
        <v>2786</v>
      </c>
      <c r="M516" s="814">
        <v>1</v>
      </c>
      <c r="N516" s="3"/>
      <c r="O516" s="609"/>
      <c r="P516" s="562" t="b">
        <v>1</v>
      </c>
      <c r="Q516" s="562" t="b">
        <v>1</v>
      </c>
      <c r="R516" s="562" t="b">
        <v>0</v>
      </c>
      <c r="S516" s="562" t="b">
        <v>1</v>
      </c>
      <c r="T516" s="562" t="b">
        <v>0</v>
      </c>
      <c r="U516" s="562"/>
      <c r="V516" s="562"/>
      <c r="W516" s="18"/>
      <c r="X516" s="787"/>
      <c r="Y516" s="562"/>
      <c r="Z516" s="562"/>
      <c r="AA516" s="562"/>
      <c r="AB516" s="562"/>
      <c r="AC516" s="562"/>
      <c r="AD516" s="562"/>
      <c r="AE516" s="562"/>
      <c r="AF516" s="562"/>
      <c r="AG516" s="562"/>
      <c r="AH516" s="562"/>
      <c r="AI516" s="562"/>
      <c r="AJ516" s="562"/>
      <c r="AK516" s="562"/>
      <c r="AL516" s="190" t="str">
        <f>SUBSTITUTE(SUBSTITUTE(SUBSTITUTE("dpa"&amp;$B516&amp;$C516&amp;$D516&amp;$E516&amp;$F516,".","_"),"(","_"),")","")</f>
        <v>dpa611,3_9</v>
      </c>
      <c r="AM516" s="190">
        <f>M516</f>
        <v>1</v>
      </c>
      <c r="AN516" s="562"/>
      <c r="AO516" s="562"/>
      <c r="AP516" s="190" t="str">
        <f t="shared" ref="AP516" si="122">SUBSTITUTE(SUBSTITUTE(SUBSTITUTE("dch"&amp;$B516&amp;$C516&amp;$D516&amp;$E516&amp;$F516,".","_"),"(","_"),")","")</f>
        <v>dch611,3_9</v>
      </c>
      <c r="AQ516" s="190">
        <f>W516</f>
        <v>0</v>
      </c>
      <c r="AR516" s="562" t="str">
        <f>SUBSTITUTE(SUBSTITUTE(SUBSTITUTE("dnt"&amp;$B516&amp;$C516&amp;$D516&amp;$E516&amp;$F516,".","_"),"(","_"),")","")</f>
        <v>dnt611,3_9</v>
      </c>
      <c r="AS516" s="190">
        <f>X516</f>
        <v>0</v>
      </c>
    </row>
    <row r="517" spans="2:45" ht="16" thickBot="1" x14ac:dyDescent="0.25">
      <c r="B517" s="48">
        <v>611.29999999999995</v>
      </c>
      <c r="C517" s="14"/>
      <c r="D517" s="14"/>
      <c r="E517" s="14" t="s">
        <v>2284</v>
      </c>
      <c r="F517" s="14"/>
      <c r="G517" s="14"/>
      <c r="H517" s="441"/>
      <c r="I517" s="40"/>
      <c r="J517" s="3"/>
      <c r="K517" s="53"/>
      <c r="L517" s="817"/>
      <c r="M517" s="814"/>
      <c r="N517" s="3"/>
      <c r="O517" s="609"/>
      <c r="P517" s="562"/>
      <c r="Q517" s="562"/>
      <c r="R517" s="562"/>
      <c r="S517" s="562"/>
      <c r="T517" s="562"/>
      <c r="U517" s="562"/>
      <c r="V517" s="562"/>
      <c r="W517" s="562"/>
      <c r="X517" s="825"/>
      <c r="Y517" s="562"/>
      <c r="Z517" s="562"/>
      <c r="AA517" s="562"/>
      <c r="AB517" s="562"/>
      <c r="AC517" s="562"/>
      <c r="AD517" s="562"/>
      <c r="AE517" s="562"/>
      <c r="AF517" s="562"/>
      <c r="AG517" s="562"/>
      <c r="AH517" s="562"/>
      <c r="AI517" s="562"/>
      <c r="AJ517" s="562"/>
      <c r="AK517" s="562"/>
      <c r="AL517" s="562"/>
      <c r="AM517" s="562"/>
      <c r="AN517" s="562"/>
      <c r="AO517" s="562"/>
      <c r="AP517" s="562"/>
      <c r="AQ517" s="562"/>
      <c r="AR517" s="562"/>
      <c r="AS517" s="562"/>
    </row>
    <row r="518" spans="2:45" ht="16" thickTop="1" x14ac:dyDescent="0.2">
      <c r="B518" s="48">
        <v>611.4</v>
      </c>
      <c r="C518" s="14"/>
      <c r="D518" s="14"/>
      <c r="E518" s="14"/>
      <c r="F518" s="14"/>
      <c r="G518" s="14"/>
      <c r="H518" s="441"/>
      <c r="I518" s="131" t="s">
        <v>2787</v>
      </c>
      <c r="J518" s="132"/>
      <c r="K518" s="133"/>
      <c r="L518" s="819" t="s">
        <v>2788</v>
      </c>
      <c r="M518" s="827">
        <v>5</v>
      </c>
      <c r="N518" s="132"/>
      <c r="O518" s="823">
        <f>IF(W524+W534*2&gt;=10,5,0)</f>
        <v>0</v>
      </c>
      <c r="P518" s="74"/>
      <c r="Q518" s="74"/>
      <c r="R518" s="74"/>
      <c r="S518" s="74"/>
      <c r="T518" s="74"/>
      <c r="U518" s="74"/>
      <c r="V518" s="74"/>
      <c r="W518" s="74"/>
      <c r="X518" s="74"/>
      <c r="Y518" s="562"/>
      <c r="Z518" s="562"/>
      <c r="AA518" s="562"/>
      <c r="AB518" s="562"/>
      <c r="AC518" s="562"/>
      <c r="AD518" s="562"/>
      <c r="AE518" s="562"/>
      <c r="AF518" s="562"/>
      <c r="AG518" s="562"/>
      <c r="AH518" s="562"/>
      <c r="AI518" s="562"/>
      <c r="AJ518" s="562"/>
      <c r="AK518" s="562"/>
      <c r="AL518" s="190" t="str">
        <f>SUBSTITUTE(SUBSTITUTE(SUBSTITUTE("dpa"&amp;$B518&amp;$C518&amp;$D518&amp;$E518&amp;$F518,".","_"),"(","_"),")","")</f>
        <v>dpa611,4</v>
      </c>
      <c r="AM518" s="190">
        <f>M518</f>
        <v>5</v>
      </c>
      <c r="AN518" s="190" t="str">
        <f>SUBSTITUTE(SUBSTITUTE(SUBSTITUTE("dpc"&amp;$B518&amp;$C518&amp;$D518&amp;$E518&amp;$F518,".","_"),"(","_"),")","")</f>
        <v>dpc611,4</v>
      </c>
      <c r="AO518" s="190">
        <f>O518</f>
        <v>0</v>
      </c>
      <c r="AP518" s="562"/>
      <c r="AQ518" s="562"/>
      <c r="AR518" s="562"/>
      <c r="AS518" s="562"/>
    </row>
    <row r="519" spans="2:45" x14ac:dyDescent="0.2">
      <c r="B519" s="48">
        <v>611.4</v>
      </c>
      <c r="C519" s="14"/>
      <c r="D519" s="14"/>
      <c r="E519" s="14"/>
      <c r="F519" s="14"/>
      <c r="G519" s="14"/>
      <c r="H519" s="441"/>
      <c r="I519" s="99"/>
      <c r="J519" s="98"/>
      <c r="K519" s="65"/>
      <c r="L519" s="820"/>
      <c r="M519" s="800"/>
      <c r="N519" s="98"/>
      <c r="O519" s="793"/>
      <c r="P519" s="64"/>
      <c r="Q519" s="64"/>
      <c r="R519" s="64"/>
      <c r="S519" s="64"/>
      <c r="T519" s="64"/>
      <c r="U519" s="64"/>
      <c r="V519" s="64"/>
      <c r="W519" s="64"/>
      <c r="X519" s="64"/>
      <c r="Y519" s="562"/>
      <c r="Z519" s="562"/>
      <c r="AA519" s="562"/>
      <c r="AB519" s="562"/>
      <c r="AC519" s="562"/>
      <c r="AD519" s="562"/>
      <c r="AE519" s="562"/>
      <c r="AF519" s="562"/>
      <c r="AG519" s="562"/>
      <c r="AH519" s="562"/>
      <c r="AI519" s="562"/>
      <c r="AJ519" s="562"/>
      <c r="AK519" s="562"/>
      <c r="AL519" s="562"/>
      <c r="AM519" s="562"/>
      <c r="AN519" s="562"/>
      <c r="AO519" s="562"/>
      <c r="AP519" s="562"/>
      <c r="AQ519" s="562"/>
      <c r="AR519" s="562"/>
      <c r="AS519" s="562"/>
    </row>
    <row r="520" spans="2:45" x14ac:dyDescent="0.2">
      <c r="B520" s="48">
        <v>611.4</v>
      </c>
      <c r="C520" s="14"/>
      <c r="D520" s="14"/>
      <c r="E520" s="14"/>
      <c r="F520" s="14"/>
      <c r="G520" s="14"/>
      <c r="H520" s="441"/>
      <c r="I520" s="99"/>
      <c r="J520" s="98"/>
      <c r="K520" s="65"/>
      <c r="L520" s="820"/>
      <c r="M520" s="800"/>
      <c r="N520" s="98"/>
      <c r="O520" s="793"/>
      <c r="P520" s="64"/>
      <c r="Q520" s="64"/>
      <c r="R520" s="64"/>
      <c r="S520" s="64"/>
      <c r="T520" s="64"/>
      <c r="U520" s="64"/>
      <c r="V520" s="64"/>
      <c r="W520" s="64"/>
      <c r="X520" s="64"/>
      <c r="Y520" s="562"/>
      <c r="Z520" s="562"/>
      <c r="AA520" s="562"/>
      <c r="AB520" s="562"/>
      <c r="AC520" s="562"/>
      <c r="AD520" s="562"/>
      <c r="AE520" s="562"/>
      <c r="AF520" s="562"/>
      <c r="AG520" s="562"/>
      <c r="AH520" s="562"/>
      <c r="AI520" s="562"/>
      <c r="AJ520" s="562"/>
      <c r="AK520" s="562"/>
      <c r="AL520" s="562"/>
      <c r="AM520" s="562"/>
      <c r="AN520" s="562"/>
      <c r="AO520" s="562"/>
      <c r="AP520" s="562"/>
      <c r="AQ520" s="562"/>
      <c r="AR520" s="562"/>
      <c r="AS520" s="562"/>
    </row>
    <row r="521" spans="2:45" x14ac:dyDescent="0.2">
      <c r="B521" s="48">
        <v>611.4</v>
      </c>
      <c r="C521" s="14"/>
      <c r="D521" s="14"/>
      <c r="E521" s="14"/>
      <c r="F521" s="14"/>
      <c r="G521" s="14"/>
      <c r="H521" s="441"/>
      <c r="I521" s="99"/>
      <c r="J521" s="98"/>
      <c r="K521" s="65"/>
      <c r="L521" s="820"/>
      <c r="M521" s="800"/>
      <c r="N521" s="98"/>
      <c r="O521" s="793"/>
      <c r="P521" s="64"/>
      <c r="Q521" s="64"/>
      <c r="R521" s="64"/>
      <c r="S521" s="64"/>
      <c r="T521" s="64"/>
      <c r="U521" s="64"/>
      <c r="V521" s="64"/>
      <c r="W521" s="64"/>
      <c r="X521" s="64"/>
      <c r="Y521" s="562"/>
      <c r="Z521" s="562"/>
      <c r="AA521" s="562"/>
      <c r="AB521" s="562"/>
      <c r="AC521" s="562"/>
      <c r="AD521" s="562"/>
      <c r="AE521" s="562"/>
      <c r="AF521" s="562"/>
      <c r="AG521" s="562"/>
      <c r="AH521" s="562"/>
      <c r="AI521" s="562"/>
      <c r="AJ521" s="562"/>
      <c r="AK521" s="562"/>
      <c r="AL521" s="562"/>
      <c r="AM521" s="562"/>
      <c r="AN521" s="562"/>
      <c r="AO521" s="562"/>
      <c r="AP521" s="562"/>
      <c r="AQ521" s="562"/>
      <c r="AR521" s="562"/>
      <c r="AS521" s="562"/>
    </row>
    <row r="522" spans="2:45" x14ac:dyDescent="0.2">
      <c r="B522" s="48">
        <v>611.4</v>
      </c>
      <c r="C522" s="14"/>
      <c r="D522" s="14"/>
      <c r="E522" s="14"/>
      <c r="F522" s="14"/>
      <c r="G522" s="14"/>
      <c r="H522" s="441"/>
      <c r="I522" s="170"/>
      <c r="J522" s="165"/>
      <c r="K522" s="126"/>
      <c r="L522" s="832"/>
      <c r="M522" s="801"/>
      <c r="N522" s="165"/>
      <c r="O522" s="794"/>
      <c r="P522" s="64"/>
      <c r="Q522" s="64"/>
      <c r="R522" s="64"/>
      <c r="S522" s="64"/>
      <c r="T522" s="64"/>
      <c r="U522" s="64"/>
      <c r="V522" s="64"/>
      <c r="W522" s="64"/>
      <c r="X522" s="64"/>
      <c r="Y522" s="562"/>
      <c r="Z522" s="562"/>
      <c r="AA522" s="562"/>
      <c r="AB522" s="562"/>
      <c r="AC522" s="562"/>
      <c r="AD522" s="562"/>
      <c r="AE522" s="562"/>
      <c r="AF522" s="562"/>
      <c r="AG522" s="562"/>
      <c r="AH522" s="562"/>
      <c r="AI522" s="562"/>
      <c r="AJ522" s="562"/>
      <c r="AK522" s="562"/>
      <c r="AL522" s="562"/>
      <c r="AM522" s="562"/>
      <c r="AN522" s="562"/>
      <c r="AO522" s="562"/>
      <c r="AP522" s="562"/>
      <c r="AQ522" s="562"/>
      <c r="AR522" s="562"/>
      <c r="AS522" s="562"/>
    </row>
    <row r="523" spans="2:45" x14ac:dyDescent="0.2">
      <c r="B523" s="48" t="s">
        <v>2789</v>
      </c>
      <c r="C523" s="14"/>
      <c r="D523" s="14"/>
      <c r="E523" s="14"/>
      <c r="F523" s="14"/>
      <c r="G523" s="14"/>
      <c r="H523" s="441"/>
      <c r="I523" s="40" t="s">
        <v>2790</v>
      </c>
      <c r="J523" s="3"/>
      <c r="K523" s="53"/>
      <c r="L523" s="862" t="s">
        <v>2791</v>
      </c>
      <c r="M523" s="616"/>
      <c r="N523" s="3"/>
      <c r="O523" s="609"/>
      <c r="P523" s="562"/>
      <c r="Q523" s="562"/>
      <c r="R523" s="562"/>
      <c r="S523" s="562"/>
      <c r="T523" s="562"/>
      <c r="U523" s="562"/>
      <c r="V523" s="562"/>
      <c r="W523" s="562" t="s">
        <v>2792</v>
      </c>
      <c r="X523" s="787"/>
      <c r="Y523" s="562"/>
      <c r="Z523" s="562"/>
      <c r="AA523" s="562"/>
      <c r="AB523" s="562"/>
      <c r="AC523" s="562"/>
      <c r="AD523" s="562"/>
      <c r="AE523" s="562"/>
      <c r="AF523" s="562"/>
      <c r="AG523" s="562"/>
      <c r="AH523" s="562"/>
      <c r="AI523" s="562"/>
      <c r="AJ523" s="562"/>
      <c r="AK523" s="562"/>
      <c r="AL523" s="562"/>
      <c r="AM523" s="562"/>
      <c r="AN523" s="562"/>
      <c r="AO523" s="562"/>
      <c r="AP523" s="562"/>
      <c r="AQ523" s="562"/>
      <c r="AR523" s="562" t="str">
        <f>SUBSTITUTE(SUBSTITUTE(SUBSTITUTE("dnt"&amp;$B523&amp;$C523&amp;$D523&amp;$E523&amp;$F523,".","_"),"(","_"),")","")</f>
        <v>dnt611_4_1</v>
      </c>
      <c r="AS523" s="190">
        <f>X523</f>
        <v>0</v>
      </c>
    </row>
    <row r="524" spans="2:45" ht="15" customHeight="1" x14ac:dyDescent="0.2">
      <c r="B524" s="48" t="s">
        <v>2789</v>
      </c>
      <c r="C524" s="14"/>
      <c r="D524" s="14"/>
      <c r="E524" s="14"/>
      <c r="F524" s="14"/>
      <c r="G524" s="14"/>
      <c r="H524" s="441"/>
      <c r="I524" s="40"/>
      <c r="J524" s="3"/>
      <c r="K524" s="53"/>
      <c r="L524" s="862"/>
      <c r="M524" s="616"/>
      <c r="N524" s="3"/>
      <c r="O524" s="609"/>
      <c r="P524" s="562" t="b">
        <v>0</v>
      </c>
      <c r="Q524" s="562" t="b">
        <v>1</v>
      </c>
      <c r="R524" s="562" t="b">
        <v>0</v>
      </c>
      <c r="S524" s="562" t="b">
        <v>1</v>
      </c>
      <c r="T524" s="562" t="b">
        <v>0</v>
      </c>
      <c r="U524" s="562"/>
      <c r="V524" s="562"/>
      <c r="W524" s="124"/>
      <c r="X524" s="787"/>
      <c r="Y524" s="562"/>
      <c r="Z524" s="562"/>
      <c r="AA524" s="562"/>
      <c r="AB524" s="562"/>
      <c r="AC524" s="562" t="b">
        <f>OR(AD524:AE524)</f>
        <v>0</v>
      </c>
      <c r="AD524" s="562" t="b">
        <v>0</v>
      </c>
      <c r="AE524" s="562" t="b">
        <f>AND(W524&gt;0,LEN(X523)=0)</f>
        <v>0</v>
      </c>
      <c r="AF524" s="562"/>
      <c r="AG524" s="562"/>
      <c r="AH524" s="562"/>
      <c r="AI524" s="562"/>
      <c r="AJ524" s="562"/>
      <c r="AK524" s="562"/>
      <c r="AL524" s="562"/>
      <c r="AM524" s="562"/>
      <c r="AN524" s="562"/>
      <c r="AO524" s="562"/>
      <c r="AP524" s="190" t="str">
        <f t="shared" ref="AP524" si="123">SUBSTITUTE(SUBSTITUTE(SUBSTITUTE("dch"&amp;$B524&amp;$C524&amp;$D524&amp;$E524&amp;$F524,".","_"),"(","_"),")","")</f>
        <v>dch611_4_1</v>
      </c>
      <c r="AQ524" s="190">
        <f>W524</f>
        <v>0</v>
      </c>
      <c r="AR524" s="562"/>
      <c r="AS524" s="562"/>
    </row>
    <row r="525" spans="2:45" x14ac:dyDescent="0.2">
      <c r="B525" s="48" t="s">
        <v>2789</v>
      </c>
      <c r="C525" s="14"/>
      <c r="D525" s="14"/>
      <c r="E525" s="14"/>
      <c r="F525" s="14"/>
      <c r="G525" s="14"/>
      <c r="H525" s="441"/>
      <c r="I525" s="40"/>
      <c r="J525" s="3"/>
      <c r="K525" s="53"/>
      <c r="L525" s="862"/>
      <c r="M525" s="616"/>
      <c r="N525" s="3"/>
      <c r="O525" s="609"/>
      <c r="P525" s="562"/>
      <c r="Q525" s="562"/>
      <c r="R525" s="562"/>
      <c r="S525" s="562"/>
      <c r="T525" s="562"/>
      <c r="U525" s="562"/>
      <c r="V525" s="562"/>
      <c r="W525" s="562"/>
      <c r="X525" s="787"/>
      <c r="Y525" s="562"/>
      <c r="Z525" s="562"/>
      <c r="AA525" s="562"/>
      <c r="AB525" s="562"/>
      <c r="AC525" s="562"/>
      <c r="AD525" s="562"/>
      <c r="AE525" s="562"/>
      <c r="AF525" s="562"/>
      <c r="AG525" s="562"/>
      <c r="AH525" s="562"/>
      <c r="AI525" s="562"/>
      <c r="AJ525" s="562"/>
      <c r="AK525" s="562"/>
      <c r="AL525" s="562"/>
      <c r="AM525" s="562"/>
      <c r="AN525" s="562"/>
      <c r="AO525" s="562"/>
      <c r="AP525" s="562"/>
      <c r="AQ525" s="562"/>
      <c r="AR525" s="562"/>
      <c r="AS525" s="562"/>
    </row>
    <row r="526" spans="2:45" x14ac:dyDescent="0.2">
      <c r="B526" s="48" t="s">
        <v>2789</v>
      </c>
      <c r="C526" s="14"/>
      <c r="D526" s="14"/>
      <c r="E526" s="14"/>
      <c r="F526" s="14"/>
      <c r="G526" s="14"/>
      <c r="H526" s="441"/>
      <c r="I526" s="40"/>
      <c r="J526" s="3"/>
      <c r="K526" s="53"/>
      <c r="L526" s="862"/>
      <c r="M526" s="616"/>
      <c r="N526" s="3"/>
      <c r="O526" s="609"/>
      <c r="P526" s="562"/>
      <c r="Q526" s="562"/>
      <c r="R526" s="562"/>
      <c r="S526" s="562"/>
      <c r="T526" s="562"/>
      <c r="U526" s="562"/>
      <c r="V526" s="562"/>
      <c r="W526" s="562"/>
      <c r="X526" s="787"/>
      <c r="Y526" s="562"/>
      <c r="Z526" s="562"/>
      <c r="AA526" s="562"/>
      <c r="AB526" s="562"/>
      <c r="AC526" s="562"/>
      <c r="AD526" s="562"/>
      <c r="AE526" s="562"/>
      <c r="AF526" s="562"/>
      <c r="AG526" s="562"/>
      <c r="AH526" s="562"/>
      <c r="AI526" s="562"/>
      <c r="AJ526" s="562"/>
      <c r="AK526" s="562"/>
      <c r="AL526" s="562"/>
      <c r="AM526" s="562"/>
      <c r="AN526" s="562"/>
      <c r="AO526" s="562"/>
      <c r="AP526" s="562"/>
      <c r="AQ526" s="562"/>
      <c r="AR526" s="562"/>
      <c r="AS526" s="562"/>
    </row>
    <row r="527" spans="2:45" x14ac:dyDescent="0.2">
      <c r="B527" s="48" t="s">
        <v>2789</v>
      </c>
      <c r="C527" s="14"/>
      <c r="D527" s="14"/>
      <c r="E527" s="14"/>
      <c r="F527" s="14"/>
      <c r="G527" s="14"/>
      <c r="H527" s="441"/>
      <c r="I527" s="40"/>
      <c r="J527" s="3"/>
      <c r="K527" s="53"/>
      <c r="L527" s="862"/>
      <c r="M527" s="616"/>
      <c r="N527" s="3"/>
      <c r="O527" s="609"/>
      <c r="P527" s="562"/>
      <c r="Q527" s="562"/>
      <c r="R527" s="562"/>
      <c r="S527" s="562"/>
      <c r="T527" s="562"/>
      <c r="U527" s="562"/>
      <c r="V527" s="562"/>
      <c r="W527" s="562"/>
      <c r="X527" s="787"/>
      <c r="Y527" s="562"/>
      <c r="Z527" s="562"/>
      <c r="AA527" s="562"/>
      <c r="AB527" s="562"/>
      <c r="AC527" s="562"/>
      <c r="AD527" s="562"/>
      <c r="AE527" s="562"/>
      <c r="AF527" s="562"/>
      <c r="AG527" s="562"/>
      <c r="AH527" s="562"/>
      <c r="AI527" s="562"/>
      <c r="AJ527" s="562"/>
      <c r="AK527" s="562"/>
      <c r="AL527" s="562"/>
      <c r="AM527" s="562"/>
      <c r="AN527" s="562"/>
      <c r="AO527" s="562"/>
      <c r="AP527" s="562"/>
      <c r="AQ527" s="562"/>
      <c r="AR527" s="562"/>
      <c r="AS527" s="562"/>
    </row>
    <row r="528" spans="2:45" x14ac:dyDescent="0.2">
      <c r="B528" s="48" t="s">
        <v>2789</v>
      </c>
      <c r="C528" s="14"/>
      <c r="D528" s="14"/>
      <c r="E528" s="14"/>
      <c r="F528" s="14"/>
      <c r="G528" s="14"/>
      <c r="H528" s="441"/>
      <c r="I528" s="40"/>
      <c r="J528" s="3"/>
      <c r="K528" s="53"/>
      <c r="L528" s="862"/>
      <c r="M528" s="616"/>
      <c r="N528" s="3"/>
      <c r="O528" s="609"/>
      <c r="P528" s="562"/>
      <c r="Q528" s="562"/>
      <c r="R528" s="562"/>
      <c r="S528" s="562"/>
      <c r="T528" s="562"/>
      <c r="U528" s="562"/>
      <c r="V528" s="562"/>
      <c r="W528" s="562"/>
      <c r="X528" s="787"/>
      <c r="Y528" s="562"/>
      <c r="Z528" s="562"/>
      <c r="AA528" s="562"/>
      <c r="AB528" s="562"/>
      <c r="AC528" s="562"/>
      <c r="AD528" s="562"/>
      <c r="AE528" s="562"/>
      <c r="AF528" s="562"/>
      <c r="AG528" s="562"/>
      <c r="AH528" s="562"/>
      <c r="AI528" s="562"/>
      <c r="AJ528" s="562"/>
      <c r="AK528" s="562"/>
      <c r="AL528" s="562"/>
      <c r="AM528" s="562"/>
      <c r="AN528" s="562"/>
      <c r="AO528" s="562"/>
      <c r="AP528" s="562"/>
      <c r="AQ528" s="562"/>
      <c r="AR528" s="562"/>
      <c r="AS528" s="562"/>
    </row>
    <row r="529" spans="1:51" x14ac:dyDescent="0.2">
      <c r="B529" s="48" t="s">
        <v>2789</v>
      </c>
      <c r="C529" s="14"/>
      <c r="D529" s="14"/>
      <c r="E529" s="14"/>
      <c r="F529" s="14"/>
      <c r="G529" s="14"/>
      <c r="H529" s="441"/>
      <c r="I529" s="40"/>
      <c r="J529" s="3"/>
      <c r="K529" s="53"/>
      <c r="L529" s="862"/>
      <c r="M529" s="616"/>
      <c r="N529" s="3"/>
      <c r="O529" s="609"/>
      <c r="P529" s="562"/>
      <c r="Q529" s="562"/>
      <c r="R529" s="562"/>
      <c r="S529" s="562"/>
      <c r="T529" s="562"/>
      <c r="U529" s="562"/>
      <c r="V529" s="562"/>
      <c r="W529" s="562"/>
      <c r="X529" s="787"/>
      <c r="Y529" s="562"/>
      <c r="Z529" s="562"/>
      <c r="AA529" s="562"/>
      <c r="AB529" s="562"/>
      <c r="AC529" s="562"/>
      <c r="AD529" s="562"/>
      <c r="AE529" s="562"/>
      <c r="AF529" s="562"/>
      <c r="AG529" s="562"/>
      <c r="AH529" s="562"/>
      <c r="AI529" s="562"/>
      <c r="AJ529" s="562"/>
      <c r="AK529" s="562"/>
      <c r="AL529" s="562"/>
      <c r="AM529" s="562"/>
      <c r="AN529" s="562"/>
      <c r="AO529" s="562"/>
      <c r="AP529" s="562"/>
      <c r="AQ529" s="562"/>
      <c r="AR529" s="562"/>
      <c r="AS529" s="562"/>
      <c r="AT529" s="562"/>
      <c r="AU529" s="562"/>
      <c r="AV529" s="562"/>
      <c r="AW529" s="562"/>
      <c r="AX529" s="562"/>
      <c r="AY529" s="562"/>
    </row>
    <row r="530" spans="1:51" x14ac:dyDescent="0.2">
      <c r="B530" s="48" t="s">
        <v>2789</v>
      </c>
      <c r="C530" s="14"/>
      <c r="D530" s="14"/>
      <c r="E530" s="14"/>
      <c r="F530" s="14"/>
      <c r="G530" s="14"/>
      <c r="H530" s="441"/>
      <c r="I530" s="40"/>
      <c r="J530" s="3"/>
      <c r="K530" s="53"/>
      <c r="L530" s="862"/>
      <c r="M530" s="616"/>
      <c r="N530" s="3"/>
      <c r="O530" s="609"/>
      <c r="P530" s="562"/>
      <c r="Q530" s="562"/>
      <c r="R530" s="562"/>
      <c r="S530" s="562"/>
      <c r="T530" s="562"/>
      <c r="U530" s="562"/>
      <c r="V530" s="562"/>
      <c r="W530" s="562"/>
      <c r="X530" s="787"/>
      <c r="Y530" s="562"/>
      <c r="Z530" s="562"/>
      <c r="AA530" s="562"/>
      <c r="AB530" s="562"/>
      <c r="AC530" s="562"/>
      <c r="AD530" s="562"/>
      <c r="AE530" s="562"/>
      <c r="AF530" s="562"/>
      <c r="AG530" s="562"/>
      <c r="AH530" s="562"/>
      <c r="AI530" s="562"/>
      <c r="AJ530" s="562"/>
      <c r="AK530" s="562"/>
      <c r="AL530" s="562"/>
      <c r="AM530" s="562"/>
      <c r="AN530" s="562"/>
      <c r="AO530" s="562"/>
      <c r="AP530" s="562"/>
      <c r="AQ530" s="562"/>
      <c r="AR530" s="562"/>
      <c r="AS530" s="562"/>
      <c r="AT530" s="562"/>
      <c r="AU530" s="562"/>
      <c r="AV530" s="562"/>
      <c r="AW530" s="562"/>
      <c r="AX530" s="562"/>
      <c r="AY530" s="562"/>
    </row>
    <row r="531" spans="1:51" x14ac:dyDescent="0.2">
      <c r="B531" s="48" t="s">
        <v>2789</v>
      </c>
      <c r="C531" s="14"/>
      <c r="D531" s="14"/>
      <c r="E531" s="14"/>
      <c r="F531" s="14"/>
      <c r="G531" s="14"/>
      <c r="H531" s="441"/>
      <c r="I531" s="170"/>
      <c r="J531" s="165"/>
      <c r="K531" s="126"/>
      <c r="L531" s="634" t="s">
        <v>2793</v>
      </c>
      <c r="M531" s="616"/>
      <c r="N531" s="3"/>
      <c r="O531" s="609"/>
      <c r="P531" s="562"/>
      <c r="Q531" s="562"/>
      <c r="R531" s="562"/>
      <c r="S531" s="562"/>
      <c r="T531" s="562"/>
      <c r="U531" s="562"/>
      <c r="V531" s="562"/>
      <c r="W531" s="562"/>
      <c r="X531" s="787"/>
      <c r="Y531" s="562"/>
      <c r="Z531" s="562"/>
      <c r="AA531" s="562"/>
      <c r="AB531" s="562"/>
      <c r="AC531" s="562"/>
      <c r="AD531" s="562"/>
      <c r="AE531" s="562"/>
      <c r="AF531" s="562"/>
      <c r="AG531" s="562"/>
      <c r="AH531" s="562"/>
      <c r="AI531" s="562"/>
      <c r="AJ531" s="562"/>
      <c r="AK531" s="562"/>
      <c r="AL531" s="562"/>
      <c r="AM531" s="562"/>
      <c r="AN531" s="562"/>
      <c r="AO531" s="562"/>
      <c r="AP531" s="562"/>
      <c r="AQ531" s="562"/>
      <c r="AR531" s="562"/>
      <c r="AS531" s="562"/>
      <c r="AT531" s="562"/>
      <c r="AU531" s="562"/>
      <c r="AV531" s="562"/>
      <c r="AW531" s="562"/>
      <c r="AX531" s="562"/>
      <c r="AY531" s="562"/>
    </row>
    <row r="532" spans="1:51" s="120" customFormat="1" x14ac:dyDescent="0.2">
      <c r="A532" s="13"/>
      <c r="B532" s="48" t="s">
        <v>2794</v>
      </c>
      <c r="C532" s="14"/>
      <c r="D532" s="14"/>
      <c r="E532" s="14"/>
      <c r="F532" s="14"/>
      <c r="G532" s="14"/>
      <c r="H532" s="441"/>
      <c r="I532" s="99" t="s">
        <v>2795</v>
      </c>
      <c r="J532" s="98"/>
      <c r="K532" s="65"/>
      <c r="L532" s="812" t="s">
        <v>2796</v>
      </c>
      <c r="M532" s="610"/>
      <c r="N532" s="98"/>
      <c r="O532" s="607"/>
      <c r="P532" s="64"/>
      <c r="Q532" s="64"/>
      <c r="R532" s="64"/>
      <c r="S532" s="64"/>
      <c r="T532" s="64"/>
      <c r="U532" s="64"/>
      <c r="V532" s="64"/>
      <c r="W532" s="861" t="s">
        <v>2797</v>
      </c>
      <c r="X532" s="798"/>
      <c r="Y532" s="562"/>
      <c r="Z532" s="562"/>
      <c r="AA532" s="562"/>
      <c r="AB532" s="562"/>
      <c r="AC532" s="562"/>
      <c r="AD532" s="562"/>
      <c r="AE532" s="562"/>
      <c r="AF532" s="562"/>
      <c r="AG532" s="562"/>
      <c r="AH532" s="562"/>
      <c r="AI532" s="562"/>
      <c r="AJ532" s="562"/>
      <c r="AK532" s="562"/>
      <c r="AL532" s="562"/>
      <c r="AM532" s="562"/>
      <c r="AN532" s="562"/>
      <c r="AO532" s="562"/>
      <c r="AP532" s="562"/>
      <c r="AQ532" s="562"/>
      <c r="AR532" s="562" t="str">
        <f>SUBSTITUTE(SUBSTITUTE(SUBSTITUTE("dnt"&amp;$B532&amp;$C532&amp;$D532&amp;$E532&amp;$F532,".","_"),"(","_"),")","")</f>
        <v>dnt611_4_2</v>
      </c>
      <c r="AS532" s="190">
        <f>X532</f>
        <v>0</v>
      </c>
      <c r="AT532" s="562"/>
      <c r="AU532" s="562"/>
      <c r="AV532" s="562"/>
      <c r="AW532" s="562"/>
      <c r="AX532" s="562"/>
      <c r="AY532" s="562"/>
    </row>
    <row r="533" spans="1:51" x14ac:dyDescent="0.2">
      <c r="B533" s="48" t="s">
        <v>2794</v>
      </c>
      <c r="C533" s="14"/>
      <c r="D533" s="14"/>
      <c r="E533" s="14"/>
      <c r="F533" s="14"/>
      <c r="G533" s="14"/>
      <c r="H533" s="441"/>
      <c r="I533" s="99"/>
      <c r="J533" s="98"/>
      <c r="K533" s="65"/>
      <c r="L533" s="812"/>
      <c r="M533" s="610"/>
      <c r="N533" s="98"/>
      <c r="O533" s="607"/>
      <c r="P533" s="64"/>
      <c r="Q533" s="64"/>
      <c r="R533" s="64"/>
      <c r="S533" s="64"/>
      <c r="T533" s="64"/>
      <c r="U533" s="64"/>
      <c r="V533" s="64"/>
      <c r="W533" s="861"/>
      <c r="X533" s="798"/>
      <c r="Y533" s="562"/>
      <c r="Z533" s="562"/>
      <c r="AA533" s="562"/>
      <c r="AB533" s="562"/>
      <c r="AC533" s="562"/>
      <c r="AD533" s="562"/>
      <c r="AE533" s="562"/>
      <c r="AF533" s="562"/>
      <c r="AG533" s="562"/>
      <c r="AH533" s="562"/>
      <c r="AI533" s="562"/>
      <c r="AJ533" s="562"/>
      <c r="AK533" s="562"/>
      <c r="AL533" s="562"/>
      <c r="AM533" s="562"/>
      <c r="AN533" s="562"/>
      <c r="AO533" s="562"/>
      <c r="AP533" s="562"/>
      <c r="AQ533" s="562"/>
      <c r="AR533" s="562"/>
      <c r="AS533" s="562"/>
      <c r="AT533" s="562"/>
      <c r="AU533" s="562"/>
      <c r="AV533" s="562"/>
      <c r="AW533" s="562"/>
      <c r="AX533" s="562"/>
      <c r="AY533" s="562"/>
    </row>
    <row r="534" spans="1:51" x14ac:dyDescent="0.2">
      <c r="B534" s="48" t="s">
        <v>2794</v>
      </c>
      <c r="C534" s="14"/>
      <c r="D534" s="14"/>
      <c r="E534" s="14"/>
      <c r="F534" s="14"/>
      <c r="G534" s="14"/>
      <c r="H534" s="441"/>
      <c r="I534" s="99"/>
      <c r="J534" s="98"/>
      <c r="K534" s="65"/>
      <c r="L534" s="812"/>
      <c r="M534" s="610"/>
      <c r="N534" s="98"/>
      <c r="O534" s="607"/>
      <c r="P534" s="562" t="b">
        <v>0</v>
      </c>
      <c r="Q534" s="562" t="b">
        <v>1</v>
      </c>
      <c r="R534" s="64" t="b">
        <v>0</v>
      </c>
      <c r="S534" s="64" t="b">
        <v>1</v>
      </c>
      <c r="T534" s="64" t="b">
        <v>0</v>
      </c>
      <c r="U534" s="64"/>
      <c r="V534" s="64"/>
      <c r="W534" s="152"/>
      <c r="X534" s="798"/>
      <c r="Y534" s="562"/>
      <c r="Z534" s="562"/>
      <c r="AA534" s="562"/>
      <c r="AB534" s="562"/>
      <c r="AC534" s="562" t="b">
        <f>OR(AD534:AE534)</f>
        <v>0</v>
      </c>
      <c r="AD534" s="562" t="b">
        <v>0</v>
      </c>
      <c r="AE534" s="562" t="b">
        <f>AND(W534&gt;0,LEN(X532)=0)</f>
        <v>0</v>
      </c>
      <c r="AF534" s="562"/>
      <c r="AG534" s="562"/>
      <c r="AH534" s="562"/>
      <c r="AI534" s="562"/>
      <c r="AJ534" s="562"/>
      <c r="AK534" s="562"/>
      <c r="AL534" s="562"/>
      <c r="AM534" s="562"/>
      <c r="AN534" s="562"/>
      <c r="AO534" s="562"/>
      <c r="AP534" s="190" t="str">
        <f t="shared" ref="AP534" si="124">SUBSTITUTE(SUBSTITUTE(SUBSTITUTE("dch"&amp;$B534&amp;$C534&amp;$D534&amp;$E534&amp;$F534,".","_"),"(","_"),")","")</f>
        <v>dch611_4_2</v>
      </c>
      <c r="AQ534" s="190">
        <f>W534</f>
        <v>0</v>
      </c>
      <c r="AR534" s="562"/>
      <c r="AS534" s="562"/>
      <c r="AT534" s="562"/>
      <c r="AU534" s="562"/>
      <c r="AV534" s="562"/>
      <c r="AW534" s="562"/>
      <c r="AX534" s="562"/>
      <c r="AY534" s="562"/>
    </row>
    <row r="535" spans="1:51" x14ac:dyDescent="0.2">
      <c r="B535" s="48" t="s">
        <v>2794</v>
      </c>
      <c r="C535" s="14"/>
      <c r="D535" s="14"/>
      <c r="E535" s="14"/>
      <c r="F535" s="14"/>
      <c r="G535" s="14"/>
      <c r="H535" s="441"/>
      <c r="I535" s="99"/>
      <c r="J535" s="98"/>
      <c r="K535" s="65"/>
      <c r="L535" s="812"/>
      <c r="M535" s="610"/>
      <c r="N535" s="98"/>
      <c r="O535" s="607"/>
      <c r="P535" s="64"/>
      <c r="Q535" s="64"/>
      <c r="R535" s="64"/>
      <c r="S535" s="64"/>
      <c r="T535" s="64"/>
      <c r="U535" s="64"/>
      <c r="V535" s="64"/>
      <c r="W535" s="64"/>
      <c r="X535" s="798"/>
      <c r="Y535" s="562"/>
      <c r="Z535" s="562"/>
      <c r="AA535" s="562"/>
      <c r="AB535" s="562"/>
      <c r="AC535" s="562"/>
      <c r="AD535" s="562"/>
      <c r="AE535" s="562"/>
      <c r="AF535" s="562"/>
      <c r="AG535" s="562"/>
      <c r="AH535" s="562"/>
      <c r="AI535" s="562"/>
      <c r="AJ535" s="562"/>
      <c r="AK535" s="562"/>
      <c r="AL535" s="562"/>
      <c r="AM535" s="562"/>
      <c r="AN535" s="562"/>
      <c r="AO535" s="562"/>
      <c r="AP535" s="562"/>
      <c r="AQ535" s="562"/>
      <c r="AR535" s="562"/>
      <c r="AS535" s="562"/>
      <c r="AT535" s="562"/>
      <c r="AU535" s="562"/>
      <c r="AV535" s="562"/>
      <c r="AW535" s="562"/>
      <c r="AX535" s="562"/>
      <c r="AY535" s="562"/>
    </row>
    <row r="536" spans="1:51" x14ac:dyDescent="0.2">
      <c r="B536" s="48" t="s">
        <v>2794</v>
      </c>
      <c r="C536" s="14"/>
      <c r="D536" s="14"/>
      <c r="E536" s="14"/>
      <c r="F536" s="14"/>
      <c r="G536" s="14"/>
      <c r="H536" s="441"/>
      <c r="I536" s="99"/>
      <c r="J536" s="98"/>
      <c r="K536" s="65"/>
      <c r="L536" s="812"/>
      <c r="M536" s="610"/>
      <c r="N536" s="98"/>
      <c r="O536" s="607"/>
      <c r="P536" s="64"/>
      <c r="Q536" s="64"/>
      <c r="R536" s="64"/>
      <c r="S536" s="64"/>
      <c r="T536" s="64"/>
      <c r="U536" s="64"/>
      <c r="V536" s="64"/>
      <c r="W536" s="64"/>
      <c r="X536" s="798"/>
      <c r="Y536" s="562"/>
      <c r="Z536" s="562"/>
      <c r="AA536" s="562"/>
      <c r="AB536" s="562"/>
      <c r="AC536" s="562"/>
      <c r="AD536" s="562"/>
      <c r="AE536" s="562"/>
      <c r="AF536" s="562"/>
      <c r="AG536" s="562"/>
      <c r="AH536" s="562"/>
      <c r="AI536" s="562"/>
      <c r="AJ536" s="562"/>
      <c r="AK536" s="562"/>
      <c r="AL536" s="562"/>
      <c r="AM536" s="562"/>
      <c r="AN536" s="562"/>
      <c r="AO536" s="562"/>
      <c r="AP536" s="562"/>
      <c r="AQ536" s="562"/>
      <c r="AR536" s="562"/>
      <c r="AS536" s="562"/>
      <c r="AT536" s="562"/>
      <c r="AU536" s="562"/>
      <c r="AV536" s="562"/>
      <c r="AW536" s="562"/>
      <c r="AX536" s="562"/>
      <c r="AY536" s="562"/>
    </row>
    <row r="537" spans="1:51" x14ac:dyDescent="0.2">
      <c r="B537" s="48" t="s">
        <v>2794</v>
      </c>
      <c r="C537" s="14"/>
      <c r="D537" s="14"/>
      <c r="E537" s="14"/>
      <c r="F537" s="14"/>
      <c r="G537" s="14"/>
      <c r="H537" s="441"/>
      <c r="I537" s="99"/>
      <c r="J537" s="98"/>
      <c r="K537" s="65"/>
      <c r="L537" s="812"/>
      <c r="M537" s="610"/>
      <c r="N537" s="98"/>
      <c r="O537" s="607"/>
      <c r="P537" s="64"/>
      <c r="Q537" s="64"/>
      <c r="R537" s="64"/>
      <c r="S537" s="64"/>
      <c r="T537" s="64"/>
      <c r="U537" s="64"/>
      <c r="V537" s="64"/>
      <c r="W537" s="64"/>
      <c r="X537" s="798"/>
      <c r="Y537" s="562"/>
      <c r="Z537" s="562"/>
      <c r="AA537" s="562"/>
      <c r="AB537" s="562"/>
      <c r="AC537" s="562"/>
      <c r="AD537" s="562"/>
      <c r="AE537" s="562"/>
      <c r="AF537" s="562"/>
      <c r="AG537" s="562"/>
      <c r="AH537" s="562"/>
      <c r="AI537" s="562"/>
      <c r="AJ537" s="562"/>
      <c r="AK537" s="562"/>
      <c r="AL537" s="562"/>
      <c r="AM537" s="562"/>
      <c r="AN537" s="562"/>
      <c r="AO537" s="562"/>
      <c r="AP537" s="562"/>
      <c r="AQ537" s="562"/>
      <c r="AR537" s="562"/>
      <c r="AS537" s="562"/>
      <c r="AT537" s="562"/>
      <c r="AU537" s="562"/>
      <c r="AV537" s="562"/>
      <c r="AW537" s="562"/>
      <c r="AX537" s="562"/>
      <c r="AY537" s="562"/>
    </row>
    <row r="538" spans="1:51" ht="16" thickBot="1" x14ac:dyDescent="0.25">
      <c r="B538" s="48" t="s">
        <v>2794</v>
      </c>
      <c r="H538" s="443"/>
      <c r="I538" s="68"/>
      <c r="J538" s="68"/>
      <c r="K538" s="68"/>
      <c r="L538" s="207" t="s">
        <v>2793</v>
      </c>
      <c r="M538" s="269"/>
      <c r="N538" s="185"/>
      <c r="O538" s="622"/>
      <c r="P538" s="68"/>
      <c r="Q538" s="68"/>
      <c r="R538" s="68"/>
      <c r="S538" s="68"/>
      <c r="T538" s="68"/>
      <c r="U538" s="68"/>
      <c r="V538" s="68"/>
      <c r="W538" s="68"/>
      <c r="X538" s="799"/>
      <c r="Y538" s="562"/>
      <c r="Z538" s="562"/>
      <c r="AA538" s="562"/>
      <c r="AB538" s="562"/>
      <c r="AC538" s="562"/>
      <c r="AD538" s="562"/>
      <c r="AE538" s="562"/>
      <c r="AF538" s="562"/>
      <c r="AG538" s="562"/>
      <c r="AH538" s="562"/>
      <c r="AI538" s="562"/>
      <c r="AJ538" s="562"/>
      <c r="AK538" s="562"/>
      <c r="AL538" s="562"/>
      <c r="AM538" s="562"/>
      <c r="AN538" s="562"/>
      <c r="AO538" s="562"/>
      <c r="AP538" s="562"/>
      <c r="AQ538" s="562"/>
      <c r="AR538" s="562"/>
      <c r="AS538" s="562"/>
      <c r="AT538" s="562"/>
      <c r="AU538" s="562"/>
      <c r="AV538" s="562"/>
      <c r="AW538" s="562"/>
      <c r="AX538" s="562"/>
      <c r="AY538" s="562"/>
    </row>
    <row r="539" spans="1:51" ht="17" thickTop="1" thickBot="1" x14ac:dyDescent="0.25">
      <c r="I539" s="154" t="s">
        <v>2798</v>
      </c>
      <c r="J539" s="155"/>
      <c r="K539" s="155"/>
      <c r="L539" s="155"/>
      <c r="M539" s="156"/>
      <c r="N539" s="155"/>
      <c r="O539" s="157"/>
      <c r="P539" s="155"/>
      <c r="Q539" s="155"/>
      <c r="R539" s="155"/>
      <c r="S539" s="155"/>
      <c r="T539" s="155"/>
      <c r="U539" s="155"/>
      <c r="V539" s="155"/>
      <c r="W539" s="155"/>
      <c r="X539" s="194" t="s">
        <v>2799</v>
      </c>
      <c r="Y539" s="562"/>
      <c r="Z539" s="562"/>
      <c r="AA539" s="562"/>
      <c r="AB539" s="562"/>
      <c r="AC539" s="562"/>
      <c r="AD539" s="562"/>
      <c r="AE539" s="562"/>
      <c r="AF539" s="562"/>
      <c r="AG539" s="562"/>
      <c r="AH539" s="562"/>
      <c r="AI539" s="562"/>
      <c r="AJ539" s="562"/>
      <c r="AK539" s="562"/>
      <c r="AL539" s="562"/>
      <c r="AM539" s="562"/>
      <c r="AN539" s="562"/>
      <c r="AO539" s="562"/>
      <c r="AP539" s="562"/>
      <c r="AQ539" s="562"/>
      <c r="AR539" s="562"/>
      <c r="AS539" s="562"/>
      <c r="AT539" s="562"/>
      <c r="AU539" s="562"/>
      <c r="AV539" s="562"/>
      <c r="AW539" s="562"/>
      <c r="AX539" s="562"/>
      <c r="AY539" s="562"/>
    </row>
    <row r="540" spans="1:51" ht="16" thickTop="1" x14ac:dyDescent="0.2">
      <c r="I540" s="562"/>
      <c r="J540" s="562"/>
      <c r="K540" s="562"/>
      <c r="L540" s="562"/>
      <c r="N540" s="562"/>
      <c r="O540" s="648"/>
      <c r="P540" s="562"/>
      <c r="Q540" s="562"/>
      <c r="R540" s="562"/>
      <c r="S540" s="562"/>
      <c r="T540" s="562"/>
      <c r="U540" s="562"/>
      <c r="V540" s="562"/>
      <c r="W540" s="562"/>
      <c r="X540" s="562"/>
      <c r="Y540" s="562"/>
      <c r="Z540" s="562"/>
      <c r="AA540" s="562"/>
      <c r="AB540" s="562"/>
      <c r="AC540" s="562"/>
      <c r="AD540" s="562"/>
      <c r="AE540" s="562"/>
      <c r="AF540" s="562"/>
      <c r="AG540" s="562"/>
      <c r="AH540" s="562"/>
      <c r="AI540" s="562"/>
      <c r="AJ540" s="562"/>
      <c r="AK540" s="562"/>
      <c r="AL540" s="562"/>
      <c r="AM540" s="562"/>
      <c r="AN540" s="562"/>
      <c r="AO540" s="562"/>
      <c r="AP540" s="562"/>
      <c r="AQ540" s="562"/>
      <c r="AR540" s="562"/>
      <c r="AS540" s="562"/>
      <c r="AT540" s="562"/>
      <c r="AU540" s="562"/>
      <c r="AV540" s="562"/>
      <c r="AW540" s="562"/>
      <c r="AX540" s="562"/>
      <c r="AY540" s="562"/>
    </row>
  </sheetData>
  <sheetProtection algorithmName="SHA-512" hashValue="YrAPbMfwNvDacGYLdRBQTe0D28dVNcJWUJYbXwJEhArnGHXKiiUZhv1Cu3IbrNkJyj9vgq3ys6fEiwJiGdGhMA==" saltValue="zbJEWtNqv0DQZ31B04x9ZQ==" spinCount="100000" sheet="1" objects="1" scenarios="1" selectLockedCells="1"/>
  <mergeCells count="367">
    <mergeCell ref="X504:X505"/>
    <mergeCell ref="M370:M372"/>
    <mergeCell ref="O370:O372"/>
    <mergeCell ref="M323:M324"/>
    <mergeCell ref="M350:M351"/>
    <mergeCell ref="M352:M353"/>
    <mergeCell ref="O314:O315"/>
    <mergeCell ref="M422:M428"/>
    <mergeCell ref="M429:M430"/>
    <mergeCell ref="M431:M434"/>
    <mergeCell ref="M373:M378"/>
    <mergeCell ref="O373:O378"/>
    <mergeCell ref="M388:M395"/>
    <mergeCell ref="O388:O395"/>
    <mergeCell ref="M382:M383"/>
    <mergeCell ref="M397:M403"/>
    <mergeCell ref="X455:X460"/>
    <mergeCell ref="X368:X369"/>
    <mergeCell ref="X371:X372"/>
    <mergeCell ref="X388:X395"/>
    <mergeCell ref="X442:X448"/>
    <mergeCell ref="X373:X378"/>
    <mergeCell ref="X467:X472"/>
    <mergeCell ref="M504:M505"/>
    <mergeCell ref="X184:X195"/>
    <mergeCell ref="L228:L229"/>
    <mergeCell ref="X226:X229"/>
    <mergeCell ref="X97:X100"/>
    <mergeCell ref="I4:L4"/>
    <mergeCell ref="I5:L5"/>
    <mergeCell ref="X495:X499"/>
    <mergeCell ref="X500:X503"/>
    <mergeCell ref="X435:X441"/>
    <mergeCell ref="X123:X124"/>
    <mergeCell ref="X132:X135"/>
    <mergeCell ref="O397:O403"/>
    <mergeCell ref="M413:M421"/>
    <mergeCell ref="O431:O434"/>
    <mergeCell ref="O285:O292"/>
    <mergeCell ref="O281:O283"/>
    <mergeCell ref="X196:X198"/>
    <mergeCell ref="X200:X203"/>
    <mergeCell ref="X239:X240"/>
    <mergeCell ref="X247:X248"/>
    <mergeCell ref="X214:X225"/>
    <mergeCell ref="X230:X232"/>
    <mergeCell ref="X233:X236"/>
    <mergeCell ref="X250:X252"/>
    <mergeCell ref="X506:X507"/>
    <mergeCell ref="X510:X513"/>
    <mergeCell ref="X514:X515"/>
    <mergeCell ref="X253:X255"/>
    <mergeCell ref="X257:X261"/>
    <mergeCell ref="X262:X263"/>
    <mergeCell ref="X299:X313"/>
    <mergeCell ref="X314:X322"/>
    <mergeCell ref="X327:X333"/>
    <mergeCell ref="X382:X383"/>
    <mergeCell ref="X385:X386"/>
    <mergeCell ref="X413:X421"/>
    <mergeCell ref="X340:X355"/>
    <mergeCell ref="X268:X273"/>
    <mergeCell ref="X274:X280"/>
    <mergeCell ref="X285:X286"/>
    <mergeCell ref="X287:X288"/>
    <mergeCell ref="X289:X290"/>
    <mergeCell ref="X291:X292"/>
    <mergeCell ref="X422:X428"/>
    <mergeCell ref="X461:X466"/>
    <mergeCell ref="X449:X454"/>
    <mergeCell ref="X397:X399"/>
    <mergeCell ref="X491:X492"/>
    <mergeCell ref="X204:X209"/>
    <mergeCell ref="X210:X211"/>
    <mergeCell ref="O323:O324"/>
    <mergeCell ref="O339:O348"/>
    <mergeCell ref="M354:M355"/>
    <mergeCell ref="M367:M369"/>
    <mergeCell ref="X104:X108"/>
    <mergeCell ref="X113:X115"/>
    <mergeCell ref="X121:X122"/>
    <mergeCell ref="X130:X131"/>
    <mergeCell ref="X137:X142"/>
    <mergeCell ref="X146:X156"/>
    <mergeCell ref="X159:X160"/>
    <mergeCell ref="X164:X165"/>
    <mergeCell ref="X166:X167"/>
    <mergeCell ref="X168:X171"/>
    <mergeCell ref="M113:M115"/>
    <mergeCell ref="M121:M122"/>
    <mergeCell ref="M138:M139"/>
    <mergeCell ref="O367:O369"/>
    <mergeCell ref="O274:O280"/>
    <mergeCell ref="M200:M203"/>
    <mergeCell ref="M208:M209"/>
    <mergeCell ref="M210:M211"/>
    <mergeCell ref="L391:L392"/>
    <mergeCell ref="L397:L398"/>
    <mergeCell ref="M262:M263"/>
    <mergeCell ref="M314:M315"/>
    <mergeCell ref="M285:M292"/>
    <mergeCell ref="O474:O481"/>
    <mergeCell ref="X474:X481"/>
    <mergeCell ref="L294:L295"/>
    <mergeCell ref="L299:L304"/>
    <mergeCell ref="L305:L308"/>
    <mergeCell ref="L316:L318"/>
    <mergeCell ref="L320:L322"/>
    <mergeCell ref="L323:L324"/>
    <mergeCell ref="L347:L348"/>
    <mergeCell ref="L380:L381"/>
    <mergeCell ref="L382:L383"/>
    <mergeCell ref="L385:L386"/>
    <mergeCell ref="O262:O263"/>
    <mergeCell ref="X400:X403"/>
    <mergeCell ref="M474:M481"/>
    <mergeCell ref="O413:O421"/>
    <mergeCell ref="O422:O428"/>
    <mergeCell ref="O429:O430"/>
    <mergeCell ref="L370:L371"/>
    <mergeCell ref="W532:W533"/>
    <mergeCell ref="O518:O522"/>
    <mergeCell ref="X523:X531"/>
    <mergeCell ref="X532:X538"/>
    <mergeCell ref="X516:X517"/>
    <mergeCell ref="X429:X430"/>
    <mergeCell ref="O482:O484"/>
    <mergeCell ref="O493:O494"/>
    <mergeCell ref="L523:L530"/>
    <mergeCell ref="L469:L470"/>
    <mergeCell ref="L474:L478"/>
    <mergeCell ref="L482:L484"/>
    <mergeCell ref="L532:L537"/>
    <mergeCell ref="L491:L492"/>
    <mergeCell ref="L504:L505"/>
    <mergeCell ref="L506:L507"/>
    <mergeCell ref="L510:L513"/>
    <mergeCell ref="L514:L515"/>
    <mergeCell ref="L516:L517"/>
    <mergeCell ref="M518:M522"/>
    <mergeCell ref="M491:M492"/>
    <mergeCell ref="M493:M494"/>
    <mergeCell ref="L431:L434"/>
    <mergeCell ref="M506:M507"/>
    <mergeCell ref="L388:L390"/>
    <mergeCell ref="X4:X5"/>
    <mergeCell ref="I6:K7"/>
    <mergeCell ref="L6:L7"/>
    <mergeCell ref="M6:M7"/>
    <mergeCell ref="N6:N7"/>
    <mergeCell ref="P6:P7"/>
    <mergeCell ref="Q6:Q7"/>
    <mergeCell ref="L93:L94"/>
    <mergeCell ref="L97:L99"/>
    <mergeCell ref="L24:L25"/>
    <mergeCell ref="L75:L76"/>
    <mergeCell ref="L66:L67"/>
    <mergeCell ref="L61:L63"/>
    <mergeCell ref="L28:L29"/>
    <mergeCell ref="L35:L37"/>
    <mergeCell ref="L39:L41"/>
    <mergeCell ref="L71:L72"/>
    <mergeCell ref="X6:X7"/>
    <mergeCell ref="S6:S7"/>
    <mergeCell ref="O32:O34"/>
    <mergeCell ref="O84:O91"/>
    <mergeCell ref="O253:O255"/>
    <mergeCell ref="L134:L135"/>
    <mergeCell ref="I1:L1"/>
    <mergeCell ref="M1:W5"/>
    <mergeCell ref="I2:L2"/>
    <mergeCell ref="I3:L3"/>
    <mergeCell ref="L89:L91"/>
    <mergeCell ref="V6:V7"/>
    <mergeCell ref="W6:W7"/>
    <mergeCell ref="L26:L27"/>
    <mergeCell ref="T6:T7"/>
    <mergeCell ref="U6:U7"/>
    <mergeCell ref="R6:R7"/>
    <mergeCell ref="O61:O63"/>
    <mergeCell ref="M80:M81"/>
    <mergeCell ref="L10:L13"/>
    <mergeCell ref="L14:L17"/>
    <mergeCell ref="O14:O17"/>
    <mergeCell ref="L32:L34"/>
    <mergeCell ref="L80:L81"/>
    <mergeCell ref="L30:L31"/>
    <mergeCell ref="L42:L43"/>
    <mergeCell ref="L55:L56"/>
    <mergeCell ref="M32:M34"/>
    <mergeCell ref="L181:L183"/>
    <mergeCell ref="L194:L195"/>
    <mergeCell ref="L101:L103"/>
    <mergeCell ref="M35:M37"/>
    <mergeCell ref="M61:M63"/>
    <mergeCell ref="M66:M67"/>
    <mergeCell ref="M97:M99"/>
    <mergeCell ref="M101:M103"/>
    <mergeCell ref="O49:O51"/>
    <mergeCell ref="O35:O37"/>
    <mergeCell ref="L52:L54"/>
    <mergeCell ref="L77:L78"/>
    <mergeCell ref="L84:L88"/>
    <mergeCell ref="O104:O108"/>
    <mergeCell ref="O130:O131"/>
    <mergeCell ref="M110:M111"/>
    <mergeCell ref="O113:O115"/>
    <mergeCell ref="O121:O122"/>
    <mergeCell ref="O168:O171"/>
    <mergeCell ref="M172:M175"/>
    <mergeCell ref="L164:L165"/>
    <mergeCell ref="M164:M165"/>
    <mergeCell ref="L166:L167"/>
    <mergeCell ref="L168:L171"/>
    <mergeCell ref="O213:O225"/>
    <mergeCell ref="O239:O240"/>
    <mergeCell ref="L247:L248"/>
    <mergeCell ref="L233:L236"/>
    <mergeCell ref="L237:L238"/>
    <mergeCell ref="L239:L240"/>
    <mergeCell ref="L140:L142"/>
    <mergeCell ref="M140:M142"/>
    <mergeCell ref="O140:O142"/>
    <mergeCell ref="O230:O232"/>
    <mergeCell ref="M168:M171"/>
    <mergeCell ref="L213:L218"/>
    <mergeCell ref="L226:L227"/>
    <mergeCell ref="L230:L231"/>
    <mergeCell ref="M230:M232"/>
    <mergeCell ref="O159:O160"/>
    <mergeCell ref="O164:O165"/>
    <mergeCell ref="O161:O163"/>
    <mergeCell ref="O243:O246"/>
    <mergeCell ref="M226:M227"/>
    <mergeCell ref="M243:M246"/>
    <mergeCell ref="L200:L203"/>
    <mergeCell ref="L208:L209"/>
    <mergeCell ref="L210:L211"/>
    <mergeCell ref="L250:L252"/>
    <mergeCell ref="L253:L255"/>
    <mergeCell ref="M233:M236"/>
    <mergeCell ref="M239:M240"/>
    <mergeCell ref="L399:L401"/>
    <mergeCell ref="L274:L276"/>
    <mergeCell ref="L224:L225"/>
    <mergeCell ref="M213:M225"/>
    <mergeCell ref="L243:L246"/>
    <mergeCell ref="M253:M255"/>
    <mergeCell ref="M274:M280"/>
    <mergeCell ref="L310:L311"/>
    <mergeCell ref="L312:L313"/>
    <mergeCell ref="L314:L315"/>
    <mergeCell ref="L373:L376"/>
    <mergeCell ref="L350:L351"/>
    <mergeCell ref="L352:L353"/>
    <mergeCell ref="L354:L355"/>
    <mergeCell ref="L356:L357"/>
    <mergeCell ref="L359:L360"/>
    <mergeCell ref="L278:L280"/>
    <mergeCell ref="L257:L261"/>
    <mergeCell ref="M257:M261"/>
    <mergeCell ref="L367:L368"/>
    <mergeCell ref="L405:L410"/>
    <mergeCell ref="L435:L437"/>
    <mergeCell ref="L471:L472"/>
    <mergeCell ref="L461:L462"/>
    <mergeCell ref="L480:L481"/>
    <mergeCell ref="L411:L412"/>
    <mergeCell ref="L413:L415"/>
    <mergeCell ref="L422:L428"/>
    <mergeCell ref="L429:L430"/>
    <mergeCell ref="L447:L448"/>
    <mergeCell ref="M510:M513"/>
    <mergeCell ref="M514:M515"/>
    <mergeCell ref="M516:M517"/>
    <mergeCell ref="L493:L494"/>
    <mergeCell ref="L495:L499"/>
    <mergeCell ref="L500:L503"/>
    <mergeCell ref="L449:L456"/>
    <mergeCell ref="M495:M499"/>
    <mergeCell ref="M500:M503"/>
    <mergeCell ref="M482:M484"/>
    <mergeCell ref="L518:L522"/>
    <mergeCell ref="L266:L267"/>
    <mergeCell ref="L268:L269"/>
    <mergeCell ref="L262:L263"/>
    <mergeCell ref="L271:L273"/>
    <mergeCell ref="M268:M273"/>
    <mergeCell ref="O268:O273"/>
    <mergeCell ref="M132:M133"/>
    <mergeCell ref="M130:M131"/>
    <mergeCell ref="O200:O203"/>
    <mergeCell ref="O210:O211"/>
    <mergeCell ref="L188:L189"/>
    <mergeCell ref="L196:L198"/>
    <mergeCell ref="M184:M193"/>
    <mergeCell ref="M196:M198"/>
    <mergeCell ref="L176:L180"/>
    <mergeCell ref="L205:L207"/>
    <mergeCell ref="M205:M207"/>
    <mergeCell ref="O196:O198"/>
    <mergeCell ref="M435:M448"/>
    <mergeCell ref="M449:M472"/>
    <mergeCell ref="M296:M298"/>
    <mergeCell ref="L402:L403"/>
    <mergeCell ref="L444:L446"/>
    <mergeCell ref="L113:L115"/>
    <mergeCell ref="M159:M160"/>
    <mergeCell ref="M154:M156"/>
    <mergeCell ref="L154:L156"/>
    <mergeCell ref="M161:M163"/>
    <mergeCell ref="L150:L153"/>
    <mergeCell ref="O146:O149"/>
    <mergeCell ref="L172:L174"/>
    <mergeCell ref="O166:O167"/>
    <mergeCell ref="M146:M149"/>
    <mergeCell ref="O154:O156"/>
    <mergeCell ref="M150:M153"/>
    <mergeCell ref="O138:O139"/>
    <mergeCell ref="L110:L111"/>
    <mergeCell ref="H1:H7"/>
    <mergeCell ref="X161:X163"/>
    <mergeCell ref="X172:X175"/>
    <mergeCell ref="X84:X91"/>
    <mergeCell ref="M84:M91"/>
    <mergeCell ref="O101:O103"/>
    <mergeCell ref="X110:X112"/>
    <mergeCell ref="X14:X27"/>
    <mergeCell ref="X32:X34"/>
    <mergeCell ref="X35:X37"/>
    <mergeCell ref="X49:X51"/>
    <mergeCell ref="X61:X65"/>
    <mergeCell ref="X101:X103"/>
    <mergeCell ref="M52:M54"/>
    <mergeCell ref="L49:L51"/>
    <mergeCell ref="O66:O67"/>
    <mergeCell ref="M49:M51"/>
    <mergeCell ref="L104:L106"/>
    <mergeCell ref="L117:L120"/>
    <mergeCell ref="L121:L122"/>
    <mergeCell ref="L138:L139"/>
    <mergeCell ref="L125:L129"/>
    <mergeCell ref="L143:L144"/>
    <mergeCell ref="M104:M108"/>
    <mergeCell ref="W435:W436"/>
    <mergeCell ref="W442:W443"/>
    <mergeCell ref="M385:M386"/>
    <mergeCell ref="O382:O383"/>
    <mergeCell ref="O385:O386"/>
    <mergeCell ref="L82:L83"/>
    <mergeCell ref="X66:X83"/>
    <mergeCell ref="L285:L286"/>
    <mergeCell ref="L289:L290"/>
    <mergeCell ref="L281:L282"/>
    <mergeCell ref="X281:X283"/>
    <mergeCell ref="M299:M313"/>
    <mergeCell ref="O299:O313"/>
    <mergeCell ref="M281:M283"/>
    <mergeCell ref="L130:L131"/>
    <mergeCell ref="L132:L133"/>
    <mergeCell ref="M166:M167"/>
    <mergeCell ref="L159:L160"/>
    <mergeCell ref="L161:L162"/>
    <mergeCell ref="L146:L149"/>
    <mergeCell ref="O150:O153"/>
    <mergeCell ref="L296:L298"/>
    <mergeCell ref="X296:X298"/>
  </mergeCells>
  <conditionalFormatting sqref="X2">
    <cfRule type="expression" dxfId="2945" priority="1083">
      <formula>$AG$3</formula>
    </cfRule>
  </conditionalFormatting>
  <conditionalFormatting sqref="X3">
    <cfRule type="expression" dxfId="2944" priority="1088">
      <formula>$AI$3</formula>
    </cfRule>
  </conditionalFormatting>
  <conditionalFormatting sqref="L24:L25">
    <cfRule type="expression" dxfId="2943" priority="989">
      <formula>AY24&gt;4099</formula>
    </cfRule>
  </conditionalFormatting>
  <conditionalFormatting sqref="M24:M25">
    <cfRule type="expression" dxfId="2942" priority="988">
      <formula>$AY$24&gt;4099</formula>
    </cfRule>
  </conditionalFormatting>
  <conditionalFormatting sqref="X340:X355">
    <cfRule type="expression" dxfId="2941" priority="854">
      <formula>NOT(ISBLANK(W347))</formula>
    </cfRule>
  </conditionalFormatting>
  <conditionalFormatting sqref="W62">
    <cfRule type="expression" dxfId="2940" priority="765">
      <formula>AND($R$62,$S$62)</formula>
    </cfRule>
  </conditionalFormatting>
  <conditionalFormatting sqref="W62">
    <cfRule type="expression" dxfId="2939" priority="764">
      <formula>AND(IF($R$62,$W$62,TRUE),LEN(TRIM($W$62))&gt;0)</formula>
    </cfRule>
  </conditionalFormatting>
  <conditionalFormatting sqref="W62">
    <cfRule type="expression" dxfId="2938" priority="763">
      <formula>$S$62 = FALSE</formula>
    </cfRule>
  </conditionalFormatting>
  <conditionalFormatting sqref="W62">
    <cfRule type="expression" dxfId="2937" priority="762">
      <formula>OR($T$62 = TRUE, AND(LEN(TRIM($W$62))&gt;0, $S$62 = FALSE))</formula>
    </cfRule>
  </conditionalFormatting>
  <conditionalFormatting sqref="W69">
    <cfRule type="expression" dxfId="2936" priority="761">
      <formula>AND($R$69,$S$69)</formula>
    </cfRule>
  </conditionalFormatting>
  <conditionalFormatting sqref="W69">
    <cfRule type="expression" dxfId="2935" priority="760">
      <formula>AND(IF($R$69,$W$69,TRUE),LEN(TRIM($W$69))&gt;0)</formula>
    </cfRule>
  </conditionalFormatting>
  <conditionalFormatting sqref="W69">
    <cfRule type="expression" dxfId="2934" priority="759">
      <formula>$S$69 = FALSE</formula>
    </cfRule>
  </conditionalFormatting>
  <conditionalFormatting sqref="W69">
    <cfRule type="expression" dxfId="2933" priority="758">
      <formula>OR($T$69 = TRUE, AND(LEN(TRIM($W$69))&gt;0, $S$69 = FALSE))</formula>
    </cfRule>
  </conditionalFormatting>
  <conditionalFormatting sqref="W70">
    <cfRule type="expression" dxfId="2932" priority="757">
      <formula>AND($R$70,$S$70)</formula>
    </cfRule>
  </conditionalFormatting>
  <conditionalFormatting sqref="W70">
    <cfRule type="expression" dxfId="2931" priority="756">
      <formula>AND(IF($R$70,$W$70,TRUE),LEN(TRIM($W$70))&gt;0)</formula>
    </cfRule>
  </conditionalFormatting>
  <conditionalFormatting sqref="W70">
    <cfRule type="expression" dxfId="2930" priority="755">
      <formula>$S$70 = FALSE</formula>
    </cfRule>
  </conditionalFormatting>
  <conditionalFormatting sqref="W70">
    <cfRule type="expression" dxfId="2929" priority="754">
      <formula>OR($T$70 = TRUE, AND(LEN(TRIM($W$70))&gt;0, $S$70 = FALSE))</formula>
    </cfRule>
  </conditionalFormatting>
  <conditionalFormatting sqref="W71">
    <cfRule type="expression" dxfId="2928" priority="749">
      <formula>AND($R$71,$S$71)</formula>
    </cfRule>
  </conditionalFormatting>
  <conditionalFormatting sqref="W71">
    <cfRule type="expression" dxfId="2927" priority="748">
      <formula>AND(IF($R$71,$W$71,TRUE),LEN(TRIM($W$71))&gt;0)</formula>
    </cfRule>
  </conditionalFormatting>
  <conditionalFormatting sqref="W71">
    <cfRule type="expression" dxfId="2926" priority="747">
      <formula>$S$71 = FALSE</formula>
    </cfRule>
  </conditionalFormatting>
  <conditionalFormatting sqref="W71">
    <cfRule type="expression" dxfId="2925" priority="746">
      <formula>OR($T$71 = TRUE, AND(LEN(TRIM($W$71))&gt;0, $S$71 = FALSE))</formula>
    </cfRule>
  </conditionalFormatting>
  <conditionalFormatting sqref="W75">
    <cfRule type="expression" dxfId="2924" priority="745">
      <formula>AND($R$75,$S$75)</formula>
    </cfRule>
  </conditionalFormatting>
  <conditionalFormatting sqref="W75">
    <cfRule type="expression" dxfId="2923" priority="744">
      <formula>AND(IF($R$75,$W$75,TRUE),LEN(TRIM($W$75))&gt;0)</formula>
    </cfRule>
  </conditionalFormatting>
  <conditionalFormatting sqref="W75">
    <cfRule type="expression" dxfId="2922" priority="743">
      <formula>$S$75 = FALSE</formula>
    </cfRule>
  </conditionalFormatting>
  <conditionalFormatting sqref="W75">
    <cfRule type="expression" dxfId="2921" priority="742">
      <formula>OR($T$75 = TRUE, AND(LEN(TRIM($W$75))&gt;0, $S$75 = FALSE))</formula>
    </cfRule>
  </conditionalFormatting>
  <conditionalFormatting sqref="W77">
    <cfRule type="expression" dxfId="2920" priority="741">
      <formula>AND($R$77,$S$77)</formula>
    </cfRule>
  </conditionalFormatting>
  <conditionalFormatting sqref="W77">
    <cfRule type="expression" dxfId="2919" priority="740">
      <formula>AND(IF($R$77,$W$77,TRUE),LEN(TRIM($W$77))&gt;0)</formula>
    </cfRule>
  </conditionalFormatting>
  <conditionalFormatting sqref="W77">
    <cfRule type="expression" dxfId="2918" priority="739">
      <formula>$S$77 = FALSE</formula>
    </cfRule>
  </conditionalFormatting>
  <conditionalFormatting sqref="W77">
    <cfRule type="expression" dxfId="2917" priority="738">
      <formula>OR($T$77 = TRUE, AND(LEN(TRIM($W$77))&gt;0, $S$77 = FALSE))</formula>
    </cfRule>
  </conditionalFormatting>
  <conditionalFormatting sqref="X84">
    <cfRule type="expression" dxfId="2916" priority="733">
      <formula>W84=TRUE</formula>
    </cfRule>
  </conditionalFormatting>
  <conditionalFormatting sqref="W137">
    <cfRule type="expression" dxfId="2915" priority="687">
      <formula>AND($R$137,$S$137)</formula>
    </cfRule>
  </conditionalFormatting>
  <conditionalFormatting sqref="W137">
    <cfRule type="expression" dxfId="2914" priority="686">
      <formula>AND(IF($R$137,$W$137,TRUE),LEN(TRIM($W$137))&gt;0)</formula>
    </cfRule>
  </conditionalFormatting>
  <conditionalFormatting sqref="W137">
    <cfRule type="expression" dxfId="2913" priority="685">
      <formula>$S$137 = FALSE</formula>
    </cfRule>
  </conditionalFormatting>
  <conditionalFormatting sqref="W137">
    <cfRule type="expression" dxfId="2912" priority="684">
      <formula>OR($T$137 = TRUE, AND(LEN(TRIM($W$137))&gt;0, $S$137 = FALSE))</formula>
    </cfRule>
  </conditionalFormatting>
  <conditionalFormatting sqref="X161:X163">
    <cfRule type="expression" dxfId="2911" priority="651">
      <formula>W161="N/A"</formula>
    </cfRule>
  </conditionalFormatting>
  <conditionalFormatting sqref="X172:X173">
    <cfRule type="expression" dxfId="2910" priority="650">
      <formula>W172="N/A"</formula>
    </cfRule>
  </conditionalFormatting>
  <conditionalFormatting sqref="W204">
    <cfRule type="expression" dxfId="2909" priority="649">
      <formula>AND($R$204,$S$204)</formula>
    </cfRule>
  </conditionalFormatting>
  <conditionalFormatting sqref="W204">
    <cfRule type="expression" dxfId="2908" priority="648">
      <formula>AND(IF($R$204,$W$204,TRUE),LEN(TRIM($W$204))&gt;0)</formula>
    </cfRule>
  </conditionalFormatting>
  <conditionalFormatting sqref="W204">
    <cfRule type="expression" dxfId="2907" priority="647">
      <formula>$S$204 = FALSE</formula>
    </cfRule>
  </conditionalFormatting>
  <conditionalFormatting sqref="W204">
    <cfRule type="expression" dxfId="2906" priority="646">
      <formula>OR($T$204 = TRUE, AND(LEN(TRIM($W$204))&gt;0, $S$204 = FALSE))</formula>
    </cfRule>
  </conditionalFormatting>
  <conditionalFormatting sqref="W214">
    <cfRule type="expression" dxfId="2905" priority="645">
      <formula>AND($R$214,$S$214)</formula>
    </cfRule>
  </conditionalFormatting>
  <conditionalFormatting sqref="W214">
    <cfRule type="expression" dxfId="2904" priority="644">
      <formula>AND(IF($R$214,$W$214,TRUE),LEN(TRIM($W$214))&gt;0)</formula>
    </cfRule>
  </conditionalFormatting>
  <conditionalFormatting sqref="W214">
    <cfRule type="expression" dxfId="2903" priority="643">
      <formula>$S$214 = FALSE</formula>
    </cfRule>
  </conditionalFormatting>
  <conditionalFormatting sqref="W214">
    <cfRule type="expression" dxfId="2902" priority="642">
      <formula>OR($T$214 = TRUE, AND(LEN(TRIM($W$214))&gt;0, $S$214 = FALSE))</formula>
    </cfRule>
  </conditionalFormatting>
  <conditionalFormatting sqref="X281:X283">
    <cfRule type="expression" dxfId="2901" priority="625">
      <formula>W281</formula>
    </cfRule>
  </conditionalFormatting>
  <conditionalFormatting sqref="W268">
    <cfRule type="expression" dxfId="2900" priority="624">
      <formula>AND($R$268,$S$268)</formula>
    </cfRule>
  </conditionalFormatting>
  <conditionalFormatting sqref="W268">
    <cfRule type="expression" dxfId="2899" priority="623">
      <formula>AND(IF($R$268,$W$268,TRUE),LEN(TRIM($W$268))&gt;0)</formula>
    </cfRule>
  </conditionalFormatting>
  <conditionalFormatting sqref="W268">
    <cfRule type="expression" dxfId="2898" priority="622">
      <formula>$S$268 = FALSE</formula>
    </cfRule>
  </conditionalFormatting>
  <conditionalFormatting sqref="W268">
    <cfRule type="expression" dxfId="2897" priority="621">
      <formula>OR($T$268 = TRUE, AND($W$268 = TRUE, $S$268 = FALSE))</formula>
    </cfRule>
  </conditionalFormatting>
  <conditionalFormatting sqref="X268 X274:X280">
    <cfRule type="expression" dxfId="2896" priority="616">
      <formula>W268&gt;0</formula>
    </cfRule>
  </conditionalFormatting>
  <conditionalFormatting sqref="W274">
    <cfRule type="expression" dxfId="2895" priority="615">
      <formula>AND(R274,S274)</formula>
    </cfRule>
  </conditionalFormatting>
  <conditionalFormatting sqref="W274">
    <cfRule type="expression" dxfId="2894" priority="614">
      <formula>AND(IF(R274,W274,TRUE),LEN(TRIM(W274))&gt;0)</formula>
    </cfRule>
  </conditionalFormatting>
  <conditionalFormatting sqref="W274">
    <cfRule type="expression" dxfId="2893" priority="613">
      <formula>S274 = FALSE</formula>
    </cfRule>
  </conditionalFormatting>
  <conditionalFormatting sqref="W274">
    <cfRule type="expression" dxfId="2892" priority="612">
      <formula>OR(T274 = TRUE, AND(W274 = TRUE, S274 = FALSE))</formula>
    </cfRule>
  </conditionalFormatting>
  <conditionalFormatting sqref="W286">
    <cfRule type="expression" dxfId="2891" priority="610">
      <formula>AND(R286,S286)</formula>
    </cfRule>
  </conditionalFormatting>
  <conditionalFormatting sqref="W286">
    <cfRule type="expression" dxfId="2890" priority="609">
      <formula>AND(IF(R286,W286,TRUE),LEN(TRIM(W286))&gt;0)</formula>
    </cfRule>
  </conditionalFormatting>
  <conditionalFormatting sqref="W286">
    <cfRule type="expression" dxfId="2889" priority="608">
      <formula>S286 = FALSE</formula>
    </cfRule>
  </conditionalFormatting>
  <conditionalFormatting sqref="W286">
    <cfRule type="expression" dxfId="2888" priority="607">
      <formula>OR(T286 = TRUE, AND(W286 = TRUE, S286 = FALSE))</formula>
    </cfRule>
  </conditionalFormatting>
  <conditionalFormatting sqref="W288">
    <cfRule type="expression" dxfId="2887" priority="606">
      <formula>AND(R288,S288)</formula>
    </cfRule>
  </conditionalFormatting>
  <conditionalFormatting sqref="W288">
    <cfRule type="expression" dxfId="2886" priority="605">
      <formula>AND(IF(R288,W288,TRUE),LEN(TRIM(W288))&gt;0)</formula>
    </cfRule>
  </conditionalFormatting>
  <conditionalFormatting sqref="W288">
    <cfRule type="expression" dxfId="2885" priority="604">
      <formula>S288 = FALSE</formula>
    </cfRule>
  </conditionalFormatting>
  <conditionalFormatting sqref="W288">
    <cfRule type="expression" dxfId="2884" priority="603">
      <formula>OR(T288 = TRUE, AND(W288 = TRUE, S288 = FALSE))</formula>
    </cfRule>
  </conditionalFormatting>
  <conditionalFormatting sqref="W290">
    <cfRule type="expression" dxfId="2883" priority="602">
      <formula>AND(R290,S290)</formula>
    </cfRule>
  </conditionalFormatting>
  <conditionalFormatting sqref="W290">
    <cfRule type="expression" dxfId="2882" priority="601">
      <formula>AND(IF(R290,W290,TRUE),LEN(TRIM(W290))&gt;0)</formula>
    </cfRule>
  </conditionalFormatting>
  <conditionalFormatting sqref="W290">
    <cfRule type="expression" dxfId="2881" priority="600">
      <formula>S290 = FALSE</formula>
    </cfRule>
  </conditionalFormatting>
  <conditionalFormatting sqref="W290">
    <cfRule type="expression" dxfId="2880" priority="599">
      <formula>OR(T290 = TRUE, AND(W290 = TRUE, S290 = FALSE))</formula>
    </cfRule>
  </conditionalFormatting>
  <conditionalFormatting sqref="W292">
    <cfRule type="expression" dxfId="2879" priority="598">
      <formula>AND(R292,S292)</formula>
    </cfRule>
  </conditionalFormatting>
  <conditionalFormatting sqref="W292">
    <cfRule type="expression" dxfId="2878" priority="597">
      <formula>AND(IF(R292,W292,TRUE),LEN(TRIM(W292))&gt;0)</formula>
    </cfRule>
  </conditionalFormatting>
  <conditionalFormatting sqref="W292">
    <cfRule type="expression" dxfId="2877" priority="596">
      <formula>S292 = FALSE</formula>
    </cfRule>
  </conditionalFormatting>
  <conditionalFormatting sqref="W292">
    <cfRule type="expression" dxfId="2876" priority="595">
      <formula>OR(T292 = TRUE, AND(W292 = TRUE, S292 = FALSE))</formula>
    </cfRule>
  </conditionalFormatting>
  <conditionalFormatting sqref="X285 X287 X289 X291">
    <cfRule type="expression" dxfId="2875" priority="594">
      <formula>W286&gt;0</formula>
    </cfRule>
  </conditionalFormatting>
  <conditionalFormatting sqref="X334">
    <cfRule type="expression" dxfId="2874" priority="545">
      <formula>W334</formula>
    </cfRule>
  </conditionalFormatting>
  <conditionalFormatting sqref="X335">
    <cfRule type="expression" dxfId="2873" priority="544">
      <formula>W335</formula>
    </cfRule>
  </conditionalFormatting>
  <conditionalFormatting sqref="W340">
    <cfRule type="expression" dxfId="2872" priority="543">
      <formula>AND($R$340,$S$340)</formula>
    </cfRule>
  </conditionalFormatting>
  <conditionalFormatting sqref="W340">
    <cfRule type="expression" dxfId="2871" priority="542">
      <formula>AND(IF($R$340,$W$340,TRUE),LEN(TRIM($W$340))&gt;0)</formula>
    </cfRule>
  </conditionalFormatting>
  <conditionalFormatting sqref="W340">
    <cfRule type="expression" dxfId="2870" priority="541">
      <formula>$S$340 = FALSE</formula>
    </cfRule>
  </conditionalFormatting>
  <conditionalFormatting sqref="W340">
    <cfRule type="expression" dxfId="2869" priority="540">
      <formula>OR($T$340 = TRUE, AND(LEN(TRIM($W$340))&gt;0, $S$340 = FALSE))</formula>
    </cfRule>
  </conditionalFormatting>
  <conditionalFormatting sqref="W341">
    <cfRule type="expression" dxfId="2868" priority="539">
      <formula>AND($R$341,$S$341)</formula>
    </cfRule>
  </conditionalFormatting>
  <conditionalFormatting sqref="W341">
    <cfRule type="expression" dxfId="2867" priority="538">
      <formula>AND(IF($R$341,$W$341,TRUE),LEN(TRIM($W$341))&gt;0)</formula>
    </cfRule>
  </conditionalFormatting>
  <conditionalFormatting sqref="W341">
    <cfRule type="expression" dxfId="2866" priority="537">
      <formula>$S$341 = FALSE</formula>
    </cfRule>
  </conditionalFormatting>
  <conditionalFormatting sqref="W341">
    <cfRule type="expression" dxfId="2865" priority="536">
      <formula>OR($T$341 = TRUE, AND(LEN(TRIM($W$341))&gt;0, $S$341 = FALSE))</formula>
    </cfRule>
  </conditionalFormatting>
  <conditionalFormatting sqref="W342">
    <cfRule type="expression" dxfId="2864" priority="535">
      <formula>AND($R$342,$S$342)</formula>
    </cfRule>
  </conditionalFormatting>
  <conditionalFormatting sqref="W342">
    <cfRule type="expression" dxfId="2863" priority="534">
      <formula>AND(IF($R$342,$W$342,TRUE),LEN(TRIM($W$342))&gt;0)</formula>
    </cfRule>
  </conditionalFormatting>
  <conditionalFormatting sqref="W342">
    <cfRule type="expression" dxfId="2862" priority="533">
      <formula>$S$342 = FALSE</formula>
    </cfRule>
  </conditionalFormatting>
  <conditionalFormatting sqref="W342">
    <cfRule type="expression" dxfId="2861" priority="532">
      <formula>OR($T$342 = TRUE, AND(LEN(TRIM($W$342))&gt;0, $S$342 = FALSE))</formula>
    </cfRule>
  </conditionalFormatting>
  <conditionalFormatting sqref="W343">
    <cfRule type="expression" dxfId="2860" priority="527">
      <formula>AND($R$343,$S$343)</formula>
    </cfRule>
  </conditionalFormatting>
  <conditionalFormatting sqref="W343">
    <cfRule type="expression" dxfId="2859" priority="526">
      <formula>AND(IF($R$343,$W$343,TRUE),LEN(TRIM($W$343))&gt;0)</formula>
    </cfRule>
  </conditionalFormatting>
  <conditionalFormatting sqref="W343">
    <cfRule type="expression" dxfId="2858" priority="525">
      <formula>$S$343 = FALSE</formula>
    </cfRule>
  </conditionalFormatting>
  <conditionalFormatting sqref="W343">
    <cfRule type="expression" dxfId="2857" priority="524">
      <formula>OR($T$343 = TRUE, AND(LEN(TRIM($W$343))&gt;0, $S$343 = FALSE))</formula>
    </cfRule>
  </conditionalFormatting>
  <conditionalFormatting sqref="W344">
    <cfRule type="expression" dxfId="2856" priority="523">
      <formula>AND($R$344,$S$344)</formula>
    </cfRule>
  </conditionalFormatting>
  <conditionalFormatting sqref="W344">
    <cfRule type="expression" dxfId="2855" priority="522">
      <formula>AND(IF($R$344,$W$344,TRUE),LEN(TRIM($W$344))&gt;0)</formula>
    </cfRule>
  </conditionalFormatting>
  <conditionalFormatting sqref="W344">
    <cfRule type="expression" dxfId="2854" priority="521">
      <formula>$S$344 = FALSE</formula>
    </cfRule>
  </conditionalFormatting>
  <conditionalFormatting sqref="W344">
    <cfRule type="expression" dxfId="2853" priority="520">
      <formula>OR($T$344 = TRUE, AND(LEN(TRIM($W$344))&gt;0, $S$344 = FALSE))</formula>
    </cfRule>
  </conditionalFormatting>
  <conditionalFormatting sqref="W345">
    <cfRule type="expression" dxfId="2852" priority="519">
      <formula>AND($R$345,$S$345)</formula>
    </cfRule>
  </conditionalFormatting>
  <conditionalFormatting sqref="W345">
    <cfRule type="expression" dxfId="2851" priority="518">
      <formula>AND(IF($R$345,$W$345,TRUE),LEN(TRIM($W$345))&gt;0)</formula>
    </cfRule>
  </conditionalFormatting>
  <conditionalFormatting sqref="W345">
    <cfRule type="expression" dxfId="2850" priority="517">
      <formula>$S$345 = FALSE</formula>
    </cfRule>
  </conditionalFormatting>
  <conditionalFormatting sqref="W345">
    <cfRule type="expression" dxfId="2849" priority="516">
      <formula>OR($T$345 = TRUE, AND(LEN(TRIM($W$345))&gt;0, $S$345 = FALSE))</formula>
    </cfRule>
  </conditionalFormatting>
  <conditionalFormatting sqref="W346">
    <cfRule type="expression" dxfId="2848" priority="515">
      <formula>AND($R$346,$S$346)</formula>
    </cfRule>
  </conditionalFormatting>
  <conditionalFormatting sqref="W346">
    <cfRule type="expression" dxfId="2847" priority="514">
      <formula>AND(IF($R$346,$W$346,TRUE),LEN(TRIM($W$346))&gt;0)</formula>
    </cfRule>
  </conditionalFormatting>
  <conditionalFormatting sqref="W346">
    <cfRule type="expression" dxfId="2846" priority="513">
      <formula>$S$346 = FALSE</formula>
    </cfRule>
  </conditionalFormatting>
  <conditionalFormatting sqref="W346">
    <cfRule type="expression" dxfId="2845" priority="512">
      <formula>OR($T$346 = TRUE, AND(LEN(TRIM($W$346))&gt;0, $S$346 = FALSE))</formula>
    </cfRule>
  </conditionalFormatting>
  <conditionalFormatting sqref="W347">
    <cfRule type="expression" dxfId="2844" priority="511">
      <formula>AND($R$347,$S$347)</formula>
    </cfRule>
  </conditionalFormatting>
  <conditionalFormatting sqref="W347">
    <cfRule type="expression" dxfId="2843" priority="510">
      <formula>AND(IF($R$347,$W$347,TRUE),LEN(TRIM($W$347))&gt;0)</formula>
    </cfRule>
  </conditionalFormatting>
  <conditionalFormatting sqref="W347">
    <cfRule type="expression" dxfId="2842" priority="509">
      <formula>$S$347 = FALSE</formula>
    </cfRule>
  </conditionalFormatting>
  <conditionalFormatting sqref="W347">
    <cfRule type="expression" dxfId="2841" priority="508">
      <formula>OR($T$347 = TRUE, AND(LEN(TRIM($W$347))&gt;0, $S$347 = FALSE))</formula>
    </cfRule>
  </conditionalFormatting>
  <conditionalFormatting sqref="W367">
    <cfRule type="expression" dxfId="2840" priority="507">
      <formula>AND($R$367,$S$367)</formula>
    </cfRule>
  </conditionalFormatting>
  <conditionalFormatting sqref="W367">
    <cfRule type="expression" dxfId="2839" priority="506">
      <formula>AND(IF($R$367,$W$367,TRUE),LEN(TRIM($W$367))&gt;0)</formula>
    </cfRule>
  </conditionalFormatting>
  <conditionalFormatting sqref="W367">
    <cfRule type="expression" dxfId="2838" priority="505">
      <formula>$S$367 = FALSE</formula>
    </cfRule>
  </conditionalFormatting>
  <conditionalFormatting sqref="W367">
    <cfRule type="expression" dxfId="2837" priority="504">
      <formula>OR($T$367 = TRUE, AND(LEN(TRIM($W$367))&gt;0, $S$367 = FALSE))</formula>
    </cfRule>
  </conditionalFormatting>
  <conditionalFormatting sqref="W368">
    <cfRule type="expression" dxfId="2836" priority="503">
      <formula>AND($R$368,$S$368)</formula>
    </cfRule>
  </conditionalFormatting>
  <conditionalFormatting sqref="W368">
    <cfRule type="expression" dxfId="2835" priority="502">
      <formula>AND(IF($R$368,$W$368,TRUE),LEN(TRIM($W$368))&gt;0)</formula>
    </cfRule>
  </conditionalFormatting>
  <conditionalFormatting sqref="W368">
    <cfRule type="expression" dxfId="2834" priority="501">
      <formula>$S$368 = FALSE</formula>
    </cfRule>
  </conditionalFormatting>
  <conditionalFormatting sqref="W368">
    <cfRule type="expression" dxfId="2833" priority="500">
      <formula>OR($T$368 = TRUE, AND(LEN(TRIM($W$368))&gt;0, $S$368 = FALSE))</formula>
    </cfRule>
  </conditionalFormatting>
  <conditionalFormatting sqref="W370">
    <cfRule type="expression" dxfId="2832" priority="499">
      <formula>AND($R$370,$S$370)</formula>
    </cfRule>
  </conditionalFormatting>
  <conditionalFormatting sqref="W370">
    <cfRule type="expression" dxfId="2831" priority="498">
      <formula>AND(IF($R$370,$W$370,TRUE),LEN(TRIM($W$370))&gt;0)</formula>
    </cfRule>
  </conditionalFormatting>
  <conditionalFormatting sqref="W370">
    <cfRule type="expression" dxfId="2830" priority="497">
      <formula>$S$370 = FALSE</formula>
    </cfRule>
  </conditionalFormatting>
  <conditionalFormatting sqref="W370">
    <cfRule type="expression" dxfId="2829" priority="496">
      <formula>OR($T$370 = TRUE, AND(LEN(TRIM($W$370))&gt;0, $S$370 = FALSE))</formula>
    </cfRule>
  </conditionalFormatting>
  <conditionalFormatting sqref="W371">
    <cfRule type="expression" dxfId="2828" priority="495">
      <formula>AND($R$371,$S$371)</formula>
    </cfRule>
  </conditionalFormatting>
  <conditionalFormatting sqref="W371">
    <cfRule type="expression" dxfId="2827" priority="494">
      <formula>AND(IF($R$371,$W$371,TRUE),LEN(TRIM($W$371))&gt;0)</formula>
    </cfRule>
  </conditionalFormatting>
  <conditionalFormatting sqref="W371">
    <cfRule type="expression" dxfId="2826" priority="493">
      <formula>$S$371 = FALSE</formula>
    </cfRule>
  </conditionalFormatting>
  <conditionalFormatting sqref="W371">
    <cfRule type="expression" dxfId="2825" priority="492">
      <formula>OR($T$371 = TRUE, AND(LEN(TRIM($W$371))&gt;0, $S$371 = FALSE))</formula>
    </cfRule>
  </conditionalFormatting>
  <conditionalFormatting sqref="X367:X368 X370:X371">
    <cfRule type="expression" dxfId="2824" priority="491">
      <formula>NOT(ISBLANK(W367))</formula>
    </cfRule>
  </conditionalFormatting>
  <conditionalFormatting sqref="W373">
    <cfRule type="expression" dxfId="2823" priority="490">
      <formula>AND($R$373,$S$373)</formula>
    </cfRule>
  </conditionalFormatting>
  <conditionalFormatting sqref="W373">
    <cfRule type="expression" dxfId="2822" priority="489">
      <formula>AND(IF($R$373,$W$373,TRUE),LEN(TRIM($W$373))&gt;0)</formula>
    </cfRule>
  </conditionalFormatting>
  <conditionalFormatting sqref="W373">
    <cfRule type="expression" dxfId="2821" priority="488">
      <formula>$S$373 = FALSE</formula>
    </cfRule>
  </conditionalFormatting>
  <conditionalFormatting sqref="W373">
    <cfRule type="expression" dxfId="2820" priority="487">
      <formula>OR($T$373 = TRUE, AND(LEN(TRIM($W$373))&gt;0, $S$373 = FALSE))</formula>
    </cfRule>
  </conditionalFormatting>
  <conditionalFormatting sqref="X373:X378">
    <cfRule type="expression" dxfId="2819" priority="486">
      <formula>NOT(ISBLANK(W373))</formula>
    </cfRule>
  </conditionalFormatting>
  <conditionalFormatting sqref="W388">
    <cfRule type="expression" dxfId="2818" priority="473">
      <formula>AND($R$388,$S$388)</formula>
    </cfRule>
  </conditionalFormatting>
  <conditionalFormatting sqref="W388">
    <cfRule type="expression" dxfId="2817" priority="472">
      <formula>AND(IF($R$388,$W$388,TRUE),LEN(TRIM($W$388))&gt;0)</formula>
    </cfRule>
  </conditionalFormatting>
  <conditionalFormatting sqref="W388">
    <cfRule type="expression" dxfId="2816" priority="471">
      <formula>$S$388 = FALSE</formula>
    </cfRule>
  </conditionalFormatting>
  <conditionalFormatting sqref="W388">
    <cfRule type="expression" dxfId="2815" priority="470">
      <formula>OR($T$388 = TRUE, AND(LEN(TRIM($W$388))&gt;0, $S$388 = FALSE))</formula>
    </cfRule>
  </conditionalFormatting>
  <conditionalFormatting sqref="X388:X395">
    <cfRule type="expression" dxfId="2814" priority="469">
      <formula>NOT(ISBLANK(W388))</formula>
    </cfRule>
  </conditionalFormatting>
  <conditionalFormatting sqref="W398">
    <cfRule type="expression" dxfId="2813" priority="468">
      <formula>AND($R$398,$S$398)</formula>
    </cfRule>
  </conditionalFormatting>
  <conditionalFormatting sqref="W398">
    <cfRule type="expression" dxfId="2812" priority="467">
      <formula>AND(IF($R$398,$W$398,TRUE),LEN(TRIM($W$398))&gt;0)</formula>
    </cfRule>
  </conditionalFormatting>
  <conditionalFormatting sqref="W398">
    <cfRule type="expression" dxfId="2811" priority="466">
      <formula>$S$398 = FALSE</formula>
    </cfRule>
  </conditionalFormatting>
  <conditionalFormatting sqref="W398">
    <cfRule type="expression" dxfId="2810" priority="465">
      <formula>OR($T$398 = TRUE, AND(LEN(TRIM($W$398))&gt;0, $S$398 = FALSE))</formula>
    </cfRule>
  </conditionalFormatting>
  <conditionalFormatting sqref="W401">
    <cfRule type="expression" dxfId="2809" priority="464">
      <formula>AND($R$401,$S$401)</formula>
    </cfRule>
  </conditionalFormatting>
  <conditionalFormatting sqref="W401">
    <cfRule type="expression" dxfId="2808" priority="463">
      <formula>AND(IF($R$401,$W$401,TRUE),LEN(TRIM($W$401))&gt;0)</formula>
    </cfRule>
  </conditionalFormatting>
  <conditionalFormatting sqref="W401">
    <cfRule type="expression" dxfId="2807" priority="462">
      <formula>$S$401 = FALSE</formula>
    </cfRule>
  </conditionalFormatting>
  <conditionalFormatting sqref="W401">
    <cfRule type="expression" dxfId="2806" priority="461">
      <formula>OR($T$401 = TRUE, AND(LEN(TRIM($W$401))&gt;0, $S$401 = FALSE))</formula>
    </cfRule>
  </conditionalFormatting>
  <conditionalFormatting sqref="X397:X399">
    <cfRule type="expression" dxfId="2805" priority="460">
      <formula>NOT(ISBLANK(W398))</formula>
    </cfRule>
  </conditionalFormatting>
  <conditionalFormatting sqref="X400:X403">
    <cfRule type="expression" dxfId="2804" priority="459">
      <formula>NOT(ISBLANK(W401))</formula>
    </cfRule>
  </conditionalFormatting>
  <conditionalFormatting sqref="W437">
    <cfRule type="expression" dxfId="2803" priority="458">
      <formula>AND($R$437,$S$437)</formula>
    </cfRule>
  </conditionalFormatting>
  <conditionalFormatting sqref="W437">
    <cfRule type="expression" dxfId="2802" priority="457">
      <formula>AND(IF($R$437,$W$437,TRUE),LEN(TRIM($W$437))&gt;0)</formula>
    </cfRule>
  </conditionalFormatting>
  <conditionalFormatting sqref="W437">
    <cfRule type="expression" dxfId="2801" priority="456">
      <formula>$S$437 = FALSE</formula>
    </cfRule>
  </conditionalFormatting>
  <conditionalFormatting sqref="W437">
    <cfRule type="expression" dxfId="2800" priority="455">
      <formula>OR($T$437 = TRUE, AND(LEN(TRIM($W$437))&gt;0, $S$437 = FALSE))</formula>
    </cfRule>
  </conditionalFormatting>
  <conditionalFormatting sqref="W444">
    <cfRule type="expression" dxfId="2799" priority="454">
      <formula>AND($R$444,$S$444)</formula>
    </cfRule>
  </conditionalFormatting>
  <conditionalFormatting sqref="W444">
    <cfRule type="expression" dxfId="2798" priority="453">
      <formula>AND(IF($R$444,$W$444,TRUE),LEN(TRIM($W$444))&gt;0)</formula>
    </cfRule>
  </conditionalFormatting>
  <conditionalFormatting sqref="W444">
    <cfRule type="expression" dxfId="2797" priority="452">
      <formula>$S$444 = FALSE</formula>
    </cfRule>
  </conditionalFormatting>
  <conditionalFormatting sqref="W444">
    <cfRule type="expression" dxfId="2796" priority="451">
      <formula>OR($T$444 = TRUE, AND(LEN(TRIM($W$444))&gt;0, $S$444 = FALSE))</formula>
    </cfRule>
  </conditionalFormatting>
  <conditionalFormatting sqref="X435:X441">
    <cfRule type="expression" dxfId="2795" priority="450">
      <formula>NOT(ISBLANK(W437))</formula>
    </cfRule>
  </conditionalFormatting>
  <conditionalFormatting sqref="X442:X448">
    <cfRule type="expression" dxfId="2794" priority="449">
      <formula>NOT(ISBLANK(W444))</formula>
    </cfRule>
  </conditionalFormatting>
  <conditionalFormatting sqref="W450">
    <cfRule type="expression" dxfId="2793" priority="448">
      <formula>AND($R$450,$S$450)</formula>
    </cfRule>
  </conditionalFormatting>
  <conditionalFormatting sqref="W450">
    <cfRule type="expression" dxfId="2792" priority="447">
      <formula>AND(IF($R$450,$W$450,TRUE),LEN(TRIM($W$450))&gt;0)</formula>
    </cfRule>
  </conditionalFormatting>
  <conditionalFormatting sqref="W450">
    <cfRule type="expression" dxfId="2791" priority="446">
      <formula>$S$450 = FALSE</formula>
    </cfRule>
  </conditionalFormatting>
  <conditionalFormatting sqref="W450">
    <cfRule type="expression" dxfId="2790" priority="445">
      <formula>OR($T$450 = TRUE, AND(LEN(TRIM($W$450))&gt;0, $S$450 = FALSE))</formula>
    </cfRule>
  </conditionalFormatting>
  <conditionalFormatting sqref="W456">
    <cfRule type="expression" dxfId="2789" priority="444">
      <formula>AND($R$456,$S$456)</formula>
    </cfRule>
  </conditionalFormatting>
  <conditionalFormatting sqref="W456">
    <cfRule type="expression" dxfId="2788" priority="443">
      <formula>AND(IF($R$456,$W$456,TRUE),LEN(TRIM($W$456))&gt;0)</formula>
    </cfRule>
  </conditionalFormatting>
  <conditionalFormatting sqref="W456">
    <cfRule type="expression" dxfId="2787" priority="442">
      <formula>$S$456 = FALSE</formula>
    </cfRule>
  </conditionalFormatting>
  <conditionalFormatting sqref="W456">
    <cfRule type="expression" dxfId="2786" priority="441">
      <formula>OR($T$456 = TRUE, AND(LEN(TRIM($W$456))&gt;0, $S$456 = FALSE))</formula>
    </cfRule>
  </conditionalFormatting>
  <conditionalFormatting sqref="W462">
    <cfRule type="expression" dxfId="2785" priority="440">
      <formula>AND($R$462,$S$462)</formula>
    </cfRule>
  </conditionalFormatting>
  <conditionalFormatting sqref="W462">
    <cfRule type="expression" dxfId="2784" priority="439">
      <formula>AND(IF($R$462,$W$462,TRUE),LEN(TRIM($W$462))&gt;0)</formula>
    </cfRule>
  </conditionalFormatting>
  <conditionalFormatting sqref="W462">
    <cfRule type="expression" dxfId="2783" priority="438">
      <formula>$S$462 = FALSE</formula>
    </cfRule>
  </conditionalFormatting>
  <conditionalFormatting sqref="W462">
    <cfRule type="expression" dxfId="2782" priority="437">
      <formula>OR($T$462 = TRUE, AND(LEN(TRIM($W$462))&gt;0, $S$462 = FALSE))</formula>
    </cfRule>
  </conditionalFormatting>
  <conditionalFormatting sqref="W468">
    <cfRule type="expression" dxfId="2781" priority="436">
      <formula>AND($R$468,$S$468)</formula>
    </cfRule>
  </conditionalFormatting>
  <conditionalFormatting sqref="W468">
    <cfRule type="expression" dxfId="2780" priority="435">
      <formula>AND(IF($R$468,$W$468,TRUE),LEN(TRIM($W$468))&gt;0)</formula>
    </cfRule>
  </conditionalFormatting>
  <conditionalFormatting sqref="W468">
    <cfRule type="expression" dxfId="2779" priority="434">
      <formula>$S$468 = FALSE</formula>
    </cfRule>
  </conditionalFormatting>
  <conditionalFormatting sqref="W468">
    <cfRule type="expression" dxfId="2778" priority="433">
      <formula>OR($T$468 = TRUE, AND(LEN(TRIM($W$468))&gt;0, $S$468 = FALSE))</formula>
    </cfRule>
  </conditionalFormatting>
  <conditionalFormatting sqref="X449:X454">
    <cfRule type="expression" dxfId="2777" priority="432">
      <formula>NOT(ISBLANK(W450))</formula>
    </cfRule>
  </conditionalFormatting>
  <conditionalFormatting sqref="X455:X460">
    <cfRule type="expression" dxfId="2776" priority="431">
      <formula>NOT(ISBLANK(W456))</formula>
    </cfRule>
  </conditionalFormatting>
  <conditionalFormatting sqref="X461:X466">
    <cfRule type="expression" dxfId="2775" priority="430">
      <formula>NOT(ISBLANK(W462))</formula>
    </cfRule>
  </conditionalFormatting>
  <conditionalFormatting sqref="X467:X472">
    <cfRule type="expression" dxfId="2774" priority="429">
      <formula>NOT(ISBLANK(W468))</formula>
    </cfRule>
  </conditionalFormatting>
  <conditionalFormatting sqref="W474">
    <cfRule type="expression" dxfId="2773" priority="422">
      <formula>$S$474 = FALSE</formula>
    </cfRule>
  </conditionalFormatting>
  <conditionalFormatting sqref="W474">
    <cfRule type="expression" dxfId="2772" priority="424">
      <formula>AND($R$474,$S$474)</formula>
    </cfRule>
  </conditionalFormatting>
  <conditionalFormatting sqref="W474">
    <cfRule type="expression" dxfId="2771" priority="423">
      <formula>AND(IF($R$474,$W$474,TRUE),LEN(TRIM($W$474))&gt;0)</formula>
    </cfRule>
  </conditionalFormatting>
  <conditionalFormatting sqref="W474">
    <cfRule type="expression" dxfId="2770" priority="421">
      <formula>OR($T$474 = TRUE, AND(LEN(TRIM($W$474))&gt;0, $S$474 = FALSE))</formula>
    </cfRule>
  </conditionalFormatting>
  <conditionalFormatting sqref="X474:X481">
    <cfRule type="expression" dxfId="2769" priority="420">
      <formula>NOT(ISBLANK(W474))</formula>
    </cfRule>
  </conditionalFormatting>
  <conditionalFormatting sqref="W524">
    <cfRule type="expression" dxfId="2768" priority="419">
      <formula>AND(R524,S524)</formula>
    </cfRule>
  </conditionalFormatting>
  <conditionalFormatting sqref="W524">
    <cfRule type="expression" dxfId="2767" priority="418">
      <formula>AND(IF(R524,W524,TRUE),LEN(TRIM(W524))&gt;0)</formula>
    </cfRule>
  </conditionalFormatting>
  <conditionalFormatting sqref="W524">
    <cfRule type="expression" dxfId="2766" priority="417">
      <formula>S524 = FALSE</formula>
    </cfRule>
  </conditionalFormatting>
  <conditionalFormatting sqref="W524">
    <cfRule type="expression" dxfId="2765" priority="416">
      <formula>OR(T524 = TRUE, AND(W524 = TRUE, S524 = FALSE))</formula>
    </cfRule>
  </conditionalFormatting>
  <conditionalFormatting sqref="W534">
    <cfRule type="expression" dxfId="2764" priority="407">
      <formula>AND(R534,S534)</formula>
    </cfRule>
  </conditionalFormatting>
  <conditionalFormatting sqref="W534">
    <cfRule type="expression" dxfId="2763" priority="406">
      <formula>AND(IF(R534,W534,TRUE),LEN(TRIM(W534))&gt;0)</formula>
    </cfRule>
  </conditionalFormatting>
  <conditionalFormatting sqref="W534">
    <cfRule type="expression" dxfId="2762" priority="405">
      <formula>S534 = FALSE</formula>
    </cfRule>
  </conditionalFormatting>
  <conditionalFormatting sqref="W534">
    <cfRule type="expression" dxfId="2761" priority="404">
      <formula>OR(T534 = TRUE, AND(W534 = TRUE, S534 = FALSE))</formula>
    </cfRule>
  </conditionalFormatting>
  <conditionalFormatting sqref="X523:X531">
    <cfRule type="expression" dxfId="2760" priority="403">
      <formula>W524&gt;0</formula>
    </cfRule>
  </conditionalFormatting>
  <conditionalFormatting sqref="X532:X538">
    <cfRule type="expression" dxfId="2759" priority="402">
      <formula>W534&gt;0</formula>
    </cfRule>
  </conditionalFormatting>
  <conditionalFormatting sqref="W123">
    <cfRule type="expression" dxfId="2758" priority="397">
      <formula>AND($R$123,$S$123)</formula>
    </cfRule>
  </conditionalFormatting>
  <conditionalFormatting sqref="W123">
    <cfRule type="expression" dxfId="2757" priority="396">
      <formula>AND($W$123&lt;&gt;"Not Met",LEN(TRIM($W$123))&gt;0)</formula>
    </cfRule>
  </conditionalFormatting>
  <conditionalFormatting sqref="W123">
    <cfRule type="expression" dxfId="2756" priority="395">
      <formula>$S$123 = FALSE</formula>
    </cfRule>
  </conditionalFormatting>
  <conditionalFormatting sqref="W123">
    <cfRule type="expression" dxfId="2755" priority="394">
      <formula>OR($T$123 = TRUE, AND(LEN(TRIM($W$123))&gt;0, $S$123 = FALSE))</formula>
    </cfRule>
  </conditionalFormatting>
  <conditionalFormatting sqref="W132">
    <cfRule type="expression" dxfId="2754" priority="393">
      <formula>AND($R$132,$S$132)</formula>
    </cfRule>
  </conditionalFormatting>
  <conditionalFormatting sqref="W132">
    <cfRule type="expression" dxfId="2753" priority="392">
      <formula>AND($W$132&lt;&gt;"Not Met",LEN(TRIM($W$132))&gt;0)</formula>
    </cfRule>
  </conditionalFormatting>
  <conditionalFormatting sqref="W132">
    <cfRule type="expression" dxfId="2752" priority="391">
      <formula>$S$132 = FALSE</formula>
    </cfRule>
  </conditionalFormatting>
  <conditionalFormatting sqref="W132">
    <cfRule type="expression" dxfId="2751" priority="390">
      <formula>OR($T$132 = TRUE, AND(LEN(TRIM($W$132))&gt;0, $S$132 = FALSE))</formula>
    </cfRule>
  </conditionalFormatting>
  <conditionalFormatting sqref="W161">
    <cfRule type="expression" dxfId="2750" priority="389">
      <formula>AND($R$161,$S$161)</formula>
    </cfRule>
  </conditionalFormatting>
  <conditionalFormatting sqref="W161">
    <cfRule type="expression" dxfId="2749" priority="388">
      <formula>AND($W$161&lt;&gt;"Not Met",LEN(TRIM($W$161))&gt;0)</formula>
    </cfRule>
  </conditionalFormatting>
  <conditionalFormatting sqref="W161">
    <cfRule type="expression" dxfId="2748" priority="387">
      <formula>$S$161 = FALSE</formula>
    </cfRule>
  </conditionalFormatting>
  <conditionalFormatting sqref="W161">
    <cfRule type="expression" dxfId="2747" priority="386">
      <formula>OR($T$161 = TRUE, AND(LEN(TRIM($W$161))&gt;0, $S$161 = FALSE))</formula>
    </cfRule>
  </conditionalFormatting>
  <conditionalFormatting sqref="W172">
    <cfRule type="expression" dxfId="2746" priority="385">
      <formula>AND($R$172,$S$172)</formula>
    </cfRule>
  </conditionalFormatting>
  <conditionalFormatting sqref="W172">
    <cfRule type="expression" dxfId="2745" priority="384">
      <formula>AND($W$172&lt;&gt;"Not Met",LEN(TRIM($W$172))&gt;0)</formula>
    </cfRule>
  </conditionalFormatting>
  <conditionalFormatting sqref="W172">
    <cfRule type="expression" dxfId="2744" priority="383">
      <formula>$S$172 = FALSE</formula>
    </cfRule>
  </conditionalFormatting>
  <conditionalFormatting sqref="W172">
    <cfRule type="expression" dxfId="2743" priority="382">
      <formula>OR($T$172 = TRUE, AND(LEN(TRIM($W$172))&gt;0, $S$172 = FALSE))</formula>
    </cfRule>
  </conditionalFormatting>
  <conditionalFormatting sqref="W226">
    <cfRule type="expression" dxfId="2742" priority="381">
      <formula>AND($R$226,$S$226)</formula>
    </cfRule>
  </conditionalFormatting>
  <conditionalFormatting sqref="W226">
    <cfRule type="expression" dxfId="2741" priority="380">
      <formula>AND($W$226&lt;&gt;"Not Met",LEN(TRIM($W$226))&gt;0)</formula>
    </cfRule>
  </conditionalFormatting>
  <conditionalFormatting sqref="W226">
    <cfRule type="expression" dxfId="2740" priority="379">
      <formula>$S$226 = FALSE</formula>
    </cfRule>
  </conditionalFormatting>
  <conditionalFormatting sqref="W226">
    <cfRule type="expression" dxfId="2739" priority="378">
      <formula>OR($T$226 = TRUE, AND(LEN(TRIM($W$226))&gt;0, $S$226 = FALSE))</formula>
    </cfRule>
  </conditionalFormatting>
  <conditionalFormatting sqref="W233">
    <cfRule type="expression" dxfId="2738" priority="377">
      <formula>AND($R$233,$S$233)</formula>
    </cfRule>
  </conditionalFormatting>
  <conditionalFormatting sqref="W233">
    <cfRule type="expression" dxfId="2737" priority="376">
      <formula>AND($W$233&lt;&gt;"Not Met",LEN(TRIM($W$233))&gt;0)</formula>
    </cfRule>
  </conditionalFormatting>
  <conditionalFormatting sqref="W233">
    <cfRule type="expression" dxfId="2736" priority="375">
      <formula>$S$233 = FALSE</formula>
    </cfRule>
  </conditionalFormatting>
  <conditionalFormatting sqref="W233">
    <cfRule type="expression" dxfId="2735" priority="374">
      <formula>OR($T$233 = TRUE, AND(LEN(TRIM($W$233))&gt;0, $S$233 = FALSE))</formula>
    </cfRule>
  </conditionalFormatting>
  <conditionalFormatting sqref="W239">
    <cfRule type="expression" dxfId="2734" priority="373">
      <formula>AND($R$239,$S$239)</formula>
    </cfRule>
  </conditionalFormatting>
  <conditionalFormatting sqref="W239">
    <cfRule type="expression" dxfId="2733" priority="372">
      <formula>AND($W$239&lt;&gt;"Not Met",LEN(TRIM($W$239))&gt;0)</formula>
    </cfRule>
  </conditionalFormatting>
  <conditionalFormatting sqref="W239">
    <cfRule type="expression" dxfId="2732" priority="371">
      <formula>$S$239 = FALSE</formula>
    </cfRule>
  </conditionalFormatting>
  <conditionalFormatting sqref="W239">
    <cfRule type="expression" dxfId="2731" priority="370">
      <formula>OR($T$239 = TRUE, AND(LEN(TRIM($W$239))&gt;0, $S$239 = FALSE))</formula>
    </cfRule>
  </conditionalFormatting>
  <conditionalFormatting sqref="W32">
    <cfRule type="expression" dxfId="2730" priority="366">
      <formula>OR($T$32 = TRUE, AND($W$32 = TRUE, $S$32 = FALSE))</formula>
    </cfRule>
    <cfRule type="expression" dxfId="2729" priority="367">
      <formula>$S$32 = FALSE</formula>
    </cfRule>
    <cfRule type="expression" dxfId="2728" priority="368">
      <formula>AND(IF($R$32,$W$32,TRUE),LEN(TRIM($W$32))&gt;0)</formula>
    </cfRule>
    <cfRule type="expression" dxfId="2727" priority="369">
      <formula>AND($R$32,$S$32)</formula>
    </cfRule>
  </conditionalFormatting>
  <conditionalFormatting sqref="W35">
    <cfRule type="expression" dxfId="2726" priority="362">
      <formula>OR($T$35 = TRUE, AND($W$35 = TRUE, $S$35 = FALSE))</formula>
    </cfRule>
    <cfRule type="expression" dxfId="2725" priority="363">
      <formula>$S$35 = FALSE</formula>
    </cfRule>
    <cfRule type="expression" dxfId="2724" priority="364">
      <formula>AND(IF($R$35,$W$35,TRUE),LEN(TRIM($W$35))&gt;0)</formula>
    </cfRule>
    <cfRule type="expression" dxfId="2723" priority="365">
      <formula>AND($R$35,$S$35)</formula>
    </cfRule>
  </conditionalFormatting>
  <conditionalFormatting sqref="W38">
    <cfRule type="expression" dxfId="2722" priority="358">
      <formula>OR($T$38 = TRUE, AND($W$38 = TRUE, $S$38 = FALSE))</formula>
    </cfRule>
    <cfRule type="expression" dxfId="2721" priority="359">
      <formula>$S$38 = FALSE</formula>
    </cfRule>
    <cfRule type="expression" dxfId="2720" priority="360">
      <formula>AND(IF($R$38,$W$38,TRUE),LEN(TRIM($W$38))&gt;0)</formula>
    </cfRule>
    <cfRule type="expression" dxfId="2719" priority="361">
      <formula>AND($R$38,$S$38)</formula>
    </cfRule>
  </conditionalFormatting>
  <conditionalFormatting sqref="W44">
    <cfRule type="expression" dxfId="2718" priority="354">
      <formula>OR($T$44 = TRUE, AND($W$44 = TRUE, $S$44 = FALSE))</formula>
    </cfRule>
    <cfRule type="expression" dxfId="2717" priority="355">
      <formula>$S$44 = FALSE</formula>
    </cfRule>
    <cfRule type="expression" dxfId="2716" priority="356">
      <formula>AND(IF($R$44,$W$44,TRUE),LEN(TRIM($W$44))&gt;0)</formula>
    </cfRule>
    <cfRule type="expression" dxfId="2715" priority="357">
      <formula>AND($R$44,$S$44)</formula>
    </cfRule>
  </conditionalFormatting>
  <conditionalFormatting sqref="W45">
    <cfRule type="expression" dxfId="2714" priority="350">
      <formula>OR($T$45 = TRUE, AND($W$45 = TRUE, $S$45 = FALSE))</formula>
    </cfRule>
    <cfRule type="expression" dxfId="2713" priority="351">
      <formula>$S$45 = FALSE</formula>
    </cfRule>
    <cfRule type="expression" dxfId="2712" priority="352">
      <formula>AND(IF($R$45,$W$45,TRUE),LEN(TRIM($W$45))&gt;0)</formula>
    </cfRule>
    <cfRule type="expression" dxfId="2711" priority="353">
      <formula>AND($R$45,$S$45)</formula>
    </cfRule>
  </conditionalFormatting>
  <conditionalFormatting sqref="W46">
    <cfRule type="expression" dxfId="2710" priority="346">
      <formula>OR($T$46 = TRUE, AND($W$46 = TRUE, $S$46 = FALSE))</formula>
    </cfRule>
    <cfRule type="expression" dxfId="2709" priority="347">
      <formula>$S$46 = FALSE</formula>
    </cfRule>
    <cfRule type="expression" dxfId="2708" priority="348">
      <formula>AND(IF($R$46,$W$46,TRUE),LEN(TRIM($W$46))&gt;0)</formula>
    </cfRule>
    <cfRule type="expression" dxfId="2707" priority="349">
      <formula>AND($R$46,$S$46)</formula>
    </cfRule>
  </conditionalFormatting>
  <conditionalFormatting sqref="W47">
    <cfRule type="expression" dxfId="2706" priority="342">
      <formula>OR($T$47 = TRUE, AND($W$47 = TRUE, $S$47 = FALSE))</formula>
    </cfRule>
    <cfRule type="expression" dxfId="2705" priority="343">
      <formula>$S$47 = FALSE</formula>
    </cfRule>
    <cfRule type="expression" dxfId="2704" priority="344">
      <formula>AND(IF($R$47,$W$47,TRUE),LEN(TRIM($W$47))&gt;0)</formula>
    </cfRule>
    <cfRule type="expression" dxfId="2703" priority="345">
      <formula>AND($R$47,$S$47)</formula>
    </cfRule>
  </conditionalFormatting>
  <conditionalFormatting sqref="W48">
    <cfRule type="expression" dxfId="2702" priority="338">
      <formula>OR($T$48 = TRUE, AND($W$48 = TRUE, $S$48 = FALSE))</formula>
    </cfRule>
    <cfRule type="expression" dxfId="2701" priority="339">
      <formula>$S$48 = FALSE</formula>
    </cfRule>
    <cfRule type="expression" dxfId="2700" priority="340">
      <formula>AND(IF($R$48,$W$48,TRUE),LEN(TRIM($W$48))&gt;0)</formula>
    </cfRule>
    <cfRule type="expression" dxfId="2699" priority="341">
      <formula>AND($R$48,$S$48)</formula>
    </cfRule>
  </conditionalFormatting>
  <conditionalFormatting sqref="W49">
    <cfRule type="expression" dxfId="2698" priority="334">
      <formula>OR($T$49 = TRUE, AND($W$49 = TRUE, $S$49 = FALSE))</formula>
    </cfRule>
    <cfRule type="expression" dxfId="2697" priority="335">
      <formula>$S$49 = FALSE</formula>
    </cfRule>
    <cfRule type="expression" dxfId="2696" priority="336">
      <formula>AND(IF($R$49,$W$49,TRUE),LEN(TRIM($W$49))&gt;0)</formula>
    </cfRule>
    <cfRule type="expression" dxfId="2695" priority="337">
      <formula>AND($R$49,$S$49)</formula>
    </cfRule>
  </conditionalFormatting>
  <conditionalFormatting sqref="W57">
    <cfRule type="expression" dxfId="2694" priority="330">
      <formula>OR($T$57 = TRUE, AND($W$57 = TRUE, $S$57 = FALSE))</formula>
    </cfRule>
    <cfRule type="expression" dxfId="2693" priority="331">
      <formula>$S$57 = FALSE</formula>
    </cfRule>
    <cfRule type="expression" dxfId="2692" priority="332">
      <formula>AND(IF($R$57,$W$57,TRUE),LEN(TRIM($W$57))&gt;0)</formula>
    </cfRule>
    <cfRule type="expression" dxfId="2691" priority="333">
      <formula>AND($R$57,$S$57)</formula>
    </cfRule>
  </conditionalFormatting>
  <conditionalFormatting sqref="W58">
    <cfRule type="expression" dxfId="2690" priority="326">
      <formula>OR($T$58 = TRUE, AND($W$58 = TRUE, $S$58 = FALSE))</formula>
    </cfRule>
    <cfRule type="expression" dxfId="2689" priority="327">
      <formula>$S$58 = FALSE</formula>
    </cfRule>
    <cfRule type="expression" dxfId="2688" priority="328">
      <formula>AND(IF($R$58,$W$58,TRUE),LEN(TRIM($W$58))&gt;0)</formula>
    </cfRule>
    <cfRule type="expression" dxfId="2687" priority="329">
      <formula>AND($R$58,$S$58)</formula>
    </cfRule>
  </conditionalFormatting>
  <conditionalFormatting sqref="W59">
    <cfRule type="expression" dxfId="2686" priority="322">
      <formula>OR($T$59 = TRUE, AND($W$59 = TRUE, $S$59 = FALSE))</formula>
    </cfRule>
    <cfRule type="expression" dxfId="2685" priority="323">
      <formula>$S$59 = FALSE</formula>
    </cfRule>
    <cfRule type="expression" dxfId="2684" priority="324">
      <formula>AND(IF($R$59,$W$59,TRUE),LEN(TRIM($W$59))&gt;0)</formula>
    </cfRule>
    <cfRule type="expression" dxfId="2683" priority="325">
      <formula>AND($R$59,$S$59)</formula>
    </cfRule>
  </conditionalFormatting>
  <conditionalFormatting sqref="W60">
    <cfRule type="expression" dxfId="2682" priority="321">
      <formula>AND($R$60,$S$60)</formula>
    </cfRule>
  </conditionalFormatting>
  <conditionalFormatting sqref="W60">
    <cfRule type="expression" dxfId="2681" priority="320">
      <formula>AND(IF($R$60,$W$60,TRUE),LEN(TRIM($W$60))&gt;0)</formula>
    </cfRule>
  </conditionalFormatting>
  <conditionalFormatting sqref="W60">
    <cfRule type="expression" dxfId="2680" priority="319">
      <formula>$S$60 = FALSE</formula>
    </cfRule>
  </conditionalFormatting>
  <conditionalFormatting sqref="W60">
    <cfRule type="expression" dxfId="2679" priority="318">
      <formula>OR($T$60 = TRUE, AND($W$60 = TRUE, $S$60 = FALSE))</formula>
    </cfRule>
  </conditionalFormatting>
  <conditionalFormatting sqref="W84">
    <cfRule type="expression" dxfId="2678" priority="313">
      <formula>AND($R$84,$S$84)</formula>
    </cfRule>
  </conditionalFormatting>
  <conditionalFormatting sqref="W84">
    <cfRule type="expression" dxfId="2677" priority="312">
      <formula>AND(IF($R$84,$W$84,TRUE),LEN(TRIM($W$84))&gt;0)</formula>
    </cfRule>
  </conditionalFormatting>
  <conditionalFormatting sqref="W84">
    <cfRule type="expression" dxfId="2676" priority="311">
      <formula>$S$84 = FALSE</formula>
    </cfRule>
  </conditionalFormatting>
  <conditionalFormatting sqref="W84">
    <cfRule type="expression" dxfId="2675" priority="310">
      <formula>OR($T$84 = TRUE, AND($W$84 = TRUE, $S$84 = FALSE))</formula>
    </cfRule>
  </conditionalFormatting>
  <conditionalFormatting sqref="W101">
    <cfRule type="expression" dxfId="2674" priority="301">
      <formula>AND($R$101,$S$101)</formula>
    </cfRule>
  </conditionalFormatting>
  <conditionalFormatting sqref="W101">
    <cfRule type="expression" dxfId="2673" priority="300">
      <formula>AND(IF($R$101,$W$101,TRUE),LEN(TRIM($W$101))&gt;0)</formula>
    </cfRule>
  </conditionalFormatting>
  <conditionalFormatting sqref="W101">
    <cfRule type="expression" dxfId="2672" priority="299">
      <formula>$S$101 = FALSE</formula>
    </cfRule>
  </conditionalFormatting>
  <conditionalFormatting sqref="W101">
    <cfRule type="expression" dxfId="2671" priority="298">
      <formula>OR($T$101 = TRUE, AND($W$101 = TRUE, $S$101 = FALSE))</formula>
    </cfRule>
  </conditionalFormatting>
  <conditionalFormatting sqref="W107">
    <cfRule type="expression" dxfId="2670" priority="297">
      <formula>AND($R$107,$S$107)</formula>
    </cfRule>
  </conditionalFormatting>
  <conditionalFormatting sqref="W107">
    <cfRule type="expression" dxfId="2669" priority="296">
      <formula>AND(IF($R$107,$W$107,TRUE),LEN(TRIM($W$107))&gt;0)</formula>
    </cfRule>
  </conditionalFormatting>
  <conditionalFormatting sqref="W107">
    <cfRule type="expression" dxfId="2668" priority="295">
      <formula>$S$107 = FALSE</formula>
    </cfRule>
  </conditionalFormatting>
  <conditionalFormatting sqref="W107">
    <cfRule type="expression" dxfId="2667" priority="294">
      <formula>OR($T$107 = TRUE, AND($W$107 = TRUE, $S$107 = FALSE))</formula>
    </cfRule>
  </conditionalFormatting>
  <conditionalFormatting sqref="W108">
    <cfRule type="expression" dxfId="2666" priority="293">
      <formula>AND($R$108,$S$108)</formula>
    </cfRule>
  </conditionalFormatting>
  <conditionalFormatting sqref="W108">
    <cfRule type="expression" dxfId="2665" priority="292">
      <formula>AND(IF($R$108,$W$108,TRUE),LEN(TRIM($W$108))&gt;0)</formula>
    </cfRule>
  </conditionalFormatting>
  <conditionalFormatting sqref="W108">
    <cfRule type="expression" dxfId="2664" priority="291">
      <formula>$S$108 = FALSE</formula>
    </cfRule>
  </conditionalFormatting>
  <conditionalFormatting sqref="W108">
    <cfRule type="expression" dxfId="2663" priority="290">
      <formula>OR($T$108 = TRUE, AND($W$108 = TRUE, $S$108 = FALSE))</formula>
    </cfRule>
  </conditionalFormatting>
  <conditionalFormatting sqref="W113">
    <cfRule type="expression" dxfId="2662" priority="285">
      <formula>AND($R$113,$S$113)</formula>
    </cfRule>
  </conditionalFormatting>
  <conditionalFormatting sqref="W113">
    <cfRule type="expression" dxfId="2661" priority="284">
      <formula>AND(IF($R$113,$W$113,TRUE),LEN(TRIM($W$113))&gt;0)</formula>
    </cfRule>
  </conditionalFormatting>
  <conditionalFormatting sqref="W113">
    <cfRule type="expression" dxfId="2660" priority="283">
      <formula>$S$113 = FALSE</formula>
    </cfRule>
  </conditionalFormatting>
  <conditionalFormatting sqref="W113">
    <cfRule type="expression" dxfId="2659" priority="282">
      <formula>OR($T$113 = TRUE, AND($W$113 = TRUE, $S$113 = FALSE))</formula>
    </cfRule>
  </conditionalFormatting>
  <conditionalFormatting sqref="W121">
    <cfRule type="expression" dxfId="2658" priority="281">
      <formula>AND($R$121,$S$121)</formula>
    </cfRule>
  </conditionalFormatting>
  <conditionalFormatting sqref="W121">
    <cfRule type="expression" dxfId="2657" priority="280">
      <formula>AND(IF($R$121,$W$121,TRUE),LEN(TRIM($W$121))&gt;0)</formula>
    </cfRule>
  </conditionalFormatting>
  <conditionalFormatting sqref="W121">
    <cfRule type="expression" dxfId="2656" priority="279">
      <formula>$S$121 = FALSE</formula>
    </cfRule>
  </conditionalFormatting>
  <conditionalFormatting sqref="W121">
    <cfRule type="expression" dxfId="2655" priority="278">
      <formula>OR($T$121 = TRUE, AND($W$121 = TRUE, $S$121 = FALSE))</formula>
    </cfRule>
  </conditionalFormatting>
  <conditionalFormatting sqref="W130">
    <cfRule type="expression" dxfId="2654" priority="277">
      <formula>AND($R$130,$S$130)</formula>
    </cfRule>
  </conditionalFormatting>
  <conditionalFormatting sqref="W130">
    <cfRule type="expression" dxfId="2653" priority="276">
      <formula>AND(IF($R$130,$W$130,TRUE),LEN(TRIM($W$130))&gt;0)</formula>
    </cfRule>
  </conditionalFormatting>
  <conditionalFormatting sqref="W130">
    <cfRule type="expression" dxfId="2652" priority="275">
      <formula>$S$130 = FALSE</formula>
    </cfRule>
  </conditionalFormatting>
  <conditionalFormatting sqref="W130">
    <cfRule type="expression" dxfId="2651" priority="274">
      <formula>OR($T$130 = TRUE, AND($W$130 = TRUE, $S$130 = FALSE))</formula>
    </cfRule>
  </conditionalFormatting>
  <conditionalFormatting sqref="W138">
    <cfRule type="expression" dxfId="2650" priority="273">
      <formula>AND($R$138,$S$138)</formula>
    </cfRule>
  </conditionalFormatting>
  <conditionalFormatting sqref="W138">
    <cfRule type="expression" dxfId="2649" priority="272">
      <formula>AND(IF($R$138,$W$138,TRUE),LEN(TRIM($W$138))&gt;0)</formula>
    </cfRule>
  </conditionalFormatting>
  <conditionalFormatting sqref="W138">
    <cfRule type="expression" dxfId="2648" priority="271">
      <formula>$S$138 = FALSE</formula>
    </cfRule>
  </conditionalFormatting>
  <conditionalFormatting sqref="W138">
    <cfRule type="expression" dxfId="2647" priority="270">
      <formula>OR($T$138 = TRUE, AND($W$138 = TRUE, $S$138 = FALSE))</formula>
    </cfRule>
  </conditionalFormatting>
  <conditionalFormatting sqref="W140">
    <cfRule type="expression" dxfId="2646" priority="269">
      <formula>AND($R$140,$S$140)</formula>
    </cfRule>
  </conditionalFormatting>
  <conditionalFormatting sqref="W140">
    <cfRule type="expression" dxfId="2645" priority="268">
      <formula>AND(IF($R$140,$W$140,TRUE),LEN(TRIM($W$140))&gt;0)</formula>
    </cfRule>
  </conditionalFormatting>
  <conditionalFormatting sqref="W140">
    <cfRule type="expression" dxfId="2644" priority="267">
      <formula>$S$140 = FALSE</formula>
    </cfRule>
  </conditionalFormatting>
  <conditionalFormatting sqref="W140">
    <cfRule type="expression" dxfId="2643" priority="266">
      <formula>OR($T$140 = TRUE, AND($W$140 = TRUE, $S$140 = FALSE))</formula>
    </cfRule>
  </conditionalFormatting>
  <conditionalFormatting sqref="W146">
    <cfRule type="expression" dxfId="2642" priority="265">
      <formula>AND($R$146,$S$146)</formula>
    </cfRule>
  </conditionalFormatting>
  <conditionalFormatting sqref="W146">
    <cfRule type="expression" dxfId="2641" priority="264">
      <formula>AND(IF($R$146,$W$146,TRUE),LEN(TRIM($W$146))&gt;0)</formula>
    </cfRule>
  </conditionalFormatting>
  <conditionalFormatting sqref="W146">
    <cfRule type="expression" dxfId="2640" priority="263">
      <formula>$S$146 = FALSE</formula>
    </cfRule>
  </conditionalFormatting>
  <conditionalFormatting sqref="W146">
    <cfRule type="expression" dxfId="2639" priority="262">
      <formula>OR($T$146 = TRUE, AND($W$146 = TRUE, $S$146 = FALSE))</formula>
    </cfRule>
  </conditionalFormatting>
  <conditionalFormatting sqref="W150">
    <cfRule type="expression" dxfId="2638" priority="261">
      <formula>AND($R$150,$S$150)</formula>
    </cfRule>
  </conditionalFormatting>
  <conditionalFormatting sqref="W150">
    <cfRule type="expression" dxfId="2637" priority="260">
      <formula>AND(IF($R$150,$W$150,TRUE),LEN(TRIM($W$150))&gt;0)</formula>
    </cfRule>
  </conditionalFormatting>
  <conditionalFormatting sqref="W150">
    <cfRule type="expression" dxfId="2636" priority="259">
      <formula>$S$150 = FALSE</formula>
    </cfRule>
  </conditionalFormatting>
  <conditionalFormatting sqref="W150">
    <cfRule type="expression" dxfId="2635" priority="258">
      <formula>OR($T$150 = TRUE, AND($W$150 = TRUE, $S$150 = FALSE))</formula>
    </cfRule>
  </conditionalFormatting>
  <conditionalFormatting sqref="W154">
    <cfRule type="expression" dxfId="2634" priority="257">
      <formula>AND($R$154,$S$154)</formula>
    </cfRule>
  </conditionalFormatting>
  <conditionalFormatting sqref="W154">
    <cfRule type="expression" dxfId="2633" priority="256">
      <formula>AND(IF($R$154,$W$154,TRUE),LEN(TRIM($W$154))&gt;0)</formula>
    </cfRule>
  </conditionalFormatting>
  <conditionalFormatting sqref="W154">
    <cfRule type="expression" dxfId="2632" priority="255">
      <formula>$S$154 = FALSE</formula>
    </cfRule>
  </conditionalFormatting>
  <conditionalFormatting sqref="W154">
    <cfRule type="expression" dxfId="2631" priority="254">
      <formula>OR($T$154 = TRUE, AND($W$154 = TRUE, $S$154 = FALSE))</formula>
    </cfRule>
  </conditionalFormatting>
  <conditionalFormatting sqref="W159">
    <cfRule type="expression" dxfId="2630" priority="253">
      <formula>AND($R$159,$S$159)</formula>
    </cfRule>
  </conditionalFormatting>
  <conditionalFormatting sqref="W159">
    <cfRule type="expression" dxfId="2629" priority="252">
      <formula>AND(IF($R$159,$W$159,TRUE),LEN(TRIM($W$159))&gt;0)</formula>
    </cfRule>
  </conditionalFormatting>
  <conditionalFormatting sqref="W159">
    <cfRule type="expression" dxfId="2628" priority="251">
      <formula>$S$159 = FALSE</formula>
    </cfRule>
  </conditionalFormatting>
  <conditionalFormatting sqref="W159">
    <cfRule type="expression" dxfId="2627" priority="250">
      <formula>OR($T$159 = TRUE, AND($W$159 = TRUE, $S$159 = FALSE))</formula>
    </cfRule>
  </conditionalFormatting>
  <conditionalFormatting sqref="W164">
    <cfRule type="expression" dxfId="2626" priority="249">
      <formula>AND($R$164,$S$164)</formula>
    </cfRule>
  </conditionalFormatting>
  <conditionalFormatting sqref="W164">
    <cfRule type="expression" dxfId="2625" priority="248">
      <formula>AND(IF($R$164,$W$164,TRUE),LEN(TRIM($W$164))&gt;0)</formula>
    </cfRule>
  </conditionalFormatting>
  <conditionalFormatting sqref="W164">
    <cfRule type="expression" dxfId="2624" priority="247">
      <formula>$S$164 = FALSE</formula>
    </cfRule>
  </conditionalFormatting>
  <conditionalFormatting sqref="W164">
    <cfRule type="expression" dxfId="2623" priority="246">
      <formula>OR($T$164 = TRUE, AND($W$164 = TRUE, $S$164 = FALSE))</formula>
    </cfRule>
  </conditionalFormatting>
  <conditionalFormatting sqref="W166">
    <cfRule type="expression" dxfId="2622" priority="245">
      <formula>AND($R$166,$S$166)</formula>
    </cfRule>
  </conditionalFormatting>
  <conditionalFormatting sqref="W166">
    <cfRule type="expression" dxfId="2621" priority="244">
      <formula>AND(IF($R$166,$W$166,TRUE),LEN(TRIM($W$166))&gt;0)</formula>
    </cfRule>
  </conditionalFormatting>
  <conditionalFormatting sqref="W166">
    <cfRule type="expression" dxfId="2620" priority="243">
      <formula>$S$166 = FALSE</formula>
    </cfRule>
  </conditionalFormatting>
  <conditionalFormatting sqref="W166">
    <cfRule type="expression" dxfId="2619" priority="242">
      <formula>OR($T$166 = TRUE, AND($W$166 = TRUE, $S$166 = FALSE))</formula>
    </cfRule>
  </conditionalFormatting>
  <conditionalFormatting sqref="W168">
    <cfRule type="expression" dxfId="2618" priority="241">
      <formula>AND($R$168,$S$168)</formula>
    </cfRule>
  </conditionalFormatting>
  <conditionalFormatting sqref="W168">
    <cfRule type="expression" dxfId="2617" priority="240">
      <formula>AND(IF($R$168,$W$168,TRUE),LEN(TRIM($W$168))&gt;0)</formula>
    </cfRule>
  </conditionalFormatting>
  <conditionalFormatting sqref="W168">
    <cfRule type="expression" dxfId="2616" priority="239">
      <formula>$S$168 = FALSE</formula>
    </cfRule>
  </conditionalFormatting>
  <conditionalFormatting sqref="W168">
    <cfRule type="expression" dxfId="2615" priority="238">
      <formula>OR($T$168 = TRUE, AND($W$168 = TRUE, $S$168 = FALSE))</formula>
    </cfRule>
  </conditionalFormatting>
  <conditionalFormatting sqref="W196">
    <cfRule type="expression" dxfId="2614" priority="233">
      <formula>AND($R$196,$S$196)</formula>
    </cfRule>
  </conditionalFormatting>
  <conditionalFormatting sqref="W196">
    <cfRule type="expression" dxfId="2613" priority="232">
      <formula>AND(IF($R$196,$W$196,TRUE),LEN(TRIM($W$196))&gt;0)</formula>
    </cfRule>
  </conditionalFormatting>
  <conditionalFormatting sqref="W196">
    <cfRule type="expression" dxfId="2612" priority="231">
      <formula>$S$196 = FALSE</formula>
    </cfRule>
  </conditionalFormatting>
  <conditionalFormatting sqref="W196">
    <cfRule type="expression" dxfId="2611" priority="230">
      <formula>OR($T$196 = TRUE, AND($W$196 = TRUE, $S$196 = FALSE))</formula>
    </cfRule>
  </conditionalFormatting>
  <conditionalFormatting sqref="W199">
    <cfRule type="expression" dxfId="2610" priority="229">
      <formula>AND($R$199,$S$199)</formula>
    </cfRule>
  </conditionalFormatting>
  <conditionalFormatting sqref="W199">
    <cfRule type="expression" dxfId="2609" priority="228">
      <formula>AND(IF($R$199,$W$199,TRUE),LEN(TRIM($W$199))&gt;0)</formula>
    </cfRule>
  </conditionalFormatting>
  <conditionalFormatting sqref="W199">
    <cfRule type="expression" dxfId="2608" priority="227">
      <formula>$S$199 = FALSE</formula>
    </cfRule>
  </conditionalFormatting>
  <conditionalFormatting sqref="W199">
    <cfRule type="expression" dxfId="2607" priority="226">
      <formula>OR($T$199 = TRUE, AND($W$199 = TRUE, $S$199 = FALSE))</formula>
    </cfRule>
  </conditionalFormatting>
  <conditionalFormatting sqref="W200">
    <cfRule type="expression" dxfId="2606" priority="225">
      <formula>AND($R$200,$S$200)</formula>
    </cfRule>
  </conditionalFormatting>
  <conditionalFormatting sqref="W200">
    <cfRule type="expression" dxfId="2605" priority="224">
      <formula>AND(IF($R$200,$W$200,TRUE),LEN(TRIM($W$200))&gt;0)</formula>
    </cfRule>
  </conditionalFormatting>
  <conditionalFormatting sqref="W200">
    <cfRule type="expression" dxfId="2604" priority="223">
      <formula>$S$200 = FALSE</formula>
    </cfRule>
  </conditionalFormatting>
  <conditionalFormatting sqref="W200">
    <cfRule type="expression" dxfId="2603" priority="222">
      <formula>OR($T$200 = TRUE, AND($W$200 = TRUE, $S$200 = FALSE))</formula>
    </cfRule>
  </conditionalFormatting>
  <conditionalFormatting sqref="W210">
    <cfRule type="expression" dxfId="2602" priority="221">
      <formula>AND($R$210,$S$210)</formula>
    </cfRule>
  </conditionalFormatting>
  <conditionalFormatting sqref="W210">
    <cfRule type="expression" dxfId="2601" priority="220">
      <formula>AND(IF($R$210,$W$210,TRUE),LEN(TRIM($W$210))&gt;0)</formula>
    </cfRule>
  </conditionalFormatting>
  <conditionalFormatting sqref="W210">
    <cfRule type="expression" dxfId="2600" priority="219">
      <formula>$S$210 = FALSE</formula>
    </cfRule>
  </conditionalFormatting>
  <conditionalFormatting sqref="W210">
    <cfRule type="expression" dxfId="2599" priority="218">
      <formula>OR($T$210 = TRUE, AND($W$210 = TRUE, $S$210 = FALSE))</formula>
    </cfRule>
  </conditionalFormatting>
  <conditionalFormatting sqref="W212">
    <cfRule type="expression" dxfId="2598" priority="217">
      <formula>AND($R$212,$S$212)</formula>
    </cfRule>
  </conditionalFormatting>
  <conditionalFormatting sqref="W212">
    <cfRule type="expression" dxfId="2597" priority="216">
      <formula>AND(IF($R$212,$W$212,TRUE),LEN(TRIM($W$212))&gt;0)</formula>
    </cfRule>
  </conditionalFormatting>
  <conditionalFormatting sqref="W212">
    <cfRule type="expression" dxfId="2596" priority="215">
      <formula>$S$212 = FALSE</formula>
    </cfRule>
  </conditionalFormatting>
  <conditionalFormatting sqref="W212">
    <cfRule type="expression" dxfId="2595" priority="214">
      <formula>OR($T$212 = TRUE, AND($W$212 = TRUE, $S$212 = FALSE))</formula>
    </cfRule>
  </conditionalFormatting>
  <conditionalFormatting sqref="W230">
    <cfRule type="expression" dxfId="2594" priority="213">
      <formula>AND($R$230,$S$230)</formula>
    </cfRule>
  </conditionalFormatting>
  <conditionalFormatting sqref="W230">
    <cfRule type="expression" dxfId="2593" priority="212">
      <formula>AND(IF($R$230,$W$230,TRUE),LEN(TRIM($W$230))&gt;0)</formula>
    </cfRule>
  </conditionalFormatting>
  <conditionalFormatting sqref="W230">
    <cfRule type="expression" dxfId="2592" priority="211">
      <formula>$S$230 = FALSE</formula>
    </cfRule>
  </conditionalFormatting>
  <conditionalFormatting sqref="W230">
    <cfRule type="expression" dxfId="2591" priority="210">
      <formula>OR($T$230 = TRUE, AND($W$230 = TRUE, $S$230 = FALSE))</formula>
    </cfRule>
  </conditionalFormatting>
  <conditionalFormatting sqref="W241">
    <cfRule type="expression" dxfId="2590" priority="209">
      <formula>AND($R$241,$S$241)</formula>
    </cfRule>
  </conditionalFormatting>
  <conditionalFormatting sqref="W241">
    <cfRule type="expression" dxfId="2589" priority="208">
      <formula>AND(IF($R$241,$W$241,TRUE),LEN(TRIM($W$241))&gt;0)</formula>
    </cfRule>
  </conditionalFormatting>
  <conditionalFormatting sqref="W241">
    <cfRule type="expression" dxfId="2588" priority="207">
      <formula>$S$241 = FALSE</formula>
    </cfRule>
  </conditionalFormatting>
  <conditionalFormatting sqref="W241">
    <cfRule type="expression" dxfId="2587" priority="206">
      <formula>OR($T$241 = TRUE, AND($W$241 = TRUE, $S$241 = FALSE))</formula>
    </cfRule>
  </conditionalFormatting>
  <conditionalFormatting sqref="W242">
    <cfRule type="expression" dxfId="2586" priority="205">
      <formula>AND($R$242,$S$242)</formula>
    </cfRule>
  </conditionalFormatting>
  <conditionalFormatting sqref="W242">
    <cfRule type="expression" dxfId="2585" priority="204">
      <formula>AND(IF($R$242,$W$242,TRUE),LEN(TRIM($W$242))&gt;0)</formula>
    </cfRule>
  </conditionalFormatting>
  <conditionalFormatting sqref="W242">
    <cfRule type="expression" dxfId="2584" priority="203">
      <formula>$S$242 = FALSE</formula>
    </cfRule>
  </conditionalFormatting>
  <conditionalFormatting sqref="W242">
    <cfRule type="expression" dxfId="2583" priority="202">
      <formula>OR($T$242 = TRUE, AND($W$242 = TRUE, $S$242 = FALSE))</formula>
    </cfRule>
  </conditionalFormatting>
  <conditionalFormatting sqref="W247">
    <cfRule type="expression" dxfId="2582" priority="201">
      <formula>AND($R$247,$S$247)</formula>
    </cfRule>
  </conditionalFormatting>
  <conditionalFormatting sqref="W247">
    <cfRule type="expression" dxfId="2581" priority="200">
      <formula>AND(IF($R$247,$W$247,TRUE),LEN(TRIM($W$247))&gt;0)</formula>
    </cfRule>
  </conditionalFormatting>
  <conditionalFormatting sqref="W247">
    <cfRule type="expression" dxfId="2580" priority="199">
      <formula>$S$247 = FALSE</formula>
    </cfRule>
  </conditionalFormatting>
  <conditionalFormatting sqref="W247">
    <cfRule type="expression" dxfId="2579" priority="198">
      <formula>OR($T$247 = TRUE, AND($W$247 = TRUE, $S$247 = FALSE))</formula>
    </cfRule>
  </conditionalFormatting>
  <conditionalFormatting sqref="W249">
    <cfRule type="expression" dxfId="2578" priority="197">
      <formula>AND($R$249,$S$249)</formula>
    </cfRule>
  </conditionalFormatting>
  <conditionalFormatting sqref="W249">
    <cfRule type="expression" dxfId="2577" priority="196">
      <formula>AND(IF($R$249,$W$249,TRUE),LEN(TRIM($W$249))&gt;0)</formula>
    </cfRule>
  </conditionalFormatting>
  <conditionalFormatting sqref="W249">
    <cfRule type="expression" dxfId="2576" priority="195">
      <formula>$S$249 = FALSE</formula>
    </cfRule>
  </conditionalFormatting>
  <conditionalFormatting sqref="W249">
    <cfRule type="expression" dxfId="2575" priority="194">
      <formula>OR($T$249 = TRUE, AND($W$249 = TRUE, $S$249 = FALSE))</formula>
    </cfRule>
  </conditionalFormatting>
  <conditionalFormatting sqref="W250">
    <cfRule type="expression" dxfId="2574" priority="193">
      <formula>AND($R$250,$S$250)</formula>
    </cfRule>
  </conditionalFormatting>
  <conditionalFormatting sqref="W250">
    <cfRule type="expression" dxfId="2573" priority="192">
      <formula>AND(IF($R$250,$W$250,TRUE),LEN(TRIM($W$250))&gt;0)</formula>
    </cfRule>
  </conditionalFormatting>
  <conditionalFormatting sqref="W250">
    <cfRule type="expression" dxfId="2572" priority="191">
      <formula>$S$250 = FALSE</formula>
    </cfRule>
  </conditionalFormatting>
  <conditionalFormatting sqref="W250">
    <cfRule type="expression" dxfId="2571" priority="190">
      <formula>OR($T$250 = TRUE, AND($W$250 = TRUE, $S$250 = FALSE))</formula>
    </cfRule>
  </conditionalFormatting>
  <conditionalFormatting sqref="W253">
    <cfRule type="expression" dxfId="2570" priority="189">
      <formula>AND($R$253,$S$253)</formula>
    </cfRule>
  </conditionalFormatting>
  <conditionalFormatting sqref="W253">
    <cfRule type="expression" dxfId="2569" priority="188">
      <formula>AND(IF($R$253,$W$253,TRUE),LEN(TRIM($W$253))&gt;0)</formula>
    </cfRule>
  </conditionalFormatting>
  <conditionalFormatting sqref="W253">
    <cfRule type="expression" dxfId="2568" priority="187">
      <formula>$S$253 = FALSE</formula>
    </cfRule>
  </conditionalFormatting>
  <conditionalFormatting sqref="W253">
    <cfRule type="expression" dxfId="2567" priority="186">
      <formula>OR($T$253 = TRUE, AND($W$253 = TRUE, $S$253 = FALSE))</formula>
    </cfRule>
  </conditionalFormatting>
  <conditionalFormatting sqref="W257">
    <cfRule type="expression" dxfId="2566" priority="185">
      <formula>AND($R$257,$S$257)</formula>
    </cfRule>
  </conditionalFormatting>
  <conditionalFormatting sqref="W257">
    <cfRule type="expression" dxfId="2565" priority="184">
      <formula>AND(IF($R$257,$W$257,TRUE),LEN(TRIM($W$257))&gt;0)</formula>
    </cfRule>
  </conditionalFormatting>
  <conditionalFormatting sqref="W257">
    <cfRule type="expression" dxfId="2564" priority="183">
      <formula>$S$257 = FALSE</formula>
    </cfRule>
  </conditionalFormatting>
  <conditionalFormatting sqref="W257">
    <cfRule type="expression" dxfId="2563" priority="182">
      <formula>OR($T$257 = TRUE, AND($W$257 = TRUE, $S$257 = FALSE))</formula>
    </cfRule>
  </conditionalFormatting>
  <conditionalFormatting sqref="W262">
    <cfRule type="expression" dxfId="2562" priority="181">
      <formula>AND($R$262,$S$262)</formula>
    </cfRule>
  </conditionalFormatting>
  <conditionalFormatting sqref="W262">
    <cfRule type="expression" dxfId="2561" priority="180">
      <formula>AND(IF($R$262,$W$262,TRUE),LEN(TRIM($W$262))&gt;0)</formula>
    </cfRule>
  </conditionalFormatting>
  <conditionalFormatting sqref="W262">
    <cfRule type="expression" dxfId="2560" priority="179">
      <formula>$S$262 = FALSE</formula>
    </cfRule>
  </conditionalFormatting>
  <conditionalFormatting sqref="W262">
    <cfRule type="expression" dxfId="2559" priority="178">
      <formula>OR($T$262 = TRUE, AND($W$262 = TRUE, $S$262 = FALSE))</formula>
    </cfRule>
  </conditionalFormatting>
  <conditionalFormatting sqref="W264">
    <cfRule type="expression" dxfId="2558" priority="177">
      <formula>AND($R$264,$S$264)</formula>
    </cfRule>
  </conditionalFormatting>
  <conditionalFormatting sqref="W264">
    <cfRule type="expression" dxfId="2557" priority="176">
      <formula>AND(IF($R$264,$W$264,TRUE),LEN(TRIM($W$264))&gt;0)</formula>
    </cfRule>
  </conditionalFormatting>
  <conditionalFormatting sqref="W264">
    <cfRule type="expression" dxfId="2556" priority="175">
      <formula>$S$264 = FALSE</formula>
    </cfRule>
  </conditionalFormatting>
  <conditionalFormatting sqref="W264">
    <cfRule type="expression" dxfId="2555" priority="174">
      <formula>OR($T$264 = TRUE, AND($W$264 = TRUE, $S$264 = FALSE))</formula>
    </cfRule>
  </conditionalFormatting>
  <conditionalFormatting sqref="W281">
    <cfRule type="expression" dxfId="2554" priority="173">
      <formula>AND($R$281,$S$281)</formula>
    </cfRule>
  </conditionalFormatting>
  <conditionalFormatting sqref="W281">
    <cfRule type="expression" dxfId="2553" priority="172">
      <formula>AND(IF($R$281,$W$281,TRUE),LEN(TRIM($W$281))&gt;0)</formula>
    </cfRule>
  </conditionalFormatting>
  <conditionalFormatting sqref="W281">
    <cfRule type="expression" dxfId="2552" priority="171">
      <formula>$S$281 = FALSE</formula>
    </cfRule>
  </conditionalFormatting>
  <conditionalFormatting sqref="W281">
    <cfRule type="expression" dxfId="2551" priority="170">
      <formula>OR($T$281 = TRUE, AND($W$281 = TRUE, $S$281 = FALSE))</formula>
    </cfRule>
  </conditionalFormatting>
  <conditionalFormatting sqref="W299">
    <cfRule type="expression" dxfId="2550" priority="169">
      <formula>AND($R$299,$S$299)</formula>
    </cfRule>
  </conditionalFormatting>
  <conditionalFormatting sqref="W299">
    <cfRule type="expression" dxfId="2549" priority="168">
      <formula>AND(IF($R$299,$W$299,TRUE),LEN(TRIM($W$299))&gt;0)</formula>
    </cfRule>
  </conditionalFormatting>
  <conditionalFormatting sqref="W299">
    <cfRule type="expression" dxfId="2548" priority="167">
      <formula>$S$299 = FALSE</formula>
    </cfRule>
  </conditionalFormatting>
  <conditionalFormatting sqref="W299">
    <cfRule type="expression" dxfId="2547" priority="166">
      <formula>OR($T$299 = TRUE, AND($W$299 = TRUE, $S$299 = FALSE))</formula>
    </cfRule>
  </conditionalFormatting>
  <conditionalFormatting sqref="W312">
    <cfRule type="expression" dxfId="2546" priority="165">
      <formula>AND($R$312,$S$312)</formula>
    </cfRule>
  </conditionalFormatting>
  <conditionalFormatting sqref="W312">
    <cfRule type="expression" dxfId="2545" priority="164">
      <formula>AND(IF($R$312,$W$312,TRUE),LEN(TRIM($W$312))&gt;0)</formula>
    </cfRule>
  </conditionalFormatting>
  <conditionalFormatting sqref="W312">
    <cfRule type="expression" dxfId="2544" priority="163">
      <formula>$S$312 = FALSE</formula>
    </cfRule>
  </conditionalFormatting>
  <conditionalFormatting sqref="W312">
    <cfRule type="expression" dxfId="2543" priority="162">
      <formula>OR($T$312 = TRUE, AND($W$312 = TRUE, $S$312 = FALSE))</formula>
    </cfRule>
  </conditionalFormatting>
  <conditionalFormatting sqref="W314">
    <cfRule type="expression" dxfId="2542" priority="161">
      <formula>AND($R$314,$S$314)</formula>
    </cfRule>
  </conditionalFormatting>
  <conditionalFormatting sqref="W314">
    <cfRule type="expression" dxfId="2541" priority="160">
      <formula>AND(IF($R$314,$W$314,TRUE),LEN(TRIM($W$314))&gt;0)</formula>
    </cfRule>
  </conditionalFormatting>
  <conditionalFormatting sqref="W314">
    <cfRule type="expression" dxfId="2540" priority="159">
      <formula>$S$314 = FALSE</formula>
    </cfRule>
  </conditionalFormatting>
  <conditionalFormatting sqref="W314">
    <cfRule type="expression" dxfId="2539" priority="158">
      <formula>OR($T$314 = TRUE, AND($W$314 = TRUE, $S$314 = FALSE))</formula>
    </cfRule>
  </conditionalFormatting>
  <conditionalFormatting sqref="W327">
    <cfRule type="expression" dxfId="2538" priority="157">
      <formula>AND($R$327,$S$327)</formula>
    </cfRule>
  </conditionalFormatting>
  <conditionalFormatting sqref="W327">
    <cfRule type="expression" dxfId="2537" priority="156">
      <formula>AND(IF($R$327,$W$327,TRUE),LEN(TRIM($W$327))&gt;0)</formula>
    </cfRule>
  </conditionalFormatting>
  <conditionalFormatting sqref="W327">
    <cfRule type="expression" dxfId="2536" priority="155">
      <formula>$S$327 = FALSE</formula>
    </cfRule>
  </conditionalFormatting>
  <conditionalFormatting sqref="W327">
    <cfRule type="expression" dxfId="2535" priority="154">
      <formula>OR($T$327 = TRUE, AND($W$327 = TRUE, $S$327 = FALSE))</formula>
    </cfRule>
  </conditionalFormatting>
  <conditionalFormatting sqref="W328">
    <cfRule type="expression" dxfId="2534" priority="153">
      <formula>AND($R$328,$S$328)</formula>
    </cfRule>
  </conditionalFormatting>
  <conditionalFormatting sqref="W328">
    <cfRule type="expression" dxfId="2533" priority="152">
      <formula>AND(IF($R$328,$W$328,TRUE),LEN(TRIM($W$328))&gt;0)</formula>
    </cfRule>
  </conditionalFormatting>
  <conditionalFormatting sqref="W328">
    <cfRule type="expression" dxfId="2532" priority="151">
      <formula>$S$328 = FALSE</formula>
    </cfRule>
  </conditionalFormatting>
  <conditionalFormatting sqref="W328">
    <cfRule type="expression" dxfId="2531" priority="150">
      <formula>OR($T$328 = TRUE, AND($W$328 = TRUE, $S$328 = FALSE))</formula>
    </cfRule>
  </conditionalFormatting>
  <conditionalFormatting sqref="W329">
    <cfRule type="expression" dxfId="2530" priority="149">
      <formula>AND($R$329,$S$329)</formula>
    </cfRule>
  </conditionalFormatting>
  <conditionalFormatting sqref="W329">
    <cfRule type="expression" dxfId="2529" priority="148">
      <formula>AND(IF($R$329,$W$329,TRUE),LEN(TRIM($W$329))&gt;0)</formula>
    </cfRule>
  </conditionalFormatting>
  <conditionalFormatting sqref="W329">
    <cfRule type="expression" dxfId="2528" priority="147">
      <formula>$S$329 = FALSE</formula>
    </cfRule>
  </conditionalFormatting>
  <conditionalFormatting sqref="W329">
    <cfRule type="expression" dxfId="2527" priority="146">
      <formula>OR($T$329 = TRUE, AND($W$329 = TRUE, $S$329 = FALSE))</formula>
    </cfRule>
  </conditionalFormatting>
  <conditionalFormatting sqref="W330">
    <cfRule type="expression" dxfId="2526" priority="145">
      <formula>AND($R$330,$S$330)</formula>
    </cfRule>
  </conditionalFormatting>
  <conditionalFormatting sqref="W330">
    <cfRule type="expression" dxfId="2525" priority="144">
      <formula>AND(IF($R$330,$W$330,TRUE),LEN(TRIM($W$330))&gt;0)</formula>
    </cfRule>
  </conditionalFormatting>
  <conditionalFormatting sqref="W330">
    <cfRule type="expression" dxfId="2524" priority="143">
      <formula>$S$330 = FALSE</formula>
    </cfRule>
  </conditionalFormatting>
  <conditionalFormatting sqref="W330">
    <cfRule type="expression" dxfId="2523" priority="142">
      <formula>OR($T$330 = TRUE, AND($W$330 = TRUE, $S$330 = FALSE))</formula>
    </cfRule>
  </conditionalFormatting>
  <conditionalFormatting sqref="W331">
    <cfRule type="expression" dxfId="2522" priority="141">
      <formula>AND($R$331,$S$331)</formula>
    </cfRule>
  </conditionalFormatting>
  <conditionalFormatting sqref="W331">
    <cfRule type="expression" dxfId="2521" priority="140">
      <formula>AND(IF($R$331,$W$331,TRUE),LEN(TRIM($W$331))&gt;0)</formula>
    </cfRule>
  </conditionalFormatting>
  <conditionalFormatting sqref="W331">
    <cfRule type="expression" dxfId="2520" priority="139">
      <formula>$S$331 = FALSE</formula>
    </cfRule>
  </conditionalFormatting>
  <conditionalFormatting sqref="W331">
    <cfRule type="expression" dxfId="2519" priority="138">
      <formula>OR($T$331 = TRUE, AND($W$331 = TRUE, $S$331 = FALSE))</formula>
    </cfRule>
  </conditionalFormatting>
  <conditionalFormatting sqref="W332">
    <cfRule type="expression" dxfId="2518" priority="137">
      <formula>AND($R$332,$S$332)</formula>
    </cfRule>
  </conditionalFormatting>
  <conditionalFormatting sqref="W332">
    <cfRule type="expression" dxfId="2517" priority="136">
      <formula>AND(IF($R$332,$W$332,TRUE),LEN(TRIM($W$332))&gt;0)</formula>
    </cfRule>
  </conditionalFormatting>
  <conditionalFormatting sqref="W332">
    <cfRule type="expression" dxfId="2516" priority="135">
      <formula>$S$332 = FALSE</formula>
    </cfRule>
  </conditionalFormatting>
  <conditionalFormatting sqref="W332">
    <cfRule type="expression" dxfId="2515" priority="134">
      <formula>OR($T$332 = TRUE, AND($W$332 = TRUE, $S$332 = FALSE))</formula>
    </cfRule>
  </conditionalFormatting>
  <conditionalFormatting sqref="W333">
    <cfRule type="expression" dxfId="2514" priority="133">
      <formula>AND($R$333,$S$333)</formula>
    </cfRule>
  </conditionalFormatting>
  <conditionalFormatting sqref="W333">
    <cfRule type="expression" dxfId="2513" priority="132">
      <formula>AND(IF($R$333,$W$333,TRUE),LEN(TRIM($W$333))&gt;0)</formula>
    </cfRule>
  </conditionalFormatting>
  <conditionalFormatting sqref="W333">
    <cfRule type="expression" dxfId="2512" priority="131">
      <formula>$S$333 = FALSE</formula>
    </cfRule>
  </conditionalFormatting>
  <conditionalFormatting sqref="W333">
    <cfRule type="expression" dxfId="2511" priority="130">
      <formula>OR($T$333 = TRUE, AND($W$333 = TRUE, $S$333 = FALSE))</formula>
    </cfRule>
  </conditionalFormatting>
  <conditionalFormatting sqref="W334">
    <cfRule type="expression" dxfId="2510" priority="129">
      <formula>AND($R$334,$S$334)</formula>
    </cfRule>
  </conditionalFormatting>
  <conditionalFormatting sqref="W334">
    <cfRule type="expression" dxfId="2509" priority="128">
      <formula>AND(IF($R$334,$W$334,TRUE),LEN(TRIM($W$334))&gt;0)</formula>
    </cfRule>
  </conditionalFormatting>
  <conditionalFormatting sqref="W334">
    <cfRule type="expression" dxfId="2508" priority="127">
      <formula>$S$334 = FALSE</formula>
    </cfRule>
  </conditionalFormatting>
  <conditionalFormatting sqref="W334">
    <cfRule type="expression" dxfId="2507" priority="126">
      <formula>OR($T$334 = TRUE, AND($W$334 = TRUE, $S$334 = FALSE))</formula>
    </cfRule>
  </conditionalFormatting>
  <conditionalFormatting sqref="W335">
    <cfRule type="expression" dxfId="2506" priority="125">
      <formula>AND($R$335,$S$335)</formula>
    </cfRule>
  </conditionalFormatting>
  <conditionalFormatting sqref="W335">
    <cfRule type="expression" dxfId="2505" priority="124">
      <formula>AND(IF($R$335,$W$335,TRUE),LEN(TRIM($W$335))&gt;0)</formula>
    </cfRule>
  </conditionalFormatting>
  <conditionalFormatting sqref="W335">
    <cfRule type="expression" dxfId="2504" priority="123">
      <formula>$S$335 = FALSE</formula>
    </cfRule>
  </conditionalFormatting>
  <conditionalFormatting sqref="W335">
    <cfRule type="expression" dxfId="2503" priority="122">
      <formula>OR($T$335 = TRUE, AND($W$335 = TRUE, $S$335 = FALSE))</formula>
    </cfRule>
  </conditionalFormatting>
  <conditionalFormatting sqref="W382">
    <cfRule type="expression" dxfId="2502" priority="121">
      <formula>AND($R$382,$S$382)</formula>
    </cfRule>
  </conditionalFormatting>
  <conditionalFormatting sqref="W382">
    <cfRule type="expression" dxfId="2501" priority="120">
      <formula>AND(IF($R$382,$W$382,TRUE),LEN(TRIM($W$382))&gt;0)</formula>
    </cfRule>
  </conditionalFormatting>
  <conditionalFormatting sqref="W382">
    <cfRule type="expression" dxfId="2500" priority="119">
      <formula>$S$382 = FALSE</formula>
    </cfRule>
  </conditionalFormatting>
  <conditionalFormatting sqref="W382">
    <cfRule type="expression" dxfId="2499" priority="118">
      <formula>OR($T$382 = TRUE, AND($W$382 = TRUE, $S$382 = FALSE))</formula>
    </cfRule>
  </conditionalFormatting>
  <conditionalFormatting sqref="W384">
    <cfRule type="expression" dxfId="2498" priority="117">
      <formula>AND($R$384,$S$384)</formula>
    </cfRule>
  </conditionalFormatting>
  <conditionalFormatting sqref="W384">
    <cfRule type="expression" dxfId="2497" priority="116">
      <formula>AND(IF($R$384,$W$384,TRUE),LEN(TRIM($W$384))&gt;0)</formula>
    </cfRule>
  </conditionalFormatting>
  <conditionalFormatting sqref="W384">
    <cfRule type="expression" dxfId="2496" priority="115">
      <formula>$S$384 = FALSE</formula>
    </cfRule>
  </conditionalFormatting>
  <conditionalFormatting sqref="W384">
    <cfRule type="expression" dxfId="2495" priority="114">
      <formula>OR($T$384 = TRUE, AND($W$384 = TRUE, $S$384 = FALSE))</formula>
    </cfRule>
  </conditionalFormatting>
  <conditionalFormatting sqref="W385">
    <cfRule type="expression" dxfId="2494" priority="113">
      <formula>AND($R$385,$S$385)</formula>
    </cfRule>
  </conditionalFormatting>
  <conditionalFormatting sqref="W385">
    <cfRule type="expression" dxfId="2493" priority="112">
      <formula>AND(IF($R$385,$W$385,TRUE),LEN(TRIM($W$385))&gt;0)</formula>
    </cfRule>
  </conditionalFormatting>
  <conditionalFormatting sqref="W385">
    <cfRule type="expression" dxfId="2492" priority="111">
      <formula>$S$385 = FALSE</formula>
    </cfRule>
  </conditionalFormatting>
  <conditionalFormatting sqref="W385">
    <cfRule type="expression" dxfId="2491" priority="110">
      <formula>OR($T$385 = TRUE, AND($W$385 = TRUE, $S$385 = FALSE))</formula>
    </cfRule>
  </conditionalFormatting>
  <conditionalFormatting sqref="W413">
    <cfRule type="expression" dxfId="2490" priority="109">
      <formula>AND($R$413,$S$413)</formula>
    </cfRule>
  </conditionalFormatting>
  <conditionalFormatting sqref="W413">
    <cfRule type="expression" dxfId="2489" priority="108">
      <formula>AND(IF($R$413,$W$413,TRUE),LEN(TRIM($W$413))&gt;0)</formula>
    </cfRule>
  </conditionalFormatting>
  <conditionalFormatting sqref="W413">
    <cfRule type="expression" dxfId="2488" priority="107">
      <formula>$S$413 = FALSE</formula>
    </cfRule>
  </conditionalFormatting>
  <conditionalFormatting sqref="W413">
    <cfRule type="expression" dxfId="2487" priority="106">
      <formula>OR($T$413 = TRUE, AND($W$413 = TRUE, $S$413 = FALSE))</formula>
    </cfRule>
  </conditionalFormatting>
  <conditionalFormatting sqref="W422">
    <cfRule type="expression" dxfId="2486" priority="105">
      <formula>AND($R$422,$S$422)</formula>
    </cfRule>
  </conditionalFormatting>
  <conditionalFormatting sqref="W422">
    <cfRule type="expression" dxfId="2485" priority="104">
      <formula>AND(IF($R$422,$W$422,TRUE),LEN(TRIM($W$422))&gt;0)</formula>
    </cfRule>
  </conditionalFormatting>
  <conditionalFormatting sqref="W422">
    <cfRule type="expression" dxfId="2484" priority="103">
      <formula>$S$422 = FALSE</formula>
    </cfRule>
  </conditionalFormatting>
  <conditionalFormatting sqref="W422">
    <cfRule type="expression" dxfId="2483" priority="102">
      <formula>OR($T$422 = TRUE, AND($W$422 = TRUE, $S$422 = FALSE))</formula>
    </cfRule>
  </conditionalFormatting>
  <conditionalFormatting sqref="W429">
    <cfRule type="expression" dxfId="2482" priority="101">
      <formula>AND($R$429,$S$429)</formula>
    </cfRule>
  </conditionalFormatting>
  <conditionalFormatting sqref="W429">
    <cfRule type="expression" dxfId="2481" priority="100">
      <formula>AND(IF($R$429,$W$429,TRUE),LEN(TRIM($W$429))&gt;0)</formula>
    </cfRule>
  </conditionalFormatting>
  <conditionalFormatting sqref="W429">
    <cfRule type="expression" dxfId="2480" priority="99">
      <formula>$S$429 = FALSE</formula>
    </cfRule>
  </conditionalFormatting>
  <conditionalFormatting sqref="W429">
    <cfRule type="expression" dxfId="2479" priority="98">
      <formula>OR($T$429 = TRUE, AND($W$429 = TRUE, $S$429 = FALSE))</formula>
    </cfRule>
  </conditionalFormatting>
  <conditionalFormatting sqref="W485">
    <cfRule type="expression" dxfId="2478" priority="97">
      <formula>AND($R$485,$S$485)</formula>
    </cfRule>
  </conditionalFormatting>
  <conditionalFormatting sqref="W485">
    <cfRule type="expression" dxfId="2477" priority="96">
      <formula>AND(IF($R$485,$W$485,TRUE),LEN(TRIM($W$485))&gt;0)</formula>
    </cfRule>
  </conditionalFormatting>
  <conditionalFormatting sqref="W485">
    <cfRule type="expression" dxfId="2476" priority="95">
      <formula>$S$485 = FALSE</formula>
    </cfRule>
  </conditionalFormatting>
  <conditionalFormatting sqref="W485">
    <cfRule type="expression" dxfId="2475" priority="94">
      <formula>OR($T$485 = TRUE, AND($W$485 = TRUE, $S$485 = FALSE))</formula>
    </cfRule>
  </conditionalFormatting>
  <conditionalFormatting sqref="W486">
    <cfRule type="expression" dxfId="2474" priority="93">
      <formula>AND($R$486,$S$486)</formula>
    </cfRule>
  </conditionalFormatting>
  <conditionalFormatting sqref="W486">
    <cfRule type="expression" dxfId="2473" priority="92">
      <formula>AND(IF($R$486,$W$486,TRUE),LEN(TRIM($W$486))&gt;0)</formula>
    </cfRule>
  </conditionalFormatting>
  <conditionalFormatting sqref="W486">
    <cfRule type="expression" dxfId="2472" priority="91">
      <formula>$S$486 = FALSE</formula>
    </cfRule>
  </conditionalFormatting>
  <conditionalFormatting sqref="W486">
    <cfRule type="expression" dxfId="2471" priority="90">
      <formula>OR($T$486 = TRUE, AND($W$486 = TRUE, $S$486 = FALSE))</formula>
    </cfRule>
  </conditionalFormatting>
  <conditionalFormatting sqref="W487">
    <cfRule type="expression" dxfId="2470" priority="89">
      <formula>AND($R$487,$S$487)</formula>
    </cfRule>
  </conditionalFormatting>
  <conditionalFormatting sqref="W487">
    <cfRule type="expression" dxfId="2469" priority="88">
      <formula>AND(IF($R$487,$W$487,TRUE),LEN(TRIM($W$487))&gt;0)</formula>
    </cfRule>
  </conditionalFormatting>
  <conditionalFormatting sqref="W487">
    <cfRule type="expression" dxfId="2468" priority="87">
      <formula>$S$487 = FALSE</formula>
    </cfRule>
  </conditionalFormatting>
  <conditionalFormatting sqref="W487">
    <cfRule type="expression" dxfId="2467" priority="86">
      <formula>OR($T$487 = TRUE, AND($W$487 = TRUE, $S$487 = FALSE))</formula>
    </cfRule>
  </conditionalFormatting>
  <conditionalFormatting sqref="W488">
    <cfRule type="expression" dxfId="2466" priority="85">
      <formula>AND($R$488,$S$488)</formula>
    </cfRule>
  </conditionalFormatting>
  <conditionalFormatting sqref="W488">
    <cfRule type="expression" dxfId="2465" priority="84">
      <formula>AND(IF($R$488,$W$488,TRUE),LEN(TRIM($W$488))&gt;0)</formula>
    </cfRule>
  </conditionalFormatting>
  <conditionalFormatting sqref="W488">
    <cfRule type="expression" dxfId="2464" priority="83">
      <formula>$S$488 = FALSE</formula>
    </cfRule>
  </conditionalFormatting>
  <conditionalFormatting sqref="W488">
    <cfRule type="expression" dxfId="2463" priority="82">
      <formula>OR($T$488 = TRUE, AND($W$488 = TRUE, $S$488 = FALSE))</formula>
    </cfRule>
  </conditionalFormatting>
  <conditionalFormatting sqref="W489">
    <cfRule type="expression" dxfId="2462" priority="81">
      <formula>AND($R$489,$S$489)</formula>
    </cfRule>
  </conditionalFormatting>
  <conditionalFormatting sqref="W489">
    <cfRule type="expression" dxfId="2461" priority="80">
      <formula>AND(IF($R$489,$W$489,TRUE),LEN(TRIM($W$489))&gt;0)</formula>
    </cfRule>
  </conditionalFormatting>
  <conditionalFormatting sqref="W489">
    <cfRule type="expression" dxfId="2460" priority="79">
      <formula>$S$489 = FALSE</formula>
    </cfRule>
  </conditionalFormatting>
  <conditionalFormatting sqref="W489">
    <cfRule type="expression" dxfId="2459" priority="78">
      <formula>OR($T$489 = TRUE, AND($W$489 = TRUE, $S$489 = FALSE))</formula>
    </cfRule>
  </conditionalFormatting>
  <conditionalFormatting sqref="W490">
    <cfRule type="expression" dxfId="2458" priority="77">
      <formula>AND($R$490,$S$490)</formula>
    </cfRule>
  </conditionalFormatting>
  <conditionalFormatting sqref="W490">
    <cfRule type="expression" dxfId="2457" priority="76">
      <formula>AND(IF($R$490,$W$490,TRUE),LEN(TRIM($W$490))&gt;0)</formula>
    </cfRule>
  </conditionalFormatting>
  <conditionalFormatting sqref="W490">
    <cfRule type="expression" dxfId="2456" priority="75">
      <formula>$S$490 = FALSE</formula>
    </cfRule>
  </conditionalFormatting>
  <conditionalFormatting sqref="W490">
    <cfRule type="expression" dxfId="2455" priority="74">
      <formula>OR($T$490 = TRUE, AND($W$490 = TRUE, $S$490 = FALSE))</formula>
    </cfRule>
  </conditionalFormatting>
  <conditionalFormatting sqref="W491">
    <cfRule type="expression" dxfId="2454" priority="73">
      <formula>AND($R$491,$S$491)</formula>
    </cfRule>
  </conditionalFormatting>
  <conditionalFormatting sqref="W491">
    <cfRule type="expression" dxfId="2453" priority="72">
      <formula>AND(IF($R$491,$W$491,TRUE),LEN(TRIM($W$491))&gt;0)</formula>
    </cfRule>
  </conditionalFormatting>
  <conditionalFormatting sqref="W491">
    <cfRule type="expression" dxfId="2452" priority="71">
      <formula>$S$491 = FALSE</formula>
    </cfRule>
  </conditionalFormatting>
  <conditionalFormatting sqref="W491">
    <cfRule type="expression" dxfId="2451" priority="70">
      <formula>OR($T$491 = TRUE, AND($W$491 = TRUE, $S$491 = FALSE))</formula>
    </cfRule>
  </conditionalFormatting>
  <conditionalFormatting sqref="W495">
    <cfRule type="expression" dxfId="2450" priority="69">
      <formula>AND($R$495,$S$495)</formula>
    </cfRule>
  </conditionalFormatting>
  <conditionalFormatting sqref="W495">
    <cfRule type="expression" dxfId="2449" priority="68">
      <formula>AND(IF($R$495,$W$495,TRUE),LEN(TRIM($W$495))&gt;0)</formula>
    </cfRule>
  </conditionalFormatting>
  <conditionalFormatting sqref="W495">
    <cfRule type="expression" dxfId="2448" priority="67">
      <formula>$S$495 = FALSE</formula>
    </cfRule>
  </conditionalFormatting>
  <conditionalFormatting sqref="W495">
    <cfRule type="expression" dxfId="2447" priority="66">
      <formula>OR($T$495 = TRUE, AND($W$495 = TRUE, $S$495 = FALSE))</formula>
    </cfRule>
  </conditionalFormatting>
  <conditionalFormatting sqref="W500">
    <cfRule type="expression" dxfId="2446" priority="65">
      <formula>AND($R$500,$S$500)</formula>
    </cfRule>
  </conditionalFormatting>
  <conditionalFormatting sqref="W500">
    <cfRule type="expression" dxfId="2445" priority="64">
      <formula>AND(IF($R$500,$W$500,TRUE),LEN(TRIM($W$500))&gt;0)</formula>
    </cfRule>
  </conditionalFormatting>
  <conditionalFormatting sqref="W500">
    <cfRule type="expression" dxfId="2444" priority="63">
      <formula>$S$500 = FALSE</formula>
    </cfRule>
  </conditionalFormatting>
  <conditionalFormatting sqref="W500">
    <cfRule type="expression" dxfId="2443" priority="62">
      <formula>OR($T$500 = TRUE, AND($W$500 = TRUE, $S$500 = FALSE))</formula>
    </cfRule>
  </conditionalFormatting>
  <conditionalFormatting sqref="W504">
    <cfRule type="expression" dxfId="2442" priority="61">
      <formula>AND($R$504,$S$504)</formula>
    </cfRule>
  </conditionalFormatting>
  <conditionalFormatting sqref="W504">
    <cfRule type="expression" dxfId="2441" priority="60">
      <formula>AND(IF($R$504,$W$504,TRUE),LEN(TRIM($W$504))&gt;0)</formula>
    </cfRule>
  </conditionalFormatting>
  <conditionalFormatting sqref="W504">
    <cfRule type="expression" dxfId="2440" priority="59">
      <formula>$S$504 = FALSE</formula>
    </cfRule>
  </conditionalFormatting>
  <conditionalFormatting sqref="W504">
    <cfRule type="expression" dxfId="2439" priority="58">
      <formula>OR($T$504 = TRUE, AND($W$504 = TRUE, $S$504 = FALSE))</formula>
    </cfRule>
  </conditionalFormatting>
  <conditionalFormatting sqref="W506">
    <cfRule type="expression" dxfId="2438" priority="57">
      <formula>AND($R$506,$S$506)</formula>
    </cfRule>
  </conditionalFormatting>
  <conditionalFormatting sqref="W506">
    <cfRule type="expression" dxfId="2437" priority="56">
      <formula>AND(IF($R$506,$W$506,TRUE),LEN(TRIM($W$506))&gt;0)</formula>
    </cfRule>
  </conditionalFormatting>
  <conditionalFormatting sqref="W506">
    <cfRule type="expression" dxfId="2436" priority="55">
      <formula>$S$506 = FALSE</formula>
    </cfRule>
  </conditionalFormatting>
  <conditionalFormatting sqref="W506">
    <cfRule type="expression" dxfId="2435" priority="54">
      <formula>OR($T$506 = TRUE, AND($W$506 = TRUE, $S$506 = FALSE))</formula>
    </cfRule>
  </conditionalFormatting>
  <conditionalFormatting sqref="W508">
    <cfRule type="expression" dxfId="2434" priority="53">
      <formula>AND($R$508,$S$508)</formula>
    </cfRule>
  </conditionalFormatting>
  <conditionalFormatting sqref="W508">
    <cfRule type="expression" dxfId="2433" priority="52">
      <formula>AND(IF($R$508,$W$508,TRUE),LEN(TRIM($W$508))&gt;0)</formula>
    </cfRule>
  </conditionalFormatting>
  <conditionalFormatting sqref="W508">
    <cfRule type="expression" dxfId="2432" priority="51">
      <formula>$S$508 = FALSE</formula>
    </cfRule>
  </conditionalFormatting>
  <conditionalFormatting sqref="W508">
    <cfRule type="expression" dxfId="2431" priority="50">
      <formula>OR($T$508 = TRUE, AND($W$508 = TRUE, $S$508 = FALSE))</formula>
    </cfRule>
  </conditionalFormatting>
  <conditionalFormatting sqref="W509">
    <cfRule type="expression" dxfId="2430" priority="49">
      <formula>AND($R$509,$S$509)</formula>
    </cfRule>
  </conditionalFormatting>
  <conditionalFormatting sqref="W509">
    <cfRule type="expression" dxfId="2429" priority="48">
      <formula>AND(IF($R$509,$W$509,TRUE),LEN(TRIM($W$509))&gt;0)</formula>
    </cfRule>
  </conditionalFormatting>
  <conditionalFormatting sqref="W509">
    <cfRule type="expression" dxfId="2428" priority="47">
      <formula>$S$509 = FALSE</formula>
    </cfRule>
  </conditionalFormatting>
  <conditionalFormatting sqref="W509">
    <cfRule type="expression" dxfId="2427" priority="46">
      <formula>OR($T$509 = TRUE, AND($W$509 = TRUE, $S$509 = FALSE))</formula>
    </cfRule>
  </conditionalFormatting>
  <conditionalFormatting sqref="W510">
    <cfRule type="expression" dxfId="2426" priority="45">
      <formula>AND($R$510,$S$510)</formula>
    </cfRule>
  </conditionalFormatting>
  <conditionalFormatting sqref="W510">
    <cfRule type="expression" dxfId="2425" priority="44">
      <formula>AND(IF($R$510,$W$510,TRUE),LEN(TRIM($W$510))&gt;0)</formula>
    </cfRule>
  </conditionalFormatting>
  <conditionalFormatting sqref="W510">
    <cfRule type="expression" dxfId="2424" priority="43">
      <formula>$S$510 = FALSE</formula>
    </cfRule>
  </conditionalFormatting>
  <conditionalFormatting sqref="W510">
    <cfRule type="expression" dxfId="2423" priority="42">
      <formula>OR($T$510 = TRUE, AND($W$510 = TRUE, $S$510 = FALSE))</formula>
    </cfRule>
  </conditionalFormatting>
  <conditionalFormatting sqref="W514">
    <cfRule type="expression" dxfId="2422" priority="41">
      <formula>AND($R$514,$S$514)</formula>
    </cfRule>
  </conditionalFormatting>
  <conditionalFormatting sqref="W514">
    <cfRule type="expression" dxfId="2421" priority="40">
      <formula>AND(IF($R$514,$W$514,TRUE),LEN(TRIM($W$514))&gt;0)</formula>
    </cfRule>
  </conditionalFormatting>
  <conditionalFormatting sqref="W514">
    <cfRule type="expression" dxfId="2420" priority="39">
      <formula>$S$514 = FALSE</formula>
    </cfRule>
  </conditionalFormatting>
  <conditionalFormatting sqref="W514">
    <cfRule type="expression" dxfId="2419" priority="38">
      <formula>OR($T$514 = TRUE, AND($W$514 = TRUE, $S$514 = FALSE))</formula>
    </cfRule>
  </conditionalFormatting>
  <conditionalFormatting sqref="W516">
    <cfRule type="expression" dxfId="2418" priority="37">
      <formula>AND($R$516,$S$516)</formula>
    </cfRule>
  </conditionalFormatting>
  <conditionalFormatting sqref="W516">
    <cfRule type="expression" dxfId="2417" priority="36">
      <formula>AND(IF($R$516,$W$516,TRUE),LEN(TRIM($W$516))&gt;0)</formula>
    </cfRule>
  </conditionalFormatting>
  <conditionalFormatting sqref="W516">
    <cfRule type="expression" dxfId="2416" priority="35">
      <formula>$S$516 = FALSE</formula>
    </cfRule>
  </conditionalFormatting>
  <conditionalFormatting sqref="W516">
    <cfRule type="expression" dxfId="2415" priority="34">
      <formula>OR($T$516 = TRUE, AND($W$516 = TRUE, $S$516 = FALSE))</formula>
    </cfRule>
  </conditionalFormatting>
  <conditionalFormatting sqref="X1">
    <cfRule type="expression" dxfId="2414" priority="21">
      <formula>startError</formula>
    </cfRule>
  </conditionalFormatting>
  <conditionalFormatting sqref="I1">
    <cfRule type="expression" dxfId="2413" priority="17">
      <formula>$AG$1="Gold"</formula>
    </cfRule>
    <cfRule type="expression" dxfId="2412" priority="18">
      <formula>$AG$1="Silver"</formula>
    </cfRule>
    <cfRule type="expression" dxfId="2411" priority="19">
      <formula>$AG$1="Bronze"</formula>
    </cfRule>
    <cfRule type="expression" dxfId="2410" priority="20">
      <formula>$AG$1="Emerald"</formula>
    </cfRule>
  </conditionalFormatting>
  <conditionalFormatting sqref="W97">
    <cfRule type="expression" dxfId="2409" priority="16">
      <formula>AND($R$97,$S$97)</formula>
    </cfRule>
  </conditionalFormatting>
  <conditionalFormatting sqref="W97">
    <cfRule type="expression" dxfId="2408" priority="15">
      <formula>AND($W$97&lt;&gt;"Not Met",LEN(TRIM($W$97))&gt;0)</formula>
    </cfRule>
  </conditionalFormatting>
  <conditionalFormatting sqref="W97">
    <cfRule type="expression" dxfId="2407" priority="14">
      <formula>$S$97 = FALSE</formula>
    </cfRule>
  </conditionalFormatting>
  <conditionalFormatting sqref="W97">
    <cfRule type="expression" dxfId="2406" priority="13">
      <formula>OR($T$97 = TRUE, AND(LEN(TRIM($W$97))&gt;0, $S$97 = FALSE))</formula>
    </cfRule>
  </conditionalFormatting>
  <conditionalFormatting sqref="W110">
    <cfRule type="expression" dxfId="2405" priority="12">
      <formula>AND($R$110,$S$110)</formula>
    </cfRule>
  </conditionalFormatting>
  <conditionalFormatting sqref="W110">
    <cfRule type="expression" dxfId="2404" priority="11">
      <formula>AND($W$110&lt;&gt;"Not Met",LEN(TRIM($W$110))&gt;0)</formula>
    </cfRule>
  </conditionalFormatting>
  <conditionalFormatting sqref="W110">
    <cfRule type="expression" dxfId="2403" priority="10">
      <formula>$S$110 = FALSE</formula>
    </cfRule>
  </conditionalFormatting>
  <conditionalFormatting sqref="W110">
    <cfRule type="expression" dxfId="2402" priority="9">
      <formula>OR($T$110 = TRUE, AND(LEN(TRIM($W$110))&gt;0, $S$110 = FALSE))</formula>
    </cfRule>
  </conditionalFormatting>
  <conditionalFormatting sqref="W184">
    <cfRule type="expression" dxfId="2401" priority="8">
      <formula>AND($R$184,$S$184)</formula>
    </cfRule>
  </conditionalFormatting>
  <conditionalFormatting sqref="W184">
    <cfRule type="expression" dxfId="2400" priority="7">
      <formula>AND($W$184&lt;&gt;"Not Met",LEN(TRIM($W$184))&gt;0)</formula>
    </cfRule>
  </conditionalFormatting>
  <conditionalFormatting sqref="W184">
    <cfRule type="expression" dxfId="2399" priority="6">
      <formula>$S$184 = FALSE</formula>
    </cfRule>
  </conditionalFormatting>
  <conditionalFormatting sqref="W184">
    <cfRule type="expression" dxfId="2398" priority="5">
      <formula>OR($T$184 = TRUE, AND(LEN(TRIM($W$184))&gt;0, $S$184 = FALSE))</formula>
    </cfRule>
  </conditionalFormatting>
  <conditionalFormatting sqref="W296">
    <cfRule type="expression" dxfId="2397" priority="4">
      <formula>AND($R$296,$S$296)</formula>
    </cfRule>
  </conditionalFormatting>
  <conditionalFormatting sqref="W296">
    <cfRule type="expression" dxfId="2396" priority="3">
      <formula>AND(IF($R$296,$W$296,TRUE),LEN(TRIM($W$296))&gt;0)</formula>
    </cfRule>
  </conditionalFormatting>
  <conditionalFormatting sqref="W296">
    <cfRule type="expression" dxfId="2395" priority="2">
      <formula>$S$296 = FALSE</formula>
    </cfRule>
  </conditionalFormatting>
  <conditionalFormatting sqref="W296">
    <cfRule type="expression" dxfId="2394" priority="1">
      <formula>OR($T$296 = TRUE, AND($W$296 = TRUE, $S$296 = FALSE))</formula>
    </cfRule>
  </conditionalFormatting>
  <dataValidations count="46">
    <dataValidation type="list" allowBlank="1" showInputMessage="1" showErrorMessage="1" error="Please use the dropdown." sqref="W62" xr:uid="{00000000-0002-0000-0400-000000000000}">
      <formula1>INDIRECT($U$62)</formula1>
    </dataValidation>
    <dataValidation type="list" allowBlank="1" showInputMessage="1" showErrorMessage="1" error="Please use the dropdown." sqref="W69" xr:uid="{00000000-0002-0000-0400-000001000000}">
      <formula1>INDIRECT($U$69)</formula1>
    </dataValidation>
    <dataValidation type="list" allowBlank="1" showInputMessage="1" showErrorMessage="1" error="Please use the dropdown." sqref="W70" xr:uid="{00000000-0002-0000-0400-000002000000}">
      <formula1>INDIRECT($U$70)</formula1>
    </dataValidation>
    <dataValidation type="list" allowBlank="1" showInputMessage="1" showErrorMessage="1" error="Please use the dropdown." sqref="W71" xr:uid="{00000000-0002-0000-0400-000003000000}">
      <formula1>INDIRECT($U$71)</formula1>
    </dataValidation>
    <dataValidation type="list" allowBlank="1" showInputMessage="1" showErrorMessage="1" error="Please use the dropdown." sqref="W75" xr:uid="{00000000-0002-0000-0400-000004000000}">
      <formula1>INDIRECT($U$75)</formula1>
    </dataValidation>
    <dataValidation type="list" allowBlank="1" showInputMessage="1" showErrorMessage="1" error="Please use the dropdown." sqref="W77" xr:uid="{00000000-0002-0000-0400-000005000000}">
      <formula1>INDIRECT($U$77)</formula1>
    </dataValidation>
    <dataValidation type="list" allowBlank="1" showInputMessage="1" showErrorMessage="1" error="Please use the dropdown." sqref="W137" xr:uid="{00000000-0002-0000-0400-000006000000}">
      <formula1>INDIRECT($U$137)</formula1>
    </dataValidation>
    <dataValidation type="list" allowBlank="1" showInputMessage="1" showErrorMessage="1" error="Please use the dropdown." sqref="W204" xr:uid="{00000000-0002-0000-0400-000007000000}">
      <formula1>INDIRECT($U$204)</formula1>
    </dataValidation>
    <dataValidation type="list" allowBlank="1" showInputMessage="1" showErrorMessage="1" error="Please use the dropdown." sqref="W214" xr:uid="{00000000-0002-0000-0400-000008000000}">
      <formula1>INDIRECT($U$214)</formula1>
    </dataValidation>
    <dataValidation type="whole" allowBlank="1" showDropDown="1" showInputMessage="1" showErrorMessage="1" error="Enter a number" prompt="Enter number of square feet" sqref="W268" xr:uid="{00000000-0002-0000-0400-000009000000}">
      <formula1>0</formula1>
      <formula2>10000</formula2>
    </dataValidation>
    <dataValidation type="decimal" allowBlank="1" showDropDown="1" showInputMessage="1" showErrorMessage="1" error="Enter a percentage" prompt="Enter a percentage" sqref="W274 W286 W288 W290 W292" xr:uid="{00000000-0002-0000-0400-00000A000000}">
      <formula1>0</formula1>
      <formula2>1</formula2>
    </dataValidation>
    <dataValidation type="list" allowBlank="1" showInputMessage="1" showErrorMessage="1" error="Please use the dropdown." sqref="W340" xr:uid="{00000000-0002-0000-0400-00000B000000}">
      <formula1>INDIRECT($U$340)</formula1>
    </dataValidation>
    <dataValidation type="list" allowBlank="1" showInputMessage="1" showErrorMessage="1" error="Please use the dropdown." sqref="W341" xr:uid="{00000000-0002-0000-0400-00000C000000}">
      <formula1>INDIRECT($U$341)</formula1>
    </dataValidation>
    <dataValidation type="list" allowBlank="1" showInputMessage="1" showErrorMessage="1" error="Please use the dropdown." sqref="W342" xr:uid="{00000000-0002-0000-0400-00000D000000}">
      <formula1>INDIRECT($U$342)</formula1>
    </dataValidation>
    <dataValidation type="list" allowBlank="1" showInputMessage="1" showErrorMessage="1" error="Please use the dropdown." sqref="W343" xr:uid="{00000000-0002-0000-0400-00000E000000}">
      <formula1>INDIRECT($U$343)</formula1>
    </dataValidation>
    <dataValidation type="list" allowBlank="1" showInputMessage="1" showErrorMessage="1" error="Please use the dropdown." sqref="W344" xr:uid="{00000000-0002-0000-0400-00000F000000}">
      <formula1>INDIRECT($U$344)</formula1>
    </dataValidation>
    <dataValidation type="list" allowBlank="1" showInputMessage="1" showErrorMessage="1" error="Please use the dropdown." sqref="W345" xr:uid="{00000000-0002-0000-0400-000010000000}">
      <formula1>INDIRECT($U$345)</formula1>
    </dataValidation>
    <dataValidation type="list" allowBlank="1" showInputMessage="1" showErrorMessage="1" error="Please use the dropdown." sqref="W346" xr:uid="{00000000-0002-0000-0400-000011000000}">
      <formula1>INDIRECT($U$346)</formula1>
    </dataValidation>
    <dataValidation type="list" allowBlank="1" showInputMessage="1" showErrorMessage="1" error="Please use the dropdown." sqref="W347" xr:uid="{00000000-0002-0000-0400-000012000000}">
      <formula1>INDIRECT($U$347)</formula1>
    </dataValidation>
    <dataValidation type="list" allowBlank="1" showInputMessage="1" showErrorMessage="1" error="Please use the dropdown." sqref="W367" xr:uid="{00000000-0002-0000-0400-000013000000}">
      <formula1>INDIRECT($U$367)</formula1>
    </dataValidation>
    <dataValidation type="list" allowBlank="1" showInputMessage="1" showErrorMessage="1" error="Please use the dropdown." sqref="W368" xr:uid="{00000000-0002-0000-0400-000014000000}">
      <formula1>INDIRECT($U$368)</formula1>
    </dataValidation>
    <dataValidation type="list" allowBlank="1" showInputMessage="1" showErrorMessage="1" error="Please use the dropdown." sqref="W370" xr:uid="{00000000-0002-0000-0400-000015000000}">
      <formula1>INDIRECT($U$370)</formula1>
    </dataValidation>
    <dataValidation type="list" allowBlank="1" showInputMessage="1" showErrorMessage="1" error="Please use the dropdown." sqref="W371" xr:uid="{00000000-0002-0000-0400-000016000000}">
      <formula1>INDIRECT($U$371)</formula1>
    </dataValidation>
    <dataValidation type="list" allowBlank="1" showInputMessage="1" showErrorMessage="1" error="Please use the dropdown." sqref="W373" xr:uid="{00000000-0002-0000-0400-000017000000}">
      <formula1>INDIRECT($U$373)</formula1>
    </dataValidation>
    <dataValidation type="list" allowBlank="1" showInputMessage="1" showErrorMessage="1" error="Please use the dropdown." sqref="W388" xr:uid="{00000000-0002-0000-0400-000018000000}">
      <formula1>INDIRECT($U$388)</formula1>
    </dataValidation>
    <dataValidation type="list" allowBlank="1" showInputMessage="1" showErrorMessage="1" error="Please use the dropdown." sqref="W398" xr:uid="{00000000-0002-0000-0400-000019000000}">
      <formula1>INDIRECT($U$398)</formula1>
    </dataValidation>
    <dataValidation type="list" allowBlank="1" showInputMessage="1" showErrorMessage="1" error="Please use the dropdown." sqref="W401" xr:uid="{00000000-0002-0000-0400-00001A000000}">
      <formula1>INDIRECT($U$401)</formula1>
    </dataValidation>
    <dataValidation type="list" allowBlank="1" showInputMessage="1" showErrorMessage="1" error="Please use the dropdown." sqref="W437" xr:uid="{00000000-0002-0000-0400-00001B000000}">
      <formula1>INDIRECT($U$437)</formula1>
    </dataValidation>
    <dataValidation type="list" allowBlank="1" showInputMessage="1" showErrorMessage="1" error="Please use the dropdown." sqref="W444" xr:uid="{00000000-0002-0000-0400-00001C000000}">
      <formula1>INDIRECT($U$444)</formula1>
    </dataValidation>
    <dataValidation type="list" allowBlank="1" showInputMessage="1" showErrorMessage="1" error="Please use the dropdown." sqref="W450" xr:uid="{00000000-0002-0000-0400-00001D000000}">
      <formula1>INDIRECT($U$450)</formula1>
    </dataValidation>
    <dataValidation type="list" allowBlank="1" showInputMessage="1" showErrorMessage="1" error="Please use the dropdown." sqref="W456" xr:uid="{00000000-0002-0000-0400-00001E000000}">
      <formula1>INDIRECT($U$456)</formula1>
    </dataValidation>
    <dataValidation type="list" allowBlank="1" showInputMessage="1" showErrorMessage="1" error="Please use the dropdown." sqref="W462" xr:uid="{00000000-0002-0000-0400-00001F000000}">
      <formula1>INDIRECT($U$462)</formula1>
    </dataValidation>
    <dataValidation type="list" allowBlank="1" showInputMessage="1" showErrorMessage="1" error="Please use the dropdown." sqref="W468" xr:uid="{00000000-0002-0000-0400-000020000000}">
      <formula1>INDIRECT($U$468)</formula1>
    </dataValidation>
    <dataValidation type="list" allowBlank="1" showInputMessage="1" showErrorMessage="1" error="Please use the dropdown." sqref="W474" xr:uid="{00000000-0002-0000-0400-000021000000}">
      <formula1>INDIRECT($U$474)</formula1>
    </dataValidation>
    <dataValidation type="whole" allowBlank="1" showDropDown="1" showInputMessage="1" showErrorMessage="1" error="Enter a whole number" prompt="Enter number of products" sqref="W534 W524" xr:uid="{00000000-0002-0000-0400-000022000000}">
      <formula1>0</formula1>
      <formula2>20</formula2>
    </dataValidation>
    <dataValidation type="list" allowBlank="1" showInputMessage="1" showErrorMessage="1" error="Please use the dropdown." sqref="W123" xr:uid="{00000000-0002-0000-0400-000023000000}">
      <formula1>INDIRECT($U$123)</formula1>
    </dataValidation>
    <dataValidation type="list" allowBlank="1" showInputMessage="1" showErrorMessage="1" error="Please use the dropdown." sqref="W132" xr:uid="{00000000-0002-0000-0400-000024000000}">
      <formula1>INDIRECT($U$132)</formula1>
    </dataValidation>
    <dataValidation type="list" allowBlank="1" showInputMessage="1" showErrorMessage="1" error="Please use the dropdown." sqref="W161" xr:uid="{00000000-0002-0000-0400-000025000000}">
      <formula1>INDIRECT($U$161)</formula1>
    </dataValidation>
    <dataValidation type="list" allowBlank="1" showInputMessage="1" showErrorMessage="1" error="Please use the dropdown." sqref="W172" xr:uid="{00000000-0002-0000-0400-000026000000}">
      <formula1>INDIRECT($U$172)</formula1>
    </dataValidation>
    <dataValidation type="list" allowBlank="1" showInputMessage="1" showErrorMessage="1" error="Please use the dropdown." sqref="W226" xr:uid="{00000000-0002-0000-0400-000027000000}">
      <formula1>INDIRECT($U$226)</formula1>
    </dataValidation>
    <dataValidation type="list" allowBlank="1" showInputMessage="1" showErrorMessage="1" error="Please use the dropdown." sqref="W233" xr:uid="{00000000-0002-0000-0400-000028000000}">
      <formula1>INDIRECT($U$233)</formula1>
    </dataValidation>
    <dataValidation type="list" allowBlank="1" showInputMessage="1" showErrorMessage="1" error="Please use the dropdown." sqref="W239" xr:uid="{00000000-0002-0000-0400-000029000000}">
      <formula1>INDIRECT($U$239)</formula1>
    </dataValidation>
    <dataValidation type="list" allowBlank="1" showDropDown="1" showInputMessage="1" showErrorMessage="1" error="Use Checkbox" prompt="Use Checkbox" sqref="W32 W516 W514 W508:W510 W506 W504 W500 W495 W485:W491 W429 W422 W413 W384:W385 W382 W327:W335 W314 W312 W299 W281 W264 W262 W257 W253 W249:W250 W247 W241:W242 W230 W212 W210 W199:W200 W196 W44:W49 W168 W166 W164 W159 W154 W150 W146 W140 W138 W130 W121 W101 W38 W107:W108 W296 W35 W84 W57:W60 W113" xr:uid="{00000000-0002-0000-0400-00002A000000}">
      <formula1>TorF</formula1>
    </dataValidation>
    <dataValidation type="list" allowBlank="1" showInputMessage="1" showErrorMessage="1" error="Please use the dropdown." sqref="W97" xr:uid="{00000000-0002-0000-0400-00002B000000}">
      <formula1>INDIRECT($U$97)</formula1>
    </dataValidation>
    <dataValidation type="list" allowBlank="1" showInputMessage="1" showErrorMessage="1" error="Please use the dropdown." sqref="W110" xr:uid="{00000000-0002-0000-0400-00002C000000}">
      <formula1>INDIRECT($U$110)</formula1>
    </dataValidation>
    <dataValidation type="list" allowBlank="1" showInputMessage="1" showErrorMessage="1" error="Please use the dropdown." sqref="W184" xr:uid="{00000000-0002-0000-0400-00002D000000}">
      <formula1>INDIRECT($U$184)</formula1>
    </dataValidation>
  </dataValidations>
  <hyperlinks>
    <hyperlink ref="L145" location="'Figure 6(3)'!A1" display="See Figure 6(3)" xr:uid="{00000000-0004-0000-0400-000000000000}"/>
    <hyperlink ref="L137" location="'Figure 6(3)'!A1" display="See Figure 6(3)" xr:uid="{00000000-0004-0000-0400-000001000000}"/>
    <hyperlink ref="L232" location="'Table 11.602.1.12'!A1" display="See Table 11.602.1.12" xr:uid="{00000000-0004-0000-0400-000002000000}"/>
    <hyperlink ref="L288" location="'Table 11.604.1'!A1" display="See Table 11.604.1" xr:uid="{00000000-0004-0000-0400-000003000000}"/>
    <hyperlink ref="M435:M448" location="'Table 11.610.1.2.1'!A1" display="'Table 11.610.1.2.1'!A1" xr:uid="{00000000-0004-0000-0400-000004000000}"/>
    <hyperlink ref="M449:M472" location="'Table 11.610.1.2.2'!A1" display="'Table 11.610.1.2.2'!A1" xr:uid="{00000000-0004-0000-0400-000005000000}"/>
    <hyperlink ref="X539" location="'Ch7'!A1" display="CLICK TO PROCEED TO CHAPTER 7 &gt;&gt;" xr:uid="{00000000-0004-0000-0400-000006000000}"/>
  </hyperlinks>
  <pageMargins left="0.7" right="0.7" top="0.75" bottom="0.75" header="0.3" footer="0.3"/>
  <pageSetup scale="44" fitToHeight="0" orientation="portrait" r:id="rId1"/>
  <rowBreaks count="6" manualBreakCount="6">
    <brk id="91" min="1" max="23" man="1"/>
    <brk id="175" min="1" max="23" man="1"/>
    <brk id="264" min="1" max="23" man="1"/>
    <brk id="336" min="1" max="23" man="1"/>
    <brk id="403" min="1" max="23" man="1"/>
    <brk id="472" min="1"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R197"/>
  <sheetViews>
    <sheetView showGridLines="0" topLeftCell="H1" zoomScaleNormal="100" workbookViewId="0">
      <pane ySplit="7" topLeftCell="A8" activePane="bottomLeft" state="frozen"/>
      <selection activeCell="E7" sqref="E7:F7"/>
      <selection pane="bottomLeft" activeCell="H9" sqref="H9"/>
    </sheetView>
  </sheetViews>
  <sheetFormatPr baseColWidth="10" defaultColWidth="9.16406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47" customWidth="1"/>
    <col min="10" max="11" width="3.83203125" style="47" customWidth="1"/>
    <col min="12" max="12" width="71.6640625" style="47" customWidth="1"/>
    <col min="13" max="13" width="13.5" style="106" customWidth="1"/>
    <col min="14" max="14" width="7.6640625" style="47" hidden="1" customWidth="1"/>
    <col min="15" max="15" width="7.6640625" style="106" customWidth="1"/>
    <col min="16" max="21" width="8.83203125" style="47" hidden="1" customWidth="1"/>
    <col min="22" max="22" width="3" style="47" hidden="1" customWidth="1"/>
    <col min="23" max="23" width="21.5" style="47" customWidth="1"/>
    <col min="24" max="24" width="69" style="47" customWidth="1"/>
    <col min="25" max="25" width="34.83203125" style="447" hidden="1" customWidth="1"/>
    <col min="26" max="26" width="34.83203125" style="47" hidden="1" customWidth="1"/>
    <col min="27" max="27" width="9.1640625" style="448" hidden="1" customWidth="1"/>
    <col min="28" max="37" width="9.1640625" style="47" hidden="1" customWidth="1"/>
    <col min="38" max="38" width="19.1640625" style="47" hidden="1" customWidth="1"/>
    <col min="39" max="39" width="2.1640625" style="47" hidden="1" customWidth="1"/>
    <col min="40" max="40" width="16.33203125" style="47" hidden="1" customWidth="1"/>
    <col min="41" max="41" width="2.1640625" style="47" hidden="1" customWidth="1"/>
    <col min="42" max="42" width="16.5" style="47" hidden="1" customWidth="1"/>
    <col min="43" max="43" width="2.1640625" style="47" hidden="1" customWidth="1"/>
    <col min="44" max="44" width="18.6640625" style="47" hidden="1" customWidth="1"/>
    <col min="45" max="45" width="2.1640625" style="47" hidden="1" customWidth="1"/>
    <col min="46" max="61" width="9.1640625" style="47" hidden="1" customWidth="1"/>
    <col min="62" max="16384" width="9.1640625" style="47"/>
  </cols>
  <sheetData>
    <row r="1" spans="1:70" x14ac:dyDescent="0.2">
      <c r="H1" s="805" t="s">
        <v>2149</v>
      </c>
      <c r="I1" s="768" t="str">
        <f ca="1">IF(OR(AG3,AI3),"Errors on page, no Level reached","Chapter Level: "&amp;AG1)</f>
        <v>Errors on page, no Level reached</v>
      </c>
      <c r="J1" s="768"/>
      <c r="K1" s="768"/>
      <c r="L1" s="768"/>
      <c r="M1" s="806"/>
      <c r="N1" s="806"/>
      <c r="O1" s="806"/>
      <c r="P1" s="806"/>
      <c r="Q1" s="806"/>
      <c r="R1" s="806"/>
      <c r="S1" s="806"/>
      <c r="T1" s="806"/>
      <c r="U1" s="806"/>
      <c r="V1" s="806"/>
      <c r="W1" s="806"/>
      <c r="X1" s="337" t="s">
        <v>2150</v>
      </c>
      <c r="Y1" s="562"/>
      <c r="Z1" s="562"/>
      <c r="AA1" s="562"/>
      <c r="AB1" s="562"/>
      <c r="AC1" s="562"/>
      <c r="AD1" s="562"/>
      <c r="AE1" s="562"/>
      <c r="AF1" s="594" t="s">
        <v>2800</v>
      </c>
      <c r="AG1" s="562" t="str">
        <f ca="1">IF(OR(AG3,AI3),"None",Ch7Level)</f>
        <v>None</v>
      </c>
      <c r="AH1" s="562"/>
      <c r="AI1" s="562"/>
      <c r="AJ1" s="562"/>
      <c r="AK1" s="562"/>
      <c r="AL1" s="562"/>
      <c r="AM1" s="562"/>
      <c r="AN1" s="562"/>
      <c r="AO1" s="562"/>
      <c r="AP1" s="562"/>
      <c r="AQ1" s="562"/>
      <c r="AR1" s="562"/>
      <c r="AS1" s="562"/>
      <c r="AT1" s="562"/>
      <c r="AU1" s="562"/>
      <c r="AV1" s="562"/>
      <c r="AW1" s="562"/>
      <c r="AX1" s="562"/>
      <c r="AY1" s="562"/>
      <c r="AZ1" s="562"/>
      <c r="BA1" s="562"/>
      <c r="BB1" s="562"/>
      <c r="BC1" s="562"/>
      <c r="BD1" s="562"/>
      <c r="BE1" s="562"/>
      <c r="BF1" s="562"/>
      <c r="BG1" s="562"/>
      <c r="BH1" s="562"/>
      <c r="BI1" s="562"/>
      <c r="BJ1" s="562"/>
      <c r="BK1" s="562"/>
      <c r="BL1" s="562"/>
      <c r="BM1" s="562"/>
      <c r="BN1" s="562"/>
      <c r="BO1" s="562"/>
      <c r="BP1" s="562"/>
      <c r="BQ1" s="562"/>
      <c r="BR1" s="562"/>
    </row>
    <row r="2" spans="1:70" x14ac:dyDescent="0.2">
      <c r="H2" s="805"/>
      <c r="I2" s="769" t="str">
        <f ca="1">IF(OR(AG3,AI3),"Errors on page, no Level reached","Total Project Points: "&amp;Dpoints)</f>
        <v>Errors on page, no Level reached</v>
      </c>
      <c r="J2" s="769"/>
      <c r="K2" s="769"/>
      <c r="L2" s="769"/>
      <c r="M2" s="806"/>
      <c r="N2" s="806"/>
      <c r="O2" s="806"/>
      <c r="P2" s="806"/>
      <c r="Q2" s="806"/>
      <c r="R2" s="806"/>
      <c r="S2" s="806"/>
      <c r="T2" s="806"/>
      <c r="U2" s="806"/>
      <c r="V2" s="806"/>
      <c r="W2" s="806"/>
      <c r="X2" s="337" t="s">
        <v>2152</v>
      </c>
      <c r="Y2" s="562"/>
      <c r="Z2" s="562"/>
      <c r="AA2" s="562"/>
      <c r="AB2" s="562"/>
      <c r="AC2" s="562"/>
      <c r="AD2" s="562"/>
      <c r="AE2" s="562"/>
      <c r="AF2" s="594" t="s">
        <v>2801</v>
      </c>
      <c r="AG2" s="562">
        <f ca="1">INDIRECT(AF2)</f>
        <v>0</v>
      </c>
      <c r="AH2" s="562" t="s">
        <v>2802</v>
      </c>
      <c r="AI2" s="562" t="e">
        <f ca="1">INDIRECT(AH2)</f>
        <v>#REF!</v>
      </c>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row>
    <row r="3" spans="1:70" x14ac:dyDescent="0.2">
      <c r="H3" s="805"/>
      <c r="I3" s="769" t="str">
        <f ca="1">IF(OR(AG3,AI3),"Errors on page, no Level reached","Total Project Level: "&amp;Dlevel)</f>
        <v>Errors on page, no Level reached</v>
      </c>
      <c r="J3" s="769"/>
      <c r="K3" s="769"/>
      <c r="L3" s="769"/>
      <c r="M3" s="806"/>
      <c r="N3" s="806"/>
      <c r="O3" s="806"/>
      <c r="P3" s="806"/>
      <c r="Q3" s="806"/>
      <c r="R3" s="806"/>
      <c r="S3" s="806"/>
      <c r="T3" s="806"/>
      <c r="U3" s="806"/>
      <c r="V3" s="806"/>
      <c r="W3" s="806"/>
      <c r="X3" s="337" t="s">
        <v>2154</v>
      </c>
      <c r="Y3" s="562"/>
      <c r="Z3" s="562"/>
      <c r="AA3" s="562"/>
      <c r="AB3" s="562"/>
      <c r="AC3" s="562"/>
      <c r="AD3" s="562"/>
      <c r="AE3" s="562"/>
      <c r="AF3" s="594" t="s">
        <v>2803</v>
      </c>
      <c r="AG3" s="562" t="b">
        <f ca="1">OR(AE:AE)</f>
        <v>1</v>
      </c>
      <c r="AH3" s="594" t="s">
        <v>2804</v>
      </c>
      <c r="AI3" s="562" t="b">
        <f ca="1">OR(AD:AD)</f>
        <v>0</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row>
    <row r="4" spans="1:70" x14ac:dyDescent="0.2">
      <c r="H4" s="805"/>
      <c r="I4" s="778"/>
      <c r="J4" s="779"/>
      <c r="K4" s="779"/>
      <c r="L4" s="780"/>
      <c r="M4" s="806"/>
      <c r="N4" s="806"/>
      <c r="O4" s="806"/>
      <c r="P4" s="806"/>
      <c r="Q4" s="806"/>
      <c r="R4" s="806"/>
      <c r="S4" s="806"/>
      <c r="T4" s="806"/>
      <c r="U4" s="806"/>
      <c r="V4" s="806"/>
      <c r="W4" s="806"/>
      <c r="X4" s="715" t="s">
        <v>46</v>
      </c>
      <c r="Y4" s="562"/>
      <c r="Z4" s="56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row>
    <row r="5" spans="1:70" x14ac:dyDescent="0.2">
      <c r="H5" s="805"/>
      <c r="I5" s="781" t="str">
        <f>"Revision Date:  "&amp;TEXT('Info &amp; Intro'!E7,"m/d/yyyy")</f>
        <v>Revision Date:  11/30/2020</v>
      </c>
      <c r="J5" s="782"/>
      <c r="K5" s="782"/>
      <c r="L5" s="783"/>
      <c r="M5" s="806"/>
      <c r="N5" s="806"/>
      <c r="O5" s="806"/>
      <c r="P5" s="806"/>
      <c r="Q5" s="806"/>
      <c r="R5" s="806"/>
      <c r="S5" s="806"/>
      <c r="T5" s="806"/>
      <c r="U5" s="806"/>
      <c r="V5" s="806"/>
      <c r="W5" s="806"/>
      <c r="X5" s="715"/>
      <c r="Y5" s="562"/>
      <c r="Z5" s="56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row>
    <row r="6" spans="1:70" x14ac:dyDescent="0.2">
      <c r="H6" s="805"/>
      <c r="I6" s="788" t="s">
        <v>2157</v>
      </c>
      <c r="J6" s="789"/>
      <c r="K6" s="790"/>
      <c r="L6" s="784" t="s">
        <v>2805</v>
      </c>
      <c r="M6" s="871" t="s">
        <v>2159</v>
      </c>
      <c r="N6" s="784"/>
      <c r="O6" s="23" t="s">
        <v>2160</v>
      </c>
      <c r="P6" s="784" t="s">
        <v>2161</v>
      </c>
      <c r="Q6" s="784" t="s">
        <v>2162</v>
      </c>
      <c r="R6" s="784" t="s">
        <v>2163</v>
      </c>
      <c r="S6" s="784" t="s">
        <v>2164</v>
      </c>
      <c r="T6" s="784" t="s">
        <v>2165</v>
      </c>
      <c r="U6" s="784" t="s">
        <v>2166</v>
      </c>
      <c r="V6" s="784"/>
      <c r="W6" s="784" t="s">
        <v>2167</v>
      </c>
      <c r="X6" s="770" t="s">
        <v>2168</v>
      </c>
      <c r="Y6" s="562"/>
      <c r="Z6" s="562"/>
      <c r="AA6" s="562"/>
      <c r="AB6" s="562"/>
      <c r="AC6" s="588" t="s">
        <v>2169</v>
      </c>
      <c r="AD6" s="588" t="s">
        <v>2165</v>
      </c>
      <c r="AE6" s="588" t="s">
        <v>2170</v>
      </c>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row>
    <row r="7" spans="1:70" x14ac:dyDescent="0.2">
      <c r="H7" s="805"/>
      <c r="I7" s="788"/>
      <c r="J7" s="789"/>
      <c r="K7" s="790"/>
      <c r="L7" s="785"/>
      <c r="M7" s="872"/>
      <c r="N7" s="785"/>
      <c r="O7" s="23" t="s">
        <v>2171</v>
      </c>
      <c r="P7" s="785"/>
      <c r="Q7" s="785"/>
      <c r="R7" s="785"/>
      <c r="S7" s="785"/>
      <c r="T7" s="785"/>
      <c r="U7" s="785"/>
      <c r="V7" s="785"/>
      <c r="W7" s="785"/>
      <c r="X7" s="771"/>
      <c r="Y7" s="562"/>
      <c r="Z7" s="562"/>
      <c r="AA7" s="562"/>
      <c r="AB7" s="562"/>
      <c r="AC7" s="588" t="s">
        <v>2169</v>
      </c>
      <c r="AD7" s="588" t="s">
        <v>2165</v>
      </c>
      <c r="AE7" s="588" t="s">
        <v>2170</v>
      </c>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row>
    <row r="8" spans="1:70" s="439" customFormat="1" hidden="1" x14ac:dyDescent="0.2">
      <c r="A8" s="13"/>
      <c r="B8" s="13"/>
      <c r="C8" s="13"/>
      <c r="D8" s="13"/>
      <c r="E8" s="13"/>
      <c r="F8" s="13"/>
      <c r="G8" s="13"/>
      <c r="H8" s="13"/>
      <c r="I8" s="604"/>
      <c r="J8" s="604"/>
      <c r="K8" s="604"/>
      <c r="L8" s="602"/>
      <c r="M8" s="643"/>
      <c r="N8" s="602"/>
      <c r="O8" s="23"/>
      <c r="P8" s="602"/>
      <c r="Q8" s="602"/>
      <c r="R8" s="602"/>
      <c r="S8" s="602"/>
      <c r="T8" s="602"/>
      <c r="U8" s="602"/>
      <c r="V8" s="602"/>
      <c r="W8" s="602"/>
      <c r="X8" s="604"/>
      <c r="Y8" s="562"/>
      <c r="Z8" s="562"/>
      <c r="AA8" s="562"/>
      <c r="AB8" s="562"/>
      <c r="AC8" s="588"/>
      <c r="AD8" s="588"/>
      <c r="AE8" s="588"/>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row>
    <row r="9" spans="1:70" ht="20" thickBot="1" x14ac:dyDescent="0.3">
      <c r="A9" s="13" t="s">
        <v>48</v>
      </c>
      <c r="B9" s="13" t="s">
        <v>48</v>
      </c>
      <c r="C9" s="13" t="s">
        <v>48</v>
      </c>
      <c r="D9" s="13" t="s">
        <v>48</v>
      </c>
      <c r="E9" s="13" t="s">
        <v>48</v>
      </c>
      <c r="F9" s="13" t="s">
        <v>48</v>
      </c>
      <c r="G9" s="13" t="s">
        <v>48</v>
      </c>
      <c r="H9" s="443"/>
      <c r="I9" s="15" t="s">
        <v>2806</v>
      </c>
      <c r="J9" s="15"/>
      <c r="K9" s="15"/>
      <c r="L9" s="16"/>
      <c r="M9" s="17"/>
      <c r="N9" s="562" t="s">
        <v>48</v>
      </c>
      <c r="O9" s="17"/>
      <c r="P9" s="562" t="s">
        <v>48</v>
      </c>
      <c r="Q9" s="562" t="s">
        <v>48</v>
      </c>
      <c r="R9" s="562" t="s">
        <v>48</v>
      </c>
      <c r="S9" s="562" t="s">
        <v>48</v>
      </c>
      <c r="T9" s="562" t="s">
        <v>48</v>
      </c>
      <c r="U9" s="562" t="s">
        <v>48</v>
      </c>
      <c r="V9" s="562" t="s">
        <v>48</v>
      </c>
      <c r="W9" s="16"/>
      <c r="X9" s="16"/>
      <c r="Y9" s="586" t="s">
        <v>48</v>
      </c>
      <c r="Z9" s="586" t="s">
        <v>48</v>
      </c>
      <c r="AA9" s="586" t="s">
        <v>48</v>
      </c>
      <c r="AB9" s="586" t="s">
        <v>48</v>
      </c>
      <c r="AC9" s="586" t="s">
        <v>48</v>
      </c>
      <c r="AD9" s="586" t="s">
        <v>48</v>
      </c>
      <c r="AE9" s="586" t="s">
        <v>48</v>
      </c>
      <c r="AF9" s="586" t="s">
        <v>48</v>
      </c>
      <c r="AG9" s="586" t="s">
        <v>48</v>
      </c>
      <c r="AH9" s="586" t="s">
        <v>48</v>
      </c>
      <c r="AI9" s="586" t="s">
        <v>48</v>
      </c>
      <c r="AJ9" s="586" t="s">
        <v>48</v>
      </c>
      <c r="AK9" s="586" t="s">
        <v>48</v>
      </c>
      <c r="AL9" s="586" t="s">
        <v>48</v>
      </c>
      <c r="AM9" s="586" t="s">
        <v>48</v>
      </c>
      <c r="AN9" s="586" t="s">
        <v>48</v>
      </c>
      <c r="AO9" s="586" t="s">
        <v>48</v>
      </c>
      <c r="AP9" s="586" t="s">
        <v>48</v>
      </c>
      <c r="AQ9" s="586" t="s">
        <v>48</v>
      </c>
      <c r="AR9" s="586" t="s">
        <v>48</v>
      </c>
      <c r="AS9" s="586" t="s">
        <v>48</v>
      </c>
      <c r="AT9" s="586" t="s">
        <v>48</v>
      </c>
      <c r="AU9" s="586" t="s">
        <v>48</v>
      </c>
      <c r="AV9" s="586" t="s">
        <v>48</v>
      </c>
      <c r="AW9" s="586" t="s">
        <v>48</v>
      </c>
      <c r="AX9" s="586" t="s">
        <v>48</v>
      </c>
      <c r="AY9" s="586" t="s">
        <v>48</v>
      </c>
      <c r="AZ9" s="586" t="s">
        <v>48</v>
      </c>
      <c r="BA9" s="586" t="s">
        <v>48</v>
      </c>
      <c r="BB9" s="586" t="s">
        <v>48</v>
      </c>
      <c r="BC9" s="586" t="s">
        <v>48</v>
      </c>
      <c r="BD9" s="586" t="s">
        <v>48</v>
      </c>
      <c r="BE9" s="586" t="s">
        <v>48</v>
      </c>
      <c r="BF9" s="586" t="s">
        <v>48</v>
      </c>
      <c r="BG9" s="586" t="s">
        <v>48</v>
      </c>
      <c r="BH9" s="586" t="s">
        <v>48</v>
      </c>
      <c r="BI9" s="586" t="s">
        <v>48</v>
      </c>
      <c r="BJ9" s="562"/>
      <c r="BK9" s="562"/>
      <c r="BL9" s="562"/>
      <c r="BM9" s="562"/>
      <c r="BN9" s="562"/>
      <c r="BO9" s="562"/>
      <c r="BP9" s="562"/>
      <c r="BQ9" s="562"/>
      <c r="BR9" s="562"/>
    </row>
    <row r="10" spans="1:70" ht="16" thickTop="1" x14ac:dyDescent="0.2">
      <c r="B10" s="358" t="s">
        <v>2807</v>
      </c>
      <c r="C10" s="60"/>
      <c r="D10" s="14"/>
      <c r="E10" s="14"/>
      <c r="F10" s="14"/>
      <c r="G10" s="14"/>
      <c r="H10" s="441"/>
      <c r="I10" s="131" t="s">
        <v>2808</v>
      </c>
      <c r="J10" s="271"/>
      <c r="K10" s="271"/>
      <c r="L10" s="646" t="s">
        <v>2809</v>
      </c>
      <c r="M10" s="625"/>
      <c r="N10" s="132"/>
      <c r="O10" s="623"/>
      <c r="P10" s="74"/>
      <c r="Q10" s="74"/>
      <c r="R10" s="74"/>
      <c r="S10" s="74"/>
      <c r="T10" s="74"/>
      <c r="U10" s="74"/>
      <c r="V10" s="74"/>
      <c r="W10" s="74"/>
      <c r="X10" s="74"/>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row>
    <row r="11" spans="1:70" s="528" customFormat="1" x14ac:dyDescent="0.2">
      <c r="A11" s="13"/>
      <c r="B11" s="358" t="s">
        <v>2807</v>
      </c>
      <c r="C11" s="60"/>
      <c r="D11" s="14"/>
      <c r="E11" s="14"/>
      <c r="F11" s="14"/>
      <c r="G11" s="14"/>
      <c r="H11" s="441"/>
      <c r="I11" s="99"/>
      <c r="J11" s="598"/>
      <c r="K11" s="598"/>
      <c r="L11" s="816" t="s">
        <v>2810</v>
      </c>
      <c r="M11" s="838" t="str">
        <f>IF(R12,"Mandatory","N/A")</f>
        <v>Mandatory</v>
      </c>
      <c r="N11" s="562"/>
      <c r="O11" s="648"/>
      <c r="P11" s="562"/>
      <c r="Q11" s="562"/>
      <c r="R11" s="562"/>
      <c r="S11" s="562"/>
      <c r="T11" s="562"/>
      <c r="U11" s="562"/>
      <c r="V11" s="562"/>
      <c r="W11" s="562" t="s">
        <v>2811</v>
      </c>
      <c r="X11" s="825"/>
      <c r="Y11" s="562"/>
      <c r="Z11" s="562"/>
      <c r="AA11" s="562"/>
      <c r="AB11" s="562"/>
      <c r="AC11" s="562"/>
      <c r="AD11" s="562"/>
      <c r="AE11" s="562"/>
      <c r="AF11" s="562"/>
      <c r="AG11" s="562"/>
      <c r="AH11" s="562"/>
      <c r="AI11" s="562"/>
      <c r="AJ11" s="562"/>
      <c r="AK11" s="562"/>
      <c r="AL11" s="190" t="str">
        <f>SUBSTITUTE(SUBSTITUTE(SUBSTITUTE("dpa"&amp;$B11&amp;$C11&amp;$D11&amp;$E11&amp;$F11,".","_"),"(","_"),")","")</f>
        <v>dpa701_4</v>
      </c>
      <c r="AM11" s="190" t="str">
        <f>M11</f>
        <v>Mandatory</v>
      </c>
      <c r="AN11" s="562"/>
      <c r="AO11" s="562"/>
      <c r="AP11" s="562"/>
      <c r="AQ11" s="562"/>
      <c r="AR11" s="562" t="str">
        <f>SUBSTITUTE(SUBSTITUTE(SUBSTITUTE("dnt"&amp;$B12&amp;$C12&amp;$D12&amp;$E12&amp;$F12,".","_"),"(","_"),")","")</f>
        <v>dnt701_4</v>
      </c>
      <c r="AS11" s="190">
        <f t="shared" ref="AS11" si="0">X11</f>
        <v>0</v>
      </c>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row>
    <row r="12" spans="1:70" s="536" customFormat="1" x14ac:dyDescent="0.2">
      <c r="A12" s="13"/>
      <c r="B12" s="358" t="s">
        <v>2807</v>
      </c>
      <c r="C12" s="60"/>
      <c r="D12" s="14"/>
      <c r="E12" s="14"/>
      <c r="F12" s="14"/>
      <c r="G12" s="14"/>
      <c r="H12" s="441"/>
      <c r="I12" s="99"/>
      <c r="J12" s="598"/>
      <c r="K12" s="598"/>
      <c r="L12" s="816"/>
      <c r="M12" s="838"/>
      <c r="N12" s="562"/>
      <c r="O12" s="648"/>
      <c r="P12" s="129" t="b">
        <v>1</v>
      </c>
      <c r="Q12" s="129" t="b">
        <v>0</v>
      </c>
      <c r="R12" s="562" t="b">
        <f>S12</f>
        <v>1</v>
      </c>
      <c r="S12" s="562" t="b">
        <v>1</v>
      </c>
      <c r="T12" s="562" t="b">
        <f>AND(NOT(S12),LEN(W12)&gt;0)</f>
        <v>0</v>
      </c>
      <c r="U12" s="562" t="str">
        <f>SUBSTITUTE(SUBSTITUTE(SUBSTITUTE("dd"&amp;B12&amp;C12&amp;D12&amp;E12&amp;F12,".","_"),"(","_"),")","")</f>
        <v>dd701_4</v>
      </c>
      <c r="V12" s="562"/>
      <c r="W12" s="6"/>
      <c r="X12" s="797"/>
      <c r="Y12" s="562"/>
      <c r="Z12" s="562"/>
      <c r="AA12" s="562"/>
      <c r="AB12" s="562"/>
      <c r="AC12" s="562" t="b">
        <f>OR(AD12:AE12)</f>
        <v>1</v>
      </c>
      <c r="AD12" s="562" t="b">
        <f>T12</f>
        <v>0</v>
      </c>
      <c r="AE12" s="562" t="b">
        <f>AND(R12,OR(W12="",X11=""))</f>
        <v>1</v>
      </c>
      <c r="AF12" s="562"/>
      <c r="AG12" s="562"/>
      <c r="AH12" s="562"/>
      <c r="AI12" s="562"/>
      <c r="AJ12" s="562"/>
      <c r="AK12" s="562"/>
      <c r="AL12" s="562"/>
      <c r="AM12" s="562"/>
      <c r="AN12" s="562"/>
      <c r="AO12" s="562"/>
      <c r="AP12" s="562" t="str">
        <f>SUBSTITUTE(SUBSTITUTE(SUBSTITUTE("dch"&amp;$B12&amp;$C12&amp;$D12&amp;$E12&amp;$F12,".","_"),"(","_"),")","")</f>
        <v>dch701_4</v>
      </c>
      <c r="AQ12" s="562" t="str">
        <f>IF(LEN(W12)=0,"",W12)</f>
        <v/>
      </c>
      <c r="AR12" s="562"/>
      <c r="AS12" s="190"/>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row>
    <row r="13" spans="1:70" s="528" customFormat="1" x14ac:dyDescent="0.2">
      <c r="A13" s="13"/>
      <c r="B13" s="358" t="s">
        <v>2807</v>
      </c>
      <c r="C13" s="562"/>
      <c r="D13" s="562"/>
      <c r="E13" s="562"/>
      <c r="F13" s="562"/>
      <c r="G13" s="562"/>
      <c r="H13" s="441"/>
      <c r="I13" s="99"/>
      <c r="J13" s="598"/>
      <c r="K13" s="598"/>
      <c r="L13" s="816"/>
      <c r="M13" s="854"/>
      <c r="N13" s="562"/>
      <c r="O13" s="648"/>
      <c r="P13" s="562"/>
      <c r="Q13" s="562"/>
      <c r="R13" s="562"/>
      <c r="S13" s="562"/>
      <c r="T13" s="562"/>
      <c r="U13" s="562"/>
      <c r="V13" s="562"/>
      <c r="W13" s="562"/>
      <c r="X13" s="786"/>
      <c r="Y13" s="562"/>
      <c r="Z13" s="562"/>
      <c r="AA13" s="562"/>
      <c r="AB13" s="562"/>
      <c r="AC13" s="562"/>
      <c r="AD13" s="562"/>
      <c r="AE13" s="562"/>
      <c r="AF13" s="562"/>
      <c r="AG13" s="562"/>
      <c r="AH13" s="562"/>
      <c r="AI13" s="562"/>
      <c r="AJ13" s="562"/>
      <c r="AK13" s="562"/>
      <c r="AL13" s="562"/>
      <c r="AM13" s="562"/>
      <c r="AN13" s="562"/>
      <c r="AO13" s="562"/>
      <c r="AP13" s="562"/>
      <c r="AQ13" s="562"/>
      <c r="AR13" s="562"/>
      <c r="AS13" s="190"/>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row>
    <row r="14" spans="1:70" s="485" customFormat="1" x14ac:dyDescent="0.2">
      <c r="A14" s="13"/>
      <c r="B14" s="358" t="s">
        <v>2812</v>
      </c>
      <c r="C14" s="60"/>
      <c r="D14" s="14"/>
      <c r="E14" s="14"/>
      <c r="F14" s="14"/>
      <c r="G14" s="14"/>
      <c r="H14" s="441"/>
      <c r="I14" s="145" t="s">
        <v>2813</v>
      </c>
      <c r="J14" s="638"/>
      <c r="K14" s="638"/>
      <c r="L14" s="847" t="s">
        <v>2814</v>
      </c>
      <c r="M14" s="867" t="str">
        <f>IF(R14,"Mandatory","N/A")</f>
        <v>Mandatory</v>
      </c>
      <c r="N14" s="146"/>
      <c r="O14" s="617"/>
      <c r="P14" s="64" t="b">
        <v>0</v>
      </c>
      <c r="Q14" s="64" t="b">
        <v>1</v>
      </c>
      <c r="R14" s="148" t="b">
        <f>S14</f>
        <v>1</v>
      </c>
      <c r="S14" s="463" t="b">
        <v>1</v>
      </c>
      <c r="T14" s="148" t="b">
        <f>AND(NOT(S14),W14=TRUE)</f>
        <v>0</v>
      </c>
      <c r="U14" s="148"/>
      <c r="V14" s="148"/>
      <c r="W14" s="18"/>
      <c r="X14" s="787"/>
      <c r="Y14" s="562"/>
      <c r="Z14" s="562"/>
      <c r="AA14" s="562"/>
      <c r="AB14" s="562"/>
      <c r="AC14" s="562" t="b">
        <f>OR(AD14:AE14)</f>
        <v>1</v>
      </c>
      <c r="AD14" s="562" t="b">
        <f>T14</f>
        <v>0</v>
      </c>
      <c r="AE14" s="562" t="b">
        <f>AND(R14,NOT(W14))</f>
        <v>1</v>
      </c>
      <c r="AF14" s="562"/>
      <c r="AG14" s="562"/>
      <c r="AH14" s="562"/>
      <c r="AI14" s="562"/>
      <c r="AJ14" s="562"/>
      <c r="AK14" s="562"/>
      <c r="AL14" s="190" t="str">
        <f>SUBSTITUTE(SUBSTITUTE(SUBSTITUTE("dpa"&amp;$B14&amp;$C14&amp;$D14&amp;$E14&amp;$F14,".","_"),"(","_"),")","")</f>
        <v>dpa701_4_0</v>
      </c>
      <c r="AM14" s="190" t="str">
        <f>M14</f>
        <v>Mandatory</v>
      </c>
      <c r="AN14" s="562"/>
      <c r="AO14" s="562"/>
      <c r="AP14" s="190" t="str">
        <f>SUBSTITUTE(SUBSTITUTE(SUBSTITUTE("dch"&amp;$B14&amp;$C14&amp;$D14&amp;$E14&amp;$F14,".","_"),"(","_"),")","")</f>
        <v>dch701_4_0</v>
      </c>
      <c r="AQ14" s="190">
        <f>W14</f>
        <v>0</v>
      </c>
      <c r="AR14" s="190" t="str">
        <f>SUBSTITUTE(SUBSTITUTE(SUBSTITUTE("dnt"&amp;$B14&amp;$C14&amp;$D14&amp;$E14&amp;$F14,".","_"),"(","_"),")","")</f>
        <v>dnt701_4_0</v>
      </c>
      <c r="AS14" s="190">
        <f>X14</f>
        <v>0</v>
      </c>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row>
    <row r="15" spans="1:70" s="485" customFormat="1" x14ac:dyDescent="0.2">
      <c r="A15" s="13"/>
      <c r="B15" s="358" t="s">
        <v>2812</v>
      </c>
      <c r="C15" s="60"/>
      <c r="D15" s="14"/>
      <c r="E15" s="14"/>
      <c r="F15" s="14"/>
      <c r="G15" s="14"/>
      <c r="H15" s="441"/>
      <c r="I15" s="98"/>
      <c r="J15" s="598"/>
      <c r="K15" s="598"/>
      <c r="L15" s="820"/>
      <c r="M15" s="838"/>
      <c r="N15" s="98"/>
      <c r="O15" s="607"/>
      <c r="P15" s="64"/>
      <c r="Q15" s="64"/>
      <c r="R15" s="64"/>
      <c r="S15" s="64"/>
      <c r="T15" s="64"/>
      <c r="U15" s="64"/>
      <c r="V15" s="64"/>
      <c r="W15" s="64"/>
      <c r="X15" s="787"/>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row>
    <row r="16" spans="1:70" s="485" customFormat="1" x14ac:dyDescent="0.2">
      <c r="A16" s="13"/>
      <c r="B16" s="358" t="s">
        <v>2812</v>
      </c>
      <c r="C16" s="60"/>
      <c r="D16" s="14"/>
      <c r="E16" s="14"/>
      <c r="F16" s="14"/>
      <c r="G16" s="14"/>
      <c r="H16" s="441"/>
      <c r="I16" s="98"/>
      <c r="J16" s="598"/>
      <c r="K16" s="598"/>
      <c r="L16" s="820"/>
      <c r="M16" s="838"/>
      <c r="N16" s="98"/>
      <c r="O16" s="607"/>
      <c r="P16" s="64"/>
      <c r="Q16" s="64"/>
      <c r="R16" s="64"/>
      <c r="S16" s="64"/>
      <c r="T16" s="64"/>
      <c r="U16" s="64"/>
      <c r="V16" s="64"/>
      <c r="W16" s="64"/>
      <c r="X16" s="787"/>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row>
    <row r="17" spans="1:61" s="485" customFormat="1" x14ac:dyDescent="0.2">
      <c r="A17" s="13"/>
      <c r="B17" s="358" t="s">
        <v>2812</v>
      </c>
      <c r="C17" s="60"/>
      <c r="D17" s="14"/>
      <c r="E17" s="14"/>
      <c r="F17" s="14"/>
      <c r="G17" s="14"/>
      <c r="H17" s="441"/>
      <c r="I17" s="98"/>
      <c r="J17" s="598"/>
      <c r="K17" s="598"/>
      <c r="L17" s="820"/>
      <c r="M17" s="838"/>
      <c r="N17" s="98"/>
      <c r="O17" s="607"/>
      <c r="P17" s="64"/>
      <c r="Q17" s="64"/>
      <c r="R17" s="64"/>
      <c r="S17" s="64"/>
      <c r="T17" s="64"/>
      <c r="U17" s="64"/>
      <c r="V17" s="64"/>
      <c r="W17" s="64"/>
      <c r="X17" s="787"/>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row>
    <row r="18" spans="1:61" s="485" customFormat="1" x14ac:dyDescent="0.2">
      <c r="A18" s="13"/>
      <c r="B18" s="358" t="s">
        <v>2812</v>
      </c>
      <c r="C18" s="60"/>
      <c r="D18" s="14"/>
      <c r="E18" s="14"/>
      <c r="F18" s="14"/>
      <c r="G18" s="14"/>
      <c r="H18" s="441"/>
      <c r="I18" s="98"/>
      <c r="J18" s="598"/>
      <c r="K18" s="598"/>
      <c r="L18" s="820"/>
      <c r="M18" s="838"/>
      <c r="N18" s="98"/>
      <c r="O18" s="607"/>
      <c r="P18" s="64"/>
      <c r="Q18" s="64"/>
      <c r="R18" s="64"/>
      <c r="S18" s="64"/>
      <c r="T18" s="64"/>
      <c r="U18" s="64"/>
      <c r="V18" s="64"/>
      <c r="W18" s="64"/>
      <c r="X18" s="787"/>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row>
    <row r="19" spans="1:61" s="485" customFormat="1" x14ac:dyDescent="0.2">
      <c r="A19" s="13"/>
      <c r="B19" s="358" t="s">
        <v>2812</v>
      </c>
      <c r="C19" s="60"/>
      <c r="D19" s="14"/>
      <c r="E19" s="14"/>
      <c r="F19" s="14"/>
      <c r="G19" s="14"/>
      <c r="H19" s="441"/>
      <c r="I19" s="99"/>
      <c r="J19" s="598"/>
      <c r="K19" s="598"/>
      <c r="L19" s="820"/>
      <c r="M19" s="838"/>
      <c r="N19" s="98"/>
      <c r="O19" s="607"/>
      <c r="P19" s="64"/>
      <c r="Q19" s="64"/>
      <c r="R19" s="64"/>
      <c r="S19" s="64"/>
      <c r="T19" s="64"/>
      <c r="U19" s="64"/>
      <c r="V19" s="64"/>
      <c r="W19" s="64"/>
      <c r="X19" s="787"/>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row>
    <row r="20" spans="1:61" x14ac:dyDescent="0.2">
      <c r="B20" s="358" t="s">
        <v>2815</v>
      </c>
      <c r="C20" s="60"/>
      <c r="D20" s="14"/>
      <c r="E20" s="14"/>
      <c r="F20" s="14"/>
      <c r="G20" s="14"/>
      <c r="H20" s="441"/>
      <c r="I20" s="170" t="s">
        <v>2816</v>
      </c>
      <c r="J20" s="599"/>
      <c r="K20" s="599"/>
      <c r="L20" s="641" t="s">
        <v>2817</v>
      </c>
      <c r="M20" s="611"/>
      <c r="N20" s="165"/>
      <c r="O20" s="608"/>
      <c r="P20" s="129"/>
      <c r="Q20" s="129"/>
      <c r="R20" s="129"/>
      <c r="S20" s="129"/>
      <c r="T20" s="129"/>
      <c r="U20" s="129"/>
      <c r="V20" s="129"/>
      <c r="W20" s="129"/>
      <c r="X20" s="787"/>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94" t="str">
        <f>'Overview (Design)'!A8</f>
        <v>Builder Name:</v>
      </c>
      <c r="AY20" s="562" t="str">
        <f>'Overview (Design)'!G8</f>
        <v>AAA Green Builders</v>
      </c>
      <c r="AZ20" s="562"/>
      <c r="BA20" s="562"/>
      <c r="BB20" s="562"/>
      <c r="BC20" s="562"/>
      <c r="BD20" s="562"/>
      <c r="BE20" s="562"/>
      <c r="BF20" s="562"/>
      <c r="BG20" s="562"/>
      <c r="BH20" s="562"/>
      <c r="BI20" s="562"/>
    </row>
    <row r="21" spans="1:61" x14ac:dyDescent="0.2">
      <c r="B21" s="358" t="s">
        <v>2818</v>
      </c>
      <c r="C21" s="358"/>
      <c r="D21" s="14"/>
      <c r="E21" s="14"/>
      <c r="F21" s="14"/>
      <c r="G21" s="14"/>
      <c r="H21" s="441"/>
      <c r="I21" s="145" t="s">
        <v>2819</v>
      </c>
      <c r="J21" s="638"/>
      <c r="K21" s="638"/>
      <c r="L21" s="847" t="s">
        <v>2820</v>
      </c>
      <c r="M21" s="867" t="str">
        <f>IF(R21,"Mandatory","N/A")</f>
        <v>Mandatory</v>
      </c>
      <c r="N21" s="146"/>
      <c r="O21" s="617"/>
      <c r="P21" s="64" t="b">
        <v>1</v>
      </c>
      <c r="Q21" s="64" t="b">
        <v>0</v>
      </c>
      <c r="R21" s="148" t="b">
        <f>S21</f>
        <v>1</v>
      </c>
      <c r="S21" s="463" t="b">
        <v>1</v>
      </c>
      <c r="T21" s="148" t="b">
        <f>AND(NOT(S21),W21=TRUE)</f>
        <v>0</v>
      </c>
      <c r="U21" s="148"/>
      <c r="V21" s="148"/>
      <c r="W21" s="219"/>
      <c r="X21" s="798"/>
      <c r="Y21" s="562"/>
      <c r="Z21" s="562"/>
      <c r="AA21" s="562"/>
      <c r="AB21" s="562"/>
      <c r="AC21" s="562" t="b">
        <f>OR(AD21:AE21)</f>
        <v>1</v>
      </c>
      <c r="AD21" s="562" t="b">
        <f>T21</f>
        <v>0</v>
      </c>
      <c r="AE21" s="562" t="b">
        <f>AND(R21,NOT(W21))</f>
        <v>1</v>
      </c>
      <c r="AF21" s="562"/>
      <c r="AG21" s="562"/>
      <c r="AH21" s="562"/>
      <c r="AI21" s="562"/>
      <c r="AJ21" s="562"/>
      <c r="AK21" s="562"/>
      <c r="AL21" s="190" t="str">
        <f>SUBSTITUTE(SUBSTITUTE(SUBSTITUTE("dpa"&amp;$B21&amp;$C21&amp;$D21&amp;$E21&amp;$F21,".","_"),"(","_"),")","")</f>
        <v>dpa701_4_1_1</v>
      </c>
      <c r="AM21" s="190" t="str">
        <f>M21</f>
        <v>Mandatory</v>
      </c>
      <c r="AN21" s="562"/>
      <c r="AO21" s="562"/>
      <c r="AP21" s="190" t="str">
        <f>SUBSTITUTE(SUBSTITUTE(SUBSTITUTE("dch"&amp;$B21&amp;$C21&amp;$D21&amp;$E21&amp;$F21,".","_"),"(","_"),")","")</f>
        <v>dch701_4_1_1</v>
      </c>
      <c r="AQ21" s="190">
        <f>W21</f>
        <v>0</v>
      </c>
      <c r="AR21" s="190" t="str">
        <f>SUBSTITUTE(SUBSTITUTE(SUBSTITUTE("dnt"&amp;$B21&amp;$C21&amp;$D21&amp;$E21&amp;$F21,".","_"),"(","_"),")","")</f>
        <v>dnt701_4_1_1</v>
      </c>
      <c r="AS21" s="190">
        <f>X21</f>
        <v>0</v>
      </c>
      <c r="AT21" s="562"/>
      <c r="AU21" s="562"/>
      <c r="AV21" s="562"/>
      <c r="AW21" s="562"/>
      <c r="AX21" s="594" t="str">
        <f>'Overview (Design)'!A9</f>
        <v>Physical Address of Home:</v>
      </c>
      <c r="AY21" s="562" t="str">
        <f>'Overview (Design)'!G9</f>
        <v>6666 Oak St.</v>
      </c>
      <c r="AZ21" s="562"/>
      <c r="BA21" s="562"/>
      <c r="BB21" s="562"/>
      <c r="BC21" s="562"/>
      <c r="BD21" s="562"/>
      <c r="BE21" s="562"/>
      <c r="BF21" s="562"/>
      <c r="BG21" s="562"/>
      <c r="BH21" s="562"/>
      <c r="BI21" s="562"/>
    </row>
    <row r="22" spans="1:61" x14ac:dyDescent="0.2">
      <c r="B22" s="358" t="s">
        <v>2818</v>
      </c>
      <c r="C22" s="358"/>
      <c r="D22" s="14"/>
      <c r="E22" s="14"/>
      <c r="F22" s="14"/>
      <c r="G22" s="14"/>
      <c r="H22" s="441"/>
      <c r="I22" s="98"/>
      <c r="J22" s="598"/>
      <c r="K22" s="598"/>
      <c r="L22" s="820"/>
      <c r="M22" s="838"/>
      <c r="N22" s="98"/>
      <c r="O22" s="607"/>
      <c r="P22" s="64"/>
      <c r="Q22" s="64"/>
      <c r="R22" s="64"/>
      <c r="S22" s="64"/>
      <c r="T22" s="64"/>
      <c r="U22" s="64"/>
      <c r="V22" s="64"/>
      <c r="W22" s="64"/>
      <c r="X22" s="798"/>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94" t="str">
        <f>'Overview (Design)'!A10</f>
        <v>Community/Lot #:</v>
      </c>
      <c r="AY22" s="562">
        <f>'Overview (Design)'!G10</f>
        <v>0</v>
      </c>
      <c r="AZ22" s="562"/>
      <c r="BA22" s="562"/>
      <c r="BB22" s="562"/>
      <c r="BC22" s="562"/>
      <c r="BD22" s="562"/>
      <c r="BE22" s="562"/>
      <c r="BF22" s="562"/>
      <c r="BG22" s="562"/>
      <c r="BH22" s="562"/>
      <c r="BI22" s="562"/>
    </row>
    <row r="23" spans="1:61" x14ac:dyDescent="0.2">
      <c r="B23" s="358" t="s">
        <v>2818</v>
      </c>
      <c r="C23" s="358"/>
      <c r="D23" s="14"/>
      <c r="E23" s="14"/>
      <c r="F23" s="14"/>
      <c r="G23" s="14"/>
      <c r="H23" s="441"/>
      <c r="I23" s="165"/>
      <c r="J23" s="599"/>
      <c r="K23" s="599"/>
      <c r="L23" s="832"/>
      <c r="M23" s="854"/>
      <c r="N23" s="165"/>
      <c r="O23" s="608"/>
      <c r="P23" s="129"/>
      <c r="Q23" s="129"/>
      <c r="R23" s="129"/>
      <c r="S23" s="129"/>
      <c r="T23" s="129"/>
      <c r="U23" s="129"/>
      <c r="V23" s="129"/>
      <c r="W23" s="129"/>
      <c r="X23" s="798"/>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94" t="str">
        <f>'Overview (Design)'!A11</f>
        <v>City:</v>
      </c>
      <c r="AY23" s="562" t="str">
        <f>'Overview (Design)'!G11</f>
        <v>Raleigh</v>
      </c>
      <c r="AZ23" s="562"/>
      <c r="BA23" s="562"/>
      <c r="BB23" s="562"/>
      <c r="BC23" s="562"/>
      <c r="BD23" s="562"/>
      <c r="BE23" s="562"/>
      <c r="BF23" s="562"/>
      <c r="BG23" s="562"/>
      <c r="BH23" s="562"/>
      <c r="BI23" s="562"/>
    </row>
    <row r="24" spans="1:61" x14ac:dyDescent="0.2">
      <c r="B24" s="358" t="s">
        <v>2821</v>
      </c>
      <c r="C24" s="358"/>
      <c r="D24" s="14"/>
      <c r="E24" s="14"/>
      <c r="F24" s="14"/>
      <c r="G24" s="14"/>
      <c r="H24" s="441"/>
      <c r="I24" s="278" t="s">
        <v>2822</v>
      </c>
      <c r="J24" s="638"/>
      <c r="K24" s="638"/>
      <c r="L24" s="847" t="s">
        <v>2823</v>
      </c>
      <c r="M24" s="867" t="str">
        <f>IF(R24,"Mandatory","N/A")</f>
        <v>Mandatory</v>
      </c>
      <c r="N24" s="146"/>
      <c r="O24" s="617"/>
      <c r="P24" s="64" t="b">
        <v>1</v>
      </c>
      <c r="Q24" s="64" t="b">
        <v>0</v>
      </c>
      <c r="R24" s="148" t="b">
        <f>S24</f>
        <v>1</v>
      </c>
      <c r="S24" s="463" t="b">
        <v>1</v>
      </c>
      <c r="T24" s="148" t="b">
        <f>AND(NOT(S24),LEN(W24)&gt;0)</f>
        <v>0</v>
      </c>
      <c r="U24" s="148" t="str">
        <f>SUBSTITUTE(SUBSTITUTE(SUBSTITUTE("dd"&amp;B24&amp;C24&amp;D24&amp;E24&amp;F24,".","_"),"(","_"),")","")</f>
        <v>dd701_4_1_2</v>
      </c>
      <c r="V24" s="148"/>
      <c r="W24" s="78"/>
      <c r="X24" s="798"/>
      <c r="Y24" s="562"/>
      <c r="Z24" s="562"/>
      <c r="AA24" s="562"/>
      <c r="AB24" s="562"/>
      <c r="AC24" s="562" t="b">
        <f>OR(AD24:AE24)</f>
        <v>1</v>
      </c>
      <c r="AD24" s="562" t="b">
        <f>T24</f>
        <v>0</v>
      </c>
      <c r="AE24" s="562" t="b">
        <f>AND(R24,OR(W24="Not Met",W24=""))</f>
        <v>1</v>
      </c>
      <c r="AF24" s="562"/>
      <c r="AG24" s="562"/>
      <c r="AH24" s="562"/>
      <c r="AI24" s="562"/>
      <c r="AJ24" s="562"/>
      <c r="AK24" s="562"/>
      <c r="AL24" s="190" t="str">
        <f>SUBSTITUTE(SUBSTITUTE(SUBSTITUTE("dpa"&amp;$B24&amp;$C24&amp;$D24&amp;$E24&amp;$F24,".","_"),"(","_"),")","")</f>
        <v>dpa701_4_1_2</v>
      </c>
      <c r="AM24" s="190" t="str">
        <f>M24</f>
        <v>Mandatory</v>
      </c>
      <c r="AN24" s="562"/>
      <c r="AO24" s="562"/>
      <c r="AP24" s="190" t="str">
        <f>SUBSTITUTE(SUBSTITUTE(SUBSTITUTE("dch"&amp;$B24&amp;$C24&amp;$D24&amp;$E24&amp;$F24,".","_"),"(","_"),")","")</f>
        <v>dch701_4_1_2</v>
      </c>
      <c r="AQ24" s="190">
        <f>W24</f>
        <v>0</v>
      </c>
      <c r="AR24" s="190" t="str">
        <f>SUBSTITUTE(SUBSTITUTE(SUBSTITUTE("dnt"&amp;$B24&amp;$C24&amp;$D24&amp;$E24&amp;$F24,".","_"),"(","_"),")","")</f>
        <v>dnt701_4_1_2</v>
      </c>
      <c r="AS24" s="190">
        <f>X24</f>
        <v>0</v>
      </c>
      <c r="AT24" s="562"/>
      <c r="AU24" s="562"/>
      <c r="AV24" s="562"/>
      <c r="AW24" s="562"/>
      <c r="AX24" s="594" t="str">
        <f>'Overview (Design)'!A12</f>
        <v>State:</v>
      </c>
      <c r="AY24" s="562" t="str">
        <f>'Overview (Design)'!G12</f>
        <v>North Carolina</v>
      </c>
      <c r="AZ24" s="562"/>
      <c r="BA24" s="562"/>
      <c r="BB24" s="562"/>
      <c r="BC24" s="562" t="str">
        <f>'Overview (Design)'!K12</f>
        <v>State</v>
      </c>
      <c r="BD24" s="562" t="str">
        <f>'Overview (Design)'!L12</f>
        <v>County</v>
      </c>
      <c r="BE24" s="562" t="str">
        <f>'Overview (Design)'!M12</f>
        <v>Radon</v>
      </c>
      <c r="BF24" s="562" t="str">
        <f>'Overview (Design)'!N12</f>
        <v>Climate</v>
      </c>
      <c r="BG24" s="562" t="str">
        <f>'Overview (Design)'!O12</f>
        <v>Moist</v>
      </c>
      <c r="BH24" s="562" t="str">
        <f>'Overview (Design)'!P12</f>
        <v>WarmHumid</v>
      </c>
      <c r="BI24" s="562" t="str">
        <f>'Overview (Design)'!Q12</f>
        <v>Tropical</v>
      </c>
    </row>
    <row r="25" spans="1:61" x14ac:dyDescent="0.2">
      <c r="B25" s="358" t="s">
        <v>2821</v>
      </c>
      <c r="C25" s="358"/>
      <c r="D25" s="14"/>
      <c r="E25" s="14"/>
      <c r="F25" s="14"/>
      <c r="G25" s="14"/>
      <c r="H25" s="441"/>
      <c r="I25" s="98"/>
      <c r="J25" s="598"/>
      <c r="K25" s="598"/>
      <c r="L25" s="820"/>
      <c r="M25" s="838"/>
      <c r="N25" s="98"/>
      <c r="O25" s="607"/>
      <c r="P25" s="64"/>
      <c r="Q25" s="64"/>
      <c r="R25" s="64"/>
      <c r="S25" s="64"/>
      <c r="T25" s="64"/>
      <c r="U25" s="64"/>
      <c r="V25" s="64"/>
      <c r="W25" s="64"/>
      <c r="X25" s="798"/>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94" t="str">
        <f>'Overview (Design)'!A13</f>
        <v>County:</v>
      </c>
      <c r="AY25" s="562">
        <f>'Overview (Design)'!G13</f>
        <v>0</v>
      </c>
      <c r="AZ25" s="562"/>
      <c r="BA25" s="562"/>
      <c r="BB25" s="562"/>
      <c r="BC25" s="562" t="str">
        <f>'Overview (Design)'!K13</f>
        <v>North Carolina</v>
      </c>
      <c r="BD25" s="562" t="str">
        <f>'Overview (Design)'!L13</f>
        <v/>
      </c>
      <c r="BE25" s="562" t="str">
        <f>'Overview (Design)'!M13</f>
        <v>!!</v>
      </c>
      <c r="BF25" s="562" t="str">
        <f>'Overview (Design)'!N13</f>
        <v>!!</v>
      </c>
      <c r="BG25" s="562" t="str">
        <f>'Overview (Design)'!O13</f>
        <v>!!</v>
      </c>
      <c r="BH25" s="562" t="str">
        <f>'Overview (Design)'!P13</f>
        <v>!!</v>
      </c>
      <c r="BI25" s="562" t="str">
        <f>'Overview (Design)'!Q13</f>
        <v>!!</v>
      </c>
    </row>
    <row r="26" spans="1:61" x14ac:dyDescent="0.2">
      <c r="B26" s="358" t="s">
        <v>2821</v>
      </c>
      <c r="C26" s="358"/>
      <c r="D26" s="14"/>
      <c r="E26" s="14"/>
      <c r="F26" s="14"/>
      <c r="G26" s="14"/>
      <c r="H26" s="441"/>
      <c r="I26" s="98"/>
      <c r="J26" s="598"/>
      <c r="K26" s="598"/>
      <c r="L26" s="820"/>
      <c r="M26" s="838"/>
      <c r="N26" s="98"/>
      <c r="O26" s="607"/>
      <c r="P26" s="64"/>
      <c r="Q26" s="64"/>
      <c r="R26" s="64"/>
      <c r="S26" s="64"/>
      <c r="T26" s="64"/>
      <c r="U26" s="64"/>
      <c r="V26" s="64"/>
      <c r="W26" s="64"/>
      <c r="X26" s="798"/>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94" t="str">
        <f>'Overview (Design)'!A14</f>
        <v>Zip:</v>
      </c>
      <c r="AY26" s="562" t="str">
        <f>'Overview (Design)'!G14</f>
        <v>99999</v>
      </c>
      <c r="AZ26" s="562"/>
      <c r="BA26" s="562"/>
      <c r="BB26" s="562"/>
      <c r="BC26" s="562"/>
      <c r="BD26" s="562"/>
      <c r="BE26" s="562"/>
      <c r="BF26" s="562"/>
      <c r="BG26" s="562"/>
      <c r="BH26" s="562"/>
      <c r="BI26" s="562"/>
    </row>
    <row r="27" spans="1:61" x14ac:dyDescent="0.2">
      <c r="B27" s="358" t="s">
        <v>2821</v>
      </c>
      <c r="C27" s="358"/>
      <c r="D27" s="14"/>
      <c r="E27" s="14"/>
      <c r="F27" s="14"/>
      <c r="G27" s="14"/>
      <c r="H27" s="441"/>
      <c r="I27" s="98"/>
      <c r="J27" s="598"/>
      <c r="K27" s="598"/>
      <c r="L27" s="820"/>
      <c r="M27" s="838"/>
      <c r="N27" s="98"/>
      <c r="O27" s="607"/>
      <c r="P27" s="64"/>
      <c r="Q27" s="64"/>
      <c r="R27" s="64"/>
      <c r="S27" s="64"/>
      <c r="T27" s="64"/>
      <c r="U27" s="64"/>
      <c r="V27" s="64"/>
      <c r="W27" s="64"/>
      <c r="X27" s="798"/>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94"/>
      <c r="AY27" s="562"/>
      <c r="AZ27" s="562"/>
      <c r="BA27" s="562"/>
      <c r="BB27" s="562"/>
      <c r="BC27" s="562"/>
      <c r="BD27" s="562"/>
      <c r="BE27" s="562"/>
      <c r="BF27" s="562"/>
      <c r="BG27" s="562"/>
      <c r="BH27" s="562"/>
      <c r="BI27" s="562"/>
    </row>
    <row r="28" spans="1:61" x14ac:dyDescent="0.2">
      <c r="B28" s="358" t="s">
        <v>2821</v>
      </c>
      <c r="C28" s="358"/>
      <c r="D28" s="14"/>
      <c r="E28" s="14"/>
      <c r="F28" s="14"/>
      <c r="G28" s="14"/>
      <c r="H28" s="441"/>
      <c r="I28" s="165"/>
      <c r="J28" s="599"/>
      <c r="K28" s="599"/>
      <c r="L28" s="832"/>
      <c r="M28" s="854"/>
      <c r="N28" s="165"/>
      <c r="O28" s="608"/>
      <c r="P28" s="129"/>
      <c r="Q28" s="129"/>
      <c r="R28" s="129"/>
      <c r="S28" s="129"/>
      <c r="T28" s="129"/>
      <c r="U28" s="129"/>
      <c r="V28" s="129"/>
      <c r="W28" s="129"/>
      <c r="X28" s="798"/>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94" t="str">
        <f>'Overview (Design)'!A16</f>
        <v>Single-Family or Multifamily:</v>
      </c>
      <c r="AY28" s="562" t="str">
        <f>'Overview (Design)'!G16</f>
        <v>Single-Family</v>
      </c>
      <c r="AZ28" s="562"/>
      <c r="BA28" s="562"/>
      <c r="BB28" s="562"/>
      <c r="BC28" s="562"/>
      <c r="BD28" s="562"/>
      <c r="BE28" s="562"/>
      <c r="BF28" s="562"/>
      <c r="BG28" s="562"/>
      <c r="BH28" s="562"/>
      <c r="BI28" s="562"/>
    </row>
    <row r="29" spans="1:61" x14ac:dyDescent="0.2">
      <c r="B29" s="358" t="s">
        <v>2824</v>
      </c>
      <c r="C29" s="358"/>
      <c r="D29" s="14"/>
      <c r="E29" s="14"/>
      <c r="F29" s="14"/>
      <c r="G29" s="14"/>
      <c r="H29" s="441"/>
      <c r="I29" s="278" t="s">
        <v>2825</v>
      </c>
      <c r="J29" s="638"/>
      <c r="K29" s="638"/>
      <c r="L29" s="639" t="s">
        <v>2826</v>
      </c>
      <c r="M29" s="624"/>
      <c r="N29" s="146"/>
      <c r="O29" s="617"/>
      <c r="P29" s="148"/>
      <c r="Q29" s="148"/>
      <c r="R29" s="148"/>
      <c r="S29" s="148"/>
      <c r="T29" s="148"/>
      <c r="U29" s="148"/>
      <c r="V29" s="148"/>
      <c r="W29" s="148"/>
      <c r="X29" s="148"/>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94" t="str">
        <f>'Overview (Design)'!A17</f>
        <v>Number of Units:</v>
      </c>
      <c r="AY29" s="562">
        <f>'Overview (Design)'!G17</f>
        <v>0</v>
      </c>
      <c r="AZ29" s="562"/>
      <c r="BA29" s="562"/>
      <c r="BB29" s="562"/>
      <c r="BC29" s="562"/>
      <c r="BD29" s="562"/>
      <c r="BE29" s="562"/>
      <c r="BF29" s="562"/>
      <c r="BG29" s="562"/>
      <c r="BH29" s="562"/>
      <c r="BI29" s="562"/>
    </row>
    <row r="30" spans="1:61" x14ac:dyDescent="0.2">
      <c r="B30" s="358" t="s">
        <v>2815</v>
      </c>
      <c r="C30" s="358"/>
      <c r="D30" s="14"/>
      <c r="E30" s="14"/>
      <c r="F30" s="14"/>
      <c r="G30" s="14"/>
      <c r="H30" s="441"/>
      <c r="I30" s="268" t="s">
        <v>2827</v>
      </c>
      <c r="J30" s="598"/>
      <c r="K30" s="598"/>
      <c r="L30" s="820" t="s">
        <v>2828</v>
      </c>
      <c r="M30" s="838" t="str">
        <f ca="1">IF(R30,"Mandatory","N/A")</f>
        <v>Mandatory</v>
      </c>
      <c r="N30" s="98"/>
      <c r="O30" s="607"/>
      <c r="P30" s="64" t="b">
        <v>1</v>
      </c>
      <c r="Q30" s="64" t="b">
        <v>0</v>
      </c>
      <c r="R30" s="64" t="b">
        <f ca="1">S30</f>
        <v>1</v>
      </c>
      <c r="S30" s="464" t="b">
        <f ca="1">AND(NOT(AND(OR(AY48=INDEX(INDIRECT('Overview (Design)'!$E$34),2),AY48=INDEX(INDIRECT('Overview (Design)'!$E$34),3)),OR(AY52=INDEX(INDIRECT('Overview (Design)'!$E$38),2),AY52=INDEX(INDIRECT('Overview (Design)'!$E$38),3)))))</f>
        <v>1</v>
      </c>
      <c r="T30" s="64" t="b">
        <f ca="1">AND(NOT(S30),W30=TRUE)</f>
        <v>0</v>
      </c>
      <c r="U30" s="64"/>
      <c r="V30" s="64"/>
      <c r="W30" s="18"/>
      <c r="X30" s="787"/>
      <c r="Y30" s="562"/>
      <c r="Z30" s="562"/>
      <c r="AA30" s="562"/>
      <c r="AB30" s="562"/>
      <c r="AC30" s="562" t="b">
        <f ca="1">OR(AD30:AE30)</f>
        <v>1</v>
      </c>
      <c r="AD30" s="562" t="b">
        <f ca="1">T30</f>
        <v>0</v>
      </c>
      <c r="AE30" s="562" t="b">
        <f ca="1">AND(R30,NOT(W30))</f>
        <v>1</v>
      </c>
      <c r="AF30" s="562"/>
      <c r="AG30" s="562"/>
      <c r="AH30" s="562"/>
      <c r="AI30" s="562"/>
      <c r="AJ30" s="562"/>
      <c r="AK30" s="562"/>
      <c r="AL30" s="190" t="str">
        <f>SUBSTITUTE(SUBSTITUTE(SUBSTITUTE("dpa"&amp;$B30&amp;$C30&amp;$D30&amp;$E30&amp;$F30,".","_"),"(","_"),")","")</f>
        <v>dpa701_4_1</v>
      </c>
      <c r="AM30" s="190" t="str">
        <f ca="1">M30</f>
        <v>Mandatory</v>
      </c>
      <c r="AN30" s="562"/>
      <c r="AO30" s="562"/>
      <c r="AP30" s="190" t="str">
        <f>SUBSTITUTE(SUBSTITUTE(SUBSTITUTE("dch"&amp;$B30&amp;$C30&amp;$D30&amp;$E30&amp;$F30,".","_"),"(","_"),")","")</f>
        <v>dch701_4_1</v>
      </c>
      <c r="AQ30" s="190">
        <f>W30</f>
        <v>0</v>
      </c>
      <c r="AR30" s="190" t="str">
        <f>SUBSTITUTE(SUBSTITUTE(SUBSTITUTE("dnt"&amp;$B30&amp;$C30&amp;$D30&amp;$E30&amp;$F30,".","_"),"(","_"),")","")</f>
        <v>dnt701_4_1</v>
      </c>
      <c r="AS30" s="190">
        <f>X30</f>
        <v>0</v>
      </c>
      <c r="AT30" s="562"/>
      <c r="AU30" s="562"/>
      <c r="AV30" s="562"/>
      <c r="AW30" s="562"/>
      <c r="AX30" s="594" t="str">
        <f>'Overview (Design)'!A18</f>
        <v>Project Name:</v>
      </c>
      <c r="AY30" s="562">
        <f>'Overview (Design)'!G18</f>
        <v>0</v>
      </c>
      <c r="AZ30" s="562"/>
      <c r="BA30" s="562"/>
      <c r="BB30" s="562"/>
      <c r="BC30" s="562"/>
      <c r="BD30" s="562"/>
      <c r="BE30" s="562"/>
      <c r="BF30" s="562"/>
      <c r="BG30" s="562"/>
      <c r="BH30" s="562"/>
      <c r="BI30" s="562"/>
    </row>
    <row r="31" spans="1:61" x14ac:dyDescent="0.2">
      <c r="B31" s="358" t="s">
        <v>2815</v>
      </c>
      <c r="C31" s="358"/>
      <c r="D31" s="14"/>
      <c r="E31" s="14"/>
      <c r="F31" s="14"/>
      <c r="G31" s="14"/>
      <c r="H31" s="441"/>
      <c r="I31" s="268"/>
      <c r="J31" s="598"/>
      <c r="K31" s="598"/>
      <c r="L31" s="820"/>
      <c r="M31" s="838"/>
      <c r="N31" s="98"/>
      <c r="O31" s="607"/>
      <c r="P31" s="64"/>
      <c r="Q31" s="64"/>
      <c r="R31" s="64"/>
      <c r="S31" s="64"/>
      <c r="T31" s="64"/>
      <c r="U31" s="64"/>
      <c r="V31" s="64"/>
      <c r="W31" s="64"/>
      <c r="X31" s="787"/>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94"/>
      <c r="AY31" s="562"/>
      <c r="AZ31" s="562"/>
      <c r="BA31" s="562"/>
      <c r="BB31" s="562"/>
      <c r="BC31" s="562"/>
      <c r="BD31" s="562"/>
      <c r="BE31" s="562"/>
      <c r="BF31" s="562"/>
      <c r="BG31" s="562"/>
      <c r="BH31" s="562"/>
      <c r="BI31" s="562"/>
    </row>
    <row r="32" spans="1:61" ht="15" customHeight="1" x14ac:dyDescent="0.2">
      <c r="B32" s="358" t="s">
        <v>2815</v>
      </c>
      <c r="C32" s="358"/>
      <c r="D32" s="14"/>
      <c r="E32" s="14"/>
      <c r="F32" s="14"/>
      <c r="G32" s="14"/>
      <c r="H32" s="441"/>
      <c r="I32" s="279"/>
      <c r="J32" s="599"/>
      <c r="K32" s="599"/>
      <c r="L32" s="832"/>
      <c r="M32" s="854"/>
      <c r="N32" s="165"/>
      <c r="O32" s="608"/>
      <c r="P32" s="129"/>
      <c r="Q32" s="129"/>
      <c r="R32" s="129"/>
      <c r="S32" s="129"/>
      <c r="T32" s="129"/>
      <c r="U32" s="129"/>
      <c r="V32" s="129"/>
      <c r="W32" s="129"/>
      <c r="X32" s="787"/>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94" t="str">
        <f>'Overview (Design)'!A21</f>
        <v>Above grade plane finished floor area:</v>
      </c>
      <c r="AY32" s="562">
        <f>'Overview (Design)'!G21</f>
        <v>0</v>
      </c>
      <c r="AZ32" s="562"/>
      <c r="BA32" s="562"/>
      <c r="BB32" s="562"/>
      <c r="BC32" s="562"/>
      <c r="BD32" s="562"/>
      <c r="BE32" s="562"/>
      <c r="BF32" s="562"/>
      <c r="BG32" s="562"/>
      <c r="BH32" s="562"/>
      <c r="BI32" s="562"/>
    </row>
    <row r="33" spans="1:51" ht="15" customHeight="1" x14ac:dyDescent="0.2">
      <c r="B33" s="358" t="s">
        <v>2829</v>
      </c>
      <c r="C33" s="358"/>
      <c r="D33" s="14"/>
      <c r="E33" s="14"/>
      <c r="F33" s="14"/>
      <c r="G33" s="14"/>
      <c r="H33" s="441"/>
      <c r="I33" s="278" t="s">
        <v>2830</v>
      </c>
      <c r="J33" s="638"/>
      <c r="K33" s="638"/>
      <c r="L33" s="865" t="s">
        <v>2831</v>
      </c>
      <c r="M33" s="867" t="str">
        <f ca="1">IF(R33,"Mandatory","N/A")</f>
        <v>Mandatory</v>
      </c>
      <c r="N33" s="146"/>
      <c r="O33" s="617"/>
      <c r="P33" s="64" t="b">
        <v>1</v>
      </c>
      <c r="Q33" s="64" t="b">
        <v>0</v>
      </c>
      <c r="R33" s="166" t="b">
        <f ca="1">S33</f>
        <v>1</v>
      </c>
      <c r="S33" s="465" t="b">
        <f ca="1">AND(NOT(AND(OR(AY48=INDEX(INDIRECT('Overview (Design)'!$E$34),2),AY48=INDEX(INDIRECT('Overview (Design)'!$E$34),3)),OR(AY52=INDEX(INDIRECT('Overview (Design)'!$E$38),2),AY52=INDEX(INDIRECT('Overview (Design)'!$E$38),3)))))</f>
        <v>1</v>
      </c>
      <c r="T33" s="166" t="b">
        <f ca="1">AND(NOT(S33),W33=TRUE)</f>
        <v>0</v>
      </c>
      <c r="U33" s="166"/>
      <c r="V33" s="166"/>
      <c r="W33" s="219"/>
      <c r="X33" s="825"/>
      <c r="Y33" s="562"/>
      <c r="Z33" s="562"/>
      <c r="AA33" s="562"/>
      <c r="AB33" s="562"/>
      <c r="AC33" s="562" t="b">
        <f ca="1">OR(AD33:AE33)</f>
        <v>1</v>
      </c>
      <c r="AD33" s="562" t="b">
        <f ca="1">T33</f>
        <v>0</v>
      </c>
      <c r="AE33" s="562" t="b">
        <f ca="1">AND(R33,NOT(W33))</f>
        <v>1</v>
      </c>
      <c r="AF33" s="562"/>
      <c r="AG33" s="562"/>
      <c r="AH33" s="562"/>
      <c r="AI33" s="562"/>
      <c r="AJ33" s="562"/>
      <c r="AK33" s="562"/>
      <c r="AL33" s="190" t="str">
        <f>SUBSTITUTE(SUBSTITUTE(SUBSTITUTE("dpa"&amp;$B33&amp;$C33&amp;$D33&amp;$E33&amp;$F33,".","_"),"(","_"),")","")</f>
        <v>dpa701_4_2_2</v>
      </c>
      <c r="AM33" s="190" t="str">
        <f ca="1">M33</f>
        <v>Mandatory</v>
      </c>
      <c r="AN33" s="562"/>
      <c r="AO33" s="562"/>
      <c r="AP33" s="190" t="str">
        <f>SUBSTITUTE(SUBSTITUTE(SUBSTITUTE("dch"&amp;$B33&amp;$C33&amp;$D33&amp;$E33&amp;$F33,".","_"),"(","_"),")","")</f>
        <v>dch701_4_2_2</v>
      </c>
      <c r="AQ33" s="190">
        <f>W33</f>
        <v>0</v>
      </c>
      <c r="AR33" s="190" t="str">
        <f t="shared" ref="AR33:AR36" si="1">SUBSTITUTE(SUBSTITUTE(SUBSTITUTE("dnt"&amp;$B33&amp;$C33&amp;$D33&amp;$E33&amp;$F33,".","_"),"(","_"),")","")</f>
        <v>dnt701_4_2_2</v>
      </c>
      <c r="AS33" s="190">
        <f>X33</f>
        <v>0</v>
      </c>
      <c r="AT33" s="562"/>
      <c r="AU33" s="562"/>
      <c r="AV33" s="562"/>
      <c r="AW33" s="562"/>
      <c r="AX33" s="594" t="str">
        <f>'Overview (Design)'!A22</f>
        <v>Total conditioned floor area:</v>
      </c>
      <c r="AY33" s="562">
        <f>'Overview (Design)'!G22</f>
        <v>0</v>
      </c>
    </row>
    <row r="34" spans="1:51" s="485" customFormat="1" ht="15" customHeight="1" x14ac:dyDescent="0.2">
      <c r="A34" s="13"/>
      <c r="B34" s="358" t="s">
        <v>2829</v>
      </c>
      <c r="C34" s="358"/>
      <c r="D34" s="14"/>
      <c r="E34" s="14"/>
      <c r="F34" s="14"/>
      <c r="G34" s="14"/>
      <c r="H34" s="441"/>
      <c r="I34" s="268"/>
      <c r="J34" s="598"/>
      <c r="K34" s="598"/>
      <c r="L34" s="866"/>
      <c r="M34" s="838"/>
      <c r="N34" s="98"/>
      <c r="O34" s="607"/>
      <c r="P34" s="562"/>
      <c r="Q34" s="562"/>
      <c r="R34" s="562"/>
      <c r="S34" s="562"/>
      <c r="T34" s="562"/>
      <c r="U34" s="562"/>
      <c r="V34" s="562"/>
      <c r="W34" s="562"/>
      <c r="X34" s="797"/>
      <c r="Y34" s="562"/>
      <c r="Z34" s="562"/>
      <c r="AA34" s="562"/>
      <c r="AB34" s="562"/>
      <c r="AC34" s="562"/>
      <c r="AD34" s="562"/>
      <c r="AE34" s="562"/>
      <c r="AF34" s="562"/>
      <c r="AG34" s="562"/>
      <c r="AH34" s="562"/>
      <c r="AI34" s="562"/>
      <c r="AJ34" s="562"/>
      <c r="AK34" s="562"/>
      <c r="AL34" s="190"/>
      <c r="AM34" s="190"/>
      <c r="AN34" s="562"/>
      <c r="AO34" s="562"/>
      <c r="AP34" s="190"/>
      <c r="AQ34" s="190"/>
      <c r="AR34" s="190"/>
      <c r="AS34" s="190"/>
      <c r="AT34" s="562"/>
      <c r="AU34" s="562"/>
      <c r="AV34" s="562"/>
      <c r="AW34" s="562"/>
      <c r="AX34" s="594"/>
      <c r="AY34" s="562"/>
    </row>
    <row r="35" spans="1:51" s="485" customFormat="1" ht="15" customHeight="1" x14ac:dyDescent="0.2">
      <c r="A35" s="13"/>
      <c r="B35" s="358" t="s">
        <v>2829</v>
      </c>
      <c r="C35" s="358"/>
      <c r="D35" s="14"/>
      <c r="E35" s="14"/>
      <c r="F35" s="14"/>
      <c r="G35" s="14"/>
      <c r="H35" s="441"/>
      <c r="I35" s="279"/>
      <c r="J35" s="599"/>
      <c r="K35" s="599"/>
      <c r="L35" s="868"/>
      <c r="M35" s="854"/>
      <c r="N35" s="562"/>
      <c r="O35" s="562"/>
      <c r="P35" s="562"/>
      <c r="Q35" s="562"/>
      <c r="R35" s="562"/>
      <c r="S35" s="562"/>
      <c r="T35" s="562"/>
      <c r="U35" s="562"/>
      <c r="V35" s="562"/>
      <c r="W35" s="562"/>
      <c r="X35" s="786"/>
      <c r="Y35" s="562"/>
      <c r="Z35" s="562"/>
      <c r="AA35" s="562"/>
      <c r="AB35" s="562"/>
      <c r="AC35" s="562"/>
      <c r="AD35" s="562"/>
      <c r="AE35" s="562"/>
      <c r="AF35" s="562"/>
      <c r="AG35" s="562"/>
      <c r="AH35" s="562"/>
      <c r="AI35" s="562"/>
      <c r="AJ35" s="562"/>
      <c r="AK35" s="562"/>
      <c r="AL35" s="190"/>
      <c r="AM35" s="190"/>
      <c r="AN35" s="562"/>
      <c r="AO35" s="562"/>
      <c r="AP35" s="190"/>
      <c r="AQ35" s="190"/>
      <c r="AR35" s="190"/>
      <c r="AS35" s="190"/>
      <c r="AT35" s="562"/>
      <c r="AU35" s="562"/>
      <c r="AV35" s="562"/>
      <c r="AW35" s="562"/>
      <c r="AX35" s="594"/>
      <c r="AY35" s="562"/>
    </row>
    <row r="36" spans="1:51" x14ac:dyDescent="0.2">
      <c r="B36" s="358" t="s">
        <v>2832</v>
      </c>
      <c r="C36" s="358"/>
      <c r="D36" s="14"/>
      <c r="E36" s="14"/>
      <c r="F36" s="14"/>
      <c r="G36" s="14"/>
      <c r="H36" s="441"/>
      <c r="I36" s="278" t="s">
        <v>2833</v>
      </c>
      <c r="J36" s="638"/>
      <c r="K36" s="638"/>
      <c r="L36" s="847" t="s">
        <v>2834</v>
      </c>
      <c r="M36" s="867" t="str">
        <f ca="1">IF(R36,"Mandatory","N/A")</f>
        <v>Mandatory</v>
      </c>
      <c r="N36" s="146"/>
      <c r="O36" s="617"/>
      <c r="P36" s="64" t="b">
        <v>1</v>
      </c>
      <c r="Q36" s="64" t="b">
        <v>0</v>
      </c>
      <c r="R36" s="148" t="b">
        <f ca="1">S36</f>
        <v>1</v>
      </c>
      <c r="S36" s="463" t="b">
        <f ca="1">AND(NOT(AND(OR(AY48=INDEX(INDIRECT('Overview (Design)'!$E$34),2),AY48=INDEX(INDIRECT('Overview (Design)'!$E$34),3)),OR(AY52=INDEX(INDIRECT('Overview (Design)'!$E$38),2),AY52=INDEX(INDIRECT('Overview (Design)'!$E$38),3)))))</f>
        <v>1</v>
      </c>
      <c r="T36" s="148" t="b">
        <f ca="1">AND(NOT(S36),W36=TRUE)</f>
        <v>0</v>
      </c>
      <c r="U36" s="148"/>
      <c r="V36" s="148"/>
      <c r="W36" s="219"/>
      <c r="X36" s="798"/>
      <c r="Y36" s="562"/>
      <c r="Z36" s="562"/>
      <c r="AA36" s="562"/>
      <c r="AB36" s="562"/>
      <c r="AC36" s="562" t="b">
        <f ca="1">OR(AD36:AE36)</f>
        <v>1</v>
      </c>
      <c r="AD36" s="562" t="b">
        <f ca="1">T36</f>
        <v>0</v>
      </c>
      <c r="AE36" s="562" t="b">
        <f ca="1">AND(R36,NOT(W36))</f>
        <v>1</v>
      </c>
      <c r="AF36" s="562"/>
      <c r="AG36" s="562"/>
      <c r="AH36" s="562"/>
      <c r="AI36" s="562"/>
      <c r="AJ36" s="562"/>
      <c r="AK36" s="562"/>
      <c r="AL36" s="190" t="str">
        <f>SUBSTITUTE(SUBSTITUTE(SUBSTITUTE("dpa"&amp;$B36&amp;$C36&amp;$D36&amp;$E36&amp;$F36,".","_"),"(","_"),")","")</f>
        <v>dpa701_4_2_3</v>
      </c>
      <c r="AM36" s="190" t="str">
        <f ca="1">M36</f>
        <v>Mandatory</v>
      </c>
      <c r="AN36" s="562"/>
      <c r="AO36" s="562"/>
      <c r="AP36" s="190" t="str">
        <f>SUBSTITUTE(SUBSTITUTE(SUBSTITUTE("dch"&amp;$B36&amp;$C36&amp;$D36&amp;$E36&amp;$F36,".","_"),"(","_"),")","")</f>
        <v>dch701_4_2_3</v>
      </c>
      <c r="AQ36" s="190">
        <f>W36</f>
        <v>0</v>
      </c>
      <c r="AR36" s="190" t="str">
        <f t="shared" si="1"/>
        <v>dnt701_4_2_3</v>
      </c>
      <c r="AS36" s="190">
        <f>X36</f>
        <v>0</v>
      </c>
      <c r="AT36" s="562"/>
      <c r="AU36" s="562"/>
      <c r="AV36" s="562"/>
      <c r="AW36" s="562"/>
      <c r="AX36" s="594" t="str">
        <f>'Overview (Design)'!A23</f>
        <v>Stories above grade:</v>
      </c>
      <c r="AY36" s="562">
        <f>'Overview (Design)'!G23</f>
        <v>0</v>
      </c>
    </row>
    <row r="37" spans="1:51" x14ac:dyDescent="0.2">
      <c r="B37" s="358" t="s">
        <v>2832</v>
      </c>
      <c r="C37" s="358"/>
      <c r="D37" s="14"/>
      <c r="E37" s="14"/>
      <c r="F37" s="14"/>
      <c r="G37" s="14"/>
      <c r="H37" s="441"/>
      <c r="I37" s="279"/>
      <c r="J37" s="599"/>
      <c r="K37" s="599"/>
      <c r="L37" s="832"/>
      <c r="M37" s="854"/>
      <c r="N37" s="165"/>
      <c r="O37" s="608"/>
      <c r="P37" s="129"/>
      <c r="Q37" s="129"/>
      <c r="R37" s="129"/>
      <c r="S37" s="129"/>
      <c r="T37" s="129"/>
      <c r="U37" s="129"/>
      <c r="V37" s="129"/>
      <c r="W37" s="129"/>
      <c r="X37" s="798"/>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row>
    <row r="38" spans="1:51" x14ac:dyDescent="0.2">
      <c r="B38" s="358" t="s">
        <v>2835</v>
      </c>
      <c r="C38" s="358"/>
      <c r="D38" s="14"/>
      <c r="E38" s="14"/>
      <c r="F38" s="14"/>
      <c r="G38" s="14"/>
      <c r="H38" s="441"/>
      <c r="I38" s="278" t="s">
        <v>2836</v>
      </c>
      <c r="J38" s="638"/>
      <c r="K38" s="638"/>
      <c r="L38" s="639" t="s">
        <v>2837</v>
      </c>
      <c r="M38" s="624"/>
      <c r="N38" s="146"/>
      <c r="O38" s="617"/>
      <c r="P38" s="148"/>
      <c r="Q38" s="148"/>
      <c r="R38" s="148"/>
      <c r="S38" s="148"/>
      <c r="T38" s="148"/>
      <c r="U38" s="148"/>
      <c r="V38" s="148"/>
      <c r="W38" s="148"/>
      <c r="X38" s="148"/>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94" t="str">
        <f>'Overview (Design)'!A25</f>
        <v xml:space="preserve">Project Description (optional): </v>
      </c>
      <c r="AY38" s="562">
        <f>'Overview (Design)'!G25</f>
        <v>0</v>
      </c>
    </row>
    <row r="39" spans="1:51" x14ac:dyDescent="0.2">
      <c r="B39" s="358" t="s">
        <v>2838</v>
      </c>
      <c r="C39" s="358"/>
      <c r="D39" s="14"/>
      <c r="E39" s="14"/>
      <c r="F39" s="14"/>
      <c r="G39" s="14"/>
      <c r="H39" s="441"/>
      <c r="I39" s="41" t="s">
        <v>2839</v>
      </c>
      <c r="J39" s="632"/>
      <c r="K39" s="632"/>
      <c r="L39" s="775" t="s">
        <v>2840</v>
      </c>
      <c r="M39" s="838" t="str">
        <f>IF(R42,"Mandatory","N/A")</f>
        <v>Mandatory</v>
      </c>
      <c r="N39" s="3"/>
      <c r="O39" s="609"/>
      <c r="P39" s="562"/>
      <c r="Q39" s="562"/>
      <c r="R39" s="562"/>
      <c r="S39" s="562"/>
      <c r="T39" s="562"/>
      <c r="U39" s="562"/>
      <c r="V39" s="562"/>
      <c r="W39" s="562" t="s">
        <v>2841</v>
      </c>
      <c r="X39" s="825"/>
      <c r="Y39" s="562"/>
      <c r="Z39" s="562"/>
      <c r="AA39" s="562"/>
      <c r="AB39" s="562"/>
      <c r="AC39" s="562"/>
      <c r="AD39" s="562"/>
      <c r="AE39" s="562"/>
      <c r="AF39" s="562"/>
      <c r="AG39" s="562"/>
      <c r="AH39" s="562"/>
      <c r="AI39" s="562"/>
      <c r="AJ39" s="562"/>
      <c r="AK39" s="562"/>
      <c r="AL39" s="190" t="str">
        <f>SUBSTITUTE(SUBSTITUTE(SUBSTITUTE("dpa"&amp;$B39&amp;$C39&amp;$D39&amp;$E39&amp;$F39,".","_"),"(","_"),")","")</f>
        <v>dpa701_4_3_1</v>
      </c>
      <c r="AM39" s="190" t="str">
        <f>M39</f>
        <v>Mandatory</v>
      </c>
      <c r="AN39" s="562"/>
      <c r="AO39" s="562"/>
      <c r="AP39" s="562"/>
      <c r="AQ39" s="562"/>
      <c r="AR39" s="190" t="str">
        <f>SUBSTITUTE(SUBSTITUTE(SUBSTITUTE("dnt"&amp;$B39&amp;$C39&amp;$D39&amp;$E39&amp;$F39,".","_"),"(","_"),")","")</f>
        <v>dnt701_4_3_1</v>
      </c>
      <c r="AS39" s="190">
        <f>X39</f>
        <v>0</v>
      </c>
      <c r="AT39" s="562"/>
      <c r="AU39" s="562"/>
      <c r="AV39" s="562"/>
      <c r="AW39" s="562"/>
      <c r="AX39" s="594"/>
      <c r="AY39" s="562"/>
    </row>
    <row r="40" spans="1:51" x14ac:dyDescent="0.2">
      <c r="B40" s="358" t="s">
        <v>2838</v>
      </c>
      <c r="C40" s="358"/>
      <c r="D40" s="14" t="s">
        <v>2181</v>
      </c>
      <c r="E40" s="14"/>
      <c r="F40" s="14"/>
      <c r="G40" s="14"/>
      <c r="H40" s="441"/>
      <c r="I40" s="3"/>
      <c r="J40" s="632"/>
      <c r="K40" s="632"/>
      <c r="L40" s="775"/>
      <c r="M40" s="838"/>
      <c r="N40" s="3"/>
      <c r="O40" s="609"/>
      <c r="P40" s="64" t="b">
        <v>1</v>
      </c>
      <c r="Q40" s="64" t="b">
        <v>1</v>
      </c>
      <c r="R40" s="562" t="b">
        <v>0</v>
      </c>
      <c r="S40" s="462" t="b">
        <f ca="1">AND(,AY36&gt;3,AY28=INDEX(INDIRECT('Overview (Design)'!$E$16),2))</f>
        <v>0</v>
      </c>
      <c r="T40" s="64" t="b">
        <f ca="1">AND(NOT(S40),W40=TRUE)</f>
        <v>0</v>
      </c>
      <c r="U40" s="562"/>
      <c r="V40" s="562"/>
      <c r="W40" s="18"/>
      <c r="X40" s="797"/>
      <c r="Y40" s="562"/>
      <c r="Z40" s="562"/>
      <c r="AA40" s="562"/>
      <c r="AB40" s="562"/>
      <c r="AC40" s="562"/>
      <c r="AD40" s="562"/>
      <c r="AE40" s="562"/>
      <c r="AF40" s="562"/>
      <c r="AG40" s="562"/>
      <c r="AH40" s="562"/>
      <c r="AI40" s="562"/>
      <c r="AJ40" s="562"/>
      <c r="AK40" s="562"/>
      <c r="AL40" s="562"/>
      <c r="AM40" s="562"/>
      <c r="AN40" s="562"/>
      <c r="AO40" s="562"/>
      <c r="AP40" s="190" t="str">
        <f>SUBSTITUTE(SUBSTITUTE(SUBSTITUTE("dch"&amp;$B40&amp;$C40&amp;$D40&amp;$E40&amp;$F40,".","_"),"(","_"),")","")</f>
        <v>dch701_4_3_1_1</v>
      </c>
      <c r="AQ40" s="190">
        <f>W40</f>
        <v>0</v>
      </c>
      <c r="AR40" s="562"/>
      <c r="AS40" s="562"/>
      <c r="AT40" s="562"/>
      <c r="AU40" s="562"/>
      <c r="AV40" s="562"/>
      <c r="AW40" s="562"/>
      <c r="AX40" s="594" t="str">
        <f>'Overview (Design)'!A27</f>
        <v>HERS Index (if available):</v>
      </c>
      <c r="AY40" s="562">
        <f>'Overview (Design)'!G27</f>
        <v>0</v>
      </c>
    </row>
    <row r="41" spans="1:51" x14ac:dyDescent="0.2">
      <c r="B41" s="358" t="s">
        <v>2838</v>
      </c>
      <c r="C41" s="358"/>
      <c r="D41" s="14"/>
      <c r="E41" s="14"/>
      <c r="F41" s="14"/>
      <c r="G41" s="14"/>
      <c r="H41" s="441"/>
      <c r="I41" s="3"/>
      <c r="J41" s="632"/>
      <c r="K41" s="632"/>
      <c r="L41" s="775"/>
      <c r="M41" s="838"/>
      <c r="N41" s="3"/>
      <c r="O41" s="609"/>
      <c r="P41" s="562"/>
      <c r="Q41" s="562"/>
      <c r="R41" s="562"/>
      <c r="S41" s="562"/>
      <c r="T41" s="562"/>
      <c r="U41" s="562"/>
      <c r="V41" s="562"/>
      <c r="W41" s="562"/>
      <c r="X41" s="797"/>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94" t="str">
        <f>'Overview (Design)'!A28</f>
        <v>Foundation Type:</v>
      </c>
      <c r="AY41" s="562">
        <f>'Overview (Design)'!G28</f>
        <v>0</v>
      </c>
    </row>
    <row r="42" spans="1:51" x14ac:dyDescent="0.2">
      <c r="B42" s="358" t="s">
        <v>2838</v>
      </c>
      <c r="C42" s="358"/>
      <c r="D42" s="14" t="s">
        <v>2183</v>
      </c>
      <c r="E42" s="14"/>
      <c r="F42" s="14"/>
      <c r="G42" s="14"/>
      <c r="H42" s="441"/>
      <c r="I42" s="3"/>
      <c r="J42" s="632"/>
      <c r="K42" s="632"/>
      <c r="L42" s="775"/>
      <c r="M42" s="838"/>
      <c r="N42" s="3"/>
      <c r="O42" s="609"/>
      <c r="P42" s="64" t="b">
        <v>1</v>
      </c>
      <c r="Q42" s="64" t="b">
        <v>1</v>
      </c>
      <c r="R42" s="562" t="b">
        <f>S42</f>
        <v>1</v>
      </c>
      <c r="S42" s="462" t="b">
        <f>NOT(W40)</f>
        <v>1</v>
      </c>
      <c r="T42" s="64" t="b">
        <f>AND(NOT(S42),W42=TRUE)</f>
        <v>0</v>
      </c>
      <c r="U42" s="562"/>
      <c r="V42" s="562"/>
      <c r="W42" s="18"/>
      <c r="X42" s="797"/>
      <c r="Y42" s="562"/>
      <c r="Z42" s="562"/>
      <c r="AA42" s="562"/>
      <c r="AB42" s="562"/>
      <c r="AC42" s="562" t="b">
        <f>OR(AD42:AE42)</f>
        <v>1</v>
      </c>
      <c r="AD42" s="562" t="b">
        <f>T42</f>
        <v>0</v>
      </c>
      <c r="AE42" s="562" t="b">
        <f>AND(R42,NOT(W42))</f>
        <v>1</v>
      </c>
      <c r="AF42" s="562"/>
      <c r="AG42" s="562"/>
      <c r="AH42" s="562"/>
      <c r="AI42" s="562"/>
      <c r="AJ42" s="562"/>
      <c r="AK42" s="562"/>
      <c r="AL42" s="562"/>
      <c r="AM42" s="562"/>
      <c r="AN42" s="562"/>
      <c r="AO42" s="562"/>
      <c r="AP42" s="190" t="str">
        <f>SUBSTITUTE(SUBSTITUTE(SUBSTITUTE("dch"&amp;$B42&amp;$C42&amp;$D42&amp;$E42&amp;$F42,".","_"),"(","_"),")","")</f>
        <v>dch701_4_3_1_2</v>
      </c>
      <c r="AQ42" s="190">
        <f>W42</f>
        <v>0</v>
      </c>
      <c r="AR42" s="562"/>
      <c r="AS42" s="562"/>
      <c r="AT42" s="562"/>
      <c r="AU42" s="562"/>
      <c r="AV42" s="562"/>
      <c r="AW42" s="562"/>
      <c r="AX42" s="594"/>
      <c r="AY42" s="562"/>
    </row>
    <row r="43" spans="1:51" s="498" customFormat="1" x14ac:dyDescent="0.2">
      <c r="A43" s="13"/>
      <c r="B43" s="358" t="s">
        <v>2838</v>
      </c>
      <c r="C43" s="358"/>
      <c r="D43" s="14"/>
      <c r="E43" s="14"/>
      <c r="F43" s="14"/>
      <c r="G43" s="14"/>
      <c r="H43" s="441"/>
      <c r="I43" s="3"/>
      <c r="J43" s="632"/>
      <c r="K43" s="632"/>
      <c r="L43" s="775"/>
      <c r="M43" s="838"/>
      <c r="N43" s="3"/>
      <c r="O43" s="609"/>
      <c r="P43" s="64"/>
      <c r="Q43" s="64"/>
      <c r="R43" s="562"/>
      <c r="S43" s="562"/>
      <c r="T43" s="562"/>
      <c r="U43" s="562"/>
      <c r="V43" s="562"/>
      <c r="W43" s="562"/>
      <c r="X43" s="786"/>
      <c r="Y43" s="562"/>
      <c r="Z43" s="562"/>
      <c r="AA43" s="562"/>
      <c r="AB43" s="562"/>
      <c r="AC43" s="562"/>
      <c r="AD43" s="562"/>
      <c r="AE43" s="562"/>
      <c r="AF43" s="562"/>
      <c r="AG43" s="562"/>
      <c r="AH43" s="562"/>
      <c r="AI43" s="562"/>
      <c r="AJ43" s="562"/>
      <c r="AK43" s="562"/>
      <c r="AL43" s="562"/>
      <c r="AM43" s="562"/>
      <c r="AN43" s="562"/>
      <c r="AO43" s="562"/>
      <c r="AP43" s="190"/>
      <c r="AQ43" s="190"/>
      <c r="AR43" s="562"/>
      <c r="AS43" s="562"/>
      <c r="AT43" s="562"/>
      <c r="AU43" s="562"/>
      <c r="AV43" s="562"/>
      <c r="AW43" s="562"/>
      <c r="AX43" s="594"/>
      <c r="AY43" s="562"/>
    </row>
    <row r="44" spans="1:51" x14ac:dyDescent="0.2">
      <c r="B44" s="358" t="s">
        <v>2838</v>
      </c>
      <c r="C44" s="358"/>
      <c r="D44" s="14"/>
      <c r="E44" s="14" t="s">
        <v>2196</v>
      </c>
      <c r="F44" s="14"/>
      <c r="G44" s="14"/>
      <c r="H44" s="441"/>
      <c r="I44" s="3"/>
      <c r="J44" s="632"/>
      <c r="K44" s="181" t="s">
        <v>2196</v>
      </c>
      <c r="L44" s="632" t="s">
        <v>2842</v>
      </c>
      <c r="M44" s="616"/>
      <c r="N44" s="3"/>
      <c r="O44" s="609"/>
      <c r="P44" s="562"/>
      <c r="Q44" s="562"/>
      <c r="R44" s="562"/>
      <c r="S44" s="562"/>
      <c r="T44" s="562"/>
      <c r="U44" s="562"/>
      <c r="V44" s="562"/>
      <c r="W44" s="562"/>
      <c r="X44" s="563"/>
      <c r="Y44" s="562"/>
      <c r="Z44" s="562"/>
      <c r="AA44" s="562"/>
      <c r="AB44" s="562"/>
      <c r="AC44" s="562"/>
      <c r="AD44" s="562"/>
      <c r="AE44" s="562"/>
      <c r="AF44" s="562"/>
      <c r="AG44" s="562"/>
      <c r="AH44" s="562"/>
      <c r="AI44" s="562"/>
      <c r="AJ44" s="562"/>
      <c r="AK44" s="562"/>
      <c r="AL44" s="562"/>
      <c r="AM44" s="562"/>
      <c r="AN44" s="562"/>
      <c r="AO44" s="562"/>
      <c r="AP44" s="562"/>
      <c r="AQ44" s="562"/>
      <c r="AR44" s="190" t="str">
        <f t="shared" ref="AR44:AR55" si="2">SUBSTITUTE(SUBSTITUTE(SUBSTITUTE("dnt"&amp;$B44&amp;$C44&amp;$D44&amp;$E44&amp;$F44,".","_"),"(","_"),")","")</f>
        <v>dnt701_4_3_1_a</v>
      </c>
      <c r="AS44" s="190">
        <f t="shared" ref="AS44:AS55" si="3">X44</f>
        <v>0</v>
      </c>
      <c r="AT44" s="562"/>
      <c r="AU44" s="562"/>
      <c r="AV44" s="562"/>
      <c r="AW44" s="562"/>
      <c r="AX44" s="594" t="str">
        <f>'Overview (Design)'!A30</f>
        <v>Type of Heating System (main system):</v>
      </c>
      <c r="AY44" s="562">
        <f>'Overview (Design)'!G30</f>
        <v>0</v>
      </c>
    </row>
    <row r="45" spans="1:51" ht="15" customHeight="1" x14ac:dyDescent="0.2">
      <c r="B45" s="358" t="s">
        <v>2838</v>
      </c>
      <c r="C45" s="358"/>
      <c r="D45" s="14"/>
      <c r="E45" s="14" t="s">
        <v>2198</v>
      </c>
      <c r="F45" s="14"/>
      <c r="G45" s="14"/>
      <c r="H45" s="441"/>
      <c r="I45" s="3"/>
      <c r="J45" s="632"/>
      <c r="K45" s="181" t="s">
        <v>2198</v>
      </c>
      <c r="L45" s="632" t="s">
        <v>2843</v>
      </c>
      <c r="M45" s="616"/>
      <c r="N45" s="3"/>
      <c r="O45" s="609"/>
      <c r="P45" s="562"/>
      <c r="Q45" s="562"/>
      <c r="R45" s="562"/>
      <c r="S45" s="562"/>
      <c r="T45" s="562"/>
      <c r="U45" s="562"/>
      <c r="V45" s="562"/>
      <c r="W45" s="562"/>
      <c r="X45" s="563"/>
      <c r="Y45" s="562"/>
      <c r="Z45" s="562"/>
      <c r="AA45" s="562"/>
      <c r="AB45" s="562"/>
      <c r="AC45" s="562"/>
      <c r="AD45" s="562"/>
      <c r="AE45" s="562"/>
      <c r="AF45" s="562"/>
      <c r="AG45" s="562"/>
      <c r="AH45" s="562"/>
      <c r="AI45" s="562"/>
      <c r="AJ45" s="562"/>
      <c r="AK45" s="562"/>
      <c r="AL45" s="562"/>
      <c r="AM45" s="562"/>
      <c r="AN45" s="562"/>
      <c r="AO45" s="562"/>
      <c r="AP45" s="562"/>
      <c r="AQ45" s="562"/>
      <c r="AR45" s="190" t="str">
        <f t="shared" si="2"/>
        <v>dnt701_4_3_1_b</v>
      </c>
      <c r="AS45" s="190">
        <f t="shared" si="3"/>
        <v>0</v>
      </c>
      <c r="AT45" s="562"/>
      <c r="AU45" s="562"/>
      <c r="AV45" s="562"/>
      <c r="AW45" s="562"/>
      <c r="AX45" s="594" t="str">
        <f>'Overview (Design)'!A31</f>
        <v>Type of Heating System (system 2):</v>
      </c>
      <c r="AY45" s="562">
        <f>'Overview (Design)'!G31</f>
        <v>0</v>
      </c>
    </row>
    <row r="46" spans="1:51" ht="15" customHeight="1" x14ac:dyDescent="0.2">
      <c r="B46" s="358" t="s">
        <v>2838</v>
      </c>
      <c r="C46" s="358"/>
      <c r="D46" s="14"/>
      <c r="E46" s="19" t="s">
        <v>2200</v>
      </c>
      <c r="F46" s="19"/>
      <c r="G46" s="19"/>
      <c r="H46" s="442"/>
      <c r="I46" s="3"/>
      <c r="J46" s="632"/>
      <c r="K46" s="182" t="s">
        <v>2200</v>
      </c>
      <c r="L46" s="632" t="s">
        <v>2844</v>
      </c>
      <c r="M46" s="616"/>
      <c r="N46" s="3"/>
      <c r="O46" s="609"/>
      <c r="P46" s="562"/>
      <c r="Q46" s="562"/>
      <c r="R46" s="562"/>
      <c r="S46" s="562"/>
      <c r="T46" s="562"/>
      <c r="U46" s="562"/>
      <c r="V46" s="562"/>
      <c r="W46" s="562"/>
      <c r="X46" s="563"/>
      <c r="Y46" s="562"/>
      <c r="Z46" s="562"/>
      <c r="AA46" s="562"/>
      <c r="AB46" s="562"/>
      <c r="AC46" s="562"/>
      <c r="AD46" s="562"/>
      <c r="AE46" s="562"/>
      <c r="AF46" s="562"/>
      <c r="AG46" s="562"/>
      <c r="AH46" s="562"/>
      <c r="AI46" s="562"/>
      <c r="AJ46" s="562"/>
      <c r="AK46" s="562"/>
      <c r="AL46" s="562"/>
      <c r="AM46" s="562"/>
      <c r="AN46" s="562"/>
      <c r="AO46" s="562"/>
      <c r="AP46" s="562"/>
      <c r="AQ46" s="562"/>
      <c r="AR46" s="190" t="str">
        <f t="shared" si="2"/>
        <v>dnt701_4_3_1_c</v>
      </c>
      <c r="AS46" s="190">
        <f t="shared" si="3"/>
        <v>0</v>
      </c>
      <c r="AT46" s="562"/>
      <c r="AU46" s="562"/>
      <c r="AV46" s="562"/>
      <c r="AW46" s="562"/>
      <c r="AX46" s="594" t="str">
        <f>'Overview (Design)'!A32</f>
        <v>Type of Heating System (system 3):</v>
      </c>
      <c r="AY46" s="562">
        <f>'Overview (Design)'!G32</f>
        <v>0</v>
      </c>
    </row>
    <row r="47" spans="1:51" x14ac:dyDescent="0.2">
      <c r="B47" s="358" t="s">
        <v>2838</v>
      </c>
      <c r="C47" s="358"/>
      <c r="D47" s="14"/>
      <c r="E47" s="14" t="s">
        <v>2247</v>
      </c>
      <c r="F47" s="14"/>
      <c r="G47" s="14"/>
      <c r="H47" s="441"/>
      <c r="I47" s="3"/>
      <c r="J47" s="632"/>
      <c r="K47" s="654" t="s">
        <v>2247</v>
      </c>
      <c r="L47" s="632" t="s">
        <v>2845</v>
      </c>
      <c r="M47" s="616"/>
      <c r="N47" s="3"/>
      <c r="O47" s="609"/>
      <c r="P47" s="562"/>
      <c r="Q47" s="562"/>
      <c r="R47" s="562"/>
      <c r="S47" s="562"/>
      <c r="T47" s="562"/>
      <c r="U47" s="562"/>
      <c r="V47" s="562"/>
      <c r="W47" s="562"/>
      <c r="X47" s="563"/>
      <c r="Y47" s="562"/>
      <c r="Z47" s="562"/>
      <c r="AA47" s="562"/>
      <c r="AB47" s="562"/>
      <c r="AC47" s="562"/>
      <c r="AD47" s="562"/>
      <c r="AE47" s="562"/>
      <c r="AF47" s="562"/>
      <c r="AG47" s="562"/>
      <c r="AH47" s="562"/>
      <c r="AI47" s="562"/>
      <c r="AJ47" s="562"/>
      <c r="AK47" s="562"/>
      <c r="AL47" s="562"/>
      <c r="AM47" s="562"/>
      <c r="AN47" s="562"/>
      <c r="AO47" s="562"/>
      <c r="AP47" s="562"/>
      <c r="AQ47" s="562"/>
      <c r="AR47" s="190" t="str">
        <f t="shared" si="2"/>
        <v>dnt701_4_3_1_d</v>
      </c>
      <c r="AS47" s="190">
        <f t="shared" si="3"/>
        <v>0</v>
      </c>
      <c r="AT47" s="562"/>
      <c r="AU47" s="562"/>
      <c r="AV47" s="562"/>
      <c r="AW47" s="562"/>
      <c r="AX47" s="594" t="str">
        <f>'Overview (Design)'!A33</f>
        <v>Heating Fuel:</v>
      </c>
      <c r="AY47" s="562">
        <f>'Overview (Design)'!G33</f>
        <v>0</v>
      </c>
    </row>
    <row r="48" spans="1:51" x14ac:dyDescent="0.2">
      <c r="B48" s="358" t="s">
        <v>2838</v>
      </c>
      <c r="C48" s="358"/>
      <c r="D48" s="14"/>
      <c r="E48" s="14" t="s">
        <v>2444</v>
      </c>
      <c r="F48" s="14"/>
      <c r="G48" s="14"/>
      <c r="H48" s="441"/>
      <c r="I48" s="3"/>
      <c r="J48" s="632"/>
      <c r="K48" s="654" t="s">
        <v>2444</v>
      </c>
      <c r="L48" s="632" t="s">
        <v>2846</v>
      </c>
      <c r="M48" s="616"/>
      <c r="N48" s="3"/>
      <c r="O48" s="609"/>
      <c r="P48" s="562"/>
      <c r="Q48" s="562"/>
      <c r="R48" s="562"/>
      <c r="S48" s="562"/>
      <c r="T48" s="562"/>
      <c r="U48" s="562"/>
      <c r="V48" s="562"/>
      <c r="W48" s="562"/>
      <c r="X48" s="563"/>
      <c r="Y48" s="562"/>
      <c r="Z48" s="562"/>
      <c r="AA48" s="562"/>
      <c r="AB48" s="562"/>
      <c r="AC48" s="562"/>
      <c r="AD48" s="562"/>
      <c r="AE48" s="562"/>
      <c r="AF48" s="562"/>
      <c r="AG48" s="562"/>
      <c r="AH48" s="562"/>
      <c r="AI48" s="562"/>
      <c r="AJ48" s="562"/>
      <c r="AK48" s="562"/>
      <c r="AL48" s="562"/>
      <c r="AM48" s="562"/>
      <c r="AN48" s="562"/>
      <c r="AO48" s="562"/>
      <c r="AP48" s="562"/>
      <c r="AQ48" s="562"/>
      <c r="AR48" s="190" t="str">
        <f t="shared" si="2"/>
        <v>dnt701_4_3_1_e</v>
      </c>
      <c r="AS48" s="190">
        <f t="shared" si="3"/>
        <v>0</v>
      </c>
      <c r="AT48" s="562"/>
      <c r="AU48" s="562"/>
      <c r="AV48" s="562"/>
      <c r="AW48" s="562"/>
      <c r="AX48" s="594" t="str">
        <f>'Overview (Design)'!A34</f>
        <v>Heating Ducts:</v>
      </c>
      <c r="AY48" s="562">
        <f>'Overview (Design)'!G34</f>
        <v>0</v>
      </c>
    </row>
    <row r="49" spans="2:51" x14ac:dyDescent="0.2">
      <c r="B49" s="358" t="s">
        <v>2838</v>
      </c>
      <c r="C49" s="358"/>
      <c r="D49" s="14"/>
      <c r="E49" s="19" t="s">
        <v>2540</v>
      </c>
      <c r="F49" s="19"/>
      <c r="G49" s="19"/>
      <c r="H49" s="442"/>
      <c r="I49" s="3"/>
      <c r="J49" s="632"/>
      <c r="K49" s="182" t="s">
        <v>2540</v>
      </c>
      <c r="L49" s="632" t="s">
        <v>2847</v>
      </c>
      <c r="M49" s="616"/>
      <c r="N49" s="3"/>
      <c r="O49" s="609"/>
      <c r="P49" s="562"/>
      <c r="Q49" s="562"/>
      <c r="R49" s="562"/>
      <c r="S49" s="562"/>
      <c r="T49" s="562"/>
      <c r="U49" s="562"/>
      <c r="V49" s="562"/>
      <c r="W49" s="562"/>
      <c r="X49" s="563"/>
      <c r="Y49" s="562"/>
      <c r="Z49" s="562"/>
      <c r="AA49" s="562"/>
      <c r="AB49" s="562"/>
      <c r="AC49" s="562"/>
      <c r="AD49" s="562"/>
      <c r="AE49" s="562"/>
      <c r="AF49" s="562"/>
      <c r="AG49" s="562"/>
      <c r="AH49" s="562"/>
      <c r="AI49" s="562"/>
      <c r="AJ49" s="562"/>
      <c r="AK49" s="562"/>
      <c r="AL49" s="562"/>
      <c r="AM49" s="562"/>
      <c r="AN49" s="562"/>
      <c r="AO49" s="562"/>
      <c r="AP49" s="562"/>
      <c r="AQ49" s="562"/>
      <c r="AR49" s="190" t="str">
        <f t="shared" si="2"/>
        <v>dnt701_4_3_1_f</v>
      </c>
      <c r="AS49" s="190">
        <f t="shared" si="3"/>
        <v>0</v>
      </c>
      <c r="AT49" s="562"/>
      <c r="AU49" s="562"/>
      <c r="AV49" s="562"/>
      <c r="AW49" s="562"/>
      <c r="AX49" s="594" t="str">
        <f>'Overview (Design)'!A35</f>
        <v>Type of Cooling System (main system):</v>
      </c>
      <c r="AY49" s="562">
        <f>'Overview (Design)'!G35</f>
        <v>0</v>
      </c>
    </row>
    <row r="50" spans="2:51" x14ac:dyDescent="0.2">
      <c r="B50" s="358" t="s">
        <v>2838</v>
      </c>
      <c r="C50" s="358"/>
      <c r="D50" s="14"/>
      <c r="E50" s="14" t="s">
        <v>2542</v>
      </c>
      <c r="F50" s="14"/>
      <c r="G50" s="14"/>
      <c r="H50" s="441"/>
      <c r="I50" s="3"/>
      <c r="J50" s="632"/>
      <c r="K50" s="654" t="s">
        <v>2542</v>
      </c>
      <c r="L50" s="632" t="s">
        <v>2848</v>
      </c>
      <c r="M50" s="616"/>
      <c r="N50" s="3"/>
      <c r="O50" s="609"/>
      <c r="P50" s="562"/>
      <c r="Q50" s="562"/>
      <c r="R50" s="562"/>
      <c r="S50" s="562"/>
      <c r="T50" s="562"/>
      <c r="U50" s="562"/>
      <c r="V50" s="562"/>
      <c r="W50" s="562"/>
      <c r="X50" s="563"/>
      <c r="Y50" s="562"/>
      <c r="Z50" s="562"/>
      <c r="AA50" s="562"/>
      <c r="AB50" s="562"/>
      <c r="AC50" s="562"/>
      <c r="AD50" s="562"/>
      <c r="AE50" s="562"/>
      <c r="AF50" s="562"/>
      <c r="AG50" s="562"/>
      <c r="AH50" s="562"/>
      <c r="AI50" s="562"/>
      <c r="AJ50" s="562"/>
      <c r="AK50" s="562"/>
      <c r="AL50" s="562"/>
      <c r="AM50" s="562"/>
      <c r="AN50" s="562"/>
      <c r="AO50" s="562"/>
      <c r="AP50" s="562"/>
      <c r="AQ50" s="562"/>
      <c r="AR50" s="190" t="str">
        <f t="shared" si="2"/>
        <v>dnt701_4_3_1_g</v>
      </c>
      <c r="AS50" s="190">
        <f t="shared" si="3"/>
        <v>0</v>
      </c>
      <c r="AT50" s="562"/>
      <c r="AU50" s="562"/>
      <c r="AV50" s="562"/>
      <c r="AW50" s="562"/>
      <c r="AX50" s="594" t="str">
        <f>'Overview (Design)'!A36</f>
        <v>Type of Cooling System (system 2):</v>
      </c>
      <c r="AY50" s="562">
        <f>'Overview (Design)'!G36</f>
        <v>0</v>
      </c>
    </row>
    <row r="51" spans="2:51" x14ac:dyDescent="0.2">
      <c r="B51" s="358" t="s">
        <v>2838</v>
      </c>
      <c r="C51" s="358"/>
      <c r="D51" s="14"/>
      <c r="E51" s="14" t="s">
        <v>2544</v>
      </c>
      <c r="F51" s="14"/>
      <c r="G51" s="14"/>
      <c r="H51" s="441"/>
      <c r="I51" s="3"/>
      <c r="J51" s="632"/>
      <c r="K51" s="654" t="s">
        <v>2544</v>
      </c>
      <c r="L51" s="632" t="s">
        <v>2849</v>
      </c>
      <c r="M51" s="616"/>
      <c r="N51" s="3"/>
      <c r="O51" s="609"/>
      <c r="P51" s="562"/>
      <c r="Q51" s="562"/>
      <c r="R51" s="562"/>
      <c r="S51" s="562"/>
      <c r="T51" s="562"/>
      <c r="U51" s="562"/>
      <c r="V51" s="562"/>
      <c r="W51" s="562"/>
      <c r="X51" s="563"/>
      <c r="Y51" s="562"/>
      <c r="Z51" s="562"/>
      <c r="AA51" s="562"/>
      <c r="AB51" s="562"/>
      <c r="AC51" s="562"/>
      <c r="AD51" s="562"/>
      <c r="AE51" s="562"/>
      <c r="AF51" s="562"/>
      <c r="AG51" s="562"/>
      <c r="AH51" s="562"/>
      <c r="AI51" s="562"/>
      <c r="AJ51" s="562"/>
      <c r="AK51" s="562"/>
      <c r="AL51" s="562"/>
      <c r="AM51" s="562"/>
      <c r="AN51" s="562"/>
      <c r="AO51" s="562"/>
      <c r="AP51" s="562"/>
      <c r="AQ51" s="562"/>
      <c r="AR51" s="190" t="str">
        <f t="shared" si="2"/>
        <v>dnt701_4_3_1_h</v>
      </c>
      <c r="AS51" s="190">
        <f t="shared" si="3"/>
        <v>0</v>
      </c>
      <c r="AT51" s="562"/>
      <c r="AU51" s="562"/>
      <c r="AV51" s="562"/>
      <c r="AW51" s="562"/>
      <c r="AX51" s="594" t="str">
        <f>'Overview (Design)'!A37</f>
        <v>Type of Cooling System (system 3):</v>
      </c>
      <c r="AY51" s="562">
        <f>'Overview (Design)'!G37</f>
        <v>0</v>
      </c>
    </row>
    <row r="52" spans="2:51" x14ac:dyDescent="0.2">
      <c r="B52" s="358" t="s">
        <v>2838</v>
      </c>
      <c r="C52" s="358"/>
      <c r="D52" s="14"/>
      <c r="E52" s="14" t="s">
        <v>2657</v>
      </c>
      <c r="F52" s="14"/>
      <c r="G52" s="14"/>
      <c r="H52" s="441"/>
      <c r="I52" s="3"/>
      <c r="J52" s="632"/>
      <c r="K52" s="654" t="s">
        <v>2657</v>
      </c>
      <c r="L52" s="632" t="s">
        <v>2850</v>
      </c>
      <c r="M52" s="616"/>
      <c r="N52" s="3"/>
      <c r="O52" s="609"/>
      <c r="P52" s="562"/>
      <c r="Q52" s="562"/>
      <c r="R52" s="562"/>
      <c r="S52" s="562"/>
      <c r="T52" s="562"/>
      <c r="U52" s="562"/>
      <c r="V52" s="562"/>
      <c r="W52" s="562"/>
      <c r="X52" s="563"/>
      <c r="Y52" s="562"/>
      <c r="Z52" s="562"/>
      <c r="AA52" s="562"/>
      <c r="AB52" s="562"/>
      <c r="AC52" s="562"/>
      <c r="AD52" s="562"/>
      <c r="AE52" s="562"/>
      <c r="AF52" s="562"/>
      <c r="AG52" s="562"/>
      <c r="AH52" s="562"/>
      <c r="AI52" s="562"/>
      <c r="AJ52" s="562"/>
      <c r="AK52" s="562"/>
      <c r="AL52" s="562"/>
      <c r="AM52" s="562"/>
      <c r="AN52" s="562"/>
      <c r="AO52" s="562"/>
      <c r="AP52" s="562"/>
      <c r="AQ52" s="562"/>
      <c r="AR52" s="190" t="str">
        <f t="shared" si="2"/>
        <v>dnt701_4_3_1_i</v>
      </c>
      <c r="AS52" s="190">
        <f t="shared" si="3"/>
        <v>0</v>
      </c>
      <c r="AT52" s="562"/>
      <c r="AU52" s="562"/>
      <c r="AV52" s="562"/>
      <c r="AW52" s="562"/>
      <c r="AX52" s="594" t="str">
        <f>'Overview (Design)'!A38</f>
        <v>Cooling Ducts:</v>
      </c>
      <c r="AY52" s="562">
        <f>'Overview (Design)'!G38</f>
        <v>0</v>
      </c>
    </row>
    <row r="53" spans="2:51" x14ac:dyDescent="0.2">
      <c r="B53" s="358" t="s">
        <v>2838</v>
      </c>
      <c r="C53" s="358"/>
      <c r="D53" s="14"/>
      <c r="E53" s="14" t="s">
        <v>2851</v>
      </c>
      <c r="F53" s="14"/>
      <c r="G53" s="14"/>
      <c r="H53" s="441"/>
      <c r="I53" s="3"/>
      <c r="J53" s="632"/>
      <c r="K53" s="654" t="s">
        <v>2851</v>
      </c>
      <c r="L53" s="632" t="s">
        <v>2852</v>
      </c>
      <c r="M53" s="616"/>
      <c r="N53" s="3"/>
      <c r="O53" s="609"/>
      <c r="P53" s="562"/>
      <c r="Q53" s="562"/>
      <c r="R53" s="562"/>
      <c r="S53" s="562"/>
      <c r="T53" s="562"/>
      <c r="U53" s="562"/>
      <c r="V53" s="562"/>
      <c r="W53" s="562"/>
      <c r="X53" s="563"/>
      <c r="Y53" s="562"/>
      <c r="Z53" s="562"/>
      <c r="AA53" s="562"/>
      <c r="AB53" s="562"/>
      <c r="AC53" s="562"/>
      <c r="AD53" s="562"/>
      <c r="AE53" s="562"/>
      <c r="AF53" s="562"/>
      <c r="AG53" s="562"/>
      <c r="AH53" s="562"/>
      <c r="AI53" s="562"/>
      <c r="AJ53" s="562"/>
      <c r="AK53" s="562"/>
      <c r="AL53" s="562"/>
      <c r="AM53" s="562"/>
      <c r="AN53" s="562"/>
      <c r="AO53" s="562"/>
      <c r="AP53" s="562"/>
      <c r="AQ53" s="562"/>
      <c r="AR53" s="190" t="str">
        <f t="shared" si="2"/>
        <v>dnt701_4_3_1_j</v>
      </c>
      <c r="AS53" s="190">
        <f t="shared" si="3"/>
        <v>0</v>
      </c>
      <c r="AT53" s="562"/>
      <c r="AU53" s="562"/>
      <c r="AV53" s="562"/>
      <c r="AW53" s="562"/>
      <c r="AX53" s="594"/>
      <c r="AY53" s="562"/>
    </row>
    <row r="54" spans="2:51" x14ac:dyDescent="0.2">
      <c r="B54" s="358" t="s">
        <v>2838</v>
      </c>
      <c r="C54" s="358"/>
      <c r="D54" s="14"/>
      <c r="E54" s="14" t="s">
        <v>2853</v>
      </c>
      <c r="F54" s="14"/>
      <c r="G54" s="14"/>
      <c r="H54" s="441"/>
      <c r="I54" s="98"/>
      <c r="J54" s="598"/>
      <c r="K54" s="640" t="s">
        <v>2853</v>
      </c>
      <c r="L54" s="598" t="s">
        <v>2854</v>
      </c>
      <c r="M54" s="610"/>
      <c r="N54" s="98"/>
      <c r="O54" s="607"/>
      <c r="P54" s="64"/>
      <c r="Q54" s="64"/>
      <c r="R54" s="64"/>
      <c r="S54" s="64"/>
      <c r="T54" s="64"/>
      <c r="U54" s="64"/>
      <c r="V54" s="64"/>
      <c r="W54" s="64"/>
      <c r="X54" s="564"/>
      <c r="Y54" s="562"/>
      <c r="Z54" s="562"/>
      <c r="AA54" s="562"/>
      <c r="AB54" s="562"/>
      <c r="AC54" s="562"/>
      <c r="AD54" s="562"/>
      <c r="AE54" s="562"/>
      <c r="AF54" s="562"/>
      <c r="AG54" s="562"/>
      <c r="AH54" s="562"/>
      <c r="AI54" s="562"/>
      <c r="AJ54" s="562"/>
      <c r="AK54" s="562"/>
      <c r="AL54" s="562"/>
      <c r="AM54" s="562"/>
      <c r="AN54" s="562"/>
      <c r="AO54" s="562"/>
      <c r="AP54" s="562"/>
      <c r="AQ54" s="562"/>
      <c r="AR54" s="190" t="str">
        <f t="shared" si="2"/>
        <v>dnt701_4_3_1_k</v>
      </c>
      <c r="AS54" s="190">
        <f t="shared" si="3"/>
        <v>0</v>
      </c>
      <c r="AT54" s="562"/>
      <c r="AU54" s="562"/>
      <c r="AV54" s="562"/>
      <c r="AW54" s="562"/>
      <c r="AX54" s="594" t="str">
        <f>'Overview (Design)'!A40</f>
        <v>Maximum window and door SHGC:</v>
      </c>
      <c r="AY54" s="562">
        <f>'Overview (Design)'!G40</f>
        <v>0</v>
      </c>
    </row>
    <row r="55" spans="2:51" x14ac:dyDescent="0.2">
      <c r="B55" s="358" t="s">
        <v>2838</v>
      </c>
      <c r="C55" s="358"/>
      <c r="D55" s="14"/>
      <c r="E55" s="14" t="s">
        <v>2855</v>
      </c>
      <c r="F55" s="14"/>
      <c r="G55" s="14"/>
      <c r="H55" s="441"/>
      <c r="I55" s="165"/>
      <c r="J55" s="599"/>
      <c r="K55" s="641" t="s">
        <v>2855</v>
      </c>
      <c r="L55" s="599" t="s">
        <v>2856</v>
      </c>
      <c r="M55" s="611"/>
      <c r="N55" s="165"/>
      <c r="O55" s="608"/>
      <c r="P55" s="129"/>
      <c r="Q55" s="129"/>
      <c r="R55" s="129"/>
      <c r="S55" s="129"/>
      <c r="T55" s="129"/>
      <c r="U55" s="129"/>
      <c r="V55" s="129"/>
      <c r="W55" s="129"/>
      <c r="X55" s="564"/>
      <c r="Y55" s="562"/>
      <c r="Z55" s="562"/>
      <c r="AA55" s="562"/>
      <c r="AB55" s="562"/>
      <c r="AC55" s="562"/>
      <c r="AD55" s="562"/>
      <c r="AE55" s="562"/>
      <c r="AF55" s="562"/>
      <c r="AG55" s="562"/>
      <c r="AH55" s="562"/>
      <c r="AI55" s="562"/>
      <c r="AJ55" s="562"/>
      <c r="AK55" s="562"/>
      <c r="AL55" s="562"/>
      <c r="AM55" s="562"/>
      <c r="AN55" s="562"/>
      <c r="AO55" s="562"/>
      <c r="AP55" s="562"/>
      <c r="AQ55" s="562"/>
      <c r="AR55" s="190" t="str">
        <f t="shared" si="2"/>
        <v>dnt701_4_3_1_l</v>
      </c>
      <c r="AS55" s="190">
        <f t="shared" si="3"/>
        <v>0</v>
      </c>
      <c r="AT55" s="562"/>
      <c r="AU55" s="562"/>
      <c r="AV55" s="562"/>
      <c r="AW55" s="562"/>
      <c r="AX55" s="594" t="str">
        <f>'Overview (Design)'!A41</f>
        <v>Maximum skylight SHGC:</v>
      </c>
      <c r="AY55" s="562">
        <f>'Overview (Design)'!G41</f>
        <v>0</v>
      </c>
    </row>
    <row r="56" spans="2:51" x14ac:dyDescent="0.2">
      <c r="B56" s="358" t="s">
        <v>2857</v>
      </c>
      <c r="C56" s="358"/>
      <c r="D56" s="14"/>
      <c r="E56" s="14"/>
      <c r="F56" s="14"/>
      <c r="G56" s="14"/>
      <c r="H56" s="441"/>
      <c r="I56" s="41" t="s">
        <v>2858</v>
      </c>
      <c r="J56" s="632"/>
      <c r="K56" s="632"/>
      <c r="L56" s="775" t="s">
        <v>2859</v>
      </c>
      <c r="M56" s="838" t="str">
        <f>IF(R59,"Mandatory","N/A")</f>
        <v>Mandatory</v>
      </c>
      <c r="N56" s="3"/>
      <c r="O56" s="609"/>
      <c r="P56" s="562"/>
      <c r="Q56" s="562"/>
      <c r="R56" s="562"/>
      <c r="S56" s="562"/>
      <c r="T56" s="562"/>
      <c r="U56" s="562"/>
      <c r="V56" s="562"/>
      <c r="W56" s="562" t="s">
        <v>2860</v>
      </c>
      <c r="X56" s="562"/>
      <c r="Y56" s="562"/>
      <c r="Z56" s="562"/>
      <c r="AA56" s="562"/>
      <c r="AB56" s="562"/>
      <c r="AC56" s="562"/>
      <c r="AD56" s="562"/>
      <c r="AE56" s="562"/>
      <c r="AF56" s="562"/>
      <c r="AG56" s="562"/>
      <c r="AH56" s="562"/>
      <c r="AI56" s="562"/>
      <c r="AJ56" s="562"/>
      <c r="AK56" s="562"/>
      <c r="AL56" s="190" t="str">
        <f>SUBSTITUTE(SUBSTITUTE(SUBSTITUTE("dpa"&amp;$B56&amp;$C56&amp;$D56&amp;$E56&amp;$F56,".","_"),"(","_"),")","")</f>
        <v>dpa701_4_3_2</v>
      </c>
      <c r="AM56" s="190" t="str">
        <f>M56</f>
        <v>Mandatory</v>
      </c>
      <c r="AN56" s="562"/>
      <c r="AO56" s="562"/>
      <c r="AP56" s="562"/>
      <c r="AQ56" s="562"/>
      <c r="AR56" s="562"/>
      <c r="AS56" s="562"/>
      <c r="AT56" s="562"/>
      <c r="AU56" s="562"/>
      <c r="AV56" s="562"/>
      <c r="AW56" s="562"/>
      <c r="AX56" s="594" t="str">
        <f>'Overview (Design)'!A42</f>
        <v>Maximum window and door U-value:</v>
      </c>
      <c r="AY56" s="562">
        <f>'Overview (Design)'!G42</f>
        <v>0</v>
      </c>
    </row>
    <row r="57" spans="2:51" x14ac:dyDescent="0.2">
      <c r="B57" s="358" t="s">
        <v>2857</v>
      </c>
      <c r="C57" s="358"/>
      <c r="D57" s="14"/>
      <c r="E57" s="14"/>
      <c r="F57" s="14"/>
      <c r="G57" s="14"/>
      <c r="H57" s="441"/>
      <c r="I57" s="3"/>
      <c r="J57" s="632"/>
      <c r="K57" s="632"/>
      <c r="L57" s="775"/>
      <c r="M57" s="838"/>
      <c r="N57" s="3"/>
      <c r="O57" s="609"/>
      <c r="P57" s="562" t="b">
        <v>1</v>
      </c>
      <c r="Q57" s="562" t="b">
        <v>1</v>
      </c>
      <c r="R57" s="562" t="b">
        <v>0</v>
      </c>
      <c r="S57" s="562" t="b">
        <v>1</v>
      </c>
      <c r="T57" s="562" t="b">
        <v>0</v>
      </c>
      <c r="U57" s="562"/>
      <c r="V57" s="562"/>
      <c r="W57" s="18"/>
      <c r="X57" s="562"/>
      <c r="Y57" s="562"/>
      <c r="Z57" s="562"/>
      <c r="AA57" s="562"/>
      <c r="AB57" s="562"/>
      <c r="AC57" s="562"/>
      <c r="AD57" s="562"/>
      <c r="AE57" s="562"/>
      <c r="AF57" s="562"/>
      <c r="AG57" s="562"/>
      <c r="AH57" s="562"/>
      <c r="AI57" s="562"/>
      <c r="AJ57" s="562"/>
      <c r="AK57" s="562"/>
      <c r="AL57" s="562"/>
      <c r="AM57" s="562"/>
      <c r="AN57" s="562"/>
      <c r="AO57" s="562"/>
      <c r="AP57" s="190" t="str">
        <f>SUBSTITUTE(SUBSTITUTE(SUBSTITUTE("dch"&amp;$B57&amp;$C57&amp;$D57&amp;$E57&amp;$F57,".","_"),"(","_"),")","")</f>
        <v>dch701_4_3_2</v>
      </c>
      <c r="AQ57" s="190">
        <f>W57</f>
        <v>0</v>
      </c>
      <c r="AR57" s="562"/>
      <c r="AS57" s="562"/>
      <c r="AT57" s="562"/>
      <c r="AU57" s="562"/>
      <c r="AV57" s="562"/>
      <c r="AW57" s="562"/>
      <c r="AX57" s="594" t="str">
        <f>'Overview (Design)'!A43</f>
        <v>Maximum skylight U-value:</v>
      </c>
      <c r="AY57" s="562">
        <f>'Overview (Design)'!G43</f>
        <v>0</v>
      </c>
    </row>
    <row r="58" spans="2:51" x14ac:dyDescent="0.2">
      <c r="B58" s="358" t="s">
        <v>2857</v>
      </c>
      <c r="C58" s="358"/>
      <c r="D58" s="14"/>
      <c r="E58" s="14"/>
      <c r="F58" s="14"/>
      <c r="G58" s="14"/>
      <c r="H58" s="441"/>
      <c r="I58" s="3"/>
      <c r="J58" s="632"/>
      <c r="K58" s="632"/>
      <c r="L58" s="775"/>
      <c r="M58" s="838"/>
      <c r="N58" s="3"/>
      <c r="O58" s="609"/>
      <c r="P58" s="562"/>
      <c r="Q58" s="562"/>
      <c r="R58" s="562"/>
      <c r="S58" s="562"/>
      <c r="T58" s="562"/>
      <c r="U58" s="562"/>
      <c r="V58" s="562"/>
      <c r="W58" s="562" t="s">
        <v>2861</v>
      </c>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94" t="str">
        <f>'Overview (Design)'!A44</f>
        <v>Renewable Energy:</v>
      </c>
      <c r="AY58" s="562">
        <f>'Overview (Design)'!G44</f>
        <v>0</v>
      </c>
    </row>
    <row r="59" spans="2:51" x14ac:dyDescent="0.2">
      <c r="B59" s="358" t="s">
        <v>2857</v>
      </c>
      <c r="C59" s="358"/>
      <c r="D59" s="14" t="s">
        <v>2862</v>
      </c>
      <c r="E59" s="14"/>
      <c r="F59" s="14"/>
      <c r="G59" s="14"/>
      <c r="H59" s="441"/>
      <c r="I59" s="3"/>
      <c r="J59" s="181" t="s">
        <v>2181</v>
      </c>
      <c r="K59" s="632"/>
      <c r="L59" s="775" t="s">
        <v>2863</v>
      </c>
      <c r="M59" s="616"/>
      <c r="N59" s="3"/>
      <c r="O59" s="609"/>
      <c r="P59" s="64" t="b">
        <v>1</v>
      </c>
      <c r="Q59" s="64" t="b">
        <v>1</v>
      </c>
      <c r="R59" s="562" t="b">
        <f>AND(S59,NOT(OR(AND(BF25=2,BG25="Dry"),BI25="Tropical",W57=TRUE)))</f>
        <v>1</v>
      </c>
      <c r="S59" s="562" t="b">
        <f>AND(NOT(W40),LEN(W62)&lt;=0)</f>
        <v>1</v>
      </c>
      <c r="T59" s="64" t="b">
        <f>IF(AND(NOT(S59),LEN(W59)&gt;0),TRUE,FALSE)</f>
        <v>0</v>
      </c>
      <c r="U59" s="562"/>
      <c r="V59" s="562"/>
      <c r="W59" s="222"/>
      <c r="X59" s="825"/>
      <c r="Y59" s="562"/>
      <c r="Z59" s="562"/>
      <c r="AA59" s="562"/>
      <c r="AB59" s="562"/>
      <c r="AC59" s="562" t="b">
        <f>OR(AD59:AE59)</f>
        <v>1</v>
      </c>
      <c r="AD59" s="562" t="b">
        <f>T59</f>
        <v>0</v>
      </c>
      <c r="AE59" s="562" t="b">
        <f>AND(R59,LEN(W59)=0)</f>
        <v>1</v>
      </c>
      <c r="AF59" s="562"/>
      <c r="AG59" s="562"/>
      <c r="AH59" s="562"/>
      <c r="AI59" s="562"/>
      <c r="AJ59" s="562"/>
      <c r="AK59" s="562"/>
      <c r="AL59" s="562"/>
      <c r="AM59" s="562"/>
      <c r="AN59" s="562"/>
      <c r="AO59" s="562"/>
      <c r="AP59" s="190" t="str">
        <f>SUBSTITUTE(SUBSTITUTE(SUBSTITUTE("dch"&amp;$B59&amp;$C59&amp;$D59&amp;$E59&amp;$F59,".","_"),"(","_"),")","")</f>
        <v>dch701_4_3_2_1_</v>
      </c>
      <c r="AQ59" s="190">
        <f>W59</f>
        <v>0</v>
      </c>
      <c r="AR59" s="190" t="str">
        <f>SUBSTITUTE(SUBSTITUTE(SUBSTITUTE("dnt"&amp;$B59&amp;$C59&amp;$D59&amp;$E59&amp;$F59,".","_"),"(","_"),")","")</f>
        <v>dnt701_4_3_2_1_</v>
      </c>
      <c r="AS59" s="190">
        <f>X59</f>
        <v>0</v>
      </c>
      <c r="AT59" s="562"/>
      <c r="AU59" s="562"/>
      <c r="AV59" s="562"/>
      <c r="AW59" s="562"/>
      <c r="AX59" s="594" t="str">
        <f>'Overview (Design)'!A45</f>
        <v>Thermal Envelope Insulation:</v>
      </c>
      <c r="AY59" s="562">
        <f>'Overview (Design)'!G45</f>
        <v>0</v>
      </c>
    </row>
    <row r="60" spans="2:51" x14ac:dyDescent="0.2">
      <c r="B60" s="358" t="s">
        <v>2857</v>
      </c>
      <c r="C60" s="358"/>
      <c r="D60" s="14" t="s">
        <v>2181</v>
      </c>
      <c r="E60" s="14"/>
      <c r="F60" s="14"/>
      <c r="G60" s="14"/>
      <c r="H60" s="441"/>
      <c r="I60" s="3"/>
      <c r="J60" s="632"/>
      <c r="K60" s="632"/>
      <c r="L60" s="775"/>
      <c r="M60" s="616"/>
      <c r="N60" s="3"/>
      <c r="O60" s="609"/>
      <c r="P60" s="562"/>
      <c r="Q60" s="562"/>
      <c r="R60" s="562"/>
      <c r="S60" s="562"/>
      <c r="T60" s="562"/>
      <c r="U60" s="562"/>
      <c r="V60" s="562"/>
      <c r="W60" s="562"/>
      <c r="X60" s="797"/>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94" t="str">
        <f>'Overview (Design)'!A46</f>
        <v>Attic Type:</v>
      </c>
      <c r="AY60" s="562">
        <f>'Overview (Design)'!G46</f>
        <v>0</v>
      </c>
    </row>
    <row r="61" spans="2:51" x14ac:dyDescent="0.2">
      <c r="B61" s="358" t="s">
        <v>2857</v>
      </c>
      <c r="C61" s="358"/>
      <c r="D61" s="14" t="s">
        <v>2181</v>
      </c>
      <c r="E61" s="14"/>
      <c r="F61" s="14"/>
      <c r="G61" s="14"/>
      <c r="H61" s="441"/>
      <c r="I61" s="3"/>
      <c r="J61" s="632"/>
      <c r="K61" s="632"/>
      <c r="L61" s="775"/>
      <c r="M61" s="616"/>
      <c r="N61" s="3"/>
      <c r="O61" s="609"/>
      <c r="P61" s="64"/>
      <c r="Q61" s="64"/>
      <c r="R61" s="562"/>
      <c r="S61" s="562"/>
      <c r="T61" s="562"/>
      <c r="U61" s="562"/>
      <c r="V61" s="562"/>
      <c r="W61" s="562" t="s">
        <v>2864</v>
      </c>
      <c r="X61" s="786"/>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94" t="str">
        <f>'Overview (Design)'!A47</f>
        <v>Attached Garage:</v>
      </c>
      <c r="AY61" s="562">
        <f>'Overview (Design)'!G47</f>
        <v>0</v>
      </c>
    </row>
    <row r="62" spans="2:51" x14ac:dyDescent="0.2">
      <c r="B62" s="358" t="s">
        <v>2857</v>
      </c>
      <c r="C62" s="358"/>
      <c r="D62" s="14" t="s">
        <v>2337</v>
      </c>
      <c r="E62" s="14"/>
      <c r="F62" s="14"/>
      <c r="G62" s="14"/>
      <c r="H62" s="441"/>
      <c r="I62" s="3"/>
      <c r="J62" s="632"/>
      <c r="K62" s="632"/>
      <c r="L62" s="775"/>
      <c r="M62" s="616"/>
      <c r="N62" s="3"/>
      <c r="O62" s="609"/>
      <c r="P62" s="64" t="b">
        <v>1</v>
      </c>
      <c r="Q62" s="64" t="b">
        <v>1</v>
      </c>
      <c r="R62" s="562" t="b">
        <f>AND(S62,NOT(OR(AND(BF25=2,BG25="Dry"),BI25="Tropical",W57=TRUE)))</f>
        <v>1</v>
      </c>
      <c r="S62" s="562" t="b">
        <f>AND(NOT(W40),LEN(W59)&lt;=0)</f>
        <v>1</v>
      </c>
      <c r="T62" s="64" t="b">
        <f>IF(AND(NOT(S62),LEN(W62)&gt;0),TRUE,FALSE)</f>
        <v>0</v>
      </c>
      <c r="U62" s="562"/>
      <c r="V62" s="562"/>
      <c r="W62" s="222"/>
      <c r="X62" s="825"/>
      <c r="Y62" s="562"/>
      <c r="Z62" s="562"/>
      <c r="AA62" s="562"/>
      <c r="AB62" s="562"/>
      <c r="AC62" s="562" t="b">
        <f>OR(AD62:AE62)</f>
        <v>1</v>
      </c>
      <c r="AD62" s="562" t="b">
        <f>T62</f>
        <v>0</v>
      </c>
      <c r="AE62" s="562" t="b">
        <f>AND(R62,LEN(W62)=0)</f>
        <v>1</v>
      </c>
      <c r="AF62" s="562"/>
      <c r="AG62" s="562"/>
      <c r="AH62" s="562"/>
      <c r="AI62" s="562"/>
      <c r="AJ62" s="562"/>
      <c r="AK62" s="562"/>
      <c r="AL62" s="562"/>
      <c r="AM62" s="562"/>
      <c r="AN62" s="562"/>
      <c r="AO62" s="562"/>
      <c r="AP62" s="190" t="str">
        <f>SUBSTITUTE(SUBSTITUTE(SUBSTITUTE("dch"&amp;$B62&amp;$C62&amp;$D62&amp;$E62&amp;$F62,".","_"),"(","_"),")","")</f>
        <v>dch701_4_3_2e</v>
      </c>
      <c r="AQ62" s="190">
        <f>W62</f>
        <v>0</v>
      </c>
      <c r="AR62" s="190" t="str">
        <f>SUBSTITUTE(SUBSTITUTE(SUBSTITUTE("dnt"&amp;$B62&amp;$C62&amp;$D62&amp;$E62&amp;$F62,".","_"),"(","_"),")","")</f>
        <v>dnt701_4_3_2e</v>
      </c>
      <c r="AS62" s="190">
        <f>X62</f>
        <v>0</v>
      </c>
      <c r="AT62" s="562"/>
      <c r="AU62" s="562"/>
      <c r="AV62" s="562"/>
      <c r="AW62" s="562"/>
      <c r="AX62" s="594" t="str">
        <f>'Overview (Design)'!A48</f>
        <v>Recessed Lighting:</v>
      </c>
      <c r="AY62" s="562">
        <f>'Overview (Design)'!G48</f>
        <v>0</v>
      </c>
    </row>
    <row r="63" spans="2:51" x14ac:dyDescent="0.2">
      <c r="B63" s="358" t="s">
        <v>2857</v>
      </c>
      <c r="C63" s="358"/>
      <c r="D63" s="14" t="s">
        <v>2181</v>
      </c>
      <c r="E63" s="14"/>
      <c r="F63" s="14"/>
      <c r="G63" s="14"/>
      <c r="H63" s="441"/>
      <c r="I63" s="3"/>
      <c r="J63" s="632"/>
      <c r="K63" s="632"/>
      <c r="L63" s="775"/>
      <c r="M63" s="616"/>
      <c r="N63" s="3"/>
      <c r="O63" s="609"/>
      <c r="P63" s="562"/>
      <c r="Q63" s="562"/>
      <c r="R63" s="562"/>
      <c r="S63" s="562"/>
      <c r="T63" s="562"/>
      <c r="U63" s="562"/>
      <c r="V63" s="562"/>
      <c r="W63" s="562"/>
      <c r="X63" s="786"/>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94"/>
      <c r="AY63" s="562"/>
    </row>
    <row r="64" spans="2:51" x14ac:dyDescent="0.2">
      <c r="B64" s="358" t="s">
        <v>2857</v>
      </c>
      <c r="C64" s="358"/>
      <c r="D64" s="14" t="s">
        <v>2181</v>
      </c>
      <c r="E64" s="14" t="s">
        <v>2196</v>
      </c>
      <c r="F64" s="14"/>
      <c r="G64" s="14"/>
      <c r="H64" s="441"/>
      <c r="I64" s="3"/>
      <c r="J64" s="632"/>
      <c r="K64" s="181" t="s">
        <v>2196</v>
      </c>
      <c r="L64" s="632" t="s">
        <v>2865</v>
      </c>
      <c r="M64" s="616"/>
      <c r="N64" s="3"/>
      <c r="O64" s="609"/>
      <c r="P64" s="562"/>
      <c r="Q64" s="562"/>
      <c r="R64" s="562"/>
      <c r="S64" s="562"/>
      <c r="T64" s="562"/>
      <c r="U64" s="562"/>
      <c r="V64" s="562"/>
      <c r="W64" s="562"/>
      <c r="X64" s="563"/>
      <c r="Y64" s="562"/>
      <c r="Z64" s="562"/>
      <c r="AA64" s="562"/>
      <c r="AB64" s="562"/>
      <c r="AC64" s="562"/>
      <c r="AD64" s="562"/>
      <c r="AE64" s="562"/>
      <c r="AF64" s="562"/>
      <c r="AG64" s="562"/>
      <c r="AH64" s="562"/>
      <c r="AI64" s="562"/>
      <c r="AJ64" s="562"/>
      <c r="AK64" s="562"/>
      <c r="AL64" s="562"/>
      <c r="AM64" s="562"/>
      <c r="AN64" s="562"/>
      <c r="AO64" s="562"/>
      <c r="AP64" s="562"/>
      <c r="AQ64" s="562"/>
      <c r="AR64" s="190" t="str">
        <f t="shared" ref="AR64:AR65" si="4">SUBSTITUTE(SUBSTITUTE(SUBSTITUTE("dnt"&amp;$B64&amp;$C64&amp;$D64&amp;$E64&amp;$F64,".","_"),"(","_"),")","")</f>
        <v>dnt701_4_3_2_1_a</v>
      </c>
      <c r="AS64" s="190">
        <f>X64</f>
        <v>0</v>
      </c>
      <c r="AT64" s="562"/>
      <c r="AU64" s="562"/>
      <c r="AV64" s="562"/>
      <c r="AW64" s="562"/>
      <c r="AX64" s="594" t="str">
        <f>'Overview (Design)'!A50</f>
        <v>Special Design Features:</v>
      </c>
      <c r="AY64" s="562">
        <f>'Overview (Design)'!G50</f>
        <v>0</v>
      </c>
    </row>
    <row r="65" spans="1:70" x14ac:dyDescent="0.2">
      <c r="B65" s="358" t="s">
        <v>2857</v>
      </c>
      <c r="C65" s="358"/>
      <c r="D65" s="14" t="s">
        <v>2181</v>
      </c>
      <c r="E65" s="14" t="s">
        <v>2198</v>
      </c>
      <c r="F65" s="14"/>
      <c r="G65" s="14"/>
      <c r="H65" s="441"/>
      <c r="I65" s="3"/>
      <c r="J65" s="632"/>
      <c r="K65" s="181" t="s">
        <v>2198</v>
      </c>
      <c r="L65" s="817" t="s">
        <v>2866</v>
      </c>
      <c r="M65" s="616"/>
      <c r="N65" s="3"/>
      <c r="O65" s="609"/>
      <c r="P65" s="562"/>
      <c r="Q65" s="562"/>
      <c r="R65" s="562"/>
      <c r="S65" s="562"/>
      <c r="T65" s="562"/>
      <c r="U65" s="562"/>
      <c r="V65" s="562"/>
      <c r="W65" s="562"/>
      <c r="X65" s="787"/>
      <c r="Y65" s="562"/>
      <c r="Z65" s="562"/>
      <c r="AA65" s="562"/>
      <c r="AB65" s="562"/>
      <c r="AC65" s="562"/>
      <c r="AD65" s="562"/>
      <c r="AE65" s="562"/>
      <c r="AF65" s="562"/>
      <c r="AG65" s="562"/>
      <c r="AH65" s="562"/>
      <c r="AI65" s="562"/>
      <c r="AJ65" s="562"/>
      <c r="AK65" s="562"/>
      <c r="AL65" s="562"/>
      <c r="AM65" s="562"/>
      <c r="AN65" s="562"/>
      <c r="AO65" s="562"/>
      <c r="AP65" s="562"/>
      <c r="AQ65" s="562"/>
      <c r="AR65" s="190" t="str">
        <f t="shared" si="4"/>
        <v>dnt701_4_3_2_1_b</v>
      </c>
      <c r="AS65" s="190">
        <f>X65</f>
        <v>0</v>
      </c>
      <c r="AT65" s="562"/>
      <c r="AU65" s="562"/>
      <c r="AV65" s="562"/>
      <c r="AW65" s="562"/>
      <c r="AX65" s="594" t="str">
        <f>'Overview (Design)'!A51</f>
        <v>Passive Solar:</v>
      </c>
      <c r="AY65" s="562">
        <f>'Overview (Design)'!G51</f>
        <v>0</v>
      </c>
      <c r="AZ65" s="562"/>
      <c r="BA65" s="562"/>
      <c r="BB65" s="562"/>
      <c r="BC65" s="562"/>
      <c r="BD65" s="562"/>
      <c r="BE65" s="562"/>
      <c r="BF65" s="562"/>
      <c r="BG65" s="562"/>
      <c r="BH65" s="562"/>
      <c r="BI65" s="562"/>
      <c r="BJ65" s="562"/>
      <c r="BK65" s="562"/>
      <c r="BL65" s="562"/>
      <c r="BM65" s="562"/>
      <c r="BN65" s="562"/>
      <c r="BO65" s="562"/>
      <c r="BP65" s="562"/>
      <c r="BQ65" s="562"/>
      <c r="BR65" s="562"/>
    </row>
    <row r="66" spans="1:70" x14ac:dyDescent="0.2">
      <c r="B66" s="358" t="s">
        <v>2857</v>
      </c>
      <c r="C66" s="358"/>
      <c r="D66" s="14" t="s">
        <v>2181</v>
      </c>
      <c r="E66" s="14" t="s">
        <v>2198</v>
      </c>
      <c r="F66" s="14"/>
      <c r="G66" s="14"/>
      <c r="H66" s="441"/>
      <c r="I66" s="3"/>
      <c r="J66" s="632"/>
      <c r="K66" s="181"/>
      <c r="L66" s="817"/>
      <c r="M66" s="616"/>
      <c r="N66" s="3"/>
      <c r="O66" s="609"/>
      <c r="P66" s="562"/>
      <c r="Q66" s="562"/>
      <c r="R66" s="562"/>
      <c r="S66" s="562"/>
      <c r="T66" s="562"/>
      <c r="U66" s="562"/>
      <c r="V66" s="562"/>
      <c r="W66" s="562"/>
      <c r="X66" s="787"/>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94" t="str">
        <f>'Overview (Design)'!A52</f>
        <v>Mass Walls:</v>
      </c>
      <c r="AY66" s="562">
        <f>'Overview (Design)'!G52</f>
        <v>0</v>
      </c>
      <c r="AZ66" s="562"/>
      <c r="BA66" s="562"/>
      <c r="BB66" s="562"/>
      <c r="BC66" s="562"/>
      <c r="BD66" s="562"/>
      <c r="BE66" s="562"/>
      <c r="BF66" s="562"/>
      <c r="BG66" s="562"/>
      <c r="BH66" s="562"/>
      <c r="BI66" s="562"/>
      <c r="BJ66" s="562"/>
      <c r="BK66" s="562"/>
      <c r="BL66" s="562"/>
      <c r="BM66" s="562"/>
      <c r="BN66" s="562"/>
      <c r="BO66" s="562"/>
      <c r="BP66" s="562"/>
      <c r="BQ66" s="562"/>
      <c r="BR66" s="562"/>
    </row>
    <row r="67" spans="1:70" x14ac:dyDescent="0.2">
      <c r="B67" s="358" t="s">
        <v>2857</v>
      </c>
      <c r="C67" s="358"/>
      <c r="D67" s="14" t="s">
        <v>2181</v>
      </c>
      <c r="E67" s="19" t="s">
        <v>2200</v>
      </c>
      <c r="F67" s="19"/>
      <c r="G67" s="19"/>
      <c r="H67" s="442"/>
      <c r="I67" s="3"/>
      <c r="J67" s="632"/>
      <c r="K67" s="182" t="s">
        <v>2200</v>
      </c>
      <c r="L67" s="632" t="s">
        <v>2867</v>
      </c>
      <c r="M67" s="616"/>
      <c r="N67" s="3"/>
      <c r="O67" s="609"/>
      <c r="P67" s="562"/>
      <c r="Q67" s="562"/>
      <c r="R67" s="562"/>
      <c r="S67" s="562"/>
      <c r="T67" s="562"/>
      <c r="U67" s="562"/>
      <c r="V67" s="562"/>
      <c r="W67" s="562"/>
      <c r="X67" s="563"/>
      <c r="Y67" s="562"/>
      <c r="Z67" s="562"/>
      <c r="AA67" s="562"/>
      <c r="AB67" s="562"/>
      <c r="AC67" s="562"/>
      <c r="AD67" s="562"/>
      <c r="AE67" s="562"/>
      <c r="AF67" s="562"/>
      <c r="AG67" s="562"/>
      <c r="AH67" s="562"/>
      <c r="AI67" s="562"/>
      <c r="AJ67" s="562"/>
      <c r="AK67" s="562"/>
      <c r="AL67" s="562"/>
      <c r="AM67" s="562"/>
      <c r="AN67" s="562"/>
      <c r="AO67" s="562"/>
      <c r="AP67" s="562"/>
      <c r="AQ67" s="562"/>
      <c r="AR67" s="190" t="str">
        <f t="shared" ref="AR67:AR68" si="5">SUBSTITUTE(SUBSTITUTE(SUBSTITUTE("dnt"&amp;$B67&amp;$C67&amp;$D67&amp;$E67&amp;$F67,".","_"),"(","_"),")","")</f>
        <v>dnt701_4_3_2_1_c</v>
      </c>
      <c r="AS67" s="190">
        <f>X67</f>
        <v>0</v>
      </c>
      <c r="AT67" s="562"/>
      <c r="AU67" s="562"/>
      <c r="AV67" s="562"/>
      <c r="AW67" s="562"/>
      <c r="AX67" s="594" t="str">
        <f>'Overview (Design)'!A53</f>
        <v>Ductless:</v>
      </c>
      <c r="AY67" s="562">
        <f>'Overview (Design)'!G53</f>
        <v>0</v>
      </c>
      <c r="AZ67" s="562"/>
      <c r="BA67" s="562"/>
      <c r="BB67" s="562"/>
      <c r="BC67" s="562"/>
      <c r="BD67" s="562"/>
      <c r="BE67" s="562"/>
      <c r="BF67" s="562"/>
      <c r="BG67" s="562"/>
      <c r="BH67" s="562"/>
      <c r="BI67" s="562"/>
      <c r="BJ67" s="562"/>
      <c r="BK67" s="562"/>
      <c r="BL67" s="562"/>
      <c r="BM67" s="562"/>
      <c r="BN67" s="562"/>
      <c r="BO67" s="562"/>
      <c r="BP67" s="562"/>
      <c r="BQ67" s="562"/>
      <c r="BR67" s="562"/>
    </row>
    <row r="68" spans="1:70" x14ac:dyDescent="0.2">
      <c r="B68" s="358" t="s">
        <v>2857</v>
      </c>
      <c r="C68" s="358"/>
      <c r="D68" s="14" t="s">
        <v>2181</v>
      </c>
      <c r="E68" s="14" t="s">
        <v>2247</v>
      </c>
      <c r="F68" s="14"/>
      <c r="G68" s="14"/>
      <c r="H68" s="441"/>
      <c r="I68" s="3"/>
      <c r="J68" s="632"/>
      <c r="K68" s="654" t="s">
        <v>2247</v>
      </c>
      <c r="L68" s="817" t="s">
        <v>2868</v>
      </c>
      <c r="M68" s="616"/>
      <c r="N68" s="3"/>
      <c r="O68" s="609"/>
      <c r="P68" s="562"/>
      <c r="Q68" s="562"/>
      <c r="R68" s="562"/>
      <c r="S68" s="562"/>
      <c r="T68" s="562"/>
      <c r="U68" s="562"/>
      <c r="V68" s="562"/>
      <c r="W68" s="562"/>
      <c r="X68" s="787"/>
      <c r="Y68" s="562"/>
      <c r="Z68" s="562"/>
      <c r="AA68" s="562"/>
      <c r="AB68" s="562"/>
      <c r="AC68" s="562"/>
      <c r="AD68" s="562"/>
      <c r="AE68" s="562"/>
      <c r="AF68" s="562"/>
      <c r="AG68" s="562"/>
      <c r="AH68" s="562"/>
      <c r="AI68" s="562"/>
      <c r="AJ68" s="562"/>
      <c r="AK68" s="562"/>
      <c r="AL68" s="562"/>
      <c r="AM68" s="562"/>
      <c r="AN68" s="562"/>
      <c r="AO68" s="562"/>
      <c r="AP68" s="562"/>
      <c r="AQ68" s="562"/>
      <c r="AR68" s="190" t="str">
        <f t="shared" si="5"/>
        <v>dnt701_4_3_2_1_d</v>
      </c>
      <c r="AS68" s="190">
        <f>X68</f>
        <v>0</v>
      </c>
      <c r="AT68" s="562"/>
      <c r="AU68" s="562"/>
      <c r="AV68" s="562"/>
      <c r="AW68" s="562"/>
      <c r="AX68" s="594" t="str">
        <f>'Overview (Design)'!A54</f>
        <v>Radiant/Hydronic:</v>
      </c>
      <c r="AY68" s="562">
        <f>'Overview (Design)'!G54</f>
        <v>0</v>
      </c>
      <c r="AZ68" s="562"/>
      <c r="BA68" s="562"/>
      <c r="BB68" s="562"/>
      <c r="BC68" s="562"/>
      <c r="BD68" s="562"/>
      <c r="BE68" s="562"/>
      <c r="BF68" s="562"/>
      <c r="BG68" s="562"/>
      <c r="BH68" s="562"/>
      <c r="BI68" s="562"/>
      <c r="BJ68" s="562"/>
      <c r="BK68" s="562"/>
      <c r="BL68" s="562"/>
      <c r="BM68" s="562"/>
      <c r="BN68" s="562"/>
      <c r="BO68" s="562"/>
      <c r="BP68" s="562"/>
      <c r="BQ68" s="562"/>
      <c r="BR68" s="562"/>
    </row>
    <row r="69" spans="1:70" x14ac:dyDescent="0.2">
      <c r="B69" s="358" t="s">
        <v>2857</v>
      </c>
      <c r="C69" s="358"/>
      <c r="D69" s="14" t="s">
        <v>2181</v>
      </c>
      <c r="E69" s="14" t="s">
        <v>2247</v>
      </c>
      <c r="F69" s="14"/>
      <c r="G69" s="14"/>
      <c r="H69" s="441"/>
      <c r="I69" s="3"/>
      <c r="J69" s="632"/>
      <c r="K69" s="654"/>
      <c r="L69" s="817"/>
      <c r="M69" s="616"/>
      <c r="N69" s="3"/>
      <c r="O69" s="609"/>
      <c r="P69" s="562"/>
      <c r="Q69" s="562"/>
      <c r="R69" s="562"/>
      <c r="S69" s="562"/>
      <c r="T69" s="562"/>
      <c r="U69" s="562"/>
      <c r="V69" s="562"/>
      <c r="W69" s="562"/>
      <c r="X69" s="787"/>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94" t="str">
        <f>'Overview (Design)'!A55</f>
        <v>Tankless Water Heater:</v>
      </c>
      <c r="AY69" s="562">
        <f>'Overview (Design)'!G55</f>
        <v>0</v>
      </c>
      <c r="AZ69" s="562"/>
      <c r="BA69" s="562"/>
      <c r="BB69" s="562"/>
      <c r="BC69" s="562"/>
      <c r="BD69" s="562"/>
      <c r="BE69" s="562"/>
      <c r="BF69" s="562"/>
      <c r="BG69" s="562"/>
      <c r="BH69" s="562"/>
      <c r="BI69" s="562"/>
      <c r="BJ69" s="562"/>
      <c r="BK69" s="562"/>
      <c r="BL69" s="562"/>
      <c r="BM69" s="562"/>
      <c r="BN69" s="562"/>
      <c r="BO69" s="562"/>
      <c r="BP69" s="562"/>
      <c r="BQ69" s="562"/>
      <c r="BR69" s="562"/>
    </row>
    <row r="70" spans="1:70" x14ac:dyDescent="0.2">
      <c r="B70" s="358" t="s">
        <v>2857</v>
      </c>
      <c r="C70" s="358"/>
      <c r="D70" s="14" t="s">
        <v>2181</v>
      </c>
      <c r="E70" s="14" t="s">
        <v>2444</v>
      </c>
      <c r="F70" s="14"/>
      <c r="G70" s="14"/>
      <c r="H70" s="441"/>
      <c r="I70" s="3"/>
      <c r="J70" s="632"/>
      <c r="K70" s="654" t="s">
        <v>2444</v>
      </c>
      <c r="L70" s="632" t="s">
        <v>2869</v>
      </c>
      <c r="M70" s="616"/>
      <c r="N70" s="3"/>
      <c r="O70" s="609"/>
      <c r="P70" s="562"/>
      <c r="Q70" s="562"/>
      <c r="R70" s="562"/>
      <c r="S70" s="562"/>
      <c r="T70" s="562"/>
      <c r="U70" s="562"/>
      <c r="V70" s="562"/>
      <c r="W70" s="562"/>
      <c r="X70" s="563"/>
      <c r="Y70" s="562"/>
      <c r="Z70" s="562"/>
      <c r="AA70" s="562"/>
      <c r="AB70" s="562"/>
      <c r="AC70" s="562"/>
      <c r="AD70" s="562"/>
      <c r="AE70" s="562"/>
      <c r="AF70" s="562"/>
      <c r="AG70" s="562"/>
      <c r="AH70" s="562"/>
      <c r="AI70" s="562"/>
      <c r="AJ70" s="562"/>
      <c r="AK70" s="562"/>
      <c r="AL70" s="562"/>
      <c r="AM70" s="562"/>
      <c r="AN70" s="562"/>
      <c r="AO70" s="562"/>
      <c r="AP70" s="562"/>
      <c r="AQ70" s="562"/>
      <c r="AR70" s="190" t="str">
        <f t="shared" ref="AR70:AR73" si="6">SUBSTITUTE(SUBSTITUTE(SUBSTITUTE("dnt"&amp;$B70&amp;$C70&amp;$D70&amp;$E70&amp;$F70,".","_"),"(","_"),")","")</f>
        <v>dnt701_4_3_2_1_e</v>
      </c>
      <c r="AS70" s="190">
        <f>X70</f>
        <v>0</v>
      </c>
      <c r="AT70" s="562"/>
      <c r="AU70" s="562"/>
      <c r="AV70" s="562"/>
      <c r="AW70" s="562"/>
      <c r="AX70" s="594" t="str">
        <f>'Overview (Design)'!A56</f>
        <v>Composting Toilet:</v>
      </c>
      <c r="AY70" s="562">
        <f>'Overview (Design)'!G56</f>
        <v>0</v>
      </c>
      <c r="AZ70" s="562"/>
      <c r="BA70" s="562"/>
      <c r="BB70" s="562"/>
      <c r="BC70" s="562"/>
      <c r="BD70" s="562"/>
      <c r="BE70" s="562"/>
      <c r="BF70" s="562"/>
      <c r="BG70" s="562"/>
      <c r="BH70" s="562"/>
      <c r="BI70" s="562"/>
      <c r="BJ70" s="562"/>
      <c r="BK70" s="562"/>
      <c r="BL70" s="562"/>
      <c r="BM70" s="562"/>
      <c r="BN70" s="562"/>
      <c r="BO70" s="562"/>
      <c r="BP70" s="562"/>
      <c r="BQ70" s="562"/>
      <c r="BR70" s="562"/>
    </row>
    <row r="71" spans="1:70" x14ac:dyDescent="0.2">
      <c r="B71" s="358" t="s">
        <v>2857</v>
      </c>
      <c r="C71" s="358"/>
      <c r="D71" s="14" t="s">
        <v>2181</v>
      </c>
      <c r="E71" s="19" t="s">
        <v>2540</v>
      </c>
      <c r="F71" s="19"/>
      <c r="G71" s="19"/>
      <c r="H71" s="442"/>
      <c r="I71" s="3"/>
      <c r="J71" s="632"/>
      <c r="K71" s="182" t="s">
        <v>2540</v>
      </c>
      <c r="L71" s="632" t="s">
        <v>2870</v>
      </c>
      <c r="M71" s="616"/>
      <c r="N71" s="3"/>
      <c r="O71" s="609"/>
      <c r="P71" s="562"/>
      <c r="Q71" s="562"/>
      <c r="R71" s="562"/>
      <c r="S71" s="562"/>
      <c r="T71" s="562"/>
      <c r="U71" s="562"/>
      <c r="V71" s="562"/>
      <c r="W71" s="562"/>
      <c r="X71" s="563"/>
      <c r="Y71" s="562"/>
      <c r="Z71" s="562"/>
      <c r="AA71" s="562"/>
      <c r="AB71" s="562"/>
      <c r="AC71" s="562"/>
      <c r="AD71" s="562"/>
      <c r="AE71" s="562"/>
      <c r="AF71" s="562"/>
      <c r="AG71" s="562"/>
      <c r="AH71" s="562"/>
      <c r="AI71" s="562"/>
      <c r="AJ71" s="562"/>
      <c r="AK71" s="562"/>
      <c r="AL71" s="562"/>
      <c r="AM71" s="562"/>
      <c r="AN71" s="562"/>
      <c r="AO71" s="562"/>
      <c r="AP71" s="562"/>
      <c r="AQ71" s="562"/>
      <c r="AR71" s="190" t="str">
        <f t="shared" si="6"/>
        <v>dnt701_4_3_2_1_f</v>
      </c>
      <c r="AS71" s="190">
        <f>X71</f>
        <v>0</v>
      </c>
      <c r="AT71" s="562"/>
      <c r="AU71" s="562"/>
      <c r="AV71" s="562"/>
      <c r="AW71" s="562"/>
      <c r="AX71" s="594"/>
      <c r="AY71" s="562"/>
      <c r="AZ71" s="562"/>
      <c r="BA71" s="562"/>
      <c r="BB71" s="562"/>
      <c r="BC71" s="562"/>
      <c r="BD71" s="562"/>
      <c r="BE71" s="562"/>
      <c r="BF71" s="562"/>
      <c r="BG71" s="562"/>
      <c r="BH71" s="562"/>
      <c r="BI71" s="562"/>
      <c r="BJ71" s="562"/>
      <c r="BK71" s="562"/>
      <c r="BL71" s="562"/>
      <c r="BM71" s="562"/>
      <c r="BN71" s="562"/>
      <c r="BO71" s="562"/>
      <c r="BP71" s="562"/>
      <c r="BQ71" s="562"/>
      <c r="BR71" s="562"/>
    </row>
    <row r="72" spans="1:70" ht="15" customHeight="1" x14ac:dyDescent="0.2">
      <c r="B72" s="358" t="s">
        <v>2857</v>
      </c>
      <c r="C72" s="358"/>
      <c r="D72" s="14" t="s">
        <v>2181</v>
      </c>
      <c r="E72" s="14" t="s">
        <v>2542</v>
      </c>
      <c r="F72" s="14"/>
      <c r="G72" s="14"/>
      <c r="H72" s="441"/>
      <c r="I72" s="3"/>
      <c r="J72" s="632"/>
      <c r="K72" s="654" t="s">
        <v>2542</v>
      </c>
      <c r="L72" s="632" t="s">
        <v>2871</v>
      </c>
      <c r="M72" s="616"/>
      <c r="N72" s="3"/>
      <c r="O72" s="609"/>
      <c r="P72" s="562"/>
      <c r="Q72" s="562"/>
      <c r="R72" s="562"/>
      <c r="S72" s="562"/>
      <c r="T72" s="562"/>
      <c r="U72" s="562"/>
      <c r="V72" s="562"/>
      <c r="W72" s="562"/>
      <c r="X72" s="563"/>
      <c r="Y72" s="562"/>
      <c r="Z72" s="562"/>
      <c r="AA72" s="562"/>
      <c r="AB72" s="562"/>
      <c r="AC72" s="562"/>
      <c r="AD72" s="562"/>
      <c r="AE72" s="562"/>
      <c r="AF72" s="562"/>
      <c r="AG72" s="562"/>
      <c r="AH72" s="562"/>
      <c r="AI72" s="562"/>
      <c r="AJ72" s="562"/>
      <c r="AK72" s="562"/>
      <c r="AL72" s="562"/>
      <c r="AM72" s="562"/>
      <c r="AN72" s="562"/>
      <c r="AO72" s="562"/>
      <c r="AP72" s="562"/>
      <c r="AQ72" s="562"/>
      <c r="AR72" s="190" t="str">
        <f t="shared" si="6"/>
        <v>dnt701_4_3_2_1_g</v>
      </c>
      <c r="AS72" s="190">
        <f>X72</f>
        <v>0</v>
      </c>
      <c r="AT72" s="562"/>
      <c r="AU72" s="562"/>
      <c r="AV72" s="562"/>
      <c r="AW72" s="562"/>
      <c r="AX72" s="594" t="str">
        <f>'Overview (Design)'!A58</f>
        <v>Local Energy Code:</v>
      </c>
      <c r="AY72" s="562">
        <f>'Overview (Design)'!G58</f>
        <v>0</v>
      </c>
      <c r="AZ72" s="562"/>
      <c r="BA72" s="562"/>
      <c r="BB72" s="562"/>
      <c r="BC72" s="562"/>
      <c r="BD72" s="562"/>
      <c r="BE72" s="562"/>
      <c r="BF72" s="562"/>
      <c r="BG72" s="562"/>
      <c r="BH72" s="562"/>
      <c r="BI72" s="562"/>
      <c r="BJ72" s="562"/>
      <c r="BK72" s="562"/>
      <c r="BL72" s="562"/>
      <c r="BM72" s="562"/>
      <c r="BN72" s="562"/>
      <c r="BO72" s="562"/>
      <c r="BP72" s="562"/>
      <c r="BQ72" s="562"/>
      <c r="BR72" s="562"/>
    </row>
    <row r="73" spans="1:70" x14ac:dyDescent="0.2">
      <c r="B73" s="358" t="s">
        <v>2857</v>
      </c>
      <c r="C73" s="358"/>
      <c r="D73" s="14" t="s">
        <v>2181</v>
      </c>
      <c r="E73" s="14" t="s">
        <v>2544</v>
      </c>
      <c r="F73" s="14"/>
      <c r="G73" s="14"/>
      <c r="H73" s="441"/>
      <c r="I73" s="3"/>
      <c r="J73" s="598"/>
      <c r="K73" s="281"/>
      <c r="L73" s="849" t="s">
        <v>2872</v>
      </c>
      <c r="M73" s="616"/>
      <c r="N73" s="3"/>
      <c r="O73" s="609"/>
      <c r="P73" s="562"/>
      <c r="Q73" s="562"/>
      <c r="R73" s="562"/>
      <c r="S73" s="562"/>
      <c r="T73" s="562"/>
      <c r="U73" s="562"/>
      <c r="V73" s="562"/>
      <c r="W73" s="562"/>
      <c r="X73" s="787"/>
      <c r="Y73" s="562"/>
      <c r="Z73" s="562"/>
      <c r="AA73" s="562"/>
      <c r="AB73" s="562"/>
      <c r="AC73" s="562"/>
      <c r="AD73" s="562"/>
      <c r="AE73" s="562"/>
      <c r="AF73" s="562"/>
      <c r="AG73" s="562"/>
      <c r="AH73" s="562"/>
      <c r="AI73" s="562"/>
      <c r="AJ73" s="562"/>
      <c r="AK73" s="562"/>
      <c r="AL73" s="562"/>
      <c r="AM73" s="562"/>
      <c r="AN73" s="562"/>
      <c r="AO73" s="562"/>
      <c r="AP73" s="562"/>
      <c r="AQ73" s="562"/>
      <c r="AR73" s="190" t="str">
        <f t="shared" si="6"/>
        <v>dnt701_4_3_2_1_h</v>
      </c>
      <c r="AS73" s="190">
        <f>X73</f>
        <v>0</v>
      </c>
      <c r="AT73" s="562"/>
      <c r="AU73" s="562"/>
      <c r="AV73" s="562"/>
      <c r="AW73" s="562"/>
      <c r="AX73" s="594" t="str">
        <f>'Overview (Design)'!A59</f>
        <v>Local Building Code:</v>
      </c>
      <c r="AY73" s="562">
        <f>'Overview (Design)'!G59</f>
        <v>0</v>
      </c>
      <c r="AZ73" s="562"/>
      <c r="BA73" s="562"/>
      <c r="BB73" s="562"/>
      <c r="BC73" s="562"/>
      <c r="BD73" s="562"/>
      <c r="BE73" s="562"/>
      <c r="BF73" s="562"/>
      <c r="BG73" s="562"/>
      <c r="BH73" s="562"/>
      <c r="BI73" s="562"/>
      <c r="BJ73" s="562"/>
      <c r="BK73" s="562"/>
      <c r="BL73" s="562"/>
      <c r="BM73" s="562"/>
      <c r="BN73" s="562"/>
      <c r="BO73" s="562"/>
      <c r="BP73" s="562"/>
      <c r="BQ73" s="562"/>
      <c r="BR73" s="562"/>
    </row>
    <row r="74" spans="1:70" x14ac:dyDescent="0.2">
      <c r="B74" s="358" t="s">
        <v>2857</v>
      </c>
      <c r="C74" s="358"/>
      <c r="D74" s="14" t="s">
        <v>2181</v>
      </c>
      <c r="E74" s="14"/>
      <c r="F74" s="14"/>
      <c r="G74" s="14"/>
      <c r="H74" s="441"/>
      <c r="I74" s="3"/>
      <c r="J74" s="599"/>
      <c r="K74" s="282"/>
      <c r="L74" s="850"/>
      <c r="M74" s="616"/>
      <c r="N74" s="3"/>
      <c r="O74" s="609"/>
      <c r="P74" s="562"/>
      <c r="Q74" s="562"/>
      <c r="R74" s="562"/>
      <c r="S74" s="562"/>
      <c r="T74" s="562"/>
      <c r="U74" s="562"/>
      <c r="V74" s="562"/>
      <c r="W74" s="562"/>
      <c r="X74" s="787"/>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row>
    <row r="75" spans="1:70" x14ac:dyDescent="0.2">
      <c r="B75" s="358" t="s">
        <v>2857</v>
      </c>
      <c r="C75" s="358"/>
      <c r="D75" s="14" t="s">
        <v>2183</v>
      </c>
      <c r="E75" s="14"/>
      <c r="F75" s="14"/>
      <c r="G75" s="14"/>
      <c r="H75" s="441"/>
      <c r="I75" s="98"/>
      <c r="J75" s="270" t="s">
        <v>2183</v>
      </c>
      <c r="K75" s="598"/>
      <c r="L75" s="820" t="s">
        <v>2873</v>
      </c>
      <c r="M75" s="610"/>
      <c r="N75" s="98"/>
      <c r="O75" s="607"/>
      <c r="P75" s="64" t="b">
        <v>1</v>
      </c>
      <c r="Q75" s="64" t="b">
        <v>1</v>
      </c>
      <c r="R75" s="64" t="b">
        <f>AND(S75,NOT(W57=TRUE))</f>
        <v>1</v>
      </c>
      <c r="S75" s="64" t="b">
        <v>1</v>
      </c>
      <c r="T75" s="64" t="b">
        <f>AND(NOT(S75),W75=TRUE)</f>
        <v>0</v>
      </c>
      <c r="U75" s="64"/>
      <c r="V75" s="64"/>
      <c r="W75" s="219"/>
      <c r="X75" s="798"/>
      <c r="Y75" s="562"/>
      <c r="Z75" s="562"/>
      <c r="AA75" s="562"/>
      <c r="AB75" s="562"/>
      <c r="AC75" s="562" t="b">
        <f>OR(AD75:AE75)</f>
        <v>1</v>
      </c>
      <c r="AD75" s="562" t="b">
        <f>T75</f>
        <v>0</v>
      </c>
      <c r="AE75" s="562" t="b">
        <f>AND(R75,NOT(W75))</f>
        <v>1</v>
      </c>
      <c r="AF75" s="562"/>
      <c r="AG75" s="562"/>
      <c r="AH75" s="562"/>
      <c r="AI75" s="562"/>
      <c r="AJ75" s="562"/>
      <c r="AK75" s="562"/>
      <c r="AL75" s="562"/>
      <c r="AM75" s="562"/>
      <c r="AN75" s="562"/>
      <c r="AO75" s="562"/>
      <c r="AP75" s="190" t="str">
        <f>SUBSTITUTE(SUBSTITUTE(SUBSTITUTE("dch"&amp;$B75&amp;$C75&amp;$D75&amp;$E75&amp;$F75,".","_"),"(","_"),")","")</f>
        <v>dch701_4_3_2_2</v>
      </c>
      <c r="AQ75" s="190">
        <f>W75</f>
        <v>0</v>
      </c>
      <c r="AR75" s="190" t="str">
        <f>SUBSTITUTE(SUBSTITUTE(SUBSTITUTE("dnt"&amp;$B75&amp;$C75&amp;$D75&amp;$E75&amp;$F75,".","_"),"(","_"),")","")</f>
        <v>dnt701_4_3_2_2</v>
      </c>
      <c r="AS75" s="190">
        <f>X75</f>
        <v>0</v>
      </c>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row>
    <row r="76" spans="1:70" x14ac:dyDescent="0.2">
      <c r="B76" s="358" t="s">
        <v>2857</v>
      </c>
      <c r="C76" s="358"/>
      <c r="D76" s="14" t="s">
        <v>2183</v>
      </c>
      <c r="E76" s="14"/>
      <c r="F76" s="14"/>
      <c r="G76" s="14"/>
      <c r="H76" s="441"/>
      <c r="I76" s="98"/>
      <c r="J76" s="598"/>
      <c r="K76" s="598"/>
      <c r="L76" s="820"/>
      <c r="M76" s="610"/>
      <c r="N76" s="98"/>
      <c r="O76" s="607"/>
      <c r="P76" s="64"/>
      <c r="Q76" s="64"/>
      <c r="R76" s="64"/>
      <c r="S76" s="64"/>
      <c r="T76" s="64"/>
      <c r="U76" s="64"/>
      <c r="V76" s="64"/>
      <c r="W76" s="64"/>
      <c r="X76" s="798"/>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row>
    <row r="77" spans="1:70" s="202" customFormat="1" x14ac:dyDescent="0.2">
      <c r="A77" s="13"/>
      <c r="B77" s="358" t="s">
        <v>2857</v>
      </c>
      <c r="C77" s="358"/>
      <c r="D77" s="14" t="s">
        <v>2183</v>
      </c>
      <c r="E77" s="14"/>
      <c r="F77" s="14"/>
      <c r="G77" s="14"/>
      <c r="H77" s="441"/>
      <c r="I77" s="165"/>
      <c r="J77" s="599"/>
      <c r="K77" s="599"/>
      <c r="L77" s="275" t="s">
        <v>2874</v>
      </c>
      <c r="M77" s="611"/>
      <c r="N77" s="165"/>
      <c r="O77" s="608"/>
      <c r="P77" s="129"/>
      <c r="Q77" s="129"/>
      <c r="R77" s="129"/>
      <c r="S77" s="129"/>
      <c r="T77" s="129"/>
      <c r="U77" s="129"/>
      <c r="V77" s="129"/>
      <c r="W77" s="129"/>
      <c r="X77" s="798"/>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row>
    <row r="78" spans="1:70" x14ac:dyDescent="0.2">
      <c r="B78" s="358" t="s">
        <v>2875</v>
      </c>
      <c r="C78" s="358"/>
      <c r="D78" s="14"/>
      <c r="E78" s="14"/>
      <c r="F78" s="14"/>
      <c r="G78" s="14"/>
      <c r="H78" s="441"/>
      <c r="I78" s="41" t="s">
        <v>2876</v>
      </c>
      <c r="J78" s="632"/>
      <c r="K78" s="632"/>
      <c r="L78" s="654" t="s">
        <v>2877</v>
      </c>
      <c r="M78" s="630" t="str">
        <f>IF(R78,"Mandatory","N/A")</f>
        <v>Mandatory</v>
      </c>
      <c r="N78" s="3"/>
      <c r="O78" s="609"/>
      <c r="P78" s="64" t="b">
        <v>1</v>
      </c>
      <c r="Q78" s="64" t="b">
        <v>0</v>
      </c>
      <c r="R78" s="562" t="b">
        <f>AND(S78,NOT(W57=TRUE))</f>
        <v>1</v>
      </c>
      <c r="S78" s="64" t="b">
        <v>1</v>
      </c>
      <c r="T78" s="64" t="b">
        <f>AND(NOT(S78),W78=TRUE)</f>
        <v>0</v>
      </c>
      <c r="U78" s="562"/>
      <c r="V78" s="562"/>
      <c r="W78" s="91"/>
      <c r="X78" s="562"/>
      <c r="Y78" s="562"/>
      <c r="Z78" s="562"/>
      <c r="AA78" s="562"/>
      <c r="AB78" s="562"/>
      <c r="AC78" s="562" t="b">
        <f>OR(AD78:AE78)</f>
        <v>1</v>
      </c>
      <c r="AD78" s="562" t="b">
        <f>T78</f>
        <v>0</v>
      </c>
      <c r="AE78" s="562" t="b">
        <f>AND(R78,NOT(W78))</f>
        <v>1</v>
      </c>
      <c r="AF78" s="562"/>
      <c r="AG78" s="562"/>
      <c r="AH78" s="562"/>
      <c r="AI78" s="562"/>
      <c r="AJ78" s="562"/>
      <c r="AK78" s="562"/>
      <c r="AL78" s="190" t="str">
        <f>SUBSTITUTE(SUBSTITUTE(SUBSTITUTE("dpa"&amp;$B78&amp;$C78&amp;$D78&amp;$E78&amp;$F78,".","_"),"(","_"),")","")</f>
        <v>dpa701_4_3_2_1</v>
      </c>
      <c r="AM78" s="190" t="str">
        <f>M78</f>
        <v>Mandatory</v>
      </c>
      <c r="AN78" s="562"/>
      <c r="AO78" s="562"/>
      <c r="AP78" s="190" t="str">
        <f>SUBSTITUTE(SUBSTITUTE(SUBSTITUTE("dch"&amp;$B78&amp;$C78&amp;$D78&amp;$E78&amp;$F78,".","_"),"(","_"),")","")</f>
        <v>dch701_4_3_2_1</v>
      </c>
      <c r="AQ78" s="190">
        <f>W78</f>
        <v>0</v>
      </c>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row>
    <row r="79" spans="1:70" x14ac:dyDescent="0.2">
      <c r="B79" s="358" t="s">
        <v>2875</v>
      </c>
      <c r="C79" s="358"/>
      <c r="D79" s="14" t="s">
        <v>2181</v>
      </c>
      <c r="E79" s="14"/>
      <c r="F79" s="14"/>
      <c r="G79" s="14"/>
      <c r="H79" s="441"/>
      <c r="I79" s="3"/>
      <c r="J79" s="277" t="s">
        <v>2181</v>
      </c>
      <c r="K79" s="599"/>
      <c r="L79" s="599" t="s">
        <v>2878</v>
      </c>
      <c r="M79" s="616"/>
      <c r="N79" s="3"/>
      <c r="O79" s="609"/>
      <c r="P79" s="562"/>
      <c r="Q79" s="562"/>
      <c r="R79" s="562"/>
      <c r="S79" s="562"/>
      <c r="T79" s="562"/>
      <c r="U79" s="562"/>
      <c r="V79" s="562"/>
      <c r="W79" s="562"/>
      <c r="X79" s="563"/>
      <c r="Y79" s="562"/>
      <c r="Z79" s="562"/>
      <c r="AA79" s="562"/>
      <c r="AB79" s="562"/>
      <c r="AC79" s="562"/>
      <c r="AD79" s="562"/>
      <c r="AE79" s="562"/>
      <c r="AF79" s="562"/>
      <c r="AG79" s="562"/>
      <c r="AH79" s="562"/>
      <c r="AI79" s="562"/>
      <c r="AJ79" s="562"/>
      <c r="AK79" s="562"/>
      <c r="AL79" s="562"/>
      <c r="AM79" s="562"/>
      <c r="AN79" s="562"/>
      <c r="AO79" s="562"/>
      <c r="AP79" s="562"/>
      <c r="AQ79" s="562"/>
      <c r="AR79" s="190" t="str">
        <f t="shared" ref="AR79:AR80" si="7">SUBSTITUTE(SUBSTITUTE(SUBSTITUTE("dnt"&amp;$B79&amp;$C79&amp;$D79&amp;$E79&amp;$F79,".","_"),"(","_"),")","")</f>
        <v>dnt701_4_3_2_1_1</v>
      </c>
      <c r="AS79" s="190">
        <f>X79</f>
        <v>0</v>
      </c>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row>
    <row r="80" spans="1:70" x14ac:dyDescent="0.2">
      <c r="B80" s="358" t="s">
        <v>2875</v>
      </c>
      <c r="C80" s="358"/>
      <c r="D80" s="14" t="s">
        <v>2183</v>
      </c>
      <c r="E80" s="14"/>
      <c r="F80" s="14"/>
      <c r="G80" s="14"/>
      <c r="H80" s="441"/>
      <c r="I80" s="3"/>
      <c r="J80" s="283" t="s">
        <v>2183</v>
      </c>
      <c r="K80" s="638"/>
      <c r="L80" s="831" t="s">
        <v>2879</v>
      </c>
      <c r="M80" s="616"/>
      <c r="N80" s="3"/>
      <c r="O80" s="609"/>
      <c r="P80" s="562"/>
      <c r="Q80" s="562"/>
      <c r="R80" s="562"/>
      <c r="S80" s="562"/>
      <c r="T80" s="562"/>
      <c r="U80" s="562"/>
      <c r="V80" s="562"/>
      <c r="W80" s="562"/>
      <c r="X80" s="787"/>
      <c r="Y80" s="562"/>
      <c r="Z80" s="562"/>
      <c r="AA80" s="562"/>
      <c r="AB80" s="562"/>
      <c r="AC80" s="562"/>
      <c r="AD80" s="562"/>
      <c r="AE80" s="562"/>
      <c r="AF80" s="562"/>
      <c r="AG80" s="562"/>
      <c r="AH80" s="562"/>
      <c r="AI80" s="562"/>
      <c r="AJ80" s="562"/>
      <c r="AK80" s="562"/>
      <c r="AL80" s="562"/>
      <c r="AM80" s="562"/>
      <c r="AN80" s="562"/>
      <c r="AO80" s="562"/>
      <c r="AP80" s="562"/>
      <c r="AQ80" s="562"/>
      <c r="AR80" s="190" t="str">
        <f t="shared" si="7"/>
        <v>dnt701_4_3_2_1_2</v>
      </c>
      <c r="AS80" s="190">
        <f>X80</f>
        <v>0</v>
      </c>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row>
    <row r="81" spans="2:45" x14ac:dyDescent="0.2">
      <c r="B81" s="358" t="s">
        <v>2875</v>
      </c>
      <c r="C81" s="358"/>
      <c r="D81" s="14" t="s">
        <v>2183</v>
      </c>
      <c r="E81" s="14"/>
      <c r="F81" s="14"/>
      <c r="G81" s="14"/>
      <c r="H81" s="441"/>
      <c r="I81" s="3"/>
      <c r="J81" s="277"/>
      <c r="K81" s="599"/>
      <c r="L81" s="792"/>
      <c r="M81" s="616"/>
      <c r="N81" s="3"/>
      <c r="O81" s="609"/>
      <c r="P81" s="562"/>
      <c r="Q81" s="562"/>
      <c r="R81" s="562"/>
      <c r="S81" s="562"/>
      <c r="T81" s="562"/>
      <c r="U81" s="562"/>
      <c r="V81" s="562"/>
      <c r="W81" s="562"/>
      <c r="X81" s="787"/>
      <c r="Y81" s="562"/>
      <c r="Z81" s="562"/>
      <c r="AA81" s="562"/>
      <c r="AB81" s="562"/>
      <c r="AC81" s="562"/>
      <c r="AD81" s="562"/>
      <c r="AE81" s="562"/>
      <c r="AF81" s="562"/>
      <c r="AG81" s="562"/>
      <c r="AH81" s="562"/>
      <c r="AI81" s="562"/>
      <c r="AJ81" s="562"/>
      <c r="AK81" s="562"/>
      <c r="AL81" s="562"/>
      <c r="AM81" s="562"/>
      <c r="AN81" s="562"/>
      <c r="AO81" s="562"/>
      <c r="AP81" s="562"/>
      <c r="AQ81" s="562"/>
      <c r="AR81" s="562"/>
      <c r="AS81" s="562"/>
    </row>
    <row r="82" spans="2:45" x14ac:dyDescent="0.2">
      <c r="B82" s="358" t="s">
        <v>2875</v>
      </c>
      <c r="C82" s="358"/>
      <c r="D82" s="14" t="s">
        <v>2185</v>
      </c>
      <c r="E82" s="14"/>
      <c r="F82" s="14"/>
      <c r="G82" s="14"/>
      <c r="H82" s="441"/>
      <c r="I82" s="3"/>
      <c r="J82" s="284" t="s">
        <v>2185</v>
      </c>
      <c r="K82" s="205"/>
      <c r="L82" s="205" t="s">
        <v>2880</v>
      </c>
      <c r="M82" s="616"/>
      <c r="N82" s="3"/>
      <c r="O82" s="609"/>
      <c r="P82" s="562"/>
      <c r="Q82" s="562"/>
      <c r="R82" s="562"/>
      <c r="S82" s="562"/>
      <c r="T82" s="562"/>
      <c r="U82" s="562"/>
      <c r="V82" s="562"/>
      <c r="W82" s="562"/>
      <c r="X82" s="563"/>
      <c r="Y82" s="562"/>
      <c r="Z82" s="562"/>
      <c r="AA82" s="562"/>
      <c r="AB82" s="562"/>
      <c r="AC82" s="562"/>
      <c r="AD82" s="562"/>
      <c r="AE82" s="562"/>
      <c r="AF82" s="562"/>
      <c r="AG82" s="562"/>
      <c r="AH82" s="562"/>
      <c r="AI82" s="562"/>
      <c r="AJ82" s="562"/>
      <c r="AK82" s="562"/>
      <c r="AL82" s="562"/>
      <c r="AM82" s="562"/>
      <c r="AN82" s="562"/>
      <c r="AO82" s="562"/>
      <c r="AP82" s="562"/>
      <c r="AQ82" s="562"/>
      <c r="AR82" s="190" t="str">
        <f t="shared" ref="AR82:AR83" si="8">SUBSTITUTE(SUBSTITUTE(SUBSTITUTE("dnt"&amp;$B82&amp;$C82&amp;$D82&amp;$E82&amp;$F82,".","_"),"(","_"),")","")</f>
        <v>dnt701_4_3_2_1_3</v>
      </c>
      <c r="AS82" s="190">
        <f>X82</f>
        <v>0</v>
      </c>
    </row>
    <row r="83" spans="2:45" x14ac:dyDescent="0.2">
      <c r="B83" s="358" t="s">
        <v>2875</v>
      </c>
      <c r="C83" s="358"/>
      <c r="D83" s="14" t="s">
        <v>2192</v>
      </c>
      <c r="E83" s="14"/>
      <c r="F83" s="14"/>
      <c r="G83" s="14"/>
      <c r="H83" s="441"/>
      <c r="I83" s="3"/>
      <c r="J83" s="181" t="s">
        <v>2192</v>
      </c>
      <c r="K83" s="632"/>
      <c r="L83" s="817" t="s">
        <v>2881</v>
      </c>
      <c r="M83" s="616"/>
      <c r="N83" s="3"/>
      <c r="O83" s="609"/>
      <c r="P83" s="562"/>
      <c r="Q83" s="562"/>
      <c r="R83" s="562"/>
      <c r="S83" s="562"/>
      <c r="T83" s="562"/>
      <c r="U83" s="562"/>
      <c r="V83" s="562"/>
      <c r="W83" s="562"/>
      <c r="X83" s="787"/>
      <c r="Y83" s="562"/>
      <c r="Z83" s="562"/>
      <c r="AA83" s="562"/>
      <c r="AB83" s="562"/>
      <c r="AC83" s="562"/>
      <c r="AD83" s="562"/>
      <c r="AE83" s="562"/>
      <c r="AF83" s="562"/>
      <c r="AG83" s="562"/>
      <c r="AH83" s="562"/>
      <c r="AI83" s="562"/>
      <c r="AJ83" s="562"/>
      <c r="AK83" s="562"/>
      <c r="AL83" s="562"/>
      <c r="AM83" s="562"/>
      <c r="AN83" s="562"/>
      <c r="AO83" s="562"/>
      <c r="AP83" s="562"/>
      <c r="AQ83" s="562"/>
      <c r="AR83" s="190" t="str">
        <f t="shared" si="8"/>
        <v>dnt701_4_3_2_1_4</v>
      </c>
      <c r="AS83" s="190">
        <f>X83</f>
        <v>0</v>
      </c>
    </row>
    <row r="84" spans="2:45" x14ac:dyDescent="0.2">
      <c r="B84" s="358" t="s">
        <v>2875</v>
      </c>
      <c r="C84" s="358"/>
      <c r="D84" s="14" t="s">
        <v>2192</v>
      </c>
      <c r="E84" s="14"/>
      <c r="F84" s="14"/>
      <c r="G84" s="14"/>
      <c r="H84" s="441"/>
      <c r="I84" s="3"/>
      <c r="J84" s="181"/>
      <c r="K84" s="632"/>
      <c r="L84" s="817"/>
      <c r="M84" s="616"/>
      <c r="N84" s="3"/>
      <c r="O84" s="609"/>
      <c r="P84" s="562"/>
      <c r="Q84" s="562"/>
      <c r="R84" s="562"/>
      <c r="S84" s="562"/>
      <c r="T84" s="562"/>
      <c r="U84" s="562"/>
      <c r="V84" s="562"/>
      <c r="W84" s="562"/>
      <c r="X84" s="787"/>
      <c r="Y84" s="562"/>
      <c r="Z84" s="562"/>
      <c r="AA84" s="562"/>
      <c r="AB84" s="562"/>
      <c r="AC84" s="562"/>
      <c r="AD84" s="562"/>
      <c r="AE84" s="562"/>
      <c r="AF84" s="562"/>
      <c r="AG84" s="562"/>
      <c r="AH84" s="562"/>
      <c r="AI84" s="562"/>
      <c r="AJ84" s="562"/>
      <c r="AK84" s="562"/>
      <c r="AL84" s="562"/>
      <c r="AM84" s="562"/>
      <c r="AN84" s="562"/>
      <c r="AO84" s="562"/>
      <c r="AP84" s="562"/>
      <c r="AQ84" s="562"/>
      <c r="AR84" s="562"/>
      <c r="AS84" s="562"/>
    </row>
    <row r="85" spans="2:45" x14ac:dyDescent="0.2">
      <c r="B85" s="358" t="s">
        <v>2875</v>
      </c>
      <c r="C85" s="358"/>
      <c r="D85" s="14" t="s">
        <v>2192</v>
      </c>
      <c r="E85" s="14"/>
      <c r="F85" s="14"/>
      <c r="G85" s="14"/>
      <c r="H85" s="441"/>
      <c r="I85" s="3"/>
      <c r="J85" s="181"/>
      <c r="K85" s="632"/>
      <c r="L85" s="817"/>
      <c r="M85" s="616"/>
      <c r="N85" s="3"/>
      <c r="O85" s="609"/>
      <c r="P85" s="562"/>
      <c r="Q85" s="562"/>
      <c r="R85" s="562"/>
      <c r="S85" s="562"/>
      <c r="T85" s="562"/>
      <c r="U85" s="562"/>
      <c r="V85" s="562"/>
      <c r="W85" s="562"/>
      <c r="X85" s="787"/>
      <c r="Y85" s="562"/>
      <c r="Z85" s="562"/>
      <c r="AA85" s="562"/>
      <c r="AB85" s="562"/>
      <c r="AC85" s="562"/>
      <c r="AD85" s="562"/>
      <c r="AE85" s="562"/>
      <c r="AF85" s="562"/>
      <c r="AG85" s="562"/>
      <c r="AH85" s="562"/>
      <c r="AI85" s="562"/>
      <c r="AJ85" s="562"/>
      <c r="AK85" s="562"/>
      <c r="AL85" s="562"/>
      <c r="AM85" s="562"/>
      <c r="AN85" s="562"/>
      <c r="AO85" s="562"/>
      <c r="AP85" s="562"/>
      <c r="AQ85" s="562"/>
      <c r="AR85" s="562"/>
      <c r="AS85" s="562"/>
    </row>
    <row r="86" spans="2:45" x14ac:dyDescent="0.2">
      <c r="B86" s="358" t="s">
        <v>2875</v>
      </c>
      <c r="C86" s="358"/>
      <c r="D86" s="14" t="s">
        <v>2192</v>
      </c>
      <c r="E86" s="14"/>
      <c r="F86" s="14"/>
      <c r="G86" s="14"/>
      <c r="H86" s="441"/>
      <c r="I86" s="3"/>
      <c r="J86" s="181"/>
      <c r="K86" s="632"/>
      <c r="L86" s="817"/>
      <c r="M86" s="616"/>
      <c r="N86" s="3"/>
      <c r="O86" s="609"/>
      <c r="P86" s="562"/>
      <c r="Q86" s="562"/>
      <c r="R86" s="562"/>
      <c r="S86" s="562"/>
      <c r="T86" s="562"/>
      <c r="U86" s="562"/>
      <c r="V86" s="562"/>
      <c r="W86" s="562"/>
      <c r="X86" s="787"/>
      <c r="Y86" s="562"/>
      <c r="Z86" s="562"/>
      <c r="AA86" s="562"/>
      <c r="AB86" s="562"/>
      <c r="AC86" s="562"/>
      <c r="AD86" s="562"/>
      <c r="AE86" s="562"/>
      <c r="AF86" s="562"/>
      <c r="AG86" s="562"/>
      <c r="AH86" s="562"/>
      <c r="AI86" s="562"/>
      <c r="AJ86" s="562"/>
      <c r="AK86" s="562"/>
      <c r="AL86" s="562"/>
      <c r="AM86" s="562"/>
      <c r="AN86" s="562"/>
      <c r="AO86" s="562"/>
      <c r="AP86" s="562"/>
      <c r="AQ86" s="562"/>
      <c r="AR86" s="562"/>
      <c r="AS86" s="562"/>
    </row>
    <row r="87" spans="2:45" x14ac:dyDescent="0.2">
      <c r="B87" s="358" t="s">
        <v>2875</v>
      </c>
      <c r="C87" s="358"/>
      <c r="D87" s="14" t="s">
        <v>2194</v>
      </c>
      <c r="E87" s="14"/>
      <c r="F87" s="14"/>
      <c r="G87" s="14"/>
      <c r="H87" s="441"/>
      <c r="I87" s="3"/>
      <c r="J87" s="270" t="s">
        <v>2194</v>
      </c>
      <c r="K87" s="598"/>
      <c r="L87" s="791" t="s">
        <v>2882</v>
      </c>
      <c r="M87" s="616"/>
      <c r="N87" s="3"/>
      <c r="O87" s="609"/>
      <c r="P87" s="562"/>
      <c r="Q87" s="562"/>
      <c r="R87" s="562"/>
      <c r="S87" s="562"/>
      <c r="T87" s="562"/>
      <c r="U87" s="562"/>
      <c r="V87" s="562"/>
      <c r="W87" s="562"/>
      <c r="X87" s="787"/>
      <c r="Y87" s="562"/>
      <c r="Z87" s="562"/>
      <c r="AA87" s="562"/>
      <c r="AB87" s="562"/>
      <c r="AC87" s="562"/>
      <c r="AD87" s="562"/>
      <c r="AE87" s="562"/>
      <c r="AF87" s="562"/>
      <c r="AG87" s="562"/>
      <c r="AH87" s="562"/>
      <c r="AI87" s="562"/>
      <c r="AJ87" s="562"/>
      <c r="AK87" s="562"/>
      <c r="AL87" s="562"/>
      <c r="AM87" s="562"/>
      <c r="AN87" s="562"/>
      <c r="AO87" s="562"/>
      <c r="AP87" s="562"/>
      <c r="AQ87" s="562"/>
      <c r="AR87" s="190" t="str">
        <f>SUBSTITUTE(SUBSTITUTE(SUBSTITUTE("dnt"&amp;$B87&amp;$C87&amp;$D87&amp;$E87&amp;$F87,".","_"),"(","_"),")","")</f>
        <v>dnt701_4_3_2_1_5</v>
      </c>
      <c r="AS87" s="190">
        <f>X87</f>
        <v>0</v>
      </c>
    </row>
    <row r="88" spans="2:45" x14ac:dyDescent="0.2">
      <c r="B88" s="358" t="s">
        <v>2875</v>
      </c>
      <c r="C88" s="358"/>
      <c r="D88" s="14" t="s">
        <v>2194</v>
      </c>
      <c r="E88" s="14"/>
      <c r="F88" s="14"/>
      <c r="G88" s="14"/>
      <c r="H88" s="441"/>
      <c r="I88" s="3"/>
      <c r="J88" s="277"/>
      <c r="K88" s="599"/>
      <c r="L88" s="792"/>
      <c r="M88" s="616"/>
      <c r="N88" s="3"/>
      <c r="O88" s="609"/>
      <c r="P88" s="562"/>
      <c r="Q88" s="562"/>
      <c r="R88" s="562"/>
      <c r="S88" s="562"/>
      <c r="T88" s="562"/>
      <c r="U88" s="562"/>
      <c r="V88" s="562"/>
      <c r="W88" s="562"/>
      <c r="X88" s="787"/>
      <c r="Y88" s="562"/>
      <c r="Z88" s="562"/>
      <c r="AA88" s="562"/>
      <c r="AB88" s="562"/>
      <c r="AC88" s="562"/>
      <c r="AD88" s="562"/>
      <c r="AE88" s="562"/>
      <c r="AF88" s="562"/>
      <c r="AG88" s="562"/>
      <c r="AH88" s="562"/>
      <c r="AI88" s="562"/>
      <c r="AJ88" s="562"/>
      <c r="AK88" s="562"/>
      <c r="AL88" s="562"/>
      <c r="AM88" s="562"/>
      <c r="AN88" s="562"/>
      <c r="AO88" s="562"/>
      <c r="AP88" s="562"/>
      <c r="AQ88" s="562"/>
      <c r="AR88" s="562"/>
      <c r="AS88" s="562"/>
    </row>
    <row r="89" spans="2:45" x14ac:dyDescent="0.2">
      <c r="B89" s="358" t="s">
        <v>2875</v>
      </c>
      <c r="C89" s="358"/>
      <c r="D89" s="14" t="s">
        <v>2221</v>
      </c>
      <c r="E89" s="14"/>
      <c r="F89" s="14"/>
      <c r="G89" s="14"/>
      <c r="H89" s="441"/>
      <c r="I89" s="3"/>
      <c r="J89" s="283" t="s">
        <v>2221</v>
      </c>
      <c r="K89" s="638"/>
      <c r="L89" s="831" t="s">
        <v>2883</v>
      </c>
      <c r="M89" s="616"/>
      <c r="N89" s="3"/>
      <c r="O89" s="609"/>
      <c r="P89" s="562"/>
      <c r="Q89" s="562"/>
      <c r="R89" s="562"/>
      <c r="S89" s="562"/>
      <c r="T89" s="562"/>
      <c r="U89" s="562"/>
      <c r="V89" s="562"/>
      <c r="W89" s="562"/>
      <c r="X89" s="787"/>
      <c r="Y89" s="562"/>
      <c r="Z89" s="562"/>
      <c r="AA89" s="562"/>
      <c r="AB89" s="562"/>
      <c r="AC89" s="562"/>
      <c r="AD89" s="562"/>
      <c r="AE89" s="562"/>
      <c r="AF89" s="562"/>
      <c r="AG89" s="562"/>
      <c r="AH89" s="562"/>
      <c r="AI89" s="562"/>
      <c r="AJ89" s="562"/>
      <c r="AK89" s="562"/>
      <c r="AL89" s="562"/>
      <c r="AM89" s="562"/>
      <c r="AN89" s="562"/>
      <c r="AO89" s="562"/>
      <c r="AP89" s="562"/>
      <c r="AQ89" s="562"/>
      <c r="AR89" s="190" t="str">
        <f>SUBSTITUTE(SUBSTITUTE(SUBSTITUTE("dnt"&amp;$B89&amp;$C89&amp;$D89&amp;$E89&amp;$F89,".","_"),"(","_"),")","")</f>
        <v>dnt701_4_3_2_1_6</v>
      </c>
      <c r="AS89" s="190">
        <f>X89</f>
        <v>0</v>
      </c>
    </row>
    <row r="90" spans="2:45" x14ac:dyDescent="0.2">
      <c r="B90" s="358" t="s">
        <v>2875</v>
      </c>
      <c r="C90" s="358"/>
      <c r="D90" s="14" t="s">
        <v>2221</v>
      </c>
      <c r="E90" s="14"/>
      <c r="F90" s="14"/>
      <c r="G90" s="14"/>
      <c r="H90" s="441"/>
      <c r="I90" s="3"/>
      <c r="J90" s="270"/>
      <c r="K90" s="598"/>
      <c r="L90" s="791"/>
      <c r="M90" s="616"/>
      <c r="N90" s="3"/>
      <c r="O90" s="609"/>
      <c r="P90" s="562"/>
      <c r="Q90" s="562"/>
      <c r="R90" s="562"/>
      <c r="S90" s="562"/>
      <c r="T90" s="562"/>
      <c r="U90" s="562"/>
      <c r="V90" s="562"/>
      <c r="W90" s="562"/>
      <c r="X90" s="787"/>
      <c r="Y90" s="562"/>
      <c r="Z90" s="562"/>
      <c r="AA90" s="562"/>
      <c r="AB90" s="562"/>
      <c r="AC90" s="562"/>
      <c r="AD90" s="562"/>
      <c r="AE90" s="562"/>
      <c r="AF90" s="562"/>
      <c r="AG90" s="562"/>
      <c r="AH90" s="562"/>
      <c r="AI90" s="562"/>
      <c r="AJ90" s="562"/>
      <c r="AK90" s="562"/>
      <c r="AL90" s="562"/>
      <c r="AM90" s="562"/>
      <c r="AN90" s="562"/>
      <c r="AO90" s="562"/>
      <c r="AP90" s="562"/>
      <c r="AQ90" s="562"/>
      <c r="AR90" s="562"/>
      <c r="AS90" s="562"/>
    </row>
    <row r="91" spans="2:45" x14ac:dyDescent="0.2">
      <c r="B91" s="358" t="s">
        <v>2875</v>
      </c>
      <c r="C91" s="358"/>
      <c r="D91" s="14" t="s">
        <v>2221</v>
      </c>
      <c r="E91" s="14"/>
      <c r="F91" s="14"/>
      <c r="G91" s="14"/>
      <c r="H91" s="441"/>
      <c r="I91" s="3"/>
      <c r="J91" s="277"/>
      <c r="K91" s="599"/>
      <c r="L91" s="792"/>
      <c r="M91" s="616"/>
      <c r="N91" s="3"/>
      <c r="O91" s="609"/>
      <c r="P91" s="562"/>
      <c r="Q91" s="562"/>
      <c r="R91" s="562"/>
      <c r="S91" s="562"/>
      <c r="T91" s="562"/>
      <c r="U91" s="562"/>
      <c r="V91" s="562"/>
      <c r="W91" s="562"/>
      <c r="X91" s="787"/>
      <c r="Y91" s="562"/>
      <c r="Z91" s="562"/>
      <c r="AA91" s="562"/>
      <c r="AB91" s="562"/>
      <c r="AC91" s="562"/>
      <c r="AD91" s="562"/>
      <c r="AE91" s="562"/>
      <c r="AF91" s="562"/>
      <c r="AG91" s="562"/>
      <c r="AH91" s="562"/>
      <c r="AI91" s="562"/>
      <c r="AJ91" s="562"/>
      <c r="AK91" s="562"/>
      <c r="AL91" s="562"/>
      <c r="AM91" s="562"/>
      <c r="AN91" s="562"/>
      <c r="AO91" s="562"/>
      <c r="AP91" s="562"/>
      <c r="AQ91" s="562"/>
      <c r="AR91" s="562"/>
      <c r="AS91" s="562"/>
    </row>
    <row r="92" spans="2:45" x14ac:dyDescent="0.2">
      <c r="B92" s="358" t="s">
        <v>2875</v>
      </c>
      <c r="C92" s="358"/>
      <c r="D92" s="14" t="s">
        <v>2223</v>
      </c>
      <c r="E92" s="14"/>
      <c r="F92" s="14"/>
      <c r="G92" s="14"/>
      <c r="H92" s="441"/>
      <c r="I92" s="3"/>
      <c r="J92" s="283" t="s">
        <v>2223</v>
      </c>
      <c r="K92" s="638"/>
      <c r="L92" s="831" t="s">
        <v>2884</v>
      </c>
      <c r="M92" s="616"/>
      <c r="N92" s="3"/>
      <c r="O92" s="609"/>
      <c r="P92" s="562"/>
      <c r="Q92" s="562"/>
      <c r="R92" s="562"/>
      <c r="S92" s="562"/>
      <c r="T92" s="562"/>
      <c r="U92" s="562"/>
      <c r="V92" s="562"/>
      <c r="W92" s="562"/>
      <c r="X92" s="787"/>
      <c r="Y92" s="562"/>
      <c r="Z92" s="562"/>
      <c r="AA92" s="562"/>
      <c r="AB92" s="562"/>
      <c r="AC92" s="562"/>
      <c r="AD92" s="562"/>
      <c r="AE92" s="562"/>
      <c r="AF92" s="562"/>
      <c r="AG92" s="562"/>
      <c r="AH92" s="562"/>
      <c r="AI92" s="562"/>
      <c r="AJ92" s="562"/>
      <c r="AK92" s="562"/>
      <c r="AL92" s="562"/>
      <c r="AM92" s="562"/>
      <c r="AN92" s="562"/>
      <c r="AO92" s="562"/>
      <c r="AP92" s="562"/>
      <c r="AQ92" s="562"/>
      <c r="AR92" s="190" t="str">
        <f>SUBSTITUTE(SUBSTITUTE(SUBSTITUTE("dnt"&amp;$B92&amp;$C92&amp;$D92&amp;$E92&amp;$F92,".","_"),"(","_"),")","")</f>
        <v>dnt701_4_3_2_1_7</v>
      </c>
      <c r="AS92" s="190">
        <f>X92</f>
        <v>0</v>
      </c>
    </row>
    <row r="93" spans="2:45" ht="15" customHeight="1" x14ac:dyDescent="0.2">
      <c r="B93" s="358" t="s">
        <v>2875</v>
      </c>
      <c r="C93" s="358"/>
      <c r="D93" s="14" t="s">
        <v>2223</v>
      </c>
      <c r="E93" s="14"/>
      <c r="F93" s="14"/>
      <c r="G93" s="14"/>
      <c r="H93" s="441"/>
      <c r="I93" s="3"/>
      <c r="J93" s="277"/>
      <c r="K93" s="599"/>
      <c r="L93" s="792"/>
      <c r="M93" s="616"/>
      <c r="N93" s="3"/>
      <c r="O93" s="609"/>
      <c r="P93" s="562"/>
      <c r="Q93" s="562"/>
      <c r="R93" s="562"/>
      <c r="S93" s="562"/>
      <c r="T93" s="562"/>
      <c r="U93" s="562"/>
      <c r="V93" s="562"/>
      <c r="W93" s="562"/>
      <c r="X93" s="787"/>
      <c r="Y93" s="562"/>
      <c r="Z93" s="562"/>
      <c r="AA93" s="562"/>
      <c r="AB93" s="562"/>
      <c r="AC93" s="562"/>
      <c r="AD93" s="562"/>
      <c r="AE93" s="562"/>
      <c r="AF93" s="562"/>
      <c r="AG93" s="562"/>
      <c r="AH93" s="562"/>
      <c r="AI93" s="562"/>
      <c r="AJ93" s="562"/>
      <c r="AK93" s="562"/>
      <c r="AL93" s="562"/>
      <c r="AM93" s="562"/>
      <c r="AN93" s="562"/>
      <c r="AO93" s="562"/>
      <c r="AP93" s="562"/>
      <c r="AQ93" s="562"/>
      <c r="AR93" s="562"/>
      <c r="AS93" s="562"/>
    </row>
    <row r="94" spans="2:45" ht="15" customHeight="1" x14ac:dyDescent="0.2">
      <c r="B94" s="358" t="s">
        <v>2875</v>
      </c>
      <c r="C94" s="358"/>
      <c r="D94" s="14" t="s">
        <v>2282</v>
      </c>
      <c r="E94" s="14"/>
      <c r="F94" s="14"/>
      <c r="G94" s="14"/>
      <c r="H94" s="441"/>
      <c r="I94" s="3"/>
      <c r="J94" s="284" t="s">
        <v>2282</v>
      </c>
      <c r="K94" s="205"/>
      <c r="L94" s="205" t="s">
        <v>2885</v>
      </c>
      <c r="M94" s="616"/>
      <c r="N94" s="3"/>
      <c r="O94" s="609"/>
      <c r="P94" s="562"/>
      <c r="Q94" s="562"/>
      <c r="R94" s="562"/>
      <c r="S94" s="562"/>
      <c r="T94" s="562"/>
      <c r="U94" s="562"/>
      <c r="V94" s="562"/>
      <c r="W94" s="562"/>
      <c r="X94" s="563"/>
      <c r="Y94" s="562"/>
      <c r="Z94" s="562"/>
      <c r="AA94" s="562"/>
      <c r="AB94" s="562"/>
      <c r="AC94" s="562"/>
      <c r="AD94" s="562"/>
      <c r="AE94" s="562"/>
      <c r="AF94" s="562"/>
      <c r="AG94" s="562"/>
      <c r="AH94" s="562"/>
      <c r="AI94" s="562"/>
      <c r="AJ94" s="562"/>
      <c r="AK94" s="562"/>
      <c r="AL94" s="562"/>
      <c r="AM94" s="562"/>
      <c r="AN94" s="562"/>
      <c r="AO94" s="562"/>
      <c r="AP94" s="562"/>
      <c r="AQ94" s="562"/>
      <c r="AR94" s="190" t="str">
        <f t="shared" ref="AR94:AR96" si="9">SUBSTITUTE(SUBSTITUTE(SUBSTITUTE("dnt"&amp;$B94&amp;$C94&amp;$D94&amp;$E94&amp;$F94,".","_"),"(","_"),")","")</f>
        <v>dnt701_4_3_2_1_8</v>
      </c>
      <c r="AS94" s="190">
        <f>X94</f>
        <v>0</v>
      </c>
    </row>
    <row r="95" spans="2:45" ht="15" customHeight="1" x14ac:dyDescent="0.2">
      <c r="B95" s="358" t="s">
        <v>2875</v>
      </c>
      <c r="C95" s="358"/>
      <c r="D95" s="14" t="s">
        <v>2284</v>
      </c>
      <c r="E95" s="14"/>
      <c r="F95" s="14"/>
      <c r="G95" s="14"/>
      <c r="H95" s="441"/>
      <c r="I95" s="3"/>
      <c r="J95" s="284" t="s">
        <v>2284</v>
      </c>
      <c r="K95" s="205"/>
      <c r="L95" s="205" t="s">
        <v>2886</v>
      </c>
      <c r="M95" s="616"/>
      <c r="N95" s="3"/>
      <c r="O95" s="609"/>
      <c r="P95" s="562"/>
      <c r="Q95" s="562"/>
      <c r="R95" s="562"/>
      <c r="S95" s="562"/>
      <c r="T95" s="562"/>
      <c r="U95" s="562"/>
      <c r="V95" s="562"/>
      <c r="W95" s="562"/>
      <c r="X95" s="563"/>
      <c r="Y95" s="562"/>
      <c r="Z95" s="562"/>
      <c r="AA95" s="562"/>
      <c r="AB95" s="562"/>
      <c r="AC95" s="562"/>
      <c r="AD95" s="562"/>
      <c r="AE95" s="562"/>
      <c r="AF95" s="562"/>
      <c r="AG95" s="562"/>
      <c r="AH95" s="562"/>
      <c r="AI95" s="562"/>
      <c r="AJ95" s="562"/>
      <c r="AK95" s="562"/>
      <c r="AL95" s="562"/>
      <c r="AM95" s="562"/>
      <c r="AN95" s="562"/>
      <c r="AO95" s="562"/>
      <c r="AP95" s="562"/>
      <c r="AQ95" s="562"/>
      <c r="AR95" s="190" t="str">
        <f t="shared" si="9"/>
        <v>dnt701_4_3_2_1_9</v>
      </c>
      <c r="AS95" s="190">
        <f>X95</f>
        <v>0</v>
      </c>
    </row>
    <row r="96" spans="2:45" ht="15" customHeight="1" x14ac:dyDescent="0.2">
      <c r="B96" s="358" t="s">
        <v>2875</v>
      </c>
      <c r="C96" s="358"/>
      <c r="D96" s="14" t="s">
        <v>2286</v>
      </c>
      <c r="E96" s="14"/>
      <c r="F96" s="14"/>
      <c r="G96" s="14"/>
      <c r="H96" s="441"/>
      <c r="I96" s="3"/>
      <c r="J96" s="283" t="s">
        <v>2286</v>
      </c>
      <c r="K96" s="638"/>
      <c r="L96" s="831" t="s">
        <v>2887</v>
      </c>
      <c r="M96" s="616"/>
      <c r="N96" s="3"/>
      <c r="O96" s="609"/>
      <c r="P96" s="562"/>
      <c r="Q96" s="562"/>
      <c r="R96" s="562"/>
      <c r="S96" s="562"/>
      <c r="T96" s="562"/>
      <c r="U96" s="562"/>
      <c r="V96" s="562"/>
      <c r="W96" s="562"/>
      <c r="X96" s="787"/>
      <c r="Y96" s="562"/>
      <c r="Z96" s="562"/>
      <c r="AA96" s="562"/>
      <c r="AB96" s="562"/>
      <c r="AC96" s="562"/>
      <c r="AD96" s="562"/>
      <c r="AE96" s="562"/>
      <c r="AF96" s="562"/>
      <c r="AG96" s="562"/>
      <c r="AH96" s="562"/>
      <c r="AI96" s="562"/>
      <c r="AJ96" s="562"/>
      <c r="AK96" s="562"/>
      <c r="AL96" s="562"/>
      <c r="AM96" s="562"/>
      <c r="AN96" s="562"/>
      <c r="AO96" s="562"/>
      <c r="AP96" s="562"/>
      <c r="AQ96" s="562"/>
      <c r="AR96" s="190" t="str">
        <f t="shared" si="9"/>
        <v>dnt701_4_3_2_1_10</v>
      </c>
      <c r="AS96" s="190">
        <f>X96</f>
        <v>0</v>
      </c>
    </row>
    <row r="97" spans="1:70" x14ac:dyDescent="0.2">
      <c r="B97" s="358" t="s">
        <v>2875</v>
      </c>
      <c r="C97" s="358"/>
      <c r="D97" s="14" t="s">
        <v>2286</v>
      </c>
      <c r="E97" s="14"/>
      <c r="F97" s="14"/>
      <c r="G97" s="14"/>
      <c r="H97" s="441"/>
      <c r="I97" s="3"/>
      <c r="J97" s="270"/>
      <c r="K97" s="598"/>
      <c r="L97" s="791"/>
      <c r="M97" s="616"/>
      <c r="N97" s="3"/>
      <c r="O97" s="609"/>
      <c r="P97" s="562"/>
      <c r="Q97" s="562"/>
      <c r="R97" s="562"/>
      <c r="S97" s="562"/>
      <c r="T97" s="562"/>
      <c r="U97" s="562"/>
      <c r="V97" s="562"/>
      <c r="W97" s="562"/>
      <c r="X97" s="787"/>
      <c r="Y97" s="562"/>
      <c r="Z97" s="562"/>
      <c r="AA97" s="562"/>
      <c r="AB97" s="562"/>
      <c r="AC97" s="562"/>
      <c r="AD97" s="562"/>
      <c r="AE97" s="562"/>
      <c r="AF97" s="562"/>
      <c r="AG97" s="562"/>
      <c r="AH97" s="562"/>
      <c r="AI97" s="562"/>
      <c r="AJ97" s="562"/>
      <c r="AK97" s="562"/>
      <c r="AL97" s="562"/>
      <c r="AM97" s="562"/>
      <c r="AN97" s="562"/>
      <c r="AO97" s="562"/>
      <c r="AP97" s="562"/>
      <c r="AQ97" s="562"/>
      <c r="AR97" s="562"/>
      <c r="AS97" s="562"/>
      <c r="AT97" s="562"/>
      <c r="AU97" s="562"/>
      <c r="AV97" s="562"/>
      <c r="AW97" s="562"/>
      <c r="AX97" s="562"/>
      <c r="AY97" s="562"/>
      <c r="AZ97" s="562"/>
      <c r="BA97" s="562"/>
      <c r="BB97" s="562"/>
      <c r="BC97" s="562"/>
      <c r="BD97" s="562"/>
      <c r="BE97" s="562"/>
      <c r="BF97" s="562"/>
      <c r="BG97" s="562"/>
      <c r="BH97" s="562"/>
      <c r="BI97" s="562"/>
      <c r="BJ97" s="562"/>
      <c r="BK97" s="562"/>
      <c r="BL97" s="562"/>
      <c r="BM97" s="562"/>
      <c r="BN97" s="562"/>
      <c r="BO97" s="562"/>
      <c r="BP97" s="562"/>
      <c r="BQ97" s="562"/>
      <c r="BR97" s="562"/>
    </row>
    <row r="98" spans="1:70" ht="15" customHeight="1" x14ac:dyDescent="0.2">
      <c r="B98" s="358" t="s">
        <v>2875</v>
      </c>
      <c r="C98" s="358"/>
      <c r="D98" s="14" t="s">
        <v>2286</v>
      </c>
      <c r="E98" s="14"/>
      <c r="F98" s="14"/>
      <c r="G98" s="14"/>
      <c r="H98" s="441"/>
      <c r="I98" s="3"/>
      <c r="J98" s="277"/>
      <c r="K98" s="599"/>
      <c r="L98" s="792"/>
      <c r="M98" s="616"/>
      <c r="N98" s="3"/>
      <c r="O98" s="609"/>
      <c r="P98" s="562"/>
      <c r="Q98" s="562"/>
      <c r="R98" s="562"/>
      <c r="S98" s="562"/>
      <c r="T98" s="562"/>
      <c r="U98" s="562"/>
      <c r="V98" s="562"/>
      <c r="W98" s="562"/>
      <c r="X98" s="787"/>
      <c r="Y98" s="562"/>
      <c r="Z98" s="562"/>
      <c r="AA98" s="562"/>
      <c r="AB98" s="562"/>
      <c r="AC98" s="562"/>
      <c r="AD98" s="562"/>
      <c r="AE98" s="562"/>
      <c r="AF98" s="562"/>
      <c r="AG98" s="562"/>
      <c r="AH98" s="562"/>
      <c r="AI98" s="562"/>
      <c r="AJ98" s="562"/>
      <c r="AK98" s="562"/>
      <c r="AL98" s="562"/>
      <c r="AM98" s="562"/>
      <c r="AN98" s="562"/>
      <c r="AO98" s="562"/>
      <c r="AP98" s="562"/>
      <c r="AQ98" s="562"/>
      <c r="AR98" s="562"/>
      <c r="AS98" s="562"/>
      <c r="AT98" s="562"/>
      <c r="AU98" s="562"/>
      <c r="AV98" s="562"/>
      <c r="AW98" s="562"/>
      <c r="AX98" s="562"/>
      <c r="AY98" s="562"/>
      <c r="AZ98" s="562"/>
      <c r="BA98" s="562"/>
      <c r="BB98" s="562"/>
      <c r="BC98" s="562"/>
      <c r="BD98" s="562"/>
      <c r="BE98" s="562"/>
      <c r="BF98" s="562"/>
      <c r="BG98" s="562"/>
      <c r="BH98" s="562"/>
      <c r="BI98" s="562"/>
      <c r="BJ98" s="562"/>
      <c r="BK98" s="562"/>
      <c r="BL98" s="562"/>
      <c r="BM98" s="562"/>
      <c r="BN98" s="562"/>
      <c r="BO98" s="562"/>
      <c r="BP98" s="562"/>
      <c r="BQ98" s="562"/>
      <c r="BR98" s="562"/>
    </row>
    <row r="99" spans="1:70" ht="15" customHeight="1" x14ac:dyDescent="0.2">
      <c r="B99" s="358" t="s">
        <v>2875</v>
      </c>
      <c r="C99" s="358"/>
      <c r="D99" s="14" t="s">
        <v>2288</v>
      </c>
      <c r="E99" s="14"/>
      <c r="F99" s="14"/>
      <c r="G99" s="14"/>
      <c r="H99" s="441"/>
      <c r="I99" s="98"/>
      <c r="J99" s="270" t="s">
        <v>2288</v>
      </c>
      <c r="K99" s="598"/>
      <c r="L99" s="791" t="s">
        <v>2888</v>
      </c>
      <c r="M99" s="610"/>
      <c r="N99" s="98"/>
      <c r="O99" s="607"/>
      <c r="P99" s="64"/>
      <c r="Q99" s="64"/>
      <c r="R99" s="64"/>
      <c r="S99" s="64"/>
      <c r="T99" s="64"/>
      <c r="U99" s="64"/>
      <c r="V99" s="64"/>
      <c r="W99" s="64"/>
      <c r="X99" s="798"/>
      <c r="Y99" s="562"/>
      <c r="Z99" s="562"/>
      <c r="AA99" s="562"/>
      <c r="AB99" s="562"/>
      <c r="AC99" s="562"/>
      <c r="AD99" s="562"/>
      <c r="AE99" s="562"/>
      <c r="AF99" s="562"/>
      <c r="AG99" s="562"/>
      <c r="AH99" s="562"/>
      <c r="AI99" s="562"/>
      <c r="AJ99" s="562"/>
      <c r="AK99" s="562"/>
      <c r="AL99" s="562"/>
      <c r="AM99" s="562"/>
      <c r="AN99" s="562"/>
      <c r="AO99" s="562"/>
      <c r="AP99" s="562"/>
      <c r="AQ99" s="562"/>
      <c r="AR99" s="190" t="str">
        <f>SUBSTITUTE(SUBSTITUTE(SUBSTITUTE("dnt"&amp;$B99&amp;$C99&amp;$D99&amp;$E99&amp;$F99,".","_"),"(","_"),")","")</f>
        <v>dnt701_4_3_2_1_11</v>
      </c>
      <c r="AS99" s="190">
        <f>X99</f>
        <v>0</v>
      </c>
      <c r="AT99" s="562"/>
      <c r="AU99" s="562"/>
      <c r="AV99" s="562"/>
      <c r="AW99" s="562"/>
      <c r="AX99" s="562"/>
      <c r="AY99" s="562"/>
      <c r="AZ99" s="562"/>
      <c r="BA99" s="562"/>
      <c r="BB99" s="562"/>
      <c r="BC99" s="562"/>
      <c r="BD99" s="562"/>
      <c r="BE99" s="562"/>
      <c r="BF99" s="562"/>
      <c r="BG99" s="562"/>
      <c r="BH99" s="562"/>
      <c r="BI99" s="562"/>
      <c r="BJ99" s="562"/>
      <c r="BK99" s="562"/>
      <c r="BL99" s="562"/>
      <c r="BM99" s="562"/>
      <c r="BN99" s="562"/>
      <c r="BO99" s="562"/>
      <c r="BP99" s="562"/>
      <c r="BQ99" s="562"/>
      <c r="BR99" s="562"/>
    </row>
    <row r="100" spans="1:70" s="202" customFormat="1" x14ac:dyDescent="0.2">
      <c r="A100" s="13"/>
      <c r="B100" s="358" t="s">
        <v>2875</v>
      </c>
      <c r="C100" s="358"/>
      <c r="D100" s="14" t="s">
        <v>2288</v>
      </c>
      <c r="E100" s="14"/>
      <c r="F100" s="14"/>
      <c r="G100" s="14"/>
      <c r="H100" s="441"/>
      <c r="I100" s="98"/>
      <c r="J100" s="270"/>
      <c r="K100" s="598"/>
      <c r="L100" s="791"/>
      <c r="M100" s="610"/>
      <c r="N100" s="98"/>
      <c r="O100" s="607"/>
      <c r="P100" s="64"/>
      <c r="Q100" s="64"/>
      <c r="R100" s="64"/>
      <c r="S100" s="64"/>
      <c r="T100" s="64"/>
      <c r="U100" s="64"/>
      <c r="V100" s="64"/>
      <c r="W100" s="64"/>
      <c r="X100" s="798"/>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c r="AT100" s="562"/>
      <c r="AU100" s="562"/>
      <c r="AV100" s="562"/>
      <c r="AW100" s="562"/>
      <c r="AX100" s="562"/>
      <c r="AY100" s="562"/>
      <c r="AZ100" s="562"/>
      <c r="BA100" s="562"/>
      <c r="BB100" s="562"/>
      <c r="BC100" s="562"/>
      <c r="BD100" s="562"/>
      <c r="BE100" s="562"/>
      <c r="BF100" s="562"/>
      <c r="BG100" s="562"/>
      <c r="BH100" s="562"/>
      <c r="BI100" s="562"/>
      <c r="BJ100" s="562"/>
      <c r="BK100" s="562"/>
      <c r="BL100" s="562"/>
      <c r="BM100" s="562"/>
      <c r="BN100" s="562"/>
      <c r="BO100" s="562"/>
      <c r="BP100" s="562"/>
      <c r="BQ100" s="562"/>
      <c r="BR100" s="562"/>
    </row>
    <row r="101" spans="1:70" x14ac:dyDescent="0.2">
      <c r="B101" s="358" t="s">
        <v>2875</v>
      </c>
      <c r="C101" s="358"/>
      <c r="D101" s="14" t="s">
        <v>2288</v>
      </c>
      <c r="E101" s="14"/>
      <c r="F101" s="14"/>
      <c r="G101" s="14"/>
      <c r="H101" s="441"/>
      <c r="I101" s="165"/>
      <c r="J101" s="277"/>
      <c r="K101" s="599"/>
      <c r="L101" s="792"/>
      <c r="M101" s="611"/>
      <c r="N101" s="165"/>
      <c r="O101" s="608"/>
      <c r="P101" s="129"/>
      <c r="Q101" s="129"/>
      <c r="R101" s="129"/>
      <c r="S101" s="129"/>
      <c r="T101" s="129"/>
      <c r="U101" s="129"/>
      <c r="V101" s="129"/>
      <c r="W101" s="129"/>
      <c r="X101" s="798"/>
      <c r="Y101" s="562"/>
      <c r="Z101" s="562"/>
      <c r="AA101" s="562"/>
      <c r="AB101" s="562"/>
      <c r="AC101" s="562"/>
      <c r="AD101" s="562"/>
      <c r="AE101" s="562"/>
      <c r="AF101" s="562"/>
      <c r="AG101" s="562"/>
      <c r="AH101" s="562"/>
      <c r="AI101" s="562"/>
      <c r="AJ101" s="562"/>
      <c r="AK101" s="562"/>
      <c r="AL101" s="562"/>
      <c r="AM101" s="562"/>
      <c r="AN101" s="562"/>
      <c r="AO101" s="562"/>
      <c r="AP101" s="562"/>
      <c r="AQ101" s="562"/>
      <c r="AR101" s="562"/>
      <c r="AS101" s="562"/>
      <c r="AT101" s="562"/>
      <c r="AU101" s="562"/>
      <c r="AV101" s="562"/>
      <c r="AW101" s="562"/>
      <c r="AX101" s="562"/>
      <c r="AY101" s="562"/>
      <c r="AZ101" s="562"/>
      <c r="BA101" s="562"/>
      <c r="BB101" s="562"/>
      <c r="BC101" s="562"/>
      <c r="BD101" s="562"/>
      <c r="BE101" s="562"/>
      <c r="BF101" s="562"/>
      <c r="BG101" s="562"/>
      <c r="BH101" s="562"/>
      <c r="BI101" s="562"/>
      <c r="BJ101" s="562"/>
      <c r="BK101" s="562"/>
      <c r="BL101" s="562"/>
      <c r="BM101" s="562"/>
      <c r="BN101" s="562"/>
      <c r="BO101" s="562"/>
      <c r="BP101" s="562"/>
      <c r="BQ101" s="562"/>
      <c r="BR101" s="562"/>
    </row>
    <row r="102" spans="1:70" x14ac:dyDescent="0.2">
      <c r="B102" s="358" t="s">
        <v>2889</v>
      </c>
      <c r="C102" s="358"/>
      <c r="D102" s="14"/>
      <c r="E102" s="14"/>
      <c r="F102" s="14"/>
      <c r="G102" s="14"/>
      <c r="H102" s="441"/>
      <c r="I102" s="145" t="s">
        <v>2890</v>
      </c>
      <c r="J102" s="638"/>
      <c r="K102" s="638"/>
      <c r="L102" s="847" t="s">
        <v>2891</v>
      </c>
      <c r="M102" s="624"/>
      <c r="N102" s="146"/>
      <c r="O102" s="617"/>
      <c r="P102" s="148"/>
      <c r="Q102" s="148"/>
      <c r="R102" s="148"/>
      <c r="S102" s="148"/>
      <c r="T102" s="148"/>
      <c r="U102" s="148"/>
      <c r="V102" s="148"/>
      <c r="W102" s="148" t="s">
        <v>2892</v>
      </c>
      <c r="X102" s="798"/>
      <c r="Y102" s="562"/>
      <c r="Z102" s="562"/>
      <c r="AA102" s="562"/>
      <c r="AB102" s="562"/>
      <c r="AC102" s="562"/>
      <c r="AD102" s="562"/>
      <c r="AE102" s="562"/>
      <c r="AF102" s="562"/>
      <c r="AG102" s="562"/>
      <c r="AH102" s="562"/>
      <c r="AI102" s="562"/>
      <c r="AJ102" s="562"/>
      <c r="AK102" s="562"/>
      <c r="AL102" s="562"/>
      <c r="AM102" s="562"/>
      <c r="AN102" s="562"/>
      <c r="AO102" s="562"/>
      <c r="AP102" s="562"/>
      <c r="AQ102" s="562"/>
      <c r="AR102" s="190" t="str">
        <f>SUBSTITUTE(SUBSTITUTE(SUBSTITUTE("dnt"&amp;$B102&amp;$C102&amp;$D102&amp;$E102&amp;$F102,".","_"),"(","_"),")","")</f>
        <v>dnt701_4_3_3_3</v>
      </c>
      <c r="AS102" s="190">
        <f>X102</f>
        <v>0</v>
      </c>
      <c r="AT102" s="562"/>
      <c r="AU102" s="562"/>
      <c r="AV102" s="562"/>
      <c r="AW102" s="562"/>
      <c r="AX102" s="562"/>
      <c r="AY102" s="562"/>
      <c r="AZ102" s="562"/>
      <c r="BA102" s="562"/>
      <c r="BB102" s="562"/>
      <c r="BC102" s="562"/>
      <c r="BD102" s="562"/>
      <c r="BE102" s="562"/>
      <c r="BF102" s="562"/>
      <c r="BG102" s="562"/>
      <c r="BH102" s="562"/>
      <c r="BI102" s="562"/>
      <c r="BJ102" s="562"/>
      <c r="BK102" s="562"/>
      <c r="BL102" s="562"/>
      <c r="BM102" s="562"/>
      <c r="BN102" s="562"/>
      <c r="BO102" s="562"/>
      <c r="BP102" s="562"/>
      <c r="BQ102" s="562"/>
      <c r="BR102" s="562"/>
    </row>
    <row r="103" spans="1:70" x14ac:dyDescent="0.2">
      <c r="B103" s="358" t="s">
        <v>2889</v>
      </c>
      <c r="C103" s="358"/>
      <c r="D103" s="14"/>
      <c r="E103" s="14"/>
      <c r="F103" s="14"/>
      <c r="G103" s="14"/>
      <c r="H103" s="441"/>
      <c r="I103" s="99"/>
      <c r="J103" s="598"/>
      <c r="K103" s="598"/>
      <c r="L103" s="820"/>
      <c r="M103" s="610"/>
      <c r="N103" s="98"/>
      <c r="O103" s="607"/>
      <c r="P103" s="64"/>
      <c r="Q103" s="64"/>
      <c r="R103" s="64"/>
      <c r="S103" s="64"/>
      <c r="T103" s="64"/>
      <c r="U103" s="64"/>
      <c r="V103" s="64"/>
      <c r="W103" s="64"/>
      <c r="X103" s="798"/>
      <c r="Y103" s="562"/>
      <c r="Z103" s="562"/>
      <c r="AA103" s="562"/>
      <c r="AB103" s="562"/>
      <c r="AC103" s="562"/>
      <c r="AD103" s="562"/>
      <c r="AE103" s="562"/>
      <c r="AF103" s="562"/>
      <c r="AG103" s="562"/>
      <c r="AH103" s="562"/>
      <c r="AI103" s="562"/>
      <c r="AJ103" s="562"/>
      <c r="AK103" s="562"/>
      <c r="AL103" s="562"/>
      <c r="AM103" s="562"/>
      <c r="AN103" s="562"/>
      <c r="AO103" s="562"/>
      <c r="AP103" s="562"/>
      <c r="AQ103" s="562"/>
      <c r="AR103" s="562"/>
      <c r="AS103" s="562"/>
      <c r="AT103" s="562"/>
      <c r="AU103" s="562"/>
      <c r="AV103" s="562"/>
      <c r="AW103" s="562"/>
      <c r="AX103" s="562"/>
      <c r="AY103" s="562"/>
      <c r="AZ103" s="562"/>
      <c r="BA103" s="562"/>
      <c r="BB103" s="562"/>
      <c r="BC103" s="562"/>
      <c r="BD103" s="562"/>
      <c r="BE103" s="562"/>
      <c r="BF103" s="562"/>
      <c r="BG103" s="562"/>
      <c r="BH103" s="562"/>
      <c r="BI103" s="562"/>
      <c r="BJ103" s="562"/>
      <c r="BK103" s="562"/>
      <c r="BL103" s="562"/>
      <c r="BM103" s="562"/>
      <c r="BN103" s="562"/>
      <c r="BO103" s="562"/>
      <c r="BP103" s="562"/>
      <c r="BQ103" s="562"/>
      <c r="BR103" s="562"/>
    </row>
    <row r="104" spans="1:70" x14ac:dyDescent="0.2">
      <c r="B104" s="358" t="s">
        <v>2889</v>
      </c>
      <c r="C104" s="358"/>
      <c r="D104" s="14"/>
      <c r="E104" s="14"/>
      <c r="F104" s="14"/>
      <c r="G104" s="14"/>
      <c r="H104" s="441"/>
      <c r="I104" s="170"/>
      <c r="J104" s="599"/>
      <c r="K104" s="599"/>
      <c r="L104" s="832"/>
      <c r="M104" s="611"/>
      <c r="N104" s="165"/>
      <c r="O104" s="608"/>
      <c r="P104" s="129"/>
      <c r="Q104" s="129"/>
      <c r="R104" s="129"/>
      <c r="S104" s="129"/>
      <c r="T104" s="129"/>
      <c r="U104" s="129"/>
      <c r="V104" s="129"/>
      <c r="W104" s="129"/>
      <c r="X104" s="798"/>
      <c r="Y104" s="562"/>
      <c r="Z104" s="562"/>
      <c r="AA104" s="562"/>
      <c r="AB104" s="562"/>
      <c r="AC104" s="562"/>
      <c r="AD104" s="562"/>
      <c r="AE104" s="562"/>
      <c r="AF104" s="562"/>
      <c r="AG104" s="562"/>
      <c r="AH104" s="562"/>
      <c r="AI104" s="562"/>
      <c r="AJ104" s="562"/>
      <c r="AK104" s="562"/>
      <c r="AL104" s="562"/>
      <c r="AM104" s="562"/>
      <c r="AN104" s="562"/>
      <c r="AO104" s="562"/>
      <c r="AP104" s="562"/>
      <c r="AQ104" s="562"/>
      <c r="AR104" s="562"/>
      <c r="AS104" s="562"/>
      <c r="AT104" s="562"/>
      <c r="AU104" s="562"/>
      <c r="AV104" s="562"/>
      <c r="AW104" s="562"/>
      <c r="AX104" s="562"/>
      <c r="AY104" s="562"/>
      <c r="AZ104" s="562"/>
      <c r="BA104" s="562"/>
      <c r="BB104" s="562"/>
      <c r="BC104" s="562"/>
      <c r="BD104" s="562"/>
      <c r="BE104" s="562"/>
      <c r="BF104" s="562"/>
      <c r="BG104" s="562"/>
      <c r="BH104" s="562"/>
      <c r="BI104" s="562"/>
      <c r="BJ104" s="562"/>
      <c r="BK104" s="562"/>
      <c r="BL104" s="562"/>
      <c r="BM104" s="562"/>
      <c r="BN104" s="562"/>
      <c r="BO104" s="562"/>
      <c r="BP104" s="562"/>
      <c r="BQ104" s="562"/>
      <c r="BR104" s="562"/>
    </row>
    <row r="105" spans="1:70" x14ac:dyDescent="0.2">
      <c r="B105" s="358" t="s">
        <v>2893</v>
      </c>
      <c r="C105" s="358"/>
      <c r="D105" s="14"/>
      <c r="E105" s="14"/>
      <c r="F105" s="14"/>
      <c r="G105" s="14"/>
      <c r="H105" s="441"/>
      <c r="I105" s="145" t="s">
        <v>2894</v>
      </c>
      <c r="J105" s="638"/>
      <c r="K105" s="638"/>
      <c r="L105" s="847" t="s">
        <v>2895</v>
      </c>
      <c r="M105" s="867" t="str">
        <f>IF(R105,"Mandatory","N/A")</f>
        <v>Mandatory</v>
      </c>
      <c r="N105" s="146"/>
      <c r="O105" s="617"/>
      <c r="P105" s="64" t="b">
        <v>1</v>
      </c>
      <c r="Q105" s="64" t="b">
        <v>1</v>
      </c>
      <c r="R105" s="148" t="b">
        <f>AND(S105,NOT(W57=TRUE))</f>
        <v>1</v>
      </c>
      <c r="S105" s="463" t="b">
        <v>1</v>
      </c>
      <c r="T105" s="148" t="b">
        <f>AND(NOT(S105),W105=TRUE)</f>
        <v>0</v>
      </c>
      <c r="U105" s="148"/>
      <c r="V105" s="148"/>
      <c r="W105" s="219"/>
      <c r="X105" s="798"/>
      <c r="Y105" s="562"/>
      <c r="Z105" s="562"/>
      <c r="AA105" s="562"/>
      <c r="AB105" s="562"/>
      <c r="AC105" s="562" t="b">
        <f>OR(AD105:AE105)</f>
        <v>1</v>
      </c>
      <c r="AD105" s="562" t="b">
        <f>T105</f>
        <v>0</v>
      </c>
      <c r="AE105" s="562" t="b">
        <f>AND(R105,NOT(W105))</f>
        <v>1</v>
      </c>
      <c r="AF105" s="562"/>
      <c r="AG105" s="562"/>
      <c r="AH105" s="562"/>
      <c r="AI105" s="562"/>
      <c r="AJ105" s="562"/>
      <c r="AK105" s="562"/>
      <c r="AL105" s="190" t="str">
        <f>SUBSTITUTE(SUBSTITUTE(SUBSTITUTE("dpa"&amp;$B105&amp;$C105&amp;$D105&amp;$E105&amp;$F105,".","_"),"(","_"),")","")</f>
        <v>dpa701_4_3_3_4</v>
      </c>
      <c r="AM105" s="190" t="str">
        <f>M105</f>
        <v>Mandatory</v>
      </c>
      <c r="AN105" s="562"/>
      <c r="AO105" s="562"/>
      <c r="AP105" s="190" t="str">
        <f>SUBSTITUTE(SUBSTITUTE(SUBSTITUTE("dch"&amp;$B105&amp;$C105&amp;$D105&amp;$E105&amp;$F105,".","_"),"(","_"),")","")</f>
        <v>dch701_4_3_3_4</v>
      </c>
      <c r="AQ105" s="190">
        <f>W105</f>
        <v>0</v>
      </c>
      <c r="AR105" s="190" t="str">
        <f>SUBSTITUTE(SUBSTITUTE(SUBSTITUTE("dnt"&amp;$B105&amp;$C105&amp;$D105&amp;$E105&amp;$F105,".","_"),"(","_"),")","")</f>
        <v>dnt701_4_3_3_4</v>
      </c>
      <c r="AS105" s="190">
        <f>X105</f>
        <v>0</v>
      </c>
      <c r="AT105" s="562"/>
      <c r="AU105" s="562"/>
      <c r="AV105" s="562"/>
      <c r="AW105" s="562"/>
      <c r="AX105" s="562"/>
      <c r="AY105" s="562"/>
      <c r="AZ105" s="562"/>
      <c r="BA105" s="562"/>
      <c r="BB105" s="562"/>
      <c r="BC105" s="562"/>
      <c r="BD105" s="562"/>
      <c r="BE105" s="562"/>
      <c r="BF105" s="562"/>
      <c r="BG105" s="562"/>
      <c r="BH105" s="562"/>
      <c r="BI105" s="562"/>
      <c r="BJ105" s="562"/>
      <c r="BK105" s="562"/>
      <c r="BL105" s="562"/>
      <c r="BM105" s="562"/>
      <c r="BN105" s="562"/>
      <c r="BO105" s="562"/>
      <c r="BP105" s="562"/>
      <c r="BQ105" s="562"/>
      <c r="BR105" s="562"/>
    </row>
    <row r="106" spans="1:70" x14ac:dyDescent="0.2">
      <c r="B106" s="358" t="s">
        <v>2893</v>
      </c>
      <c r="C106" s="358"/>
      <c r="D106" s="14"/>
      <c r="E106" s="14"/>
      <c r="F106" s="14"/>
      <c r="G106" s="14"/>
      <c r="H106" s="441"/>
      <c r="I106" s="98"/>
      <c r="J106" s="598"/>
      <c r="K106" s="598"/>
      <c r="L106" s="820"/>
      <c r="M106" s="838"/>
      <c r="N106" s="98"/>
      <c r="O106" s="607"/>
      <c r="P106" s="64"/>
      <c r="Q106" s="64"/>
      <c r="R106" s="64"/>
      <c r="S106" s="64"/>
      <c r="T106" s="64"/>
      <c r="U106" s="64"/>
      <c r="V106" s="64"/>
      <c r="W106" s="64"/>
      <c r="X106" s="798"/>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c r="AT106" s="562"/>
      <c r="AU106" s="562"/>
      <c r="AV106" s="562"/>
      <c r="AW106" s="562"/>
      <c r="AX106" s="562"/>
      <c r="AY106" s="562"/>
      <c r="AZ106" s="562"/>
      <c r="BA106" s="562"/>
      <c r="BB106" s="562"/>
      <c r="BC106" s="562"/>
      <c r="BD106" s="562"/>
      <c r="BE106" s="562"/>
      <c r="BF106" s="562"/>
      <c r="BG106" s="562"/>
      <c r="BH106" s="562"/>
      <c r="BI106" s="562"/>
      <c r="BJ106" s="562"/>
      <c r="BK106" s="562"/>
      <c r="BL106" s="562"/>
      <c r="BM106" s="562"/>
      <c r="BN106" s="562"/>
      <c r="BO106" s="562"/>
      <c r="BP106" s="562"/>
      <c r="BQ106" s="562"/>
      <c r="BR106" s="562"/>
    </row>
    <row r="107" spans="1:70" x14ac:dyDescent="0.2">
      <c r="B107" s="358" t="s">
        <v>2893</v>
      </c>
      <c r="C107" s="358"/>
      <c r="D107" s="14"/>
      <c r="E107" s="14"/>
      <c r="F107" s="14"/>
      <c r="G107" s="14"/>
      <c r="H107" s="441"/>
      <c r="I107" s="98"/>
      <c r="J107" s="598"/>
      <c r="K107" s="598"/>
      <c r="L107" s="820"/>
      <c r="M107" s="838"/>
      <c r="N107" s="98"/>
      <c r="O107" s="607"/>
      <c r="P107" s="64"/>
      <c r="Q107" s="64"/>
      <c r="R107" s="64"/>
      <c r="S107" s="64"/>
      <c r="T107" s="64"/>
      <c r="U107" s="64"/>
      <c r="V107" s="64"/>
      <c r="W107" s="64"/>
      <c r="X107" s="798"/>
      <c r="Y107" s="562"/>
      <c r="Z107" s="562"/>
      <c r="AA107" s="562"/>
      <c r="AB107" s="562"/>
      <c r="AC107" s="562"/>
      <c r="AD107" s="562"/>
      <c r="AE107" s="562"/>
      <c r="AF107" s="562"/>
      <c r="AG107" s="562"/>
      <c r="AH107" s="562"/>
      <c r="AI107" s="562"/>
      <c r="AJ107" s="562"/>
      <c r="AK107" s="562"/>
      <c r="AL107" s="562"/>
      <c r="AM107" s="562"/>
      <c r="AN107" s="562"/>
      <c r="AO107" s="562"/>
      <c r="AP107" s="562"/>
      <c r="AQ107" s="562"/>
      <c r="AR107" s="562"/>
      <c r="AS107" s="562"/>
      <c r="AT107" s="562"/>
      <c r="AU107" s="562"/>
      <c r="AV107" s="562"/>
      <c r="AW107" s="562"/>
      <c r="AX107" s="562"/>
      <c r="AY107" s="562"/>
      <c r="AZ107" s="562"/>
      <c r="BA107" s="562"/>
      <c r="BB107" s="562"/>
      <c r="BC107" s="562"/>
      <c r="BD107" s="562"/>
      <c r="BE107" s="562"/>
      <c r="BF107" s="562"/>
      <c r="BG107" s="562"/>
      <c r="BH107" s="562"/>
      <c r="BI107" s="562"/>
      <c r="BJ107" s="562"/>
      <c r="BK107" s="562"/>
      <c r="BL107" s="562"/>
      <c r="BM107" s="562"/>
      <c r="BN107" s="562"/>
      <c r="BO107" s="562"/>
      <c r="BP107" s="562"/>
      <c r="BQ107" s="562"/>
      <c r="BR107" s="562"/>
    </row>
    <row r="108" spans="1:70" x14ac:dyDescent="0.2">
      <c r="B108" s="358" t="s">
        <v>2893</v>
      </c>
      <c r="C108" s="358"/>
      <c r="D108" s="14"/>
      <c r="E108" s="14"/>
      <c r="F108" s="14"/>
      <c r="G108" s="14"/>
      <c r="H108" s="441"/>
      <c r="I108" s="98"/>
      <c r="J108" s="598"/>
      <c r="K108" s="598"/>
      <c r="L108" s="820"/>
      <c r="M108" s="838"/>
      <c r="N108" s="98"/>
      <c r="O108" s="607"/>
      <c r="P108" s="64"/>
      <c r="Q108" s="64"/>
      <c r="R108" s="64"/>
      <c r="S108" s="64"/>
      <c r="T108" s="64"/>
      <c r="U108" s="64"/>
      <c r="V108" s="64"/>
      <c r="W108" s="64"/>
      <c r="X108" s="798"/>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c r="AT108" s="562"/>
      <c r="AU108" s="562"/>
      <c r="AV108" s="562"/>
      <c r="AW108" s="562"/>
      <c r="AX108" s="562"/>
      <c r="AY108" s="562"/>
      <c r="AZ108" s="562"/>
      <c r="BA108" s="562"/>
      <c r="BB108" s="562"/>
      <c r="BC108" s="562"/>
      <c r="BD108" s="562"/>
      <c r="BE108" s="562"/>
      <c r="BF108" s="562"/>
      <c r="BG108" s="562"/>
      <c r="BH108" s="562"/>
      <c r="BI108" s="562"/>
      <c r="BJ108" s="562"/>
      <c r="BK108" s="562"/>
      <c r="BL108" s="562"/>
      <c r="BM108" s="562"/>
      <c r="BN108" s="562"/>
      <c r="BO108" s="562"/>
      <c r="BP108" s="562"/>
      <c r="BQ108" s="562"/>
      <c r="BR108" s="562"/>
    </row>
    <row r="109" spans="1:70" x14ac:dyDescent="0.2">
      <c r="B109" s="358" t="s">
        <v>2893</v>
      </c>
      <c r="C109" s="358"/>
      <c r="D109" s="14"/>
      <c r="E109" s="14"/>
      <c r="F109" s="14"/>
      <c r="G109" s="14"/>
      <c r="H109" s="441"/>
      <c r="I109" s="98"/>
      <c r="J109" s="598"/>
      <c r="K109" s="598"/>
      <c r="L109" s="820"/>
      <c r="M109" s="838"/>
      <c r="N109" s="98"/>
      <c r="O109" s="607"/>
      <c r="P109" s="64"/>
      <c r="Q109" s="64"/>
      <c r="R109" s="64"/>
      <c r="S109" s="64"/>
      <c r="T109" s="64"/>
      <c r="U109" s="64"/>
      <c r="V109" s="64"/>
      <c r="W109" s="64"/>
      <c r="X109" s="798"/>
      <c r="Y109" s="562"/>
      <c r="Z109" s="562"/>
      <c r="AA109" s="562"/>
      <c r="AB109" s="562"/>
      <c r="AC109" s="562"/>
      <c r="AD109" s="562"/>
      <c r="AE109" s="562"/>
      <c r="AF109" s="562"/>
      <c r="AG109" s="562"/>
      <c r="AH109" s="562"/>
      <c r="AI109" s="562"/>
      <c r="AJ109" s="562"/>
      <c r="AK109" s="562"/>
      <c r="AL109" s="562"/>
      <c r="AM109" s="562"/>
      <c r="AN109" s="562"/>
      <c r="AO109" s="562"/>
      <c r="AP109" s="562"/>
      <c r="AQ109" s="562"/>
      <c r="AR109" s="562"/>
      <c r="AS109" s="562"/>
      <c r="AT109" s="562"/>
      <c r="AU109" s="562"/>
      <c r="AV109" s="562"/>
      <c r="AW109" s="562"/>
      <c r="AX109" s="562"/>
      <c r="AY109" s="562"/>
      <c r="AZ109" s="562"/>
      <c r="BA109" s="562"/>
      <c r="BB109" s="562"/>
      <c r="BC109" s="562"/>
      <c r="BD109" s="562"/>
      <c r="BE109" s="562"/>
      <c r="BF109" s="562"/>
      <c r="BG109" s="562"/>
      <c r="BH109" s="562"/>
      <c r="BI109" s="562"/>
      <c r="BJ109" s="562"/>
      <c r="BK109" s="562"/>
      <c r="BL109" s="562"/>
      <c r="BM109" s="562"/>
      <c r="BN109" s="562"/>
      <c r="BO109" s="562"/>
      <c r="BP109" s="562"/>
      <c r="BQ109" s="562"/>
      <c r="BR109" s="562"/>
    </row>
    <row r="110" spans="1:70" s="202" customFormat="1" x14ac:dyDescent="0.2">
      <c r="A110" s="13"/>
      <c r="B110" s="358" t="s">
        <v>2893</v>
      </c>
      <c r="C110" s="358"/>
      <c r="D110" s="14"/>
      <c r="E110" s="14"/>
      <c r="F110" s="14"/>
      <c r="G110" s="14"/>
      <c r="H110" s="441"/>
      <c r="I110" s="165"/>
      <c r="J110" s="599"/>
      <c r="K110" s="599"/>
      <c r="L110" s="832"/>
      <c r="M110" s="854"/>
      <c r="N110" s="165"/>
      <c r="O110" s="608"/>
      <c r="P110" s="129"/>
      <c r="Q110" s="129"/>
      <c r="R110" s="129"/>
      <c r="S110" s="129"/>
      <c r="T110" s="129"/>
      <c r="U110" s="129"/>
      <c r="V110" s="129"/>
      <c r="W110" s="129"/>
      <c r="X110" s="798"/>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c r="AT110" s="562"/>
      <c r="AU110" s="562"/>
      <c r="AV110" s="562"/>
      <c r="AW110" s="562"/>
      <c r="AX110" s="562"/>
      <c r="AY110" s="562"/>
      <c r="AZ110" s="562"/>
      <c r="BA110" s="562"/>
      <c r="BB110" s="562"/>
      <c r="BC110" s="562"/>
      <c r="BD110" s="562"/>
      <c r="BE110" s="562"/>
      <c r="BF110" s="562"/>
      <c r="BG110" s="562"/>
      <c r="BH110" s="562"/>
      <c r="BI110" s="562"/>
      <c r="BJ110" s="562"/>
      <c r="BK110" s="562"/>
      <c r="BL110" s="562"/>
      <c r="BM110" s="562"/>
      <c r="BN110" s="562"/>
      <c r="BO110" s="562"/>
      <c r="BP110" s="562"/>
      <c r="BQ110" s="562"/>
      <c r="BR110" s="562"/>
    </row>
    <row r="111" spans="1:70" x14ac:dyDescent="0.2">
      <c r="B111" s="358" t="s">
        <v>2896</v>
      </c>
      <c r="C111" s="358"/>
      <c r="D111" s="14"/>
      <c r="E111" s="14"/>
      <c r="F111" s="14"/>
      <c r="G111" s="14"/>
      <c r="H111" s="441"/>
      <c r="I111" s="145" t="s">
        <v>2897</v>
      </c>
      <c r="J111" s="638"/>
      <c r="K111" s="638"/>
      <c r="L111" s="847" t="s">
        <v>2898</v>
      </c>
      <c r="M111" s="867" t="str">
        <f>IF(R111,"Mandatory","N/A")</f>
        <v>Mandatory</v>
      </c>
      <c r="N111" s="146"/>
      <c r="O111" s="617"/>
      <c r="P111" s="64" t="b">
        <v>1</v>
      </c>
      <c r="Q111" s="64" t="b">
        <v>1</v>
      </c>
      <c r="R111" s="148" t="b">
        <f>S111</f>
        <v>1</v>
      </c>
      <c r="S111" s="463" t="b">
        <v>1</v>
      </c>
      <c r="T111" s="148" t="b">
        <f>AND(NOT(S111),LEN(W111)&gt;0)</f>
        <v>0</v>
      </c>
      <c r="U111" s="148" t="str">
        <f>SUBSTITUTE(SUBSTITUTE(SUBSTITUTE("dd"&amp;B111&amp;C111&amp;D111&amp;E111&amp;F111,".","_"),"(","_"),")","")</f>
        <v>dd701_4_3_3_5</v>
      </c>
      <c r="V111" s="148"/>
      <c r="W111" s="78"/>
      <c r="X111" s="798"/>
      <c r="Y111" s="562"/>
      <c r="Z111" s="562"/>
      <c r="AA111" s="562"/>
      <c r="AB111" s="562"/>
      <c r="AC111" s="562" t="b">
        <f>OR(AD111:AE111)</f>
        <v>1</v>
      </c>
      <c r="AD111" s="562" t="b">
        <f>T111</f>
        <v>0</v>
      </c>
      <c r="AE111" s="562" t="b">
        <f>AND(R111,OR(W111="Not Met",W111=""))</f>
        <v>1</v>
      </c>
      <c r="AF111" s="562"/>
      <c r="AG111" s="562"/>
      <c r="AH111" s="562"/>
      <c r="AI111" s="562"/>
      <c r="AJ111" s="562"/>
      <c r="AK111" s="562"/>
      <c r="AL111" s="190" t="str">
        <f>SUBSTITUTE(SUBSTITUTE(SUBSTITUTE("dpa"&amp;$B111&amp;$C111&amp;$D111&amp;$E111&amp;$F111,".","_"),"(","_"),")","")</f>
        <v>dpa701_4_3_3_5</v>
      </c>
      <c r="AM111" s="190" t="str">
        <f>M111</f>
        <v>Mandatory</v>
      </c>
      <c r="AN111" s="562"/>
      <c r="AO111" s="562"/>
      <c r="AP111" s="190" t="str">
        <f>SUBSTITUTE(SUBSTITUTE(SUBSTITUTE("dch"&amp;$B111&amp;$C111&amp;$D111&amp;$E111&amp;$F111,".","_"),"(","_"),")","")</f>
        <v>dch701_4_3_3_5</v>
      </c>
      <c r="AQ111" s="190">
        <f>W111</f>
        <v>0</v>
      </c>
      <c r="AR111" s="190" t="str">
        <f>SUBSTITUTE(SUBSTITUTE(SUBSTITUTE("dnt"&amp;$B111&amp;$C111&amp;$D111&amp;$E111&amp;$F111,".","_"),"(","_"),")","")</f>
        <v>dnt701_4_3_3_5</v>
      </c>
      <c r="AS111" s="190">
        <f>X111</f>
        <v>0</v>
      </c>
      <c r="AT111" s="562"/>
      <c r="AU111" s="562"/>
      <c r="AV111" s="562"/>
      <c r="AW111" s="562"/>
      <c r="AX111" s="562"/>
      <c r="AY111" s="562"/>
      <c r="AZ111" s="562"/>
      <c r="BA111" s="562"/>
      <c r="BB111" s="562"/>
      <c r="BC111" s="562"/>
      <c r="BD111" s="562"/>
      <c r="BE111" s="562"/>
      <c r="BF111" s="562"/>
      <c r="BG111" s="562"/>
      <c r="BH111" s="562"/>
      <c r="BI111" s="562"/>
      <c r="BJ111" s="562"/>
      <c r="BK111" s="562"/>
      <c r="BL111" s="562"/>
      <c r="BM111" s="562"/>
      <c r="BN111" s="562"/>
      <c r="BO111" s="562"/>
      <c r="BP111" s="562"/>
      <c r="BQ111" s="562"/>
      <c r="BR111" s="562"/>
    </row>
    <row r="112" spans="1:70" x14ac:dyDescent="0.2">
      <c r="B112" s="358" t="s">
        <v>2896</v>
      </c>
      <c r="C112" s="358"/>
      <c r="D112" s="14"/>
      <c r="E112" s="14"/>
      <c r="F112" s="14"/>
      <c r="G112" s="14"/>
      <c r="H112" s="441"/>
      <c r="I112" s="98"/>
      <c r="J112" s="598"/>
      <c r="K112" s="598"/>
      <c r="L112" s="820"/>
      <c r="M112" s="838"/>
      <c r="N112" s="98"/>
      <c r="O112" s="607"/>
      <c r="P112" s="64"/>
      <c r="Q112" s="64"/>
      <c r="R112" s="64"/>
      <c r="S112" s="64"/>
      <c r="T112" s="64"/>
      <c r="U112" s="64"/>
      <c r="V112" s="64"/>
      <c r="W112" s="64"/>
      <c r="X112" s="798"/>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c r="AT112" s="562"/>
      <c r="AU112" s="562"/>
      <c r="AV112" s="562"/>
      <c r="AW112" s="562"/>
      <c r="AX112" s="562"/>
      <c r="AY112" s="562"/>
      <c r="AZ112" s="562"/>
      <c r="BA112" s="562"/>
      <c r="BB112" s="562"/>
      <c r="BC112" s="562"/>
      <c r="BD112" s="562"/>
      <c r="BE112" s="562"/>
      <c r="BF112" s="562"/>
      <c r="BG112" s="562"/>
      <c r="BH112" s="562"/>
      <c r="BI112" s="562"/>
      <c r="BJ112" s="562"/>
      <c r="BK112" s="562"/>
      <c r="BL112" s="562"/>
      <c r="BM112" s="562"/>
      <c r="BN112" s="562"/>
      <c r="BO112" s="562"/>
      <c r="BP112" s="562"/>
      <c r="BQ112" s="562"/>
      <c r="BR112" s="562"/>
    </row>
    <row r="113" spans="1:45" x14ac:dyDescent="0.2">
      <c r="B113" s="358" t="s">
        <v>2896</v>
      </c>
      <c r="C113" s="358"/>
      <c r="D113" s="14"/>
      <c r="E113" s="14"/>
      <c r="F113" s="14"/>
      <c r="G113" s="14"/>
      <c r="H113" s="441"/>
      <c r="I113" s="98"/>
      <c r="J113" s="598"/>
      <c r="K113" s="598"/>
      <c r="L113" s="820"/>
      <c r="M113" s="838"/>
      <c r="N113" s="98"/>
      <c r="O113" s="607"/>
      <c r="P113" s="64"/>
      <c r="Q113" s="64"/>
      <c r="R113" s="64"/>
      <c r="S113" s="64"/>
      <c r="T113" s="64"/>
      <c r="U113" s="64"/>
      <c r="V113" s="64"/>
      <c r="W113" s="64"/>
      <c r="X113" s="798"/>
      <c r="Y113" s="562"/>
      <c r="Z113" s="562"/>
      <c r="AA113" s="562"/>
      <c r="AB113" s="562"/>
      <c r="AC113" s="562"/>
      <c r="AD113" s="562"/>
      <c r="AE113" s="562"/>
      <c r="AF113" s="562"/>
      <c r="AG113" s="562"/>
      <c r="AH113" s="562"/>
      <c r="AI113" s="562"/>
      <c r="AJ113" s="562"/>
      <c r="AK113" s="562"/>
      <c r="AL113" s="562"/>
      <c r="AM113" s="562"/>
      <c r="AN113" s="562"/>
      <c r="AO113" s="562"/>
      <c r="AP113" s="562"/>
      <c r="AQ113" s="562"/>
      <c r="AR113" s="562"/>
      <c r="AS113" s="562"/>
    </row>
    <row r="114" spans="1:45" x14ac:dyDescent="0.2">
      <c r="B114" s="358" t="s">
        <v>2896</v>
      </c>
      <c r="C114" s="358"/>
      <c r="D114" s="14"/>
      <c r="E114" s="14"/>
      <c r="F114" s="14"/>
      <c r="G114" s="14"/>
      <c r="H114" s="441"/>
      <c r="I114" s="98"/>
      <c r="J114" s="598"/>
      <c r="K114" s="598"/>
      <c r="L114" s="820"/>
      <c r="M114" s="838"/>
      <c r="N114" s="98"/>
      <c r="O114" s="607"/>
      <c r="P114" s="64"/>
      <c r="Q114" s="64"/>
      <c r="R114" s="64"/>
      <c r="S114" s="64"/>
      <c r="T114" s="64"/>
      <c r="U114" s="64"/>
      <c r="V114" s="64"/>
      <c r="W114" s="64"/>
      <c r="X114" s="798"/>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row>
    <row r="115" spans="1:45" x14ac:dyDescent="0.2">
      <c r="B115" s="358" t="s">
        <v>2896</v>
      </c>
      <c r="C115" s="358"/>
      <c r="D115" s="14"/>
      <c r="E115" s="14"/>
      <c r="F115" s="14"/>
      <c r="G115" s="14"/>
      <c r="H115" s="441"/>
      <c r="I115" s="98"/>
      <c r="J115" s="598"/>
      <c r="K115" s="598"/>
      <c r="L115" s="820"/>
      <c r="M115" s="838"/>
      <c r="N115" s="98"/>
      <c r="O115" s="607"/>
      <c r="P115" s="64"/>
      <c r="Q115" s="64"/>
      <c r="R115" s="64"/>
      <c r="S115" s="64"/>
      <c r="T115" s="64"/>
      <c r="U115" s="64"/>
      <c r="V115" s="64"/>
      <c r="W115" s="64"/>
      <c r="X115" s="798"/>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row>
    <row r="116" spans="1:45" x14ac:dyDescent="0.2">
      <c r="B116" s="358" t="s">
        <v>2896</v>
      </c>
      <c r="C116" s="358"/>
      <c r="D116" s="14"/>
      <c r="E116" s="14"/>
      <c r="F116" s="14"/>
      <c r="G116" s="14"/>
      <c r="H116" s="441"/>
      <c r="I116" s="165"/>
      <c r="J116" s="599"/>
      <c r="K116" s="599"/>
      <c r="L116" s="832"/>
      <c r="M116" s="854"/>
      <c r="N116" s="165"/>
      <c r="O116" s="608"/>
      <c r="P116" s="129"/>
      <c r="Q116" s="129"/>
      <c r="R116" s="129"/>
      <c r="S116" s="129"/>
      <c r="T116" s="129"/>
      <c r="U116" s="129"/>
      <c r="V116" s="129"/>
      <c r="W116" s="129"/>
      <c r="X116" s="798"/>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row>
    <row r="117" spans="1:45" x14ac:dyDescent="0.2">
      <c r="B117" s="358" t="s">
        <v>2899</v>
      </c>
      <c r="C117" s="60"/>
      <c r="D117" s="14"/>
      <c r="E117" s="14"/>
      <c r="F117" s="14"/>
      <c r="G117" s="14"/>
      <c r="H117" s="441"/>
      <c r="I117" s="40" t="s">
        <v>2900</v>
      </c>
      <c r="J117" s="632"/>
      <c r="K117" s="632"/>
      <c r="L117" s="775" t="s">
        <v>2901</v>
      </c>
      <c r="M117" s="838" t="str">
        <f>IF(S119,"Mandatory","N/A")</f>
        <v>Mandatory</v>
      </c>
      <c r="N117" s="3"/>
      <c r="O117" s="609"/>
      <c r="P117" s="562"/>
      <c r="Q117" s="562"/>
      <c r="R117" s="562"/>
      <c r="S117" s="562"/>
      <c r="T117" s="562"/>
      <c r="U117" s="562"/>
      <c r="V117" s="562"/>
      <c r="W117" s="562"/>
      <c r="X117" s="562"/>
      <c r="Y117" s="562"/>
      <c r="Z117" s="562"/>
      <c r="AA117" s="562"/>
      <c r="AB117" s="562"/>
      <c r="AC117" s="562"/>
      <c r="AD117" s="562"/>
      <c r="AE117" s="562"/>
      <c r="AF117" s="562"/>
      <c r="AG117" s="562"/>
      <c r="AH117" s="562"/>
      <c r="AI117" s="562"/>
      <c r="AJ117" s="562"/>
      <c r="AK117" s="562"/>
      <c r="AL117" s="190" t="str">
        <f>SUBSTITUTE(SUBSTITUTE(SUBSTITUTE("dpa"&amp;$B117&amp;$C117&amp;$D117&amp;$E117&amp;$F117,".","_"),"(","_"),")","")</f>
        <v>dpa701_4_4</v>
      </c>
      <c r="AM117" s="190" t="str">
        <f>M117</f>
        <v>Mandatory</v>
      </c>
      <c r="AN117" s="562"/>
      <c r="AO117" s="562"/>
      <c r="AP117" s="562"/>
      <c r="AQ117" s="562"/>
      <c r="AR117" s="562"/>
      <c r="AS117" s="562"/>
    </row>
    <row r="118" spans="1:45" x14ac:dyDescent="0.2">
      <c r="B118" s="358" t="s">
        <v>2899</v>
      </c>
      <c r="C118" s="60"/>
      <c r="D118" s="14"/>
      <c r="E118" s="14"/>
      <c r="F118" s="14"/>
      <c r="G118" s="14"/>
      <c r="H118" s="441"/>
      <c r="I118" s="3"/>
      <c r="J118" s="632"/>
      <c r="K118" s="632"/>
      <c r="L118" s="775"/>
      <c r="M118" s="838"/>
      <c r="N118" s="3"/>
      <c r="O118" s="609"/>
      <c r="P118" s="562"/>
      <c r="Q118" s="562"/>
      <c r="R118" s="562"/>
      <c r="S118" s="562"/>
      <c r="T118" s="562"/>
      <c r="U118" s="562"/>
      <c r="V118" s="562"/>
      <c r="W118" s="562"/>
      <c r="X118" s="562"/>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row>
    <row r="119" spans="1:45" x14ac:dyDescent="0.2">
      <c r="B119" s="358" t="s">
        <v>2899</v>
      </c>
      <c r="C119" s="60"/>
      <c r="D119" s="20" t="s">
        <v>2181</v>
      </c>
      <c r="E119" s="14"/>
      <c r="F119" s="14"/>
      <c r="G119" s="14"/>
      <c r="H119" s="441"/>
      <c r="I119" s="3"/>
      <c r="J119" s="270" t="s">
        <v>2181</v>
      </c>
      <c r="K119" s="598"/>
      <c r="L119" s="791" t="s">
        <v>2902</v>
      </c>
      <c r="M119" s="616"/>
      <c r="N119" s="3"/>
      <c r="O119" s="609"/>
      <c r="P119" s="64" t="b">
        <v>1</v>
      </c>
      <c r="Q119" s="64" t="b">
        <v>1</v>
      </c>
      <c r="R119" s="562" t="b">
        <f>AND(S119,NOT(W121))</f>
        <v>1</v>
      </c>
      <c r="S119" s="463" t="b">
        <v>1</v>
      </c>
      <c r="T119" s="64" t="b">
        <f>AND(NOT(S119),W119=TRUE)</f>
        <v>0</v>
      </c>
      <c r="U119" s="562"/>
      <c r="V119" s="562"/>
      <c r="W119" s="18"/>
      <c r="X119" s="787"/>
      <c r="Y119" s="562"/>
      <c r="Z119" s="562"/>
      <c r="AA119" s="562"/>
      <c r="AB119" s="562"/>
      <c r="AC119" s="562" t="b">
        <f>OR(AD119:AE119)</f>
        <v>1</v>
      </c>
      <c r="AD119" s="562" t="b">
        <f>T119</f>
        <v>0</v>
      </c>
      <c r="AE119" s="562" t="b">
        <f>AND(R119,NOT(W119))</f>
        <v>1</v>
      </c>
      <c r="AF119" s="562"/>
      <c r="AG119" s="562"/>
      <c r="AH119" s="562"/>
      <c r="AI119" s="562"/>
      <c r="AJ119" s="562"/>
      <c r="AK119" s="562"/>
      <c r="AL119" s="562"/>
      <c r="AM119" s="562"/>
      <c r="AN119" s="562"/>
      <c r="AO119" s="562"/>
      <c r="AP119" s="190" t="str">
        <f>SUBSTITUTE(SUBSTITUTE(SUBSTITUTE("dch"&amp;$B119&amp;$C119&amp;$D119&amp;$E119&amp;$F119,".","_"),"(","_"),")","")</f>
        <v>dch701_4_4_1</v>
      </c>
      <c r="AQ119" s="190">
        <f>W119</f>
        <v>0</v>
      </c>
      <c r="AR119" s="190" t="str">
        <f>SUBSTITUTE(SUBSTITUTE(SUBSTITUTE("dnt"&amp;$B119&amp;$C119&amp;$D119&amp;$E119&amp;$F119,".","_"),"(","_"),")","")</f>
        <v>dnt701_4_4_1</v>
      </c>
      <c r="AS119" s="190">
        <f>X119</f>
        <v>0</v>
      </c>
    </row>
    <row r="120" spans="1:45" x14ac:dyDescent="0.2">
      <c r="B120" s="358" t="s">
        <v>2899</v>
      </c>
      <c r="C120" s="60"/>
      <c r="D120" s="20" t="s">
        <v>2181</v>
      </c>
      <c r="E120" s="14"/>
      <c r="F120" s="14"/>
      <c r="G120" s="14"/>
      <c r="H120" s="441"/>
      <c r="I120" s="3"/>
      <c r="J120" s="277"/>
      <c r="K120" s="599"/>
      <c r="L120" s="792"/>
      <c r="M120" s="616"/>
      <c r="N120" s="3"/>
      <c r="O120" s="609"/>
      <c r="P120" s="562"/>
      <c r="Q120" s="562"/>
      <c r="R120" s="562"/>
      <c r="S120" s="562"/>
      <c r="T120" s="562"/>
      <c r="U120" s="562"/>
      <c r="V120" s="562"/>
      <c r="W120" s="562"/>
      <c r="X120" s="787"/>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row>
    <row r="121" spans="1:45" x14ac:dyDescent="0.2">
      <c r="B121" s="358" t="s">
        <v>2899</v>
      </c>
      <c r="C121" s="60"/>
      <c r="D121" s="20" t="s">
        <v>2183</v>
      </c>
      <c r="E121" s="14"/>
      <c r="F121" s="14"/>
      <c r="G121" s="14"/>
      <c r="H121" s="441"/>
      <c r="I121" s="165"/>
      <c r="J121" s="277" t="s">
        <v>2183</v>
      </c>
      <c r="K121" s="599"/>
      <c r="L121" s="599" t="s">
        <v>2903</v>
      </c>
      <c r="M121" s="611"/>
      <c r="N121" s="165"/>
      <c r="O121" s="608"/>
      <c r="P121" s="64" t="b">
        <v>1</v>
      </c>
      <c r="Q121" s="64" t="b">
        <v>1</v>
      </c>
      <c r="R121" s="129" t="b">
        <f>AND(S121,NOT(W119))</f>
        <v>1</v>
      </c>
      <c r="S121" s="463" t="b">
        <v>1</v>
      </c>
      <c r="T121" s="129" t="b">
        <f>AND(NOT(S121),W121=TRUE)</f>
        <v>0</v>
      </c>
      <c r="U121" s="129"/>
      <c r="V121" s="129"/>
      <c r="W121" s="219"/>
      <c r="X121" s="564"/>
      <c r="Y121" s="562"/>
      <c r="Z121" s="562"/>
      <c r="AA121" s="562"/>
      <c r="AB121" s="562"/>
      <c r="AC121" s="562" t="b">
        <f>OR(AD121:AE121)</f>
        <v>1</v>
      </c>
      <c r="AD121" s="562" t="b">
        <f>T121</f>
        <v>0</v>
      </c>
      <c r="AE121" s="562" t="b">
        <f>AND(R121,NOT(W121))</f>
        <v>1</v>
      </c>
      <c r="AF121" s="562"/>
      <c r="AG121" s="562"/>
      <c r="AH121" s="562"/>
      <c r="AI121" s="562"/>
      <c r="AJ121" s="562"/>
      <c r="AK121" s="562"/>
      <c r="AL121" s="562"/>
      <c r="AM121" s="562"/>
      <c r="AN121" s="562"/>
      <c r="AO121" s="562"/>
      <c r="AP121" s="190" t="str">
        <f>SUBSTITUTE(SUBSTITUTE(SUBSTITUTE("dch"&amp;$B121&amp;$C121&amp;$D121&amp;$E121&amp;$F121,".","_"),"(","_"),")","")</f>
        <v>dch701_4_4_2</v>
      </c>
      <c r="AQ121" s="190">
        <f>W121</f>
        <v>0</v>
      </c>
      <c r="AR121" s="190" t="str">
        <f>SUBSTITUTE(SUBSTITUTE(SUBSTITUTE("dnt"&amp;$B121&amp;$C121&amp;$D121&amp;$E121&amp;$F121,".","_"),"(","_"),")","")</f>
        <v>dnt701_4_4_2</v>
      </c>
      <c r="AS121" s="190">
        <f>X121</f>
        <v>0</v>
      </c>
    </row>
    <row r="122" spans="1:45" ht="15" customHeight="1" x14ac:dyDescent="0.2">
      <c r="B122" s="358" t="s">
        <v>2904</v>
      </c>
      <c r="C122" s="60"/>
      <c r="D122" s="14"/>
      <c r="E122" s="14"/>
      <c r="F122" s="14"/>
      <c r="G122" s="14"/>
      <c r="H122" s="441"/>
      <c r="I122" s="145" t="s">
        <v>2905</v>
      </c>
      <c r="J122" s="638"/>
      <c r="K122" s="638"/>
      <c r="L122" s="865" t="s">
        <v>2906</v>
      </c>
      <c r="M122" s="867" t="str">
        <f ca="1">IF(R122,"Mandatory","N/A")</f>
        <v>N/A</v>
      </c>
      <c r="N122" s="3"/>
      <c r="O122" s="609"/>
      <c r="P122" s="64" t="b">
        <v>1</v>
      </c>
      <c r="Q122" s="64" t="b">
        <v>0</v>
      </c>
      <c r="R122" s="562" t="b">
        <f ca="1">S122</f>
        <v>0</v>
      </c>
      <c r="S122" s="462" t="b">
        <f ca="1">AND(OR(AY44=INDEX(INDIRECT('Overview (Design)'!$E$30),2),AY45=INDEX(INDIRECT('Overview (Design)'!$E$30),2),AY46=INDEX(INDIRECT('Overview (Design)'!$E$30),2)))</f>
        <v>0</v>
      </c>
      <c r="T122" s="64" t="b">
        <f ca="1">AND(NOT(S122),W122=TRUE)</f>
        <v>0</v>
      </c>
      <c r="U122" s="562"/>
      <c r="V122" s="562"/>
      <c r="W122" s="472"/>
      <c r="X122" s="798"/>
      <c r="Y122" s="562"/>
      <c r="Z122" s="562"/>
      <c r="AA122" s="562"/>
      <c r="AB122" s="562"/>
      <c r="AC122" s="562"/>
      <c r="AD122" s="562"/>
      <c r="AE122" s="562"/>
      <c r="AF122" s="562"/>
      <c r="AG122" s="562"/>
      <c r="AH122" s="562"/>
      <c r="AI122" s="562"/>
      <c r="AJ122" s="562"/>
      <c r="AK122" s="562"/>
      <c r="AL122" s="190" t="str">
        <f>SUBSTITUTE(SUBSTITUTE(SUBSTITUTE("dpa"&amp;$B122&amp;$C122&amp;$D122&amp;$E122&amp;$F122,".","_"),"(","_"),")","")</f>
        <v>dpa701_4_5</v>
      </c>
      <c r="AM122" s="190" t="str">
        <f ca="1">M122</f>
        <v>N/A</v>
      </c>
      <c r="AN122" s="562"/>
      <c r="AO122" s="562"/>
      <c r="AP122" s="190" t="str">
        <f>SUBSTITUTE(SUBSTITUTE(SUBSTITUTE("dch"&amp;$B122&amp;$C122&amp;$D122&amp;$E122&amp;$F122,".","_"),"(","_"),")","")</f>
        <v>dch701_4_5</v>
      </c>
      <c r="AQ122" s="190">
        <f>W122</f>
        <v>0</v>
      </c>
      <c r="AR122" s="190" t="str">
        <f>SUBSTITUTE(SUBSTITUTE(SUBSTITUTE("dnt"&amp;$B122&amp;$C122&amp;$D122&amp;$E122&amp;$F122,".","_"),"(","_"),")","")</f>
        <v>dnt701_4_5</v>
      </c>
      <c r="AS122" s="190">
        <f>X122</f>
        <v>0</v>
      </c>
    </row>
    <row r="123" spans="1:45" s="485" customFormat="1" x14ac:dyDescent="0.2">
      <c r="A123" s="13"/>
      <c r="B123" s="358" t="s">
        <v>2904</v>
      </c>
      <c r="C123" s="60"/>
      <c r="D123" s="14"/>
      <c r="E123" s="14"/>
      <c r="F123" s="14"/>
      <c r="G123" s="14"/>
      <c r="H123" s="441"/>
      <c r="I123" s="170"/>
      <c r="J123" s="599"/>
      <c r="K123" s="599"/>
      <c r="L123" s="868"/>
      <c r="M123" s="854"/>
      <c r="N123" s="3"/>
      <c r="O123" s="609"/>
      <c r="P123" s="64"/>
      <c r="Q123" s="64"/>
      <c r="R123" s="562"/>
      <c r="S123" s="562"/>
      <c r="T123" s="64"/>
      <c r="U123" s="562"/>
      <c r="V123" s="562"/>
      <c r="W123" s="489"/>
      <c r="X123" s="798"/>
      <c r="Y123" s="562"/>
      <c r="Z123" s="562"/>
      <c r="AA123" s="562"/>
      <c r="AB123" s="562"/>
      <c r="AC123" s="562"/>
      <c r="AD123" s="562"/>
      <c r="AE123" s="562"/>
      <c r="AF123" s="562"/>
      <c r="AG123" s="562"/>
      <c r="AH123" s="562"/>
      <c r="AI123" s="562"/>
      <c r="AJ123" s="562"/>
      <c r="AK123" s="562"/>
      <c r="AL123" s="190"/>
      <c r="AM123" s="190"/>
      <c r="AN123" s="562"/>
      <c r="AO123" s="562"/>
      <c r="AP123" s="190"/>
      <c r="AQ123" s="190"/>
      <c r="AR123" s="190"/>
      <c r="AS123" s="190"/>
    </row>
    <row r="124" spans="1:45" s="485" customFormat="1" x14ac:dyDescent="0.2">
      <c r="A124" s="13"/>
      <c r="B124" s="358" t="s">
        <v>2907</v>
      </c>
      <c r="C124" s="60"/>
      <c r="D124" s="14"/>
      <c r="E124" s="14"/>
      <c r="F124" s="14"/>
      <c r="G124" s="14"/>
      <c r="H124" s="441"/>
      <c r="I124" s="268" t="s">
        <v>2908</v>
      </c>
      <c r="J124" s="598"/>
      <c r="K124" s="598"/>
      <c r="L124" s="866" t="s">
        <v>2909</v>
      </c>
      <c r="M124" s="838" t="str">
        <f>IF(R124,"Mandatory","N/A")</f>
        <v>Mandatory</v>
      </c>
      <c r="N124" s="146"/>
      <c r="O124" s="617"/>
      <c r="P124" s="64" t="b">
        <v>1</v>
      </c>
      <c r="Q124" s="64" t="b">
        <v>1</v>
      </c>
      <c r="R124" s="148" t="b">
        <f>S124</f>
        <v>1</v>
      </c>
      <c r="S124" s="463" t="b">
        <v>1</v>
      </c>
      <c r="T124" s="148" t="b">
        <f>AND(NOT(S124),W124=TRUE)</f>
        <v>0</v>
      </c>
      <c r="U124" s="562"/>
      <c r="V124" s="562"/>
      <c r="W124" s="495"/>
      <c r="X124" s="798"/>
      <c r="Y124" s="562"/>
      <c r="Z124" s="562"/>
      <c r="AA124" s="562"/>
      <c r="AB124" s="562"/>
      <c r="AC124" s="492" t="b">
        <f>OR(AD124:AE124)</f>
        <v>1</v>
      </c>
      <c r="AD124" s="492" t="b">
        <f>T124</f>
        <v>0</v>
      </c>
      <c r="AE124" s="492" t="b">
        <f>AND(R124,NOT(W124))</f>
        <v>1</v>
      </c>
      <c r="AF124" s="562"/>
      <c r="AG124" s="562"/>
      <c r="AH124" s="562"/>
      <c r="AI124" s="562"/>
      <c r="AJ124" s="562"/>
      <c r="AK124" s="562"/>
      <c r="AL124" s="493" t="str">
        <f>SUBSTITUTE(SUBSTITUTE(SUBSTITUTE("dpa"&amp;$B124&amp;$C124&amp;$D124&amp;$E124&amp;$F124,".","_"),"(","_"),")","")</f>
        <v>dpa701_4_6</v>
      </c>
      <c r="AM124" s="493" t="str">
        <f>M124</f>
        <v>Mandatory</v>
      </c>
      <c r="AN124" s="217"/>
      <c r="AO124" s="562"/>
      <c r="AP124" s="493" t="str">
        <f>SUBSTITUTE(SUBSTITUTE(SUBSTITUTE("dch"&amp;$B124&amp;$C124&amp;$D124&amp;$E124&amp;$F124,".","_"),"(","_"),")","")</f>
        <v>dch701_4_6</v>
      </c>
      <c r="AQ124" s="493">
        <f>W124</f>
        <v>0</v>
      </c>
      <c r="AR124" s="493" t="str">
        <f>SUBSTITUTE(SUBSTITUTE(SUBSTITUTE("dnt"&amp;$B124&amp;$C124&amp;$D124&amp;$E124&amp;$F124,".","_"),"(","_"),")","")</f>
        <v>dnt701_4_6</v>
      </c>
      <c r="AS124" s="493">
        <f>X124</f>
        <v>0</v>
      </c>
    </row>
    <row r="125" spans="1:45" s="485" customFormat="1" x14ac:dyDescent="0.2">
      <c r="A125" s="13"/>
      <c r="B125" s="358" t="s">
        <v>2907</v>
      </c>
      <c r="C125" s="60"/>
      <c r="D125" s="14"/>
      <c r="E125" s="14"/>
      <c r="F125" s="14"/>
      <c r="G125" s="14"/>
      <c r="H125" s="441"/>
      <c r="I125" s="268"/>
      <c r="J125" s="598"/>
      <c r="K125" s="598"/>
      <c r="L125" s="866"/>
      <c r="M125" s="838"/>
      <c r="N125" s="98"/>
      <c r="O125" s="607"/>
      <c r="P125" s="562"/>
      <c r="Q125" s="562"/>
      <c r="R125" s="562"/>
      <c r="S125" s="562"/>
      <c r="T125" s="562"/>
      <c r="U125" s="562"/>
      <c r="V125" s="562"/>
      <c r="W125" s="64"/>
      <c r="X125" s="798"/>
      <c r="Y125" s="562"/>
      <c r="Z125" s="562"/>
      <c r="AA125" s="562"/>
      <c r="AB125" s="562"/>
      <c r="AC125" s="562"/>
      <c r="AD125" s="562"/>
      <c r="AE125" s="562"/>
      <c r="AF125" s="562"/>
      <c r="AG125" s="562"/>
      <c r="AH125" s="562"/>
      <c r="AI125" s="562"/>
      <c r="AJ125" s="562"/>
      <c r="AK125" s="562"/>
      <c r="AL125" s="190"/>
      <c r="AM125" s="190"/>
      <c r="AN125" s="562"/>
      <c r="AO125" s="562"/>
      <c r="AP125" s="190"/>
      <c r="AQ125" s="190"/>
      <c r="AR125" s="190"/>
      <c r="AS125" s="190"/>
    </row>
    <row r="126" spans="1:45" s="485" customFormat="1" x14ac:dyDescent="0.2">
      <c r="A126" s="13"/>
      <c r="B126" s="358" t="s">
        <v>2907</v>
      </c>
      <c r="C126" s="60"/>
      <c r="D126" s="14"/>
      <c r="E126" s="14"/>
      <c r="F126" s="14"/>
      <c r="G126" s="14"/>
      <c r="H126" s="441"/>
      <c r="I126" s="268"/>
      <c r="J126" s="598"/>
      <c r="K126" s="598"/>
      <c r="L126" s="866"/>
      <c r="M126" s="838"/>
      <c r="N126" s="562"/>
      <c r="O126" s="562"/>
      <c r="P126" s="562"/>
      <c r="Q126" s="562"/>
      <c r="R126" s="562"/>
      <c r="S126" s="562"/>
      <c r="T126" s="562"/>
      <c r="U126" s="562"/>
      <c r="V126" s="562"/>
      <c r="W126" s="64"/>
      <c r="X126" s="798"/>
      <c r="Y126" s="562"/>
      <c r="Z126" s="562"/>
      <c r="AA126" s="562"/>
      <c r="AB126" s="562"/>
      <c r="AC126" s="562"/>
      <c r="AD126" s="562"/>
      <c r="AE126" s="562"/>
      <c r="AF126" s="562"/>
      <c r="AG126" s="562"/>
      <c r="AH126" s="562"/>
      <c r="AI126" s="562"/>
      <c r="AJ126" s="562"/>
      <c r="AK126" s="562"/>
      <c r="AL126" s="190"/>
      <c r="AM126" s="190"/>
      <c r="AN126" s="562"/>
      <c r="AO126" s="562"/>
      <c r="AP126" s="190"/>
      <c r="AQ126" s="190"/>
      <c r="AR126" s="190"/>
      <c r="AS126" s="190"/>
    </row>
    <row r="127" spans="1:45" s="528" customFormat="1" x14ac:dyDescent="0.2">
      <c r="A127" s="562"/>
      <c r="B127" s="358" t="s">
        <v>2910</v>
      </c>
      <c r="C127" s="562"/>
      <c r="D127" s="562"/>
      <c r="E127" s="562"/>
      <c r="F127" s="562"/>
      <c r="G127" s="562"/>
      <c r="H127" s="562"/>
      <c r="I127" s="98"/>
      <c r="J127" s="598"/>
      <c r="K127" s="598"/>
      <c r="L127" s="275" t="s">
        <v>2911</v>
      </c>
      <c r="M127" s="64"/>
      <c r="N127" s="64"/>
      <c r="O127" s="64"/>
      <c r="P127" s="64"/>
      <c r="Q127" s="64"/>
      <c r="R127" s="64"/>
      <c r="S127" s="64"/>
      <c r="T127" s="64"/>
      <c r="U127" s="64"/>
      <c r="V127" s="64"/>
      <c r="W127" s="64"/>
      <c r="X127" s="64"/>
      <c r="Y127" s="562"/>
      <c r="Z127" s="562"/>
      <c r="AA127" s="562"/>
      <c r="AB127" s="562"/>
      <c r="AC127" s="562"/>
      <c r="AD127" s="562"/>
      <c r="AE127" s="562"/>
      <c r="AF127" s="562"/>
      <c r="AG127" s="562"/>
      <c r="AH127" s="562"/>
      <c r="AI127" s="562"/>
      <c r="AJ127" s="562"/>
      <c r="AK127" s="562"/>
      <c r="AL127" s="562"/>
      <c r="AM127" s="562"/>
      <c r="AN127" s="562"/>
      <c r="AO127" s="562"/>
      <c r="AP127" s="562"/>
      <c r="AQ127" s="562"/>
      <c r="AR127" s="562"/>
      <c r="AS127" s="562"/>
    </row>
    <row r="128" spans="1:45" s="485" customFormat="1" x14ac:dyDescent="0.2">
      <c r="A128" s="13"/>
      <c r="B128" s="358" t="s">
        <v>2912</v>
      </c>
      <c r="C128" s="60"/>
      <c r="D128" s="14"/>
      <c r="E128" s="14"/>
      <c r="F128" s="14"/>
      <c r="G128" s="14"/>
      <c r="H128" s="441"/>
      <c r="I128" s="278" t="s">
        <v>2913</v>
      </c>
      <c r="J128" s="638"/>
      <c r="K128" s="638"/>
      <c r="L128" s="865" t="s">
        <v>2914</v>
      </c>
      <c r="M128" s="867" t="str">
        <f>IF(R128,"Mandatory","N/A")</f>
        <v>Mandatory</v>
      </c>
      <c r="N128" s="146"/>
      <c r="O128" s="617"/>
      <c r="P128" s="64" t="b">
        <v>1</v>
      </c>
      <c r="Q128" s="64" t="b">
        <v>1</v>
      </c>
      <c r="R128" s="148" t="b">
        <f>S128</f>
        <v>1</v>
      </c>
      <c r="S128" s="463" t="b">
        <v>1</v>
      </c>
      <c r="T128" s="148" t="b">
        <f>AND(NOT(S128),W128=TRUE)</f>
        <v>0</v>
      </c>
      <c r="U128" s="562"/>
      <c r="V128" s="562"/>
      <c r="W128" s="495"/>
      <c r="X128" s="798"/>
      <c r="Y128" s="562"/>
      <c r="Z128" s="562"/>
      <c r="AA128" s="562"/>
      <c r="AB128" s="562"/>
      <c r="AC128" s="492" t="b">
        <f>OR(AD128:AE128)</f>
        <v>1</v>
      </c>
      <c r="AD128" s="492" t="b">
        <f>T128</f>
        <v>0</v>
      </c>
      <c r="AE128" s="492" t="b">
        <f>AND(R128,NOT(W128))</f>
        <v>1</v>
      </c>
      <c r="AF128" s="562"/>
      <c r="AG128" s="562"/>
      <c r="AH128" s="562"/>
      <c r="AI128" s="562"/>
      <c r="AJ128" s="562"/>
      <c r="AK128" s="562"/>
      <c r="AL128" s="493" t="str">
        <f>SUBSTITUTE(SUBSTITUTE(SUBSTITUTE("dpa"&amp;$B128&amp;$C128&amp;$D128&amp;$E128&amp;$F128,".","_"),"(","_"),")","")</f>
        <v>dpa701_4_7</v>
      </c>
      <c r="AM128" s="493" t="str">
        <f>M128</f>
        <v>Mandatory</v>
      </c>
      <c r="AN128" s="562"/>
      <c r="AO128" s="562"/>
      <c r="AP128" s="493" t="str">
        <f>SUBSTITUTE(SUBSTITUTE(SUBSTITUTE("dch"&amp;$B128&amp;$C128&amp;$D128&amp;$E128&amp;$F128,".","_"),"(","_"),")","")</f>
        <v>dch701_4_7</v>
      </c>
      <c r="AQ128" s="493">
        <f>W128</f>
        <v>0</v>
      </c>
      <c r="AR128" s="493" t="str">
        <f>SUBSTITUTE(SUBSTITUTE(SUBSTITUTE("dnt"&amp;$B128&amp;$C128&amp;$D128&amp;$E128&amp;$F128,".","_"),"(","_"),")","")</f>
        <v>dnt701_4_7</v>
      </c>
      <c r="AS128" s="493">
        <f>X128</f>
        <v>0</v>
      </c>
    </row>
    <row r="129" spans="1:45" s="485" customFormat="1" x14ac:dyDescent="0.2">
      <c r="A129" s="13"/>
      <c r="B129" s="358" t="s">
        <v>2912</v>
      </c>
      <c r="C129" s="60"/>
      <c r="D129" s="14"/>
      <c r="E129" s="14"/>
      <c r="F129" s="14"/>
      <c r="G129" s="14"/>
      <c r="H129" s="441"/>
      <c r="I129" s="268"/>
      <c r="J129" s="598"/>
      <c r="K129" s="598"/>
      <c r="L129" s="866"/>
      <c r="M129" s="838"/>
      <c r="N129" s="98"/>
      <c r="O129" s="607"/>
      <c r="P129" s="562"/>
      <c r="Q129" s="562"/>
      <c r="R129" s="562"/>
      <c r="S129" s="562"/>
      <c r="T129" s="562"/>
      <c r="U129" s="562"/>
      <c r="V129" s="562"/>
      <c r="W129" s="64"/>
      <c r="X129" s="798"/>
      <c r="Y129" s="562"/>
      <c r="Z129" s="562"/>
      <c r="AA129" s="562"/>
      <c r="AB129" s="562"/>
      <c r="AC129" s="562"/>
      <c r="AD129" s="562"/>
      <c r="AE129" s="562"/>
      <c r="AF129" s="562"/>
      <c r="AG129" s="562"/>
      <c r="AH129" s="562"/>
      <c r="AI129" s="562"/>
      <c r="AJ129" s="562"/>
      <c r="AK129" s="562"/>
      <c r="AL129" s="190"/>
      <c r="AM129" s="190"/>
      <c r="AN129" s="562"/>
      <c r="AO129" s="562"/>
      <c r="AP129" s="190"/>
      <c r="AQ129" s="190"/>
      <c r="AR129" s="190"/>
      <c r="AS129" s="190"/>
    </row>
    <row r="130" spans="1:45" s="485" customFormat="1" x14ac:dyDescent="0.2">
      <c r="A130" s="13"/>
      <c r="B130" s="358" t="s">
        <v>2912</v>
      </c>
      <c r="C130" s="60"/>
      <c r="D130" s="14"/>
      <c r="E130" s="14"/>
      <c r="F130" s="14"/>
      <c r="G130" s="14"/>
      <c r="H130" s="441"/>
      <c r="I130" s="562"/>
      <c r="J130" s="562"/>
      <c r="K130" s="562"/>
      <c r="L130" s="866"/>
      <c r="M130" s="838"/>
      <c r="N130" s="562"/>
      <c r="O130" s="562"/>
      <c r="P130" s="562"/>
      <c r="Q130" s="562"/>
      <c r="R130" s="562"/>
      <c r="S130" s="562"/>
      <c r="T130" s="562"/>
      <c r="U130" s="562"/>
      <c r="V130" s="562"/>
      <c r="W130" s="64"/>
      <c r="X130" s="798"/>
      <c r="Y130" s="562"/>
      <c r="Z130" s="562"/>
      <c r="AA130" s="562"/>
      <c r="AB130" s="562"/>
      <c r="AC130" s="562"/>
      <c r="AD130" s="562"/>
      <c r="AE130" s="562"/>
      <c r="AF130" s="562"/>
      <c r="AG130" s="562"/>
      <c r="AH130" s="562"/>
      <c r="AI130" s="562"/>
      <c r="AJ130" s="562"/>
      <c r="AK130" s="562"/>
      <c r="AL130" s="190"/>
      <c r="AM130" s="190"/>
      <c r="AN130" s="562"/>
      <c r="AO130" s="562"/>
      <c r="AP130" s="190"/>
      <c r="AQ130" s="190"/>
      <c r="AR130" s="190"/>
      <c r="AS130" s="190"/>
    </row>
    <row r="131" spans="1:45" s="485" customFormat="1" x14ac:dyDescent="0.2">
      <c r="A131" s="13"/>
      <c r="B131" s="358" t="s">
        <v>2912</v>
      </c>
      <c r="C131" s="60"/>
      <c r="D131" s="14"/>
      <c r="E131" s="14"/>
      <c r="F131" s="14"/>
      <c r="G131" s="14"/>
      <c r="H131" s="441"/>
      <c r="I131" s="3"/>
      <c r="J131" s="3"/>
      <c r="K131" s="3"/>
      <c r="L131" s="866"/>
      <c r="M131" s="838"/>
      <c r="N131" s="3"/>
      <c r="O131" s="609"/>
      <c r="P131" s="64"/>
      <c r="Q131" s="64"/>
      <c r="R131" s="562"/>
      <c r="S131" s="562"/>
      <c r="T131" s="64"/>
      <c r="U131" s="562"/>
      <c r="V131" s="562"/>
      <c r="W131" s="64"/>
      <c r="X131" s="798"/>
      <c r="Y131" s="562"/>
      <c r="Z131" s="562"/>
      <c r="AA131" s="562"/>
      <c r="AB131" s="562"/>
      <c r="AC131" s="562"/>
      <c r="AD131" s="562"/>
      <c r="AE131" s="562"/>
      <c r="AF131" s="562"/>
      <c r="AG131" s="562"/>
      <c r="AH131" s="562"/>
      <c r="AI131" s="562"/>
      <c r="AJ131" s="562"/>
      <c r="AK131" s="562"/>
      <c r="AL131" s="190"/>
      <c r="AM131" s="190"/>
      <c r="AN131" s="562"/>
      <c r="AO131" s="562"/>
      <c r="AP131" s="190"/>
      <c r="AQ131" s="190"/>
      <c r="AR131" s="190"/>
      <c r="AS131" s="190"/>
    </row>
    <row r="132" spans="1:45" s="528" customFormat="1" ht="16" thickBot="1" x14ac:dyDescent="0.25">
      <c r="A132" s="562"/>
      <c r="B132" s="358" t="s">
        <v>2910</v>
      </c>
      <c r="C132" s="562"/>
      <c r="D132" s="562"/>
      <c r="E132" s="562"/>
      <c r="F132" s="562"/>
      <c r="G132" s="562"/>
      <c r="H132" s="562"/>
      <c r="I132" s="98"/>
      <c r="J132" s="598"/>
      <c r="K132" s="598"/>
      <c r="L132" s="275" t="s">
        <v>2911</v>
      </c>
      <c r="M132" s="64"/>
      <c r="N132" s="64"/>
      <c r="O132" s="64"/>
      <c r="P132" s="64"/>
      <c r="Q132" s="64"/>
      <c r="R132" s="64"/>
      <c r="S132" s="64"/>
      <c r="T132" s="64"/>
      <c r="U132" s="64"/>
      <c r="V132" s="64"/>
      <c r="W132" s="64"/>
      <c r="X132" s="64"/>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row>
    <row r="133" spans="1:45" customFormat="1" ht="15.75" customHeight="1" thickTop="1" x14ac:dyDescent="0.2">
      <c r="A133" s="562"/>
      <c r="B133" s="358" t="s">
        <v>2910</v>
      </c>
      <c r="C133" s="562"/>
      <c r="D133" s="562"/>
      <c r="E133" s="562"/>
      <c r="F133" s="562"/>
      <c r="G133" s="562"/>
      <c r="H133" s="562"/>
      <c r="I133" s="131" t="s">
        <v>2910</v>
      </c>
      <c r="J133" s="271"/>
      <c r="K133" s="271"/>
      <c r="L133" s="869" t="s">
        <v>2915</v>
      </c>
      <c r="M133" s="74"/>
      <c r="N133" s="74"/>
      <c r="O133" s="74"/>
      <c r="P133" s="74"/>
      <c r="Q133" s="74"/>
      <c r="R133" s="74"/>
      <c r="S133" s="74"/>
      <c r="T133" s="74"/>
      <c r="U133" s="74"/>
      <c r="V133" s="74"/>
      <c r="W133" s="74"/>
      <c r="X133" s="64"/>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row>
    <row r="134" spans="1:45" s="470" customFormat="1" x14ac:dyDescent="0.2">
      <c r="A134" s="562"/>
      <c r="B134" s="358" t="s">
        <v>2910</v>
      </c>
      <c r="C134" s="562"/>
      <c r="D134" s="562"/>
      <c r="E134" s="562"/>
      <c r="F134" s="562"/>
      <c r="G134" s="562"/>
      <c r="H134" s="562"/>
      <c r="I134" s="99"/>
      <c r="J134" s="598"/>
      <c r="K134" s="598"/>
      <c r="L134" s="791"/>
      <c r="M134" s="64"/>
      <c r="N134" s="64"/>
      <c r="O134" s="64"/>
      <c r="P134" s="64"/>
      <c r="Q134" s="64"/>
      <c r="R134" s="64"/>
      <c r="S134" s="64"/>
      <c r="T134" s="64"/>
      <c r="U134" s="64"/>
      <c r="V134" s="64"/>
      <c r="W134" s="64"/>
      <c r="X134" s="64"/>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row>
    <row r="135" spans="1:45" s="470" customFormat="1" x14ac:dyDescent="0.2">
      <c r="A135" s="562"/>
      <c r="B135" s="358" t="s">
        <v>2910</v>
      </c>
      <c r="C135" s="562"/>
      <c r="D135" s="562"/>
      <c r="E135" s="562"/>
      <c r="F135" s="562"/>
      <c r="G135" s="562"/>
      <c r="H135" s="562"/>
      <c r="I135" s="98"/>
      <c r="J135" s="598"/>
      <c r="K135" s="598"/>
      <c r="L135" s="275" t="s">
        <v>2916</v>
      </c>
      <c r="M135" s="64"/>
      <c r="N135" s="64"/>
      <c r="O135" s="64"/>
      <c r="P135" s="64"/>
      <c r="Q135" s="64"/>
      <c r="R135" s="64"/>
      <c r="S135" s="64"/>
      <c r="T135" s="64"/>
      <c r="U135" s="64"/>
      <c r="V135" s="64"/>
      <c r="W135" s="64"/>
      <c r="X135" s="64"/>
      <c r="Y135" s="562"/>
      <c r="Z135" s="562"/>
      <c r="AA135" s="562"/>
      <c r="AB135" s="562"/>
      <c r="AC135" s="562"/>
      <c r="AD135" s="562"/>
      <c r="AE135" s="562"/>
      <c r="AF135" s="562"/>
      <c r="AG135" s="562"/>
      <c r="AH135" s="562"/>
      <c r="AI135" s="562"/>
      <c r="AJ135" s="562"/>
      <c r="AK135" s="562"/>
      <c r="AL135" s="562"/>
      <c r="AM135" s="562"/>
      <c r="AN135" s="562"/>
      <c r="AO135" s="562"/>
      <c r="AP135" s="562"/>
      <c r="AQ135" s="562"/>
      <c r="AR135" s="562"/>
      <c r="AS135" s="562"/>
    </row>
    <row r="136" spans="1:45" s="470" customFormat="1" ht="15" customHeight="1" x14ac:dyDescent="0.2">
      <c r="A136" s="562"/>
      <c r="B136" s="358" t="s">
        <v>2917</v>
      </c>
      <c r="C136" s="562"/>
      <c r="D136" s="562"/>
      <c r="E136" s="562"/>
      <c r="F136" s="562"/>
      <c r="G136" s="562"/>
      <c r="H136" s="562"/>
      <c r="I136" s="145" t="s">
        <v>2917</v>
      </c>
      <c r="J136" s="638"/>
      <c r="K136" s="638"/>
      <c r="L136" s="831" t="s">
        <v>2918</v>
      </c>
      <c r="M136" s="64"/>
      <c r="N136" s="64"/>
      <c r="O136" s="64"/>
      <c r="P136" s="64"/>
      <c r="Q136" s="64"/>
      <c r="R136" s="64"/>
      <c r="S136" s="64"/>
      <c r="T136" s="64"/>
      <c r="U136" s="64"/>
      <c r="V136" s="64"/>
      <c r="W136" s="64"/>
      <c r="X136" s="64"/>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row>
    <row r="137" spans="1:45" s="470" customFormat="1" ht="15" customHeight="1" x14ac:dyDescent="0.2">
      <c r="A137" s="562"/>
      <c r="B137" s="358" t="s">
        <v>2917</v>
      </c>
      <c r="C137" s="562"/>
      <c r="D137" s="562"/>
      <c r="E137" s="562"/>
      <c r="F137" s="562"/>
      <c r="G137" s="562"/>
      <c r="H137" s="562"/>
      <c r="I137" s="99"/>
      <c r="J137" s="598"/>
      <c r="K137" s="598"/>
      <c r="L137" s="791"/>
      <c r="M137" s="64"/>
      <c r="N137" s="64"/>
      <c r="O137" s="64"/>
      <c r="P137" s="64"/>
      <c r="Q137" s="64"/>
      <c r="R137" s="64"/>
      <c r="S137" s="64"/>
      <c r="T137" s="64"/>
      <c r="U137" s="64"/>
      <c r="V137" s="64"/>
      <c r="W137" s="64"/>
      <c r="X137" s="64"/>
      <c r="Y137" s="562"/>
      <c r="Z137" s="562"/>
      <c r="AA137" s="562"/>
      <c r="AB137" s="562"/>
      <c r="AC137" s="562"/>
      <c r="AD137" s="562"/>
      <c r="AE137" s="562"/>
      <c r="AF137" s="562"/>
      <c r="AG137" s="562"/>
      <c r="AH137" s="562"/>
      <c r="AI137" s="562"/>
      <c r="AJ137" s="562"/>
      <c r="AK137" s="562"/>
      <c r="AL137" s="562"/>
      <c r="AM137" s="562"/>
      <c r="AN137" s="562"/>
      <c r="AO137" s="562"/>
      <c r="AP137" s="562"/>
      <c r="AQ137" s="562"/>
      <c r="AR137" s="562"/>
      <c r="AS137" s="562"/>
    </row>
    <row r="138" spans="1:45" s="470" customFormat="1" ht="15" customHeight="1" x14ac:dyDescent="0.2">
      <c r="A138" s="562"/>
      <c r="B138" s="358" t="s">
        <v>2917</v>
      </c>
      <c r="C138" s="562"/>
      <c r="D138" s="562"/>
      <c r="E138" s="562"/>
      <c r="F138" s="562"/>
      <c r="G138" s="562"/>
      <c r="H138" s="562"/>
      <c r="I138" s="99"/>
      <c r="J138" s="598"/>
      <c r="K138" s="598"/>
      <c r="L138" s="791"/>
      <c r="M138" s="64"/>
      <c r="N138" s="64"/>
      <c r="O138" s="64"/>
      <c r="P138" s="64"/>
      <c r="Q138" s="64"/>
      <c r="R138" s="64"/>
      <c r="S138" s="64"/>
      <c r="T138" s="64"/>
      <c r="U138" s="64"/>
      <c r="V138" s="64"/>
      <c r="W138" s="64"/>
      <c r="X138" s="64"/>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row>
    <row r="139" spans="1:45" s="470" customFormat="1" ht="15" customHeight="1" x14ac:dyDescent="0.2">
      <c r="A139" s="562"/>
      <c r="B139" s="358" t="s">
        <v>2917</v>
      </c>
      <c r="C139" s="562"/>
      <c r="D139" s="562"/>
      <c r="E139" s="562"/>
      <c r="F139" s="562"/>
      <c r="G139" s="562"/>
      <c r="H139" s="562"/>
      <c r="I139" s="99"/>
      <c r="J139" s="598"/>
      <c r="K139" s="598"/>
      <c r="L139" s="791"/>
      <c r="M139" s="64"/>
      <c r="N139" s="64"/>
      <c r="O139" s="64"/>
      <c r="P139" s="64"/>
      <c r="Q139" s="64"/>
      <c r="R139" s="64"/>
      <c r="S139" s="64"/>
      <c r="T139" s="64"/>
      <c r="U139" s="64"/>
      <c r="V139" s="64"/>
      <c r="W139" s="64"/>
      <c r="X139" s="64"/>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row>
    <row r="140" spans="1:45" s="470" customFormat="1" x14ac:dyDescent="0.2">
      <c r="A140" s="562"/>
      <c r="B140" s="358" t="s">
        <v>2917</v>
      </c>
      <c r="C140" s="562"/>
      <c r="D140" s="562"/>
      <c r="E140" s="562"/>
      <c r="F140" s="562"/>
      <c r="G140" s="562"/>
      <c r="H140" s="562"/>
      <c r="I140" s="64"/>
      <c r="J140" s="64"/>
      <c r="K140" s="64"/>
      <c r="L140" s="791"/>
      <c r="M140" s="64"/>
      <c r="N140" s="64"/>
      <c r="O140" s="64"/>
      <c r="P140" s="64"/>
      <c r="Q140" s="64"/>
      <c r="R140" s="64"/>
      <c r="S140" s="64"/>
      <c r="T140" s="64"/>
      <c r="U140" s="64"/>
      <c r="V140" s="64"/>
      <c r="W140" s="64"/>
      <c r="X140" s="64"/>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row>
    <row r="141" spans="1:45" s="470" customFormat="1" x14ac:dyDescent="0.2">
      <c r="A141" s="562"/>
      <c r="B141" s="358" t="s">
        <v>2917</v>
      </c>
      <c r="C141" s="562"/>
      <c r="D141" s="562"/>
      <c r="E141" s="562"/>
      <c r="F141" s="562"/>
      <c r="G141" s="562"/>
      <c r="H141" s="562"/>
      <c r="I141" s="64"/>
      <c r="J141" s="64"/>
      <c r="K141" s="64"/>
      <c r="L141" s="870" t="s">
        <v>2919</v>
      </c>
      <c r="M141" s="64"/>
      <c r="N141" s="64"/>
      <c r="O141" s="64"/>
      <c r="P141" s="64"/>
      <c r="Q141" s="64"/>
      <c r="R141" s="64"/>
      <c r="S141" s="64"/>
      <c r="T141" s="64"/>
      <c r="U141" s="64"/>
      <c r="V141" s="64"/>
      <c r="W141" s="64"/>
      <c r="X141" s="64"/>
      <c r="Y141" s="562"/>
      <c r="Z141" s="562"/>
      <c r="AA141" s="562"/>
      <c r="AB141" s="562"/>
      <c r="AC141" s="562"/>
      <c r="AD141" s="562"/>
      <c r="AE141" s="562"/>
      <c r="AF141" s="562"/>
      <c r="AG141" s="562"/>
      <c r="AH141" s="562"/>
      <c r="AI141" s="562"/>
      <c r="AJ141" s="562"/>
      <c r="AK141" s="562"/>
      <c r="AL141" s="562"/>
      <c r="AM141" s="562"/>
      <c r="AN141" s="562"/>
      <c r="AO141" s="562"/>
      <c r="AP141" s="562"/>
      <c r="AQ141" s="562"/>
      <c r="AR141" s="562"/>
      <c r="AS141" s="562"/>
    </row>
    <row r="142" spans="1:45" s="470" customFormat="1" x14ac:dyDescent="0.2">
      <c r="A142" s="562"/>
      <c r="B142" s="358" t="s">
        <v>2917</v>
      </c>
      <c r="C142" s="562"/>
      <c r="D142" s="562"/>
      <c r="E142" s="562"/>
      <c r="F142" s="562"/>
      <c r="G142" s="562"/>
      <c r="H142" s="562"/>
      <c r="I142" s="64"/>
      <c r="J142" s="64"/>
      <c r="K142" s="64"/>
      <c r="L142" s="870"/>
      <c r="M142" s="64"/>
      <c r="N142" s="64"/>
      <c r="O142" s="64"/>
      <c r="P142" s="64"/>
      <c r="Q142" s="64"/>
      <c r="R142" s="64"/>
      <c r="S142" s="64"/>
      <c r="T142" s="64"/>
      <c r="U142" s="64"/>
      <c r="V142" s="64"/>
      <c r="W142" s="64"/>
      <c r="X142" s="64"/>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row>
    <row r="143" spans="1:45" s="470" customFormat="1" x14ac:dyDescent="0.2">
      <c r="A143" s="562"/>
      <c r="B143" s="358" t="s">
        <v>2917</v>
      </c>
      <c r="C143" s="562"/>
      <c r="D143" s="562"/>
      <c r="E143" s="562"/>
      <c r="F143" s="562"/>
      <c r="G143" s="562"/>
      <c r="H143" s="562"/>
      <c r="I143" s="64"/>
      <c r="J143" s="64"/>
      <c r="K143" s="64"/>
      <c r="L143" s="791" t="s">
        <v>2920</v>
      </c>
      <c r="M143" s="64"/>
      <c r="N143" s="64"/>
      <c r="O143" s="64"/>
      <c r="P143" s="64"/>
      <c r="Q143" s="64"/>
      <c r="R143" s="64"/>
      <c r="S143" s="64"/>
      <c r="T143" s="64"/>
      <c r="U143" s="64"/>
      <c r="V143" s="64"/>
      <c r="W143" s="64"/>
      <c r="X143" s="64"/>
      <c r="Y143" s="562"/>
      <c r="Z143" s="562"/>
      <c r="AA143" s="562"/>
      <c r="AB143" s="562"/>
      <c r="AC143" s="562"/>
      <c r="AD143" s="562"/>
      <c r="AE143" s="562"/>
      <c r="AF143" s="562"/>
      <c r="AG143" s="562"/>
      <c r="AH143" s="562"/>
      <c r="AI143" s="562"/>
      <c r="AJ143" s="562"/>
      <c r="AK143" s="562"/>
      <c r="AL143" s="562"/>
      <c r="AM143" s="562"/>
      <c r="AN143" s="562"/>
      <c r="AO143" s="562"/>
      <c r="AP143" s="562"/>
      <c r="AQ143" s="562"/>
      <c r="AR143" s="562"/>
      <c r="AS143" s="562"/>
    </row>
    <row r="144" spans="1:45" s="470" customFormat="1" x14ac:dyDescent="0.2">
      <c r="A144" s="562"/>
      <c r="B144" s="358" t="s">
        <v>2917</v>
      </c>
      <c r="C144" s="562"/>
      <c r="D144" s="562"/>
      <c r="E144" s="562"/>
      <c r="F144" s="562"/>
      <c r="G144" s="562"/>
      <c r="H144" s="562"/>
      <c r="I144" s="64"/>
      <c r="J144" s="64"/>
      <c r="K144" s="64"/>
      <c r="L144" s="791"/>
      <c r="M144" s="64"/>
      <c r="N144" s="64"/>
      <c r="O144" s="64"/>
      <c r="P144" s="64"/>
      <c r="Q144" s="64"/>
      <c r="R144" s="64"/>
      <c r="S144" s="64"/>
      <c r="T144" s="64"/>
      <c r="U144" s="64"/>
      <c r="V144" s="64"/>
      <c r="W144" s="64"/>
      <c r="X144" s="64"/>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row>
    <row r="145" spans="2:45" s="470" customFormat="1" x14ac:dyDescent="0.2">
      <c r="B145" s="358" t="s">
        <v>2917</v>
      </c>
      <c r="C145" s="562"/>
      <c r="D145" s="562"/>
      <c r="E145" s="562"/>
      <c r="F145" s="562"/>
      <c r="G145" s="562"/>
      <c r="H145" s="562"/>
      <c r="I145" s="64"/>
      <c r="J145" s="64"/>
      <c r="K145" s="64"/>
      <c r="L145" s="791"/>
      <c r="M145" s="64"/>
      <c r="N145" s="64"/>
      <c r="O145" s="64"/>
      <c r="P145" s="64"/>
      <c r="Q145" s="64"/>
      <c r="R145" s="64"/>
      <c r="S145" s="64"/>
      <c r="T145" s="64"/>
      <c r="U145" s="64"/>
      <c r="V145" s="64"/>
      <c r="W145" s="64"/>
      <c r="X145" s="64"/>
      <c r="Y145" s="562"/>
      <c r="Z145" s="562"/>
      <c r="AA145" s="562"/>
      <c r="AB145" s="562"/>
      <c r="AC145" s="562"/>
      <c r="AD145" s="562"/>
      <c r="AE145" s="562"/>
      <c r="AF145" s="562"/>
      <c r="AG145" s="562"/>
      <c r="AH145" s="562"/>
      <c r="AI145" s="562"/>
      <c r="AJ145" s="562"/>
      <c r="AK145" s="562"/>
      <c r="AL145" s="562"/>
      <c r="AM145" s="562"/>
      <c r="AN145" s="562"/>
      <c r="AO145" s="562"/>
      <c r="AP145" s="562"/>
      <c r="AQ145" s="562"/>
      <c r="AR145" s="562"/>
      <c r="AS145" s="562"/>
    </row>
    <row r="146" spans="2:45" s="470" customFormat="1" x14ac:dyDescent="0.2">
      <c r="B146" s="358" t="s">
        <v>2917</v>
      </c>
      <c r="C146" s="562"/>
      <c r="D146" s="562"/>
      <c r="E146" s="562"/>
      <c r="F146" s="562"/>
      <c r="G146" s="562"/>
      <c r="H146" s="562"/>
      <c r="I146" s="64"/>
      <c r="J146" s="64"/>
      <c r="K146" s="64"/>
      <c r="L146" s="791"/>
      <c r="M146" s="64"/>
      <c r="N146" s="64"/>
      <c r="O146" s="64"/>
      <c r="P146" s="64"/>
      <c r="Q146" s="64"/>
      <c r="R146" s="64"/>
      <c r="S146" s="64"/>
      <c r="T146" s="64"/>
      <c r="U146" s="64"/>
      <c r="V146" s="64"/>
      <c r="W146" s="64"/>
      <c r="X146" s="64"/>
      <c r="Y146" s="562"/>
      <c r="Z146" s="562"/>
      <c r="AA146" s="562"/>
      <c r="AB146" s="562"/>
      <c r="AC146" s="562"/>
      <c r="AD146" s="562"/>
      <c r="AE146" s="562"/>
      <c r="AF146" s="562"/>
      <c r="AG146" s="562"/>
      <c r="AH146" s="562"/>
      <c r="AI146" s="562"/>
      <c r="AJ146" s="562"/>
      <c r="AK146" s="562"/>
      <c r="AL146" s="562"/>
      <c r="AM146" s="562"/>
      <c r="AN146" s="562"/>
      <c r="AO146" s="562"/>
      <c r="AP146" s="562"/>
      <c r="AQ146" s="562"/>
      <c r="AR146" s="562"/>
      <c r="AS146" s="562"/>
    </row>
    <row r="147" spans="2:45" s="470" customFormat="1" x14ac:dyDescent="0.2">
      <c r="B147" s="358" t="s">
        <v>2917</v>
      </c>
      <c r="C147" s="562"/>
      <c r="D147" s="562"/>
      <c r="E147" s="562"/>
      <c r="F147" s="562"/>
      <c r="G147" s="562"/>
      <c r="H147" s="562"/>
      <c r="I147" s="64"/>
      <c r="J147" s="64"/>
      <c r="K147" s="64"/>
      <c r="L147" s="791"/>
      <c r="M147" s="64"/>
      <c r="N147" s="64"/>
      <c r="O147" s="64"/>
      <c r="P147" s="64"/>
      <c r="Q147" s="64"/>
      <c r="R147" s="64"/>
      <c r="S147" s="64"/>
      <c r="T147" s="64"/>
      <c r="U147" s="64"/>
      <c r="V147" s="64"/>
      <c r="W147" s="64"/>
      <c r="X147" s="64"/>
      <c r="Y147" s="562"/>
      <c r="Z147" s="562"/>
      <c r="AA147" s="562"/>
      <c r="AB147" s="562"/>
      <c r="AC147" s="562"/>
      <c r="AD147" s="562"/>
      <c r="AE147" s="562"/>
      <c r="AF147" s="562"/>
      <c r="AG147" s="562"/>
      <c r="AH147" s="562"/>
      <c r="AI147" s="562"/>
      <c r="AJ147" s="562"/>
      <c r="AK147" s="562"/>
      <c r="AL147" s="562"/>
      <c r="AM147" s="562"/>
      <c r="AN147" s="562"/>
      <c r="AO147" s="562"/>
      <c r="AP147" s="562"/>
      <c r="AQ147" s="562"/>
      <c r="AR147" s="562"/>
      <c r="AS147" s="562"/>
    </row>
    <row r="148" spans="2:45" s="470" customFormat="1" x14ac:dyDescent="0.2">
      <c r="B148" s="358" t="s">
        <v>2917</v>
      </c>
      <c r="C148" s="562"/>
      <c r="D148" s="562"/>
      <c r="E148" s="562"/>
      <c r="F148" s="562"/>
      <c r="G148" s="562"/>
      <c r="H148" s="562"/>
      <c r="I148" s="64"/>
      <c r="J148" s="64"/>
      <c r="K148" s="64"/>
      <c r="L148" s="791"/>
      <c r="M148" s="64"/>
      <c r="N148" s="64"/>
      <c r="O148" s="64"/>
      <c r="P148" s="562" t="b">
        <v>1</v>
      </c>
      <c r="Q148" s="562" t="b">
        <v>1</v>
      </c>
      <c r="R148" s="562" t="b">
        <v>1</v>
      </c>
      <c r="S148" s="562" t="b">
        <v>1</v>
      </c>
      <c r="T148" s="562" t="b">
        <v>0</v>
      </c>
      <c r="U148" s="562" t="str">
        <f>SUBSTITUTE(SUBSTITUTE(SUBSTITUTE("dd"&amp;B148&amp;C148&amp;D148&amp;E148&amp;F148,".","_"),"(","_"),")","")</f>
        <v>dd305_3_5_1</v>
      </c>
      <c r="V148" s="64"/>
      <c r="W148" s="6"/>
      <c r="X148" s="64"/>
      <c r="Y148" s="562"/>
      <c r="Z148" s="562"/>
      <c r="AA148" s="562"/>
      <c r="AB148" s="562"/>
      <c r="AC148" s="562"/>
      <c r="AD148" s="562"/>
      <c r="AE148" s="562"/>
      <c r="AF148" s="562"/>
      <c r="AG148" s="562"/>
      <c r="AH148" s="562"/>
      <c r="AI148" s="562"/>
      <c r="AJ148" s="562"/>
      <c r="AK148" s="562"/>
      <c r="AL148" s="562"/>
      <c r="AM148" s="562"/>
      <c r="AN148" s="562"/>
      <c r="AO148" s="562"/>
      <c r="AP148" s="562"/>
      <c r="AQ148" s="562"/>
      <c r="AR148" s="562"/>
      <c r="AS148" s="562"/>
    </row>
    <row r="149" spans="2:45" s="470" customFormat="1" x14ac:dyDescent="0.2">
      <c r="B149" s="358" t="s">
        <v>2917</v>
      </c>
      <c r="C149" s="562"/>
      <c r="D149" s="562"/>
      <c r="E149" s="562"/>
      <c r="F149" s="562"/>
      <c r="G149" s="562"/>
      <c r="H149" s="562"/>
      <c r="I149" s="64"/>
      <c r="J149" s="64"/>
      <c r="K149" s="64"/>
      <c r="L149" s="64"/>
      <c r="M149" s="64"/>
      <c r="N149" s="64"/>
      <c r="O149" s="64"/>
      <c r="P149" s="64"/>
      <c r="Q149" s="64"/>
      <c r="R149" s="64"/>
      <c r="S149" s="64"/>
      <c r="T149" s="64"/>
      <c r="U149" s="64"/>
      <c r="V149" s="64"/>
      <c r="W149" s="64"/>
      <c r="X149" s="64"/>
      <c r="Y149" s="562"/>
      <c r="Z149" s="562"/>
      <c r="AA149" s="562"/>
      <c r="AB149" s="562"/>
      <c r="AC149" s="562"/>
      <c r="AD149" s="562"/>
      <c r="AE149" s="562"/>
      <c r="AF149" s="562"/>
      <c r="AG149" s="562"/>
      <c r="AH149" s="562"/>
      <c r="AI149" s="562"/>
      <c r="AJ149" s="562"/>
      <c r="AK149" s="562"/>
      <c r="AL149" s="562"/>
      <c r="AM149" s="562"/>
      <c r="AN149" s="562"/>
      <c r="AO149" s="562"/>
      <c r="AP149" s="562"/>
      <c r="AQ149" s="562"/>
      <c r="AR149" s="562"/>
      <c r="AS149" s="562"/>
    </row>
    <row r="150" spans="2:45" customFormat="1" x14ac:dyDescent="0.2">
      <c r="B150" s="358" t="s">
        <v>2917</v>
      </c>
      <c r="C150" s="562"/>
      <c r="D150" s="14" t="s">
        <v>2181</v>
      </c>
      <c r="E150" s="14" t="s">
        <v>2196</v>
      </c>
      <c r="F150" s="562"/>
      <c r="G150" s="562"/>
      <c r="H150" s="562"/>
      <c r="I150" s="562"/>
      <c r="J150" s="562"/>
      <c r="K150" s="562"/>
      <c r="L150" s="594" t="s">
        <v>2921</v>
      </c>
      <c r="M150" s="594"/>
      <c r="N150" s="562"/>
      <c r="O150" s="562"/>
      <c r="P150" s="562" t="b">
        <v>1</v>
      </c>
      <c r="Q150" s="562" t="b">
        <v>1</v>
      </c>
      <c r="R150" s="562" t="b">
        <v>1</v>
      </c>
      <c r="S150" s="562" t="b">
        <v>1</v>
      </c>
      <c r="T150" s="562" t="b">
        <v>0</v>
      </c>
      <c r="U150" s="562"/>
      <c r="V150" s="562"/>
      <c r="W150" s="478"/>
      <c r="X150" s="563"/>
      <c r="Y150" s="562"/>
      <c r="Z150" s="562"/>
      <c r="AA150" s="562"/>
      <c r="AB150" s="562"/>
      <c r="AC150" s="492" t="b">
        <f>OR(AD150:AE150)</f>
        <v>1</v>
      </c>
      <c r="AD150" s="492" t="b">
        <f>T150</f>
        <v>0</v>
      </c>
      <c r="AE150" s="492" t="b">
        <f>AND(R150,NOT(W150))</f>
        <v>1</v>
      </c>
      <c r="AF150" s="562"/>
      <c r="AG150" s="562"/>
      <c r="AH150" s="562"/>
      <c r="AI150" s="562"/>
      <c r="AJ150" s="562"/>
      <c r="AK150" s="562"/>
      <c r="AL150" s="562"/>
      <c r="AM150" s="562"/>
      <c r="AN150" s="217"/>
      <c r="AO150" s="562"/>
      <c r="AP150" s="493" t="str">
        <f>SUBSTITUTE(SUBSTITUTE(SUBSTITUTE("dch"&amp;$B150&amp;$C150&amp;$D150&amp;$E150&amp;$F150,".","_"),"(","_"),")","")</f>
        <v>dch305_3_5_1_1_a</v>
      </c>
      <c r="AQ150" s="508">
        <f>W150</f>
        <v>0</v>
      </c>
      <c r="AR150" s="493" t="str">
        <f>SUBSTITUTE(SUBSTITUTE(SUBSTITUTE("dnt"&amp;$B150&amp;$C150&amp;$D150&amp;$E150&amp;$F150,".","_"),"(","_"),")","")</f>
        <v>dnt305_3_5_1_1_a</v>
      </c>
      <c r="AS150" s="493">
        <f>X150</f>
        <v>0</v>
      </c>
    </row>
    <row r="151" spans="2:45" customFormat="1" x14ac:dyDescent="0.2">
      <c r="B151" s="358" t="s">
        <v>2917</v>
      </c>
      <c r="C151" s="562"/>
      <c r="D151" s="14" t="s">
        <v>2181</v>
      </c>
      <c r="E151" s="14" t="s">
        <v>2198</v>
      </c>
      <c r="F151" s="562"/>
      <c r="G151" s="562"/>
      <c r="H151" s="562"/>
      <c r="I151" s="562"/>
      <c r="J151" s="562"/>
      <c r="K151" s="562"/>
      <c r="L151" s="594"/>
      <c r="M151" s="594"/>
      <c r="N151" s="562"/>
      <c r="O151" s="562"/>
      <c r="P151" s="562"/>
      <c r="Q151" s="562"/>
      <c r="R151" s="562"/>
      <c r="S151" s="562"/>
      <c r="T151" s="562"/>
      <c r="U151" s="562"/>
      <c r="V151" s="562"/>
      <c r="W151" s="562"/>
      <c r="X151" s="562"/>
      <c r="Y151" s="562"/>
      <c r="Z151" s="562"/>
      <c r="AA151" s="562"/>
      <c r="AB151" s="562"/>
      <c r="AC151" s="562"/>
      <c r="AD151" s="562"/>
      <c r="AE151" s="562"/>
      <c r="AF151" s="562"/>
      <c r="AG151" s="562"/>
      <c r="AH151" s="562"/>
      <c r="AI151" s="562"/>
      <c r="AJ151" s="562"/>
      <c r="AK151" s="562"/>
      <c r="AL151" s="562"/>
      <c r="AM151" s="562"/>
      <c r="AN151" s="562"/>
      <c r="AO151" s="562"/>
      <c r="AP151" s="562"/>
      <c r="AQ151" s="562"/>
      <c r="AR151" s="562"/>
      <c r="AS151" s="562"/>
    </row>
    <row r="152" spans="2:45" customFormat="1" x14ac:dyDescent="0.2">
      <c r="B152" s="358" t="s">
        <v>2917</v>
      </c>
      <c r="C152" s="562"/>
      <c r="D152" s="14" t="s">
        <v>2181</v>
      </c>
      <c r="E152" s="14" t="s">
        <v>2198</v>
      </c>
      <c r="F152" s="562"/>
      <c r="G152" s="562"/>
      <c r="H152" s="562"/>
      <c r="I152" s="562"/>
      <c r="J152" s="562"/>
      <c r="K152" s="562"/>
      <c r="L152" s="592" t="s">
        <v>2922</v>
      </c>
      <c r="M152" s="594"/>
      <c r="N152" s="562"/>
      <c r="O152" s="562"/>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row>
    <row r="153" spans="2:45" customFormat="1" x14ac:dyDescent="0.2">
      <c r="B153" s="358" t="s">
        <v>2917</v>
      </c>
      <c r="C153" s="562"/>
      <c r="D153" s="14" t="s">
        <v>2181</v>
      </c>
      <c r="E153" s="19" t="s">
        <v>2200</v>
      </c>
      <c r="F153" s="562"/>
      <c r="G153" s="562"/>
      <c r="H153" s="562"/>
      <c r="I153" s="562"/>
      <c r="J153" s="562"/>
      <c r="K153" s="562"/>
      <c r="L153" s="594"/>
      <c r="M153" s="594" t="str">
        <f ca="1">IF(W148=INDEX(INDIRECT(U148),1),"Heating Energy","Cost of Heating Energy")</f>
        <v>Cost of Heating Energy</v>
      </c>
      <c r="N153" s="562"/>
      <c r="O153" s="562"/>
      <c r="P153" s="562" t="b">
        <v>1</v>
      </c>
      <c r="Q153" s="562" t="b">
        <v>1</v>
      </c>
      <c r="R153" s="562" t="b">
        <v>1</v>
      </c>
      <c r="S153" s="562" t="b">
        <v>1</v>
      </c>
      <c r="T153" s="562" t="b">
        <v>0</v>
      </c>
      <c r="U153" s="562"/>
      <c r="V153" s="562"/>
      <c r="W153" s="478"/>
      <c r="X153" s="563"/>
      <c r="Y153" s="562"/>
      <c r="Z153" s="562"/>
      <c r="AA153" s="562"/>
      <c r="AB153" s="562"/>
      <c r="AC153" s="492" t="b">
        <f>OR(AD153:AE153)</f>
        <v>1</v>
      </c>
      <c r="AD153" s="492" t="b">
        <f>T153</f>
        <v>0</v>
      </c>
      <c r="AE153" s="492" t="b">
        <f>AND(R153,NOT(W153))</f>
        <v>1</v>
      </c>
      <c r="AF153" s="562"/>
      <c r="AG153" s="562"/>
      <c r="AH153" s="562"/>
      <c r="AI153" s="562"/>
      <c r="AJ153" s="562"/>
      <c r="AK153" s="562"/>
      <c r="AL153" s="562"/>
      <c r="AM153" s="562"/>
      <c r="AN153" s="217"/>
      <c r="AO153" s="562"/>
      <c r="AP153" s="493" t="str">
        <f>SUBSTITUTE(SUBSTITUTE(SUBSTITUTE("dch"&amp;$B153&amp;$C153&amp;$D153&amp;$E153&amp;$F153,".","_"),"(","_"),")","")</f>
        <v>dch305_3_5_1_1_c</v>
      </c>
      <c r="AQ153" s="493">
        <f>W153</f>
        <v>0</v>
      </c>
      <c r="AR153" s="493" t="str">
        <f>SUBSTITUTE(SUBSTITUTE(SUBSTITUTE("dnt"&amp;$B153&amp;$C153&amp;$D153&amp;$E153&amp;$F153,".","_"),"(","_"),")","")</f>
        <v>dnt305_3_5_1_1_c</v>
      </c>
      <c r="AS153" s="493">
        <f>X153</f>
        <v>0</v>
      </c>
    </row>
    <row r="154" spans="2:45" customFormat="1" x14ac:dyDescent="0.2">
      <c r="B154" s="358" t="s">
        <v>2917</v>
      </c>
      <c r="C154" s="562"/>
      <c r="D154" s="14" t="s">
        <v>2181</v>
      </c>
      <c r="E154" s="14" t="s">
        <v>2247</v>
      </c>
      <c r="F154" s="562"/>
      <c r="G154" s="562"/>
      <c r="H154" s="562"/>
      <c r="I154" s="562"/>
      <c r="J154" s="562"/>
      <c r="K154" s="562"/>
      <c r="L154" s="594"/>
      <c r="M154" s="594" t="str">
        <f ca="1">IF(W148=INDEX(INDIRECT(U148),1),"Cooling Energy","Cost of Cooling Energy")</f>
        <v>Cost of Cooling Energy</v>
      </c>
      <c r="N154" s="562"/>
      <c r="O154" s="562"/>
      <c r="P154" s="562" t="b">
        <v>1</v>
      </c>
      <c r="Q154" s="562" t="b">
        <v>1</v>
      </c>
      <c r="R154" s="562" t="b">
        <v>1</v>
      </c>
      <c r="S154" s="562" t="b">
        <v>1</v>
      </c>
      <c r="T154" s="562" t="b">
        <v>0</v>
      </c>
      <c r="U154" s="562"/>
      <c r="V154" s="562"/>
      <c r="W154" s="478"/>
      <c r="X154" s="563"/>
      <c r="Y154" s="562"/>
      <c r="Z154" s="562"/>
      <c r="AA154" s="562"/>
      <c r="AB154" s="562"/>
      <c r="AC154" s="492" t="b">
        <f>OR(AD154:AE154)</f>
        <v>1</v>
      </c>
      <c r="AD154" s="492" t="b">
        <f>T154</f>
        <v>0</v>
      </c>
      <c r="AE154" s="492" t="b">
        <f>AND(R154,NOT(W154))</f>
        <v>1</v>
      </c>
      <c r="AF154" s="562"/>
      <c r="AG154" s="562"/>
      <c r="AH154" s="562"/>
      <c r="AI154" s="562"/>
      <c r="AJ154" s="562"/>
      <c r="AK154" s="562"/>
      <c r="AL154" s="562"/>
      <c r="AM154" s="562"/>
      <c r="AN154" s="217"/>
      <c r="AO154" s="562"/>
      <c r="AP154" s="493" t="str">
        <f>SUBSTITUTE(SUBSTITUTE(SUBSTITUTE("dch"&amp;$B154&amp;$C154&amp;$D154&amp;$E154&amp;$F154,".","_"),"(","_"),")","")</f>
        <v>dch305_3_5_1_1_d</v>
      </c>
      <c r="AQ154" s="493">
        <f>W154</f>
        <v>0</v>
      </c>
      <c r="AR154" s="493" t="str">
        <f>SUBSTITUTE(SUBSTITUTE(SUBSTITUTE("dnt"&amp;$B154&amp;$C154&amp;$D154&amp;$E154&amp;$F154,".","_"),"(","_"),")","")</f>
        <v>dnt305_3_5_1_1_d</v>
      </c>
      <c r="AS154" s="493">
        <f>X154</f>
        <v>0</v>
      </c>
    </row>
    <row r="155" spans="2:45" customFormat="1" x14ac:dyDescent="0.2">
      <c r="B155" s="358" t="s">
        <v>2917</v>
      </c>
      <c r="C155" s="562"/>
      <c r="D155" s="14" t="s">
        <v>2181</v>
      </c>
      <c r="E155" s="14" t="s">
        <v>2247</v>
      </c>
      <c r="F155" s="562"/>
      <c r="G155" s="562"/>
      <c r="H155" s="562"/>
      <c r="I155" s="562"/>
      <c r="J155" s="562"/>
      <c r="K155" s="562"/>
      <c r="L155" s="594"/>
      <c r="M155" s="594" t="str">
        <f ca="1">IF(W148=INDEX(INDIRECT(U148),1),"Water Heating Energy","Cost of Water Heating Energy")</f>
        <v>Cost of Water Heating Energy</v>
      </c>
      <c r="N155" s="562"/>
      <c r="O155" s="562"/>
      <c r="P155" s="562" t="b">
        <v>1</v>
      </c>
      <c r="Q155" s="562" t="b">
        <v>1</v>
      </c>
      <c r="R155" s="562" t="b">
        <v>1</v>
      </c>
      <c r="S155" s="562" t="b">
        <v>1</v>
      </c>
      <c r="T155" s="562" t="b">
        <v>0</v>
      </c>
      <c r="U155" s="562"/>
      <c r="V155" s="562"/>
      <c r="W155" s="478"/>
      <c r="X155" s="563"/>
      <c r="Y155" s="562"/>
      <c r="Z155" s="562"/>
      <c r="AA155" s="562"/>
      <c r="AB155" s="562"/>
      <c r="AC155" s="492" t="b">
        <f>OR(AD155:AE155)</f>
        <v>1</v>
      </c>
      <c r="AD155" s="492" t="b">
        <f>T155</f>
        <v>0</v>
      </c>
      <c r="AE155" s="492" t="b">
        <f>AND(R155,NOT(W155))</f>
        <v>1</v>
      </c>
      <c r="AF155" s="562"/>
      <c r="AG155" s="562"/>
      <c r="AH155" s="562"/>
      <c r="AI155" s="562"/>
      <c r="AJ155" s="562"/>
      <c r="AK155" s="562"/>
      <c r="AL155" s="562"/>
      <c r="AM155" s="562"/>
      <c r="AN155" s="217"/>
      <c r="AO155" s="562"/>
      <c r="AP155" s="493" t="str">
        <f>SUBSTITUTE(SUBSTITUTE(SUBSTITUTE("dch"&amp;$B155&amp;$C155&amp;$D155&amp;$E155&amp;$F155,".","_"),"(","_"),")","")</f>
        <v>dch305_3_5_1_1_d</v>
      </c>
      <c r="AQ155" s="493">
        <f>W155</f>
        <v>0</v>
      </c>
      <c r="AR155" s="493" t="str">
        <f>SUBSTITUTE(SUBSTITUTE(SUBSTITUTE("dnt"&amp;$B155&amp;$C155&amp;$D155&amp;$E155&amp;$F155,".","_"),"(","_"),")","")</f>
        <v>dnt305_3_5_1_1_d</v>
      </c>
      <c r="AS155" s="493">
        <f>X155</f>
        <v>0</v>
      </c>
    </row>
    <row r="156" spans="2:45" customFormat="1" x14ac:dyDescent="0.2">
      <c r="B156" s="358" t="s">
        <v>2917</v>
      </c>
      <c r="C156" s="562"/>
      <c r="D156" s="14" t="s">
        <v>2181</v>
      </c>
      <c r="E156" s="14" t="s">
        <v>2444</v>
      </c>
      <c r="F156" s="562"/>
      <c r="G156" s="562"/>
      <c r="H156" s="562"/>
      <c r="I156" s="562"/>
      <c r="J156" s="562"/>
      <c r="K156" s="562"/>
      <c r="L156" s="594"/>
      <c r="M156" s="594" t="str">
        <f ca="1">IF(W148=INDEX(INDIRECT(U148),1),"Energy for Lighting","Cost of Energy for Lighting")</f>
        <v>Cost of Energy for Lighting</v>
      </c>
      <c r="N156" s="562"/>
      <c r="O156" s="562"/>
      <c r="P156" s="562" t="b">
        <v>1</v>
      </c>
      <c r="Q156" s="562" t="b">
        <v>1</v>
      </c>
      <c r="R156" s="562" t="b">
        <v>1</v>
      </c>
      <c r="S156" s="562" t="b">
        <v>1</v>
      </c>
      <c r="T156" s="562" t="b">
        <v>0</v>
      </c>
      <c r="U156" s="562"/>
      <c r="V156" s="562"/>
      <c r="W156" s="478"/>
      <c r="X156" s="563"/>
      <c r="Y156" s="562"/>
      <c r="Z156" s="562"/>
      <c r="AA156" s="562"/>
      <c r="AB156" s="562"/>
      <c r="AC156" s="492" t="b">
        <f>OR(AD156:AE156)</f>
        <v>1</v>
      </c>
      <c r="AD156" s="492" t="b">
        <f>T156</f>
        <v>0</v>
      </c>
      <c r="AE156" s="492" t="b">
        <f>AND(R156,NOT(W156))</f>
        <v>1</v>
      </c>
      <c r="AF156" s="562"/>
      <c r="AG156" s="562"/>
      <c r="AH156" s="562"/>
      <c r="AI156" s="562"/>
      <c r="AJ156" s="562"/>
      <c r="AK156" s="562"/>
      <c r="AL156" s="562"/>
      <c r="AM156" s="562"/>
      <c r="AN156" s="217"/>
      <c r="AO156" s="562"/>
      <c r="AP156" s="493" t="str">
        <f>SUBSTITUTE(SUBSTITUTE(SUBSTITUTE("dch"&amp;$B156&amp;$C156&amp;$D156&amp;$E156&amp;$F156,".","_"),"(","_"),")","")</f>
        <v>dch305_3_5_1_1_e</v>
      </c>
      <c r="AQ156" s="493">
        <f>W156</f>
        <v>0</v>
      </c>
      <c r="AR156" s="493" t="str">
        <f>SUBSTITUTE(SUBSTITUTE(SUBSTITUTE("dnt"&amp;$B156&amp;$C156&amp;$D156&amp;$E156&amp;$F156,".","_"),"(","_"),")","")</f>
        <v>dnt305_3_5_1_1_e</v>
      </c>
      <c r="AS156" s="493">
        <f>X156</f>
        <v>0</v>
      </c>
    </row>
    <row r="157" spans="2:45" customFormat="1" x14ac:dyDescent="0.2">
      <c r="B157" s="358" t="s">
        <v>2917</v>
      </c>
      <c r="C157" s="562"/>
      <c r="D157" s="14" t="s">
        <v>2181</v>
      </c>
      <c r="E157" s="19" t="s">
        <v>2540</v>
      </c>
      <c r="F157" s="562"/>
      <c r="G157" s="562"/>
      <c r="H157" s="562"/>
      <c r="I157" s="562"/>
      <c r="J157" s="562"/>
      <c r="K157" s="562"/>
      <c r="L157" s="594"/>
      <c r="M157" s="594" t="str">
        <f ca="1">IF(W148=INDEX(INDIRECT(U148),1),"Energy for Appliances","Cost of Energy for Appliances")</f>
        <v>Cost of Energy for Appliances</v>
      </c>
      <c r="N157" s="562"/>
      <c r="O157" s="562"/>
      <c r="P157" s="562" t="b">
        <v>1</v>
      </c>
      <c r="Q157" s="562" t="b">
        <v>1</v>
      </c>
      <c r="R157" s="562" t="b">
        <v>1</v>
      </c>
      <c r="S157" s="562" t="b">
        <v>1</v>
      </c>
      <c r="T157" s="562" t="b">
        <v>0</v>
      </c>
      <c r="U157" s="562"/>
      <c r="V157" s="562"/>
      <c r="W157" s="478"/>
      <c r="X157" s="563"/>
      <c r="Y157" s="562"/>
      <c r="Z157" s="562"/>
      <c r="AA157" s="562"/>
      <c r="AB157" s="562"/>
      <c r="AC157" s="492" t="b">
        <f>OR(AD157:AE157)</f>
        <v>1</v>
      </c>
      <c r="AD157" s="492" t="b">
        <f>T157</f>
        <v>0</v>
      </c>
      <c r="AE157" s="492" t="b">
        <f>AND(R157,NOT(W157))</f>
        <v>1</v>
      </c>
      <c r="AF157" s="562"/>
      <c r="AG157" s="562"/>
      <c r="AH157" s="562"/>
      <c r="AI157" s="562"/>
      <c r="AJ157" s="562"/>
      <c r="AK157" s="562"/>
      <c r="AL157" s="562"/>
      <c r="AM157" s="562"/>
      <c r="AN157" s="217"/>
      <c r="AO157" s="562"/>
      <c r="AP157" s="493" t="str">
        <f>SUBSTITUTE(SUBSTITUTE(SUBSTITUTE("dch"&amp;$B157&amp;$C157&amp;$D157&amp;$E157&amp;$F157,".","_"),"(","_"),")","")</f>
        <v>dch305_3_5_1_1_f</v>
      </c>
      <c r="AQ157" s="493">
        <f>W157</f>
        <v>0</v>
      </c>
      <c r="AR157" s="493" t="str">
        <f>SUBSTITUTE(SUBSTITUTE(SUBSTITUTE("dnt"&amp;$B157&amp;$C157&amp;$D157&amp;$E157&amp;$F157,".","_"),"(","_"),")","")</f>
        <v>dnt305_3_5_1_1_f</v>
      </c>
      <c r="AS157" s="493">
        <f>X157</f>
        <v>0</v>
      </c>
    </row>
    <row r="158" spans="2:45" customFormat="1" x14ac:dyDescent="0.2">
      <c r="B158" s="358" t="s">
        <v>2917</v>
      </c>
      <c r="C158" s="562"/>
      <c r="D158" s="14" t="s">
        <v>2181</v>
      </c>
      <c r="E158" s="14" t="s">
        <v>2542</v>
      </c>
      <c r="F158" s="562"/>
      <c r="G158" s="562"/>
      <c r="H158" s="562"/>
      <c r="I158" s="562"/>
      <c r="J158" s="562"/>
      <c r="K158" s="562"/>
      <c r="L158" s="594"/>
      <c r="M158" s="594" t="str">
        <f ca="1">IF(W148=INDEX(INDIRECT(U148),1),"Miscellaneous Energy Usage (other)","Miscellaneous Energy Cost (other)")</f>
        <v>Miscellaneous Energy Cost (other)</v>
      </c>
      <c r="N158" s="562"/>
      <c r="O158" s="562"/>
      <c r="P158" s="562" t="b">
        <v>1</v>
      </c>
      <c r="Q158" s="562" t="b">
        <v>1</v>
      </c>
      <c r="R158" s="562" t="b">
        <v>0</v>
      </c>
      <c r="S158" s="562" t="b">
        <v>1</v>
      </c>
      <c r="T158" s="562" t="b">
        <f t="shared" ref="T158" si="10">AND(LEN(W170)&gt;0,LEN(W158)=0)</f>
        <v>0</v>
      </c>
      <c r="U158" s="562"/>
      <c r="V158" s="562"/>
      <c r="W158" s="479"/>
      <c r="X158" s="563"/>
      <c r="Y158" s="562"/>
      <c r="Z158" s="562"/>
      <c r="AA158" s="562"/>
      <c r="AB158" s="562"/>
      <c r="AC158" s="562"/>
      <c r="AD158" s="562"/>
      <c r="AE158" s="562"/>
      <c r="AF158" s="562"/>
      <c r="AG158" s="562"/>
      <c r="AH158" s="562"/>
      <c r="AI158" s="562"/>
      <c r="AJ158" s="562"/>
      <c r="AK158" s="562"/>
      <c r="AL158" s="562"/>
      <c r="AM158" s="562"/>
      <c r="AN158" s="562"/>
      <c r="AO158" s="562"/>
      <c r="AP158" s="562"/>
      <c r="AQ158" s="562"/>
      <c r="AR158" s="562"/>
      <c r="AS158" s="562"/>
    </row>
    <row r="159" spans="2:45" customFormat="1" x14ac:dyDescent="0.2">
      <c r="B159" s="358" t="s">
        <v>2917</v>
      </c>
      <c r="C159" s="562"/>
      <c r="D159" s="14" t="s">
        <v>2181</v>
      </c>
      <c r="E159" s="14" t="s">
        <v>2544</v>
      </c>
      <c r="F159" s="562"/>
      <c r="G159" s="562"/>
      <c r="H159" s="562"/>
      <c r="I159" s="562"/>
      <c r="J159" s="562"/>
      <c r="K159" s="562"/>
      <c r="L159" s="594"/>
      <c r="M159" s="592" t="s">
        <v>2923</v>
      </c>
      <c r="N159" s="562"/>
      <c r="O159" s="562"/>
      <c r="P159" s="562"/>
      <c r="Q159" s="562"/>
      <c r="R159" s="562"/>
      <c r="S159" s="562"/>
      <c r="T159" s="562"/>
      <c r="U159" s="562"/>
      <c r="V159" s="562"/>
      <c r="W159" s="562">
        <f>SUM(W153:W158)</f>
        <v>0</v>
      </c>
      <c r="X159" s="562"/>
      <c r="Y159" s="562"/>
      <c r="Z159" s="562"/>
      <c r="AA159" s="562"/>
      <c r="AB159" s="562"/>
      <c r="AC159" s="562"/>
      <c r="AD159" s="562"/>
      <c r="AE159" s="562"/>
      <c r="AF159" s="562"/>
      <c r="AG159" s="562"/>
      <c r="AH159" s="562"/>
      <c r="AI159" s="562"/>
      <c r="AJ159" s="562"/>
      <c r="AK159" s="562"/>
      <c r="AL159" s="562"/>
      <c r="AM159" s="562"/>
      <c r="AN159" s="562"/>
      <c r="AO159" s="562"/>
      <c r="AP159" s="562"/>
      <c r="AQ159" s="562"/>
      <c r="AR159" s="562"/>
      <c r="AS159" s="562"/>
    </row>
    <row r="160" spans="2:45" customFormat="1" x14ac:dyDescent="0.2">
      <c r="B160" s="358" t="s">
        <v>2917</v>
      </c>
      <c r="C160" s="562"/>
      <c r="D160" s="562"/>
      <c r="E160" s="562"/>
      <c r="F160" s="562"/>
      <c r="G160" s="562"/>
      <c r="H160" s="562"/>
      <c r="I160" s="562"/>
      <c r="J160" s="562"/>
      <c r="K160" s="562"/>
      <c r="L160" s="594"/>
      <c r="M160" s="592" t="s">
        <v>2924</v>
      </c>
      <c r="N160" s="562"/>
      <c r="O160" s="562"/>
      <c r="P160" s="562"/>
      <c r="Q160" s="562"/>
      <c r="R160" s="562"/>
      <c r="S160" s="562"/>
      <c r="T160" s="562"/>
      <c r="U160" s="562"/>
      <c r="V160" s="562"/>
      <c r="W160" s="473">
        <f>IFERROR(W159/W150,0)</f>
        <v>0</v>
      </c>
      <c r="X160" s="562"/>
      <c r="Y160" s="562"/>
      <c r="Z160" s="562"/>
      <c r="AA160" s="562"/>
      <c r="AB160" s="562"/>
      <c r="AC160" s="562"/>
      <c r="AD160" s="562"/>
      <c r="AE160" s="562"/>
      <c r="AF160" s="562"/>
      <c r="AG160" s="562"/>
      <c r="AH160" s="562"/>
      <c r="AI160" s="562"/>
      <c r="AJ160" s="562"/>
      <c r="AK160" s="562"/>
      <c r="AL160" s="562"/>
      <c r="AM160" s="562"/>
      <c r="AN160" s="562"/>
      <c r="AO160" s="562"/>
      <c r="AP160" s="562"/>
      <c r="AQ160" s="562"/>
      <c r="AR160" s="562"/>
      <c r="AS160" s="562"/>
    </row>
    <row r="161" spans="2:45" customFormat="1" x14ac:dyDescent="0.2">
      <c r="B161" s="358" t="s">
        <v>2917</v>
      </c>
      <c r="C161" s="562"/>
      <c r="D161" s="562"/>
      <c r="E161" s="562"/>
      <c r="F161" s="562"/>
      <c r="G161" s="562"/>
      <c r="H161" s="562"/>
      <c r="I161" s="562"/>
      <c r="J161" s="562"/>
      <c r="K161" s="562"/>
      <c r="L161" s="504" t="s">
        <v>2925</v>
      </c>
      <c r="M161" s="562"/>
      <c r="N161" s="562"/>
      <c r="O161" s="562"/>
      <c r="P161" s="562"/>
      <c r="Q161" s="562"/>
      <c r="R161" s="562"/>
      <c r="S161" s="562"/>
      <c r="T161" s="562"/>
      <c r="U161" s="562"/>
      <c r="V161" s="562"/>
      <c r="W161" s="562"/>
      <c r="X161" s="562"/>
      <c r="Y161" s="562"/>
      <c r="Z161" s="562"/>
      <c r="AA161" s="562"/>
      <c r="AB161" s="562"/>
      <c r="AC161" s="562"/>
      <c r="AD161" s="562"/>
      <c r="AE161" s="562"/>
      <c r="AF161" s="562"/>
      <c r="AG161" s="562"/>
      <c r="AH161" s="562"/>
      <c r="AI161" s="562"/>
      <c r="AJ161" s="562"/>
      <c r="AK161" s="562"/>
      <c r="AL161" s="562"/>
      <c r="AM161" s="562"/>
      <c r="AN161" s="562"/>
      <c r="AO161" s="562"/>
      <c r="AP161" s="562"/>
      <c r="AQ161" s="562"/>
      <c r="AR161" s="562"/>
      <c r="AS161" s="562"/>
    </row>
    <row r="162" spans="2:45" customFormat="1" x14ac:dyDescent="0.2">
      <c r="B162" s="358" t="s">
        <v>2917</v>
      </c>
      <c r="C162" s="562"/>
      <c r="D162" s="14" t="s">
        <v>2183</v>
      </c>
      <c r="E162" s="14" t="s">
        <v>2196</v>
      </c>
      <c r="F162" s="562"/>
      <c r="G162" s="562"/>
      <c r="H162" s="562"/>
      <c r="I162" s="562"/>
      <c r="J162" s="562"/>
      <c r="K162" s="562"/>
      <c r="L162" s="594" t="s">
        <v>2926</v>
      </c>
      <c r="M162" s="594"/>
      <c r="N162" s="562"/>
      <c r="O162" s="562"/>
      <c r="P162" s="562" t="b">
        <v>1</v>
      </c>
      <c r="Q162" s="562" t="b">
        <v>1</v>
      </c>
      <c r="R162" s="562" t="b">
        <v>1</v>
      </c>
      <c r="S162" s="562" t="b">
        <v>1</v>
      </c>
      <c r="T162" s="562" t="b">
        <v>0</v>
      </c>
      <c r="U162" s="562"/>
      <c r="V162" s="562"/>
      <c r="W162" s="478"/>
      <c r="X162" s="563"/>
      <c r="Y162" s="562"/>
      <c r="Z162" s="562"/>
      <c r="AA162" s="562"/>
      <c r="AB162" s="562"/>
      <c r="AC162" s="492" t="b">
        <f>OR(AD162:AE162)</f>
        <v>1</v>
      </c>
      <c r="AD162" s="492" t="b">
        <f>T162</f>
        <v>0</v>
      </c>
      <c r="AE162" s="492" t="b">
        <f>AND(R162,NOT(W162))</f>
        <v>1</v>
      </c>
      <c r="AF162" s="562"/>
      <c r="AG162" s="562"/>
      <c r="AH162" s="562"/>
      <c r="AI162" s="562"/>
      <c r="AJ162" s="562"/>
      <c r="AK162" s="562"/>
      <c r="AL162" s="562"/>
      <c r="AM162" s="562"/>
      <c r="AN162" s="217"/>
      <c r="AO162" s="562"/>
      <c r="AP162" s="493" t="str">
        <f>SUBSTITUTE(SUBSTITUTE(SUBSTITUTE("dch"&amp;$B162&amp;$C162&amp;$D162&amp;$E162&amp;$F162,".","_"),"(","_"),")","")</f>
        <v>dch305_3_5_1_2_a</v>
      </c>
      <c r="AQ162" s="493">
        <f>W162</f>
        <v>0</v>
      </c>
      <c r="AR162" s="493" t="str">
        <f>SUBSTITUTE(SUBSTITUTE(SUBSTITUTE("dnt"&amp;$B162&amp;$C162&amp;$D162&amp;$E162&amp;$F162,".","_"),"(","_"),")","")</f>
        <v>dnt305_3_5_1_2_a</v>
      </c>
      <c r="AS162" s="493">
        <f>X162</f>
        <v>0</v>
      </c>
    </row>
    <row r="163" spans="2:45" customFormat="1" x14ac:dyDescent="0.2">
      <c r="B163" s="358" t="s">
        <v>2917</v>
      </c>
      <c r="C163" s="562"/>
      <c r="D163" s="14" t="s">
        <v>2183</v>
      </c>
      <c r="E163" s="14" t="s">
        <v>2198</v>
      </c>
      <c r="F163" s="562"/>
      <c r="G163" s="562"/>
      <c r="H163" s="562"/>
      <c r="I163" s="562"/>
      <c r="J163" s="562"/>
      <c r="K163" s="562"/>
      <c r="L163" s="594"/>
      <c r="M163" s="594"/>
      <c r="N163" s="562"/>
      <c r="O163" s="562"/>
      <c r="P163" s="562"/>
      <c r="Q163" s="562"/>
      <c r="R163" s="562"/>
      <c r="S163" s="562"/>
      <c r="T163" s="562"/>
      <c r="U163" s="562"/>
      <c r="V163" s="562"/>
      <c r="W163" s="562"/>
      <c r="X163" s="562"/>
      <c r="Y163" s="562"/>
      <c r="Z163" s="562"/>
      <c r="AA163" s="562"/>
      <c r="AB163" s="562"/>
      <c r="AC163" s="562"/>
      <c r="AD163" s="562"/>
      <c r="AE163" s="562"/>
      <c r="AF163" s="562"/>
      <c r="AG163" s="562"/>
      <c r="AH163" s="562"/>
      <c r="AI163" s="562"/>
      <c r="AJ163" s="562"/>
      <c r="AK163" s="562"/>
      <c r="AL163" s="562"/>
      <c r="AM163" s="562"/>
      <c r="AN163" s="562"/>
      <c r="AO163" s="562"/>
      <c r="AP163" s="562"/>
      <c r="AQ163" s="562"/>
      <c r="AR163" s="562"/>
      <c r="AS163" s="562"/>
    </row>
    <row r="164" spans="2:45" customFormat="1" x14ac:dyDescent="0.2">
      <c r="B164" s="358" t="s">
        <v>2917</v>
      </c>
      <c r="C164" s="562"/>
      <c r="D164" s="14" t="s">
        <v>2183</v>
      </c>
      <c r="E164" s="14" t="s">
        <v>2198</v>
      </c>
      <c r="F164" s="562"/>
      <c r="G164" s="562"/>
      <c r="H164" s="562"/>
      <c r="I164" s="562"/>
      <c r="J164" s="562"/>
      <c r="K164" s="562"/>
      <c r="L164" s="592" t="s">
        <v>2927</v>
      </c>
      <c r="M164" s="594"/>
      <c r="N164" s="562"/>
      <c r="O164" s="562"/>
      <c r="P164" s="562"/>
      <c r="Q164" s="562"/>
      <c r="R164" s="562"/>
      <c r="S164" s="562"/>
      <c r="T164" s="562"/>
      <c r="U164" s="562"/>
      <c r="V164" s="562"/>
      <c r="W164" s="562"/>
      <c r="X164" s="562"/>
      <c r="Y164" s="562"/>
      <c r="Z164" s="562"/>
      <c r="AA164" s="562"/>
      <c r="AB164" s="562"/>
      <c r="AC164" s="562"/>
      <c r="AD164" s="562"/>
      <c r="AE164" s="562"/>
      <c r="AF164" s="562"/>
      <c r="AG164" s="562"/>
      <c r="AH164" s="562"/>
      <c r="AI164" s="562"/>
      <c r="AJ164" s="562"/>
      <c r="AK164" s="562"/>
      <c r="AL164" s="562"/>
      <c r="AM164" s="562"/>
      <c r="AN164" s="562"/>
      <c r="AO164" s="562"/>
      <c r="AP164" s="562"/>
      <c r="AQ164" s="562"/>
      <c r="AR164" s="562"/>
      <c r="AS164" s="562"/>
    </row>
    <row r="165" spans="2:45" customFormat="1" x14ac:dyDescent="0.2">
      <c r="B165" s="358" t="s">
        <v>2917</v>
      </c>
      <c r="C165" s="562"/>
      <c r="D165" s="14" t="s">
        <v>2183</v>
      </c>
      <c r="E165" s="19" t="s">
        <v>2200</v>
      </c>
      <c r="F165" s="562"/>
      <c r="G165" s="562"/>
      <c r="H165" s="562"/>
      <c r="I165" s="562"/>
      <c r="J165" s="562"/>
      <c r="K165" s="562"/>
      <c r="L165" s="594"/>
      <c r="M165" s="594" t="str">
        <f ca="1">IF(W148=INDEX(INDIRECT(U148),1),"Heating Energy","Cost of Heating Energy")</f>
        <v>Cost of Heating Energy</v>
      </c>
      <c r="N165" s="562"/>
      <c r="O165" s="562"/>
      <c r="P165" s="562" t="b">
        <v>1</v>
      </c>
      <c r="Q165" s="562" t="b">
        <v>1</v>
      </c>
      <c r="R165" s="562" t="b">
        <v>1</v>
      </c>
      <c r="S165" s="562" t="b">
        <v>1</v>
      </c>
      <c r="T165" s="562" t="b">
        <v>0</v>
      </c>
      <c r="U165" s="562"/>
      <c r="V165" s="562"/>
      <c r="W165" s="478"/>
      <c r="X165" s="563"/>
      <c r="Y165" s="562"/>
      <c r="Z165" s="562"/>
      <c r="AA165" s="562"/>
      <c r="AB165" s="562"/>
      <c r="AC165" s="492" t="b">
        <f>OR(AD165:AE165)</f>
        <v>1</v>
      </c>
      <c r="AD165" s="492" t="b">
        <f>T165</f>
        <v>0</v>
      </c>
      <c r="AE165" s="492" t="b">
        <f>AND(R165,NOT(W165))</f>
        <v>1</v>
      </c>
      <c r="AF165" s="562"/>
      <c r="AG165" s="562"/>
      <c r="AH165" s="562"/>
      <c r="AI165" s="562"/>
      <c r="AJ165" s="562"/>
      <c r="AK165" s="562"/>
      <c r="AL165" s="562"/>
      <c r="AM165" s="562"/>
      <c r="AN165" s="217"/>
      <c r="AO165" s="562"/>
      <c r="AP165" s="493" t="str">
        <f>SUBSTITUTE(SUBSTITUTE(SUBSTITUTE("dch"&amp;$B165&amp;$C165&amp;$D165&amp;$E165&amp;$F165,".","_"),"(","_"),")","")</f>
        <v>dch305_3_5_1_2_c</v>
      </c>
      <c r="AQ165" s="493">
        <f>W165</f>
        <v>0</v>
      </c>
      <c r="AR165" s="493" t="str">
        <f>SUBSTITUTE(SUBSTITUTE(SUBSTITUTE("dnt"&amp;$B165&amp;$C165&amp;$D165&amp;$E165&amp;$F165,".","_"),"(","_"),")","")</f>
        <v>dnt305_3_5_1_2_c</v>
      </c>
      <c r="AS165" s="493">
        <f>X165</f>
        <v>0</v>
      </c>
    </row>
    <row r="166" spans="2:45" customFormat="1" x14ac:dyDescent="0.2">
      <c r="B166" s="358" t="s">
        <v>2917</v>
      </c>
      <c r="C166" s="562"/>
      <c r="D166" s="14" t="s">
        <v>2183</v>
      </c>
      <c r="E166" s="14" t="s">
        <v>2247</v>
      </c>
      <c r="F166" s="562"/>
      <c r="G166" s="562"/>
      <c r="H166" s="562"/>
      <c r="I166" s="562"/>
      <c r="J166" s="562"/>
      <c r="K166" s="562"/>
      <c r="L166" s="594"/>
      <c r="M166" s="594" t="str">
        <f ca="1">IF(W148=INDEX(INDIRECT(U148),1),"Cooling Energy","Cost of Cooling Energy")</f>
        <v>Cost of Cooling Energy</v>
      </c>
      <c r="N166" s="562"/>
      <c r="O166" s="562"/>
      <c r="P166" s="562" t="b">
        <v>1</v>
      </c>
      <c r="Q166" s="562" t="b">
        <v>1</v>
      </c>
      <c r="R166" s="562" t="b">
        <v>1</v>
      </c>
      <c r="S166" s="562" t="b">
        <v>1</v>
      </c>
      <c r="T166" s="562" t="b">
        <v>0</v>
      </c>
      <c r="U166" s="562"/>
      <c r="V166" s="562"/>
      <c r="W166" s="478"/>
      <c r="X166" s="563"/>
      <c r="Y166" s="562"/>
      <c r="Z166" s="562"/>
      <c r="AA166" s="562"/>
      <c r="AB166" s="562"/>
      <c r="AC166" s="492" t="b">
        <f>OR(AD166:AE166)</f>
        <v>1</v>
      </c>
      <c r="AD166" s="492" t="b">
        <f>T166</f>
        <v>0</v>
      </c>
      <c r="AE166" s="492" t="b">
        <f>AND(R166,NOT(W166))</f>
        <v>1</v>
      </c>
      <c r="AF166" s="562"/>
      <c r="AG166" s="562"/>
      <c r="AH166" s="562"/>
      <c r="AI166" s="562"/>
      <c r="AJ166" s="562"/>
      <c r="AK166" s="562"/>
      <c r="AL166" s="562"/>
      <c r="AM166" s="562"/>
      <c r="AN166" s="217"/>
      <c r="AO166" s="562"/>
      <c r="AP166" s="493" t="str">
        <f>SUBSTITUTE(SUBSTITUTE(SUBSTITUTE("dch"&amp;$B166&amp;$C166&amp;$D166&amp;$E166&amp;$F166,".","_"),"(","_"),")","")</f>
        <v>dch305_3_5_1_2_d</v>
      </c>
      <c r="AQ166" s="493">
        <f>W166</f>
        <v>0</v>
      </c>
      <c r="AR166" s="493" t="str">
        <f>SUBSTITUTE(SUBSTITUTE(SUBSTITUTE("dnt"&amp;$B166&amp;$C166&amp;$D166&amp;$E166&amp;$F166,".","_"),"(","_"),")","")</f>
        <v>dnt305_3_5_1_2_d</v>
      </c>
      <c r="AS166" s="493">
        <f>X166</f>
        <v>0</v>
      </c>
    </row>
    <row r="167" spans="2:45" customFormat="1" x14ac:dyDescent="0.2">
      <c r="B167" s="358" t="s">
        <v>2917</v>
      </c>
      <c r="C167" s="562"/>
      <c r="D167" s="14" t="s">
        <v>2183</v>
      </c>
      <c r="E167" s="14" t="s">
        <v>2247</v>
      </c>
      <c r="F167" s="562"/>
      <c r="G167" s="562"/>
      <c r="H167" s="562"/>
      <c r="I167" s="562"/>
      <c r="J167" s="562"/>
      <c r="K167" s="562"/>
      <c r="L167" s="594"/>
      <c r="M167" s="594" t="str">
        <f ca="1">IF(W148=INDEX(INDIRECT(U148),1),"Water Heating Energy","Cost of Water Heating Energy")</f>
        <v>Cost of Water Heating Energy</v>
      </c>
      <c r="N167" s="562"/>
      <c r="O167" s="562"/>
      <c r="P167" s="562" t="b">
        <v>1</v>
      </c>
      <c r="Q167" s="562" t="b">
        <v>1</v>
      </c>
      <c r="R167" s="562" t="b">
        <v>1</v>
      </c>
      <c r="S167" s="562" t="b">
        <v>1</v>
      </c>
      <c r="T167" s="562" t="b">
        <v>0</v>
      </c>
      <c r="U167" s="562"/>
      <c r="V167" s="562"/>
      <c r="W167" s="478"/>
      <c r="X167" s="563"/>
      <c r="Y167" s="562"/>
      <c r="Z167" s="562"/>
      <c r="AA167" s="562"/>
      <c r="AB167" s="562"/>
      <c r="AC167" s="492" t="b">
        <f>OR(AD167:AE167)</f>
        <v>1</v>
      </c>
      <c r="AD167" s="492" t="b">
        <f>T167</f>
        <v>0</v>
      </c>
      <c r="AE167" s="492" t="b">
        <f>AND(R167,NOT(W167))</f>
        <v>1</v>
      </c>
      <c r="AF167" s="562"/>
      <c r="AG167" s="562"/>
      <c r="AH167" s="562"/>
      <c r="AI167" s="562"/>
      <c r="AJ167" s="562"/>
      <c r="AK167" s="562"/>
      <c r="AL167" s="562"/>
      <c r="AM167" s="562"/>
      <c r="AN167" s="217"/>
      <c r="AO167" s="562"/>
      <c r="AP167" s="493" t="str">
        <f>SUBSTITUTE(SUBSTITUTE(SUBSTITUTE("dch"&amp;$B167&amp;$C167&amp;$D167&amp;$E167&amp;$F167,".","_"),"(","_"),")","")</f>
        <v>dch305_3_5_1_2_d</v>
      </c>
      <c r="AQ167" s="493">
        <f>W167</f>
        <v>0</v>
      </c>
      <c r="AR167" s="493" t="str">
        <f>SUBSTITUTE(SUBSTITUTE(SUBSTITUTE("dnt"&amp;$B167&amp;$C167&amp;$D167&amp;$E167&amp;$F167,".","_"),"(","_"),")","")</f>
        <v>dnt305_3_5_1_2_d</v>
      </c>
      <c r="AS167" s="493">
        <f>X167</f>
        <v>0</v>
      </c>
    </row>
    <row r="168" spans="2:45" customFormat="1" x14ac:dyDescent="0.2">
      <c r="B168" s="358" t="s">
        <v>2917</v>
      </c>
      <c r="C168" s="562"/>
      <c r="D168" s="14" t="s">
        <v>2183</v>
      </c>
      <c r="E168" s="14" t="s">
        <v>2444</v>
      </c>
      <c r="F168" s="562"/>
      <c r="G168" s="562"/>
      <c r="H168" s="562"/>
      <c r="I168" s="562"/>
      <c r="J168" s="562"/>
      <c r="K168" s="562"/>
      <c r="L168" s="594"/>
      <c r="M168" s="594" t="str">
        <f ca="1">IF(W148=INDEX(INDIRECT(U148),1),"Energy for Lighting","Cost of Energy for Lighting")</f>
        <v>Cost of Energy for Lighting</v>
      </c>
      <c r="N168" s="562"/>
      <c r="O168" s="562"/>
      <c r="P168" s="562" t="b">
        <v>1</v>
      </c>
      <c r="Q168" s="562" t="b">
        <v>1</v>
      </c>
      <c r="R168" s="562" t="b">
        <v>1</v>
      </c>
      <c r="S168" s="562" t="b">
        <v>1</v>
      </c>
      <c r="T168" s="562" t="b">
        <v>0</v>
      </c>
      <c r="U168" s="562"/>
      <c r="V168" s="562"/>
      <c r="W168" s="478"/>
      <c r="X168" s="563"/>
      <c r="Y168" s="562"/>
      <c r="Z168" s="562"/>
      <c r="AA168" s="562"/>
      <c r="AB168" s="562"/>
      <c r="AC168" s="492" t="b">
        <f>OR(AD168:AE168)</f>
        <v>1</v>
      </c>
      <c r="AD168" s="492" t="b">
        <f>T168</f>
        <v>0</v>
      </c>
      <c r="AE168" s="492" t="b">
        <f>AND(R168,NOT(W168))</f>
        <v>1</v>
      </c>
      <c r="AF168" s="562"/>
      <c r="AG168" s="562"/>
      <c r="AH168" s="562"/>
      <c r="AI168" s="562"/>
      <c r="AJ168" s="562"/>
      <c r="AK168" s="562"/>
      <c r="AL168" s="562"/>
      <c r="AM168" s="562"/>
      <c r="AN168" s="217"/>
      <c r="AO168" s="562"/>
      <c r="AP168" s="493" t="str">
        <f>SUBSTITUTE(SUBSTITUTE(SUBSTITUTE("dch"&amp;$B168&amp;$C168&amp;$D168&amp;$E168&amp;$F168,".","_"),"(","_"),")","")</f>
        <v>dch305_3_5_1_2_e</v>
      </c>
      <c r="AQ168" s="493">
        <f>W168</f>
        <v>0</v>
      </c>
      <c r="AR168" s="493" t="str">
        <f>SUBSTITUTE(SUBSTITUTE(SUBSTITUTE("dnt"&amp;$B168&amp;$C168&amp;$D168&amp;$E168&amp;$F168,".","_"),"(","_"),")","")</f>
        <v>dnt305_3_5_1_2_e</v>
      </c>
      <c r="AS168" s="493">
        <f>X168</f>
        <v>0</v>
      </c>
    </row>
    <row r="169" spans="2:45" customFormat="1" x14ac:dyDescent="0.2">
      <c r="B169" s="358" t="s">
        <v>2917</v>
      </c>
      <c r="C169" s="562"/>
      <c r="D169" s="14" t="s">
        <v>2183</v>
      </c>
      <c r="E169" s="19" t="s">
        <v>2540</v>
      </c>
      <c r="F169" s="562"/>
      <c r="G169" s="562"/>
      <c r="H169" s="562"/>
      <c r="I169" s="562"/>
      <c r="J169" s="562"/>
      <c r="K169" s="562"/>
      <c r="L169" s="594"/>
      <c r="M169" s="594" t="str">
        <f ca="1">IF(W148=INDEX(INDIRECT(U148),1),"Energy for Appliances","Cost of Energy for Appliances")</f>
        <v>Cost of Energy for Appliances</v>
      </c>
      <c r="N169" s="562"/>
      <c r="O169" s="562"/>
      <c r="P169" s="562" t="b">
        <v>1</v>
      </c>
      <c r="Q169" s="562" t="b">
        <v>1</v>
      </c>
      <c r="R169" s="562" t="b">
        <v>1</v>
      </c>
      <c r="S169" s="562" t="b">
        <v>1</v>
      </c>
      <c r="T169" s="562" t="b">
        <v>0</v>
      </c>
      <c r="U169" s="562"/>
      <c r="V169" s="562"/>
      <c r="W169" s="478"/>
      <c r="X169" s="563"/>
      <c r="Y169" s="562"/>
      <c r="Z169" s="562"/>
      <c r="AA169" s="562"/>
      <c r="AB169" s="562"/>
      <c r="AC169" s="492" t="b">
        <f>OR(AD169:AE169)</f>
        <v>1</v>
      </c>
      <c r="AD169" s="492" t="b">
        <f>T169</f>
        <v>0</v>
      </c>
      <c r="AE169" s="492" t="b">
        <f>AND(R169,NOT(W169))</f>
        <v>1</v>
      </c>
      <c r="AF169" s="562"/>
      <c r="AG169" s="562"/>
      <c r="AH169" s="562"/>
      <c r="AI169" s="562"/>
      <c r="AJ169" s="562"/>
      <c r="AK169" s="562"/>
      <c r="AL169" s="562"/>
      <c r="AM169" s="562"/>
      <c r="AN169" s="217"/>
      <c r="AO169" s="562"/>
      <c r="AP169" s="493" t="str">
        <f>SUBSTITUTE(SUBSTITUTE(SUBSTITUTE("dch"&amp;$B169&amp;$C169&amp;$D169&amp;$E169&amp;$F169,".","_"),"(","_"),")","")</f>
        <v>dch305_3_5_1_2_f</v>
      </c>
      <c r="AQ169" s="493">
        <f>W169</f>
        <v>0</v>
      </c>
      <c r="AR169" s="493" t="str">
        <f>SUBSTITUTE(SUBSTITUTE(SUBSTITUTE("dnt"&amp;$B169&amp;$C169&amp;$D169&amp;$E169&amp;$F169,".","_"),"(","_"),")","")</f>
        <v>dnt305_3_5_1_2_f</v>
      </c>
      <c r="AS169" s="493">
        <f>X169</f>
        <v>0</v>
      </c>
    </row>
    <row r="170" spans="2:45" customFormat="1" x14ac:dyDescent="0.2">
      <c r="B170" s="358" t="s">
        <v>2917</v>
      </c>
      <c r="C170" s="562"/>
      <c r="D170" s="14" t="s">
        <v>2183</v>
      </c>
      <c r="E170" s="14" t="s">
        <v>2542</v>
      </c>
      <c r="F170" s="562"/>
      <c r="G170" s="562"/>
      <c r="H170" s="562"/>
      <c r="I170" s="562"/>
      <c r="J170" s="562"/>
      <c r="K170" s="562"/>
      <c r="L170" s="594"/>
      <c r="M170" s="594" t="str">
        <f ca="1">IF(W148=INDEX(INDIRECT(U148),1),"Miscellaneous Energy Usage (other)","Miscellaneous Energy Cost (other)")</f>
        <v>Miscellaneous Energy Cost (other)</v>
      </c>
      <c r="N170" s="562"/>
      <c r="O170" s="562"/>
      <c r="P170" s="562" t="b">
        <v>1</v>
      </c>
      <c r="Q170" s="562" t="b">
        <v>1</v>
      </c>
      <c r="R170" s="562" t="b">
        <v>0</v>
      </c>
      <c r="S170" s="562" t="b">
        <v>1</v>
      </c>
      <c r="T170" s="562" t="b">
        <f t="shared" ref="T170" si="11">AND(LEN(W158)&gt;0,LEN(W170)=0)</f>
        <v>0</v>
      </c>
      <c r="U170" s="562"/>
      <c r="V170" s="562"/>
      <c r="W170" s="479"/>
      <c r="X170" s="563"/>
      <c r="Y170" s="562"/>
      <c r="Z170" s="562"/>
      <c r="AA170" s="562"/>
      <c r="AB170" s="562"/>
      <c r="AC170" s="562"/>
      <c r="AD170" s="562"/>
      <c r="AE170" s="562"/>
      <c r="AF170" s="562"/>
      <c r="AG170" s="562"/>
      <c r="AH170" s="562"/>
      <c r="AI170" s="562"/>
      <c r="AJ170" s="562"/>
      <c r="AK170" s="562"/>
      <c r="AL170" s="562"/>
      <c r="AM170" s="562"/>
      <c r="AN170" s="562"/>
      <c r="AO170" s="562"/>
      <c r="AP170" s="562"/>
      <c r="AQ170" s="562"/>
      <c r="AR170" s="562"/>
      <c r="AS170" s="562"/>
    </row>
    <row r="171" spans="2:45" customFormat="1" x14ac:dyDescent="0.2">
      <c r="B171" s="358" t="s">
        <v>2917</v>
      </c>
      <c r="C171" s="562"/>
      <c r="D171" s="14" t="s">
        <v>2183</v>
      </c>
      <c r="E171" s="14" t="s">
        <v>2544</v>
      </c>
      <c r="F171" s="562"/>
      <c r="G171" s="562"/>
      <c r="H171" s="562"/>
      <c r="I171" s="562"/>
      <c r="J171" s="562"/>
      <c r="K171" s="562"/>
      <c r="L171" s="562"/>
      <c r="M171" s="592" t="s">
        <v>2923</v>
      </c>
      <c r="N171" s="562"/>
      <c r="O171" s="562"/>
      <c r="P171" s="562"/>
      <c r="Q171" s="562"/>
      <c r="R171" s="562"/>
      <c r="S171" s="562"/>
      <c r="T171" s="562"/>
      <c r="U171" s="562"/>
      <c r="V171" s="562"/>
      <c r="W171" s="562">
        <f>SUM(W165:W170)</f>
        <v>0</v>
      </c>
      <c r="X171" s="562"/>
      <c r="Y171" s="562"/>
      <c r="Z171" s="562"/>
      <c r="AA171" s="562"/>
      <c r="AB171" s="562"/>
      <c r="AC171" s="562"/>
      <c r="AD171" s="562"/>
      <c r="AE171" s="562"/>
      <c r="AF171" s="562"/>
      <c r="AG171" s="562"/>
      <c r="AH171" s="562"/>
      <c r="AI171" s="562"/>
      <c r="AJ171" s="562"/>
      <c r="AK171" s="562"/>
      <c r="AL171" s="562"/>
      <c r="AM171" s="562"/>
      <c r="AN171" s="562"/>
      <c r="AO171" s="562"/>
      <c r="AP171" s="562"/>
      <c r="AQ171" s="562"/>
      <c r="AR171" s="562"/>
      <c r="AS171" s="562"/>
    </row>
    <row r="172" spans="2:45" customFormat="1" x14ac:dyDescent="0.2">
      <c r="B172" s="358" t="s">
        <v>2917</v>
      </c>
      <c r="C172" s="562"/>
      <c r="D172" s="562"/>
      <c r="E172" s="562"/>
      <c r="F172" s="562"/>
      <c r="G172" s="562"/>
      <c r="H172" s="562"/>
      <c r="I172" s="562"/>
      <c r="J172" s="562"/>
      <c r="K172" s="562"/>
      <c r="L172" s="562"/>
      <c r="M172" s="592" t="s">
        <v>2924</v>
      </c>
      <c r="N172" s="562"/>
      <c r="O172" s="562"/>
      <c r="P172" s="562"/>
      <c r="Q172" s="562"/>
      <c r="R172" s="562"/>
      <c r="S172" s="562"/>
      <c r="T172" s="562"/>
      <c r="U172" s="562"/>
      <c r="V172" s="562"/>
      <c r="W172" s="473">
        <f>IFERROR(W171/W162,0)</f>
        <v>0</v>
      </c>
      <c r="X172" s="562"/>
      <c r="Y172" s="562"/>
      <c r="Z172" s="562"/>
      <c r="AA172" s="562"/>
      <c r="AB172" s="562"/>
      <c r="AC172" s="562"/>
      <c r="AD172" s="562"/>
      <c r="AE172" s="562"/>
      <c r="AF172" s="562"/>
      <c r="AG172" s="562"/>
      <c r="AH172" s="562"/>
      <c r="AI172" s="562"/>
      <c r="AJ172" s="562"/>
      <c r="AK172" s="562"/>
      <c r="AL172" s="562"/>
      <c r="AM172" s="562"/>
      <c r="AN172" s="562"/>
      <c r="AO172" s="562"/>
      <c r="AP172" s="562"/>
      <c r="AQ172" s="562"/>
      <c r="AR172" s="562"/>
      <c r="AS172" s="562"/>
    </row>
    <row r="173" spans="2:45" customFormat="1" x14ac:dyDescent="0.2">
      <c r="B173" s="358" t="s">
        <v>2917</v>
      </c>
      <c r="C173" s="562"/>
      <c r="D173" s="562"/>
      <c r="E173" s="562"/>
      <c r="F173" s="562"/>
      <c r="G173" s="562"/>
      <c r="H173" s="562"/>
      <c r="I173" s="562"/>
      <c r="J173" s="562"/>
      <c r="K173" s="562"/>
      <c r="L173" s="562"/>
      <c r="M173" s="562"/>
      <c r="N173" s="562"/>
      <c r="O173" s="562"/>
      <c r="P173" s="562"/>
      <c r="Q173" s="562"/>
      <c r="R173" s="562"/>
      <c r="S173" s="562"/>
      <c r="T173" s="562"/>
      <c r="U173" s="562"/>
      <c r="V173" s="562"/>
      <c r="W173" s="562"/>
      <c r="X173" s="562"/>
      <c r="Y173" s="562"/>
      <c r="Z173" s="562"/>
      <c r="AA173" s="562"/>
      <c r="AB173" s="562"/>
      <c r="AC173" s="562"/>
      <c r="AD173" s="562"/>
      <c r="AE173" s="562"/>
      <c r="AF173" s="562"/>
      <c r="AG173" s="562"/>
      <c r="AH173" s="562"/>
      <c r="AI173" s="562"/>
      <c r="AJ173" s="562"/>
      <c r="AK173" s="562"/>
      <c r="AL173" s="562"/>
      <c r="AM173" s="562"/>
      <c r="AN173" s="562"/>
      <c r="AO173" s="562"/>
      <c r="AP173" s="562"/>
      <c r="AQ173" s="562"/>
      <c r="AR173" s="562"/>
      <c r="AS173" s="562"/>
    </row>
    <row r="174" spans="2:45" customFormat="1" x14ac:dyDescent="0.2">
      <c r="B174" s="358" t="s">
        <v>2917</v>
      </c>
      <c r="C174" s="562"/>
      <c r="D174" s="562"/>
      <c r="E174" s="562"/>
      <c r="F174" s="562"/>
      <c r="G174" s="562"/>
      <c r="H174" s="562"/>
      <c r="I174" s="562"/>
      <c r="J174" s="562"/>
      <c r="K174" s="562"/>
      <c r="L174" s="562"/>
      <c r="M174" s="592" t="s">
        <v>2928</v>
      </c>
      <c r="N174" s="562"/>
      <c r="O174" s="562"/>
      <c r="P174" s="562"/>
      <c r="Q174" s="562"/>
      <c r="R174" s="562"/>
      <c r="S174" s="562"/>
      <c r="T174" s="562"/>
      <c r="U174" s="562"/>
      <c r="V174" s="562"/>
      <c r="W174" s="477">
        <f>IFERROR((W160-W172)/W160,0)</f>
        <v>0</v>
      </c>
      <c r="X174" s="562"/>
      <c r="Y174" s="562"/>
      <c r="Z174" s="562"/>
      <c r="AA174" s="562"/>
      <c r="AB174" s="562"/>
      <c r="AC174" s="562"/>
      <c r="AD174" s="562"/>
      <c r="AE174" s="562"/>
      <c r="AF174" s="562"/>
      <c r="AG174" s="562"/>
      <c r="AH174" s="562"/>
      <c r="AI174" s="562"/>
      <c r="AJ174" s="562"/>
      <c r="AK174" s="562"/>
      <c r="AL174" s="562"/>
      <c r="AM174" s="562"/>
      <c r="AN174" s="562"/>
      <c r="AO174" s="562"/>
      <c r="AP174" s="562"/>
      <c r="AQ174" s="562"/>
      <c r="AR174" s="562"/>
      <c r="AS174" s="562"/>
    </row>
    <row r="175" spans="2:45" customFormat="1" x14ac:dyDescent="0.2">
      <c r="B175" s="358" t="s">
        <v>2917</v>
      </c>
      <c r="C175" s="562"/>
      <c r="D175" s="562"/>
      <c r="E175" s="562"/>
      <c r="F175" s="562"/>
      <c r="G175" s="562"/>
      <c r="H175" s="562"/>
      <c r="I175" s="562"/>
      <c r="J175" s="562"/>
      <c r="K175" s="562"/>
      <c r="L175" s="562"/>
      <c r="M175" s="562"/>
      <c r="N175" s="562"/>
      <c r="O175" s="562"/>
      <c r="P175" s="562"/>
      <c r="Q175" s="562"/>
      <c r="R175" s="562"/>
      <c r="S175" s="562"/>
      <c r="T175" s="562"/>
      <c r="U175" s="562"/>
      <c r="V175" s="562"/>
      <c r="W175" s="562"/>
      <c r="X175" s="562"/>
      <c r="Y175" s="562"/>
      <c r="Z175" s="562"/>
      <c r="AA175" s="562"/>
      <c r="AB175" s="562"/>
      <c r="AC175" s="562"/>
      <c r="AD175" s="562"/>
      <c r="AE175" s="562"/>
      <c r="AF175" s="562"/>
      <c r="AG175" s="562"/>
      <c r="AH175" s="562"/>
      <c r="AI175" s="562"/>
      <c r="AJ175" s="562"/>
      <c r="AK175" s="562"/>
      <c r="AL175" s="562"/>
      <c r="AM175" s="562"/>
      <c r="AN175" s="562"/>
      <c r="AO175" s="562"/>
      <c r="AP175" s="562"/>
      <c r="AQ175" s="562"/>
      <c r="AR175" s="562"/>
      <c r="AS175" s="562"/>
    </row>
    <row r="176" spans="2:45" customFormat="1" ht="16" thickBot="1" x14ac:dyDescent="0.25">
      <c r="B176" s="358" t="s">
        <v>2917</v>
      </c>
      <c r="C176" s="562"/>
      <c r="D176" s="562"/>
      <c r="E176" s="562"/>
      <c r="F176" s="562"/>
      <c r="G176" s="562"/>
      <c r="H176" s="562"/>
      <c r="I176" s="562"/>
      <c r="J176" s="562"/>
      <c r="K176" s="562"/>
      <c r="L176" s="562"/>
      <c r="M176" s="562"/>
      <c r="N176" s="562"/>
      <c r="O176" s="562"/>
      <c r="P176" s="562"/>
      <c r="Q176" s="562"/>
      <c r="R176" s="562"/>
      <c r="S176" s="562"/>
      <c r="T176" s="562"/>
      <c r="U176" s="562"/>
      <c r="V176" s="562"/>
      <c r="W176" s="562"/>
      <c r="X176" s="562"/>
      <c r="Y176" s="562"/>
      <c r="Z176" s="562"/>
      <c r="AA176" s="562"/>
      <c r="AB176" s="562"/>
      <c r="AC176" s="562"/>
      <c r="AD176" s="562"/>
      <c r="AE176" s="562"/>
      <c r="AF176" s="562"/>
      <c r="AG176" s="562"/>
      <c r="AH176" s="562"/>
      <c r="AI176" s="562"/>
      <c r="AJ176" s="562"/>
      <c r="AK176" s="562"/>
      <c r="AL176" s="562"/>
      <c r="AM176" s="562"/>
      <c r="AN176" s="562"/>
      <c r="AO176" s="562"/>
      <c r="AP176" s="562"/>
      <c r="AQ176" s="562"/>
      <c r="AR176" s="562"/>
      <c r="AS176" s="562"/>
    </row>
    <row r="177" spans="9:24" ht="17" thickTop="1" thickBot="1" x14ac:dyDescent="0.25">
      <c r="I177" s="154" t="s">
        <v>2929</v>
      </c>
      <c r="J177" s="155"/>
      <c r="K177" s="155"/>
      <c r="L177" s="155"/>
      <c r="M177" s="156"/>
      <c r="N177" s="155"/>
      <c r="O177" s="157"/>
      <c r="P177" s="155"/>
      <c r="Q177" s="155"/>
      <c r="R177" s="155"/>
      <c r="S177" s="155"/>
      <c r="T177" s="155"/>
      <c r="U177" s="155"/>
      <c r="V177" s="155"/>
      <c r="W177" s="155"/>
      <c r="X177" s="194" t="s">
        <v>2930</v>
      </c>
    </row>
    <row r="178" spans="9:24" ht="16" thickTop="1" x14ac:dyDescent="0.2">
      <c r="I178" s="562"/>
      <c r="J178" s="562"/>
      <c r="K178" s="562"/>
      <c r="L178" s="562"/>
      <c r="M178" s="648"/>
      <c r="N178" s="562"/>
      <c r="O178" s="648"/>
      <c r="P178" s="562"/>
      <c r="Q178" s="562"/>
      <c r="R178" s="562"/>
      <c r="S178" s="562"/>
      <c r="T178" s="562"/>
      <c r="U178" s="562"/>
      <c r="V178" s="562"/>
      <c r="W178" s="562"/>
      <c r="X178" s="562"/>
    </row>
    <row r="197" spans="50:70" x14ac:dyDescent="0.2">
      <c r="AX197" s="562"/>
      <c r="AY197" s="562"/>
      <c r="AZ197" s="562"/>
      <c r="BA197" s="562"/>
      <c r="BB197" s="562"/>
      <c r="BC197" s="562"/>
      <c r="BD197" s="562"/>
      <c r="BE197" s="562"/>
      <c r="BF197" s="562"/>
      <c r="BG197" s="562"/>
      <c r="BH197" s="562"/>
      <c r="BI197" s="562"/>
      <c r="BJ197" s="562"/>
      <c r="BK197" s="562"/>
      <c r="BL197" s="562"/>
      <c r="BM197" s="562"/>
      <c r="BN197" s="562"/>
      <c r="BO197" s="562"/>
      <c r="BP197" s="562"/>
      <c r="BQ197" s="562"/>
      <c r="BR197" s="562"/>
    </row>
  </sheetData>
  <sheetProtection algorithmName="SHA-512" hashValue="kaa593SO8PN9dBzuS0MKWflcgkMT1xCi71Cktt/aaWodjuTaK7cYUV5wJyBO7N+wTSZgISE4sILVGGn4B5h6hQ==" saltValue="mMD7nItMXl9HHmjcawuSjg==" spinCount="100000" sheet="1" objects="1" scenarios="1" selectLockedCells="1"/>
  <mergeCells count="97">
    <mergeCell ref="X11:X13"/>
    <mergeCell ref="L96:L98"/>
    <mergeCell ref="L73:L74"/>
    <mergeCell ref="L68:L69"/>
    <mergeCell ref="M36:M37"/>
    <mergeCell ref="L92:L93"/>
    <mergeCell ref="M56:M58"/>
    <mergeCell ref="M21:M23"/>
    <mergeCell ref="L21:L23"/>
    <mergeCell ref="L87:L88"/>
    <mergeCell ref="L89:L91"/>
    <mergeCell ref="L83:L86"/>
    <mergeCell ref="M30:M32"/>
    <mergeCell ref="M24:M28"/>
    <mergeCell ref="L65:L66"/>
    <mergeCell ref="L80:L81"/>
    <mergeCell ref="L117:L118"/>
    <mergeCell ref="L102:L104"/>
    <mergeCell ref="L111:L116"/>
    <mergeCell ref="M117:M118"/>
    <mergeCell ref="M111:M116"/>
    <mergeCell ref="M105:M110"/>
    <mergeCell ref="X4:X5"/>
    <mergeCell ref="Q6:Q7"/>
    <mergeCell ref="X6:X7"/>
    <mergeCell ref="R6:R7"/>
    <mergeCell ref="S6:S7"/>
    <mergeCell ref="T6:T7"/>
    <mergeCell ref="M1:W5"/>
    <mergeCell ref="U6:U7"/>
    <mergeCell ref="V6:V7"/>
    <mergeCell ref="W6:W7"/>
    <mergeCell ref="P6:P7"/>
    <mergeCell ref="N6:N7"/>
    <mergeCell ref="L33:L35"/>
    <mergeCell ref="M33:M35"/>
    <mergeCell ref="L39:L43"/>
    <mergeCell ref="M39:M43"/>
    <mergeCell ref="I4:L4"/>
    <mergeCell ref="I5:L5"/>
    <mergeCell ref="M6:M7"/>
    <mergeCell ref="L6:L7"/>
    <mergeCell ref="L14:L19"/>
    <mergeCell ref="M14:M19"/>
    <mergeCell ref="M11:M13"/>
    <mergeCell ref="L11:L13"/>
    <mergeCell ref="X75:X77"/>
    <mergeCell ref="X65:X66"/>
    <mergeCell ref="X68:X69"/>
    <mergeCell ref="X73:X74"/>
    <mergeCell ref="X21:X23"/>
    <mergeCell ref="X24:X28"/>
    <mergeCell ref="X30:X32"/>
    <mergeCell ref="X36:X37"/>
    <mergeCell ref="X62:X63"/>
    <mergeCell ref="X59:X61"/>
    <mergeCell ref="X33:X35"/>
    <mergeCell ref="X39:X43"/>
    <mergeCell ref="L141:L142"/>
    <mergeCell ref="L143:L148"/>
    <mergeCell ref="H1:H7"/>
    <mergeCell ref="I1:L1"/>
    <mergeCell ref="L99:L101"/>
    <mergeCell ref="L75:L76"/>
    <mergeCell ref="L119:L120"/>
    <mergeCell ref="L105:L110"/>
    <mergeCell ref="L30:L32"/>
    <mergeCell ref="L24:L28"/>
    <mergeCell ref="L36:L37"/>
    <mergeCell ref="L59:L63"/>
    <mergeCell ref="L56:L58"/>
    <mergeCell ref="I2:L2"/>
    <mergeCell ref="I3:L3"/>
    <mergeCell ref="I6:K7"/>
    <mergeCell ref="X14:X20"/>
    <mergeCell ref="L133:L134"/>
    <mergeCell ref="L136:L140"/>
    <mergeCell ref="X111:X116"/>
    <mergeCell ref="X119:X120"/>
    <mergeCell ref="X80:X81"/>
    <mergeCell ref="X83:X86"/>
    <mergeCell ref="X87:X88"/>
    <mergeCell ref="X89:X91"/>
    <mergeCell ref="X92:X93"/>
    <mergeCell ref="X96:X98"/>
    <mergeCell ref="X99:X101"/>
    <mergeCell ref="X102:X104"/>
    <mergeCell ref="X105:X110"/>
    <mergeCell ref="X124:X126"/>
    <mergeCell ref="X128:X131"/>
    <mergeCell ref="L128:L131"/>
    <mergeCell ref="M128:M131"/>
    <mergeCell ref="L122:L123"/>
    <mergeCell ref="M122:M123"/>
    <mergeCell ref="X122:X123"/>
    <mergeCell ref="L124:L126"/>
    <mergeCell ref="M124:M126"/>
  </mergeCells>
  <conditionalFormatting sqref="X2">
    <cfRule type="expression" dxfId="2393" priority="635">
      <formula>$AG$3</formula>
    </cfRule>
  </conditionalFormatting>
  <conditionalFormatting sqref="X3">
    <cfRule type="expression" dxfId="2392" priority="636">
      <formula>$AI$3</formula>
    </cfRule>
  </conditionalFormatting>
  <conditionalFormatting sqref="W21">
    <cfRule type="expression" dxfId="2391" priority="607">
      <formula>OR($T$21 = TRUE, AND($W$21 = TRUE, $S$21 = FALSE))</formula>
    </cfRule>
    <cfRule type="expression" dxfId="2390" priority="608">
      <formula>$S$21 = FALSE</formula>
    </cfRule>
    <cfRule type="expression" dxfId="2389" priority="609">
      <formula>AND(IF($R$21,$W$21,TRUE),LEN(TRIM($W$21))&gt;0)</formula>
    </cfRule>
    <cfRule type="expression" dxfId="2388" priority="610">
      <formula>AND($R$21,$S$21)</formula>
    </cfRule>
  </conditionalFormatting>
  <conditionalFormatting sqref="W24">
    <cfRule type="expression" dxfId="2387" priority="603">
      <formula>OR($T$24 = TRUE, AND(LEN(TRIM($W$24))&gt;0, $S$24 = FALSE))</formula>
    </cfRule>
    <cfRule type="expression" dxfId="2386" priority="604">
      <formula>$S$24 = FALSE</formula>
    </cfRule>
    <cfRule type="expression" dxfId="2385" priority="605">
      <formula>AND($W$24&lt;&gt;"Not Met",LEN(TRIM($W$24))&gt;0)</formula>
    </cfRule>
    <cfRule type="expression" dxfId="2384" priority="606">
      <formula>AND($R$24,$S$24)</formula>
    </cfRule>
  </conditionalFormatting>
  <conditionalFormatting sqref="W40">
    <cfRule type="expression" dxfId="2383" priority="599">
      <formula>OR($T$40 = TRUE, AND($W$40 = TRUE, $S$40 = FALSE))</formula>
    </cfRule>
    <cfRule type="expression" dxfId="2382" priority="600">
      <formula>$S$40 = FALSE</formula>
    </cfRule>
    <cfRule type="expression" dxfId="2381" priority="601">
      <formula>AND(IF($R$40,$W$40,TRUE),LEN(TRIM($W$40))&gt;0)</formula>
    </cfRule>
    <cfRule type="expression" dxfId="2380" priority="602">
      <formula>AND($R$40,$S$40)</formula>
    </cfRule>
  </conditionalFormatting>
  <conditionalFormatting sqref="W42">
    <cfRule type="expression" dxfId="2379" priority="595">
      <formula>OR($T$42 = TRUE, AND($W$42 = TRUE, $S$42 = FALSE))</formula>
    </cfRule>
    <cfRule type="expression" dxfId="2378" priority="596">
      <formula>$S$42 = FALSE</formula>
    </cfRule>
    <cfRule type="expression" dxfId="2377" priority="597">
      <formula>AND(IF($R$42,$W$42,TRUE),LEN(TRIM($W$42))&gt;0)</formula>
    </cfRule>
    <cfRule type="expression" dxfId="2376" priority="598">
      <formula>AND($R$42,$S$42)</formula>
    </cfRule>
  </conditionalFormatting>
  <conditionalFormatting sqref="W105">
    <cfRule type="expression" dxfId="2375" priority="591">
      <formula>OR($T$105 = TRUE, AND($W$105 = TRUE, $S$105 = FALSE))</formula>
    </cfRule>
    <cfRule type="expression" dxfId="2374" priority="592">
      <formula>$S$105 = FALSE</formula>
    </cfRule>
    <cfRule type="expression" dxfId="2373" priority="593">
      <formula>AND(IF($R$105,$W$105,TRUE),LEN(TRIM($W$105))&gt;0)</formula>
    </cfRule>
    <cfRule type="expression" dxfId="2372" priority="594">
      <formula>AND($R$105,$S$105)</formula>
    </cfRule>
  </conditionalFormatting>
  <conditionalFormatting sqref="W119">
    <cfRule type="expression" dxfId="2371" priority="587">
      <formula>OR($T$119 = TRUE, AND($W$119 = TRUE, $S$119 = FALSE))</formula>
    </cfRule>
    <cfRule type="expression" dxfId="2370" priority="588">
      <formula>$S$119 = FALSE</formula>
    </cfRule>
    <cfRule type="expression" dxfId="2369" priority="589">
      <formula>AND(IF($R$119,$W$119,TRUE),LEN(TRIM($W$119))&gt;0)</formula>
    </cfRule>
    <cfRule type="expression" dxfId="2368" priority="590">
      <formula>AND($R$119,$S$119)</formula>
    </cfRule>
  </conditionalFormatting>
  <conditionalFormatting sqref="W121">
    <cfRule type="expression" dxfId="2367" priority="583">
      <formula>OR($T$121 = TRUE, AND($W$121 = TRUE, $S$121 = FALSE))</formula>
    </cfRule>
    <cfRule type="expression" dxfId="2366" priority="584">
      <formula>$S$121 = FALSE</formula>
    </cfRule>
    <cfRule type="expression" dxfId="2365" priority="585">
      <formula>AND(IF($R$121,$W$121,TRUE),LEN(TRIM($W$121))&gt;0)</formula>
    </cfRule>
    <cfRule type="expression" dxfId="2364" priority="586">
      <formula>AND($R$121,$S$121)</formula>
    </cfRule>
  </conditionalFormatting>
  <conditionalFormatting sqref="W30">
    <cfRule type="expression" dxfId="2363" priority="570">
      <formula>AND($R$30,$S$30)</formula>
    </cfRule>
  </conditionalFormatting>
  <conditionalFormatting sqref="W30">
    <cfRule type="expression" dxfId="2362" priority="569">
      <formula>AND(IF($R$30,$W$30,TRUE),LEN(TRIM($W$30))&gt;0)</formula>
    </cfRule>
  </conditionalFormatting>
  <conditionalFormatting sqref="W30">
    <cfRule type="expression" dxfId="2361" priority="568">
      <formula>$S$30 = FALSE</formula>
    </cfRule>
  </conditionalFormatting>
  <conditionalFormatting sqref="W30">
    <cfRule type="expression" dxfId="2360" priority="567">
      <formula>OR($T$30 = TRUE, AND($W$30 = TRUE, $S$30 = FALSE))</formula>
    </cfRule>
  </conditionalFormatting>
  <conditionalFormatting sqref="W33">
    <cfRule type="expression" dxfId="2359" priority="566">
      <formula>AND($R$33,$S$33)</formula>
    </cfRule>
  </conditionalFormatting>
  <conditionalFormatting sqref="W33">
    <cfRule type="expression" dxfId="2358" priority="565">
      <formula>AND(IF($R$33,$W$33,TRUE),LEN(TRIM($W$33))&gt;0)</formula>
    </cfRule>
  </conditionalFormatting>
  <conditionalFormatting sqref="W33">
    <cfRule type="expression" dxfId="2357" priority="564">
      <formula>$S$33 = FALSE</formula>
    </cfRule>
  </conditionalFormatting>
  <conditionalFormatting sqref="W33">
    <cfRule type="expression" dxfId="2356" priority="563">
      <formula>OR($T$33 = TRUE, AND($W$33 = TRUE, $S$33 = FALSE))</formula>
    </cfRule>
  </conditionalFormatting>
  <conditionalFormatting sqref="W36">
    <cfRule type="expression" dxfId="2355" priority="562">
      <formula>AND($R$36,$S$36)</formula>
    </cfRule>
  </conditionalFormatting>
  <conditionalFormatting sqref="W36">
    <cfRule type="expression" dxfId="2354" priority="561">
      <formula>AND(IF($R$36,$W$36,TRUE),LEN(TRIM($W$36))&gt;0)</formula>
    </cfRule>
  </conditionalFormatting>
  <conditionalFormatting sqref="W36">
    <cfRule type="expression" dxfId="2353" priority="560">
      <formula>$S$36 = FALSE</formula>
    </cfRule>
  </conditionalFormatting>
  <conditionalFormatting sqref="W36">
    <cfRule type="expression" dxfId="2352" priority="559">
      <formula>OR($T$36 = TRUE, AND($W$36 = TRUE, $S$36 = FALSE))</formula>
    </cfRule>
  </conditionalFormatting>
  <conditionalFormatting sqref="W75">
    <cfRule type="expression" dxfId="2351" priority="550">
      <formula>AND($R$75,$S$75)</formula>
    </cfRule>
  </conditionalFormatting>
  <conditionalFormatting sqref="W75">
    <cfRule type="expression" dxfId="2350" priority="549">
      <formula>AND(IF($R$75,$W$75,TRUE),LEN(TRIM($W$75))&gt;0)</formula>
    </cfRule>
  </conditionalFormatting>
  <conditionalFormatting sqref="W75">
    <cfRule type="expression" dxfId="2349" priority="548">
      <formula>$S$75 = FALSE</formula>
    </cfRule>
  </conditionalFormatting>
  <conditionalFormatting sqref="W75">
    <cfRule type="expression" dxfId="2348" priority="547">
      <formula>OR($T$75 = TRUE, AND($W$75 = TRUE, $S$75 = FALSE))</formula>
    </cfRule>
  </conditionalFormatting>
  <conditionalFormatting sqref="W78">
    <cfRule type="expression" dxfId="2347" priority="546">
      <formula>AND($R$78,$S$78)</formula>
    </cfRule>
  </conditionalFormatting>
  <conditionalFormatting sqref="W78">
    <cfRule type="expression" dxfId="2346" priority="545">
      <formula>AND(IF($R$78,$W$78,TRUE),LEN(TRIM($W$78))&gt;0)</formula>
    </cfRule>
  </conditionalFormatting>
  <conditionalFormatting sqref="W78">
    <cfRule type="expression" dxfId="2345" priority="544">
      <formula>$S$78 = FALSE</formula>
    </cfRule>
  </conditionalFormatting>
  <conditionalFormatting sqref="W78">
    <cfRule type="expression" dxfId="2344" priority="543">
      <formula>OR($T$78 = TRUE, AND($W$78 = TRUE, $S$78 = FALSE))</formula>
    </cfRule>
  </conditionalFormatting>
  <conditionalFormatting sqref="W111">
    <cfRule type="expression" dxfId="2343" priority="542">
      <formula>AND($R$111,$S$111)</formula>
    </cfRule>
  </conditionalFormatting>
  <conditionalFormatting sqref="W111">
    <cfRule type="expression" dxfId="2342" priority="541">
      <formula>AND($W$111&lt;&gt;"Not Met",LEN(TRIM($W$111))&gt;0)</formula>
    </cfRule>
  </conditionalFormatting>
  <conditionalFormatting sqref="W111">
    <cfRule type="expression" dxfId="2341" priority="540">
      <formula>$S$111 = FALSE</formula>
    </cfRule>
  </conditionalFormatting>
  <conditionalFormatting sqref="W111">
    <cfRule type="expression" dxfId="2340" priority="539">
      <formula>OR($T$111 = TRUE, AND(LEN(TRIM($W$111))&gt;0, $S$111 = FALSE))</formula>
    </cfRule>
  </conditionalFormatting>
  <conditionalFormatting sqref="W122">
    <cfRule type="expression" dxfId="2339" priority="538">
      <formula>AND($R$122,$S$122)</formula>
    </cfRule>
  </conditionalFormatting>
  <conditionalFormatting sqref="W122">
    <cfRule type="expression" dxfId="2338" priority="537">
      <formula>AND(IF($R$122,$W$122,TRUE),LEN(TRIM($W$122))&gt;0)</formula>
    </cfRule>
  </conditionalFormatting>
  <conditionalFormatting sqref="W122">
    <cfRule type="expression" dxfId="2337" priority="536">
      <formula>$S$122 = FALSE</formula>
    </cfRule>
  </conditionalFormatting>
  <conditionalFormatting sqref="W122">
    <cfRule type="expression" dxfId="2336" priority="535">
      <formula>OR($T$122 = TRUE, AND($W$122 = TRUE, $S$122 = FALSE))</formula>
    </cfRule>
  </conditionalFormatting>
  <conditionalFormatting sqref="W59">
    <cfRule type="expression" dxfId="2335" priority="188">
      <formula>AND(R59,S59)</formula>
    </cfRule>
  </conditionalFormatting>
  <conditionalFormatting sqref="W59">
    <cfRule type="expression" dxfId="2334" priority="187">
      <formula>NOT(ISBLANK(W59))</formula>
    </cfRule>
  </conditionalFormatting>
  <conditionalFormatting sqref="W59">
    <cfRule type="expression" dxfId="2333" priority="186">
      <formula>S59 = FALSE</formula>
    </cfRule>
  </conditionalFormatting>
  <conditionalFormatting sqref="W59">
    <cfRule type="expression" dxfId="2332" priority="185">
      <formula>OR(T59 = TRUE, AND(W59 = TRUE, S59 = FALSE))</formula>
    </cfRule>
  </conditionalFormatting>
  <conditionalFormatting sqref="X1">
    <cfRule type="expression" dxfId="2331" priority="74">
      <formula>startError</formula>
    </cfRule>
  </conditionalFormatting>
  <conditionalFormatting sqref="W62">
    <cfRule type="expression" dxfId="2330" priority="73">
      <formula>AND(R62,S62)</formula>
    </cfRule>
  </conditionalFormatting>
  <conditionalFormatting sqref="W62">
    <cfRule type="expression" dxfId="2329" priority="72">
      <formula>NOT(ISBLANK(W62))</formula>
    </cfRule>
  </conditionalFormatting>
  <conditionalFormatting sqref="W62">
    <cfRule type="expression" dxfId="2328" priority="71">
      <formula>S62 = FALSE</formula>
    </cfRule>
  </conditionalFormatting>
  <conditionalFormatting sqref="W62">
    <cfRule type="expression" dxfId="2327" priority="70">
      <formula>OR(T62 = TRUE, AND(W62 = TRUE, S62 = FALSE))</formula>
    </cfRule>
  </conditionalFormatting>
  <conditionalFormatting sqref="I1">
    <cfRule type="expression" dxfId="2326" priority="62">
      <formula>$AG$1="Gold"</formula>
    </cfRule>
    <cfRule type="expression" dxfId="2325" priority="63">
      <formula>$AG$1="Silver"</formula>
    </cfRule>
    <cfRule type="expression" dxfId="2324" priority="64">
      <formula>$AG$1="Bronze"</formula>
    </cfRule>
    <cfRule type="expression" dxfId="2323" priority="65">
      <formula>$AG$1="Emerald"</formula>
    </cfRule>
  </conditionalFormatting>
  <conditionalFormatting sqref="W150">
    <cfRule type="expression" dxfId="2322" priority="61">
      <formula>AND(R150,S150)</formula>
    </cfRule>
  </conditionalFormatting>
  <conditionalFormatting sqref="W150">
    <cfRule type="expression" dxfId="2321" priority="60">
      <formula>NOT(ISBLANK(W150))</formula>
    </cfRule>
  </conditionalFormatting>
  <conditionalFormatting sqref="W150">
    <cfRule type="expression" dxfId="2320" priority="58">
      <formula>OR(T150 = TRUE, AND(W150 = TRUE, S150 = FALSE))</formula>
    </cfRule>
  </conditionalFormatting>
  <conditionalFormatting sqref="W162">
    <cfRule type="expression" dxfId="2319" priority="57">
      <formula>AND(R162,S162)</formula>
    </cfRule>
  </conditionalFormatting>
  <conditionalFormatting sqref="W162">
    <cfRule type="expression" dxfId="2318" priority="56">
      <formula>NOT(ISBLANK(W162))</formula>
    </cfRule>
  </conditionalFormatting>
  <conditionalFormatting sqref="W162">
    <cfRule type="expression" dxfId="2317" priority="55">
      <formula>OR(T162 = TRUE, AND(W162 = TRUE, S162 = FALSE))</formula>
    </cfRule>
  </conditionalFormatting>
  <conditionalFormatting sqref="W153:W157">
    <cfRule type="expression" dxfId="2316" priority="54">
      <formula>AND(R153,S153)</formula>
    </cfRule>
  </conditionalFormatting>
  <conditionalFormatting sqref="W153:W157">
    <cfRule type="expression" dxfId="2315" priority="53">
      <formula>NOT(ISBLANK(W153))</formula>
    </cfRule>
  </conditionalFormatting>
  <conditionalFormatting sqref="W153:W157">
    <cfRule type="expression" dxfId="2314" priority="52">
      <formula>OR(T153 = TRUE, AND(W153 = TRUE, S153 = FALSE))</formula>
    </cfRule>
  </conditionalFormatting>
  <conditionalFormatting sqref="W165:W169">
    <cfRule type="expression" dxfId="2313" priority="51">
      <formula>AND(R165,S165)</formula>
    </cfRule>
  </conditionalFormatting>
  <conditionalFormatting sqref="W165:W169">
    <cfRule type="expression" dxfId="2312" priority="50">
      <formula>NOT(ISBLANK(W165))</formula>
    </cfRule>
  </conditionalFormatting>
  <conditionalFormatting sqref="W165:W169">
    <cfRule type="expression" dxfId="2311" priority="49">
      <formula>OR(T165 = TRUE, AND(W165 = TRUE, S165 = FALSE))</formula>
    </cfRule>
  </conditionalFormatting>
  <conditionalFormatting sqref="W158">
    <cfRule type="expression" dxfId="2310" priority="48">
      <formula>AND(R158,S158)</formula>
    </cfRule>
  </conditionalFormatting>
  <conditionalFormatting sqref="W158">
    <cfRule type="expression" dxfId="2309" priority="47">
      <formula>NOT(ISBLANK(W158))</formula>
    </cfRule>
  </conditionalFormatting>
  <conditionalFormatting sqref="W158">
    <cfRule type="expression" dxfId="2308" priority="46">
      <formula>OR(T158 = TRUE, AND(W158 = TRUE, S158 = FALSE))</formula>
    </cfRule>
  </conditionalFormatting>
  <conditionalFormatting sqref="W170">
    <cfRule type="expression" dxfId="2307" priority="45">
      <formula>AND(R170,S170)</formula>
    </cfRule>
  </conditionalFormatting>
  <conditionalFormatting sqref="W170">
    <cfRule type="expression" dxfId="2306" priority="44">
      <formula>NOT(ISBLANK(W170))</formula>
    </cfRule>
  </conditionalFormatting>
  <conditionalFormatting sqref="W170">
    <cfRule type="expression" dxfId="2305" priority="43">
      <formula>OR(T170 = TRUE, AND(W170 = TRUE, S170 = FALSE))</formula>
    </cfRule>
  </conditionalFormatting>
  <conditionalFormatting sqref="W14">
    <cfRule type="expression" dxfId="2304" priority="31">
      <formula>OR($T$14 = TRUE, AND($W$14 = TRUE, $S$14 = FALSE))</formula>
    </cfRule>
    <cfRule type="expression" dxfId="2303" priority="32">
      <formula>$S$14 = FALSE</formula>
    </cfRule>
    <cfRule type="expression" dxfId="2302" priority="33">
      <formula>AND(IF($R$14,$W$14,TRUE),LEN(TRIM($W$14))&gt;0)</formula>
    </cfRule>
    <cfRule type="expression" dxfId="2301" priority="34">
      <formula>AND($R$14,$S$14)</formula>
    </cfRule>
  </conditionalFormatting>
  <conditionalFormatting sqref="W124">
    <cfRule type="expression" dxfId="2300" priority="30">
      <formula>AND($R$124,$S$124)</formula>
    </cfRule>
  </conditionalFormatting>
  <conditionalFormatting sqref="W124">
    <cfRule type="expression" dxfId="2299" priority="29">
      <formula>AND(IF($R$124,$W$124,TRUE),LEN(TRIM($W$124))&gt;0)</formula>
    </cfRule>
  </conditionalFormatting>
  <conditionalFormatting sqref="W124">
    <cfRule type="expression" dxfId="2298" priority="28">
      <formula>$S$124 = FALSE</formula>
    </cfRule>
  </conditionalFormatting>
  <conditionalFormatting sqref="W124">
    <cfRule type="expression" dxfId="2297" priority="27">
      <formula>OR($T$124 = TRUE, AND($W$124 = TRUE, $S$124 = FALSE))</formula>
    </cfRule>
  </conditionalFormatting>
  <conditionalFormatting sqref="W128">
    <cfRule type="expression" dxfId="2296" priority="26">
      <formula>AND($R$128,$S$128)</formula>
    </cfRule>
  </conditionalFormatting>
  <conditionalFormatting sqref="W128">
    <cfRule type="expression" dxfId="2295" priority="25">
      <formula>AND(IF($R$128,$W$128,TRUE),LEN(TRIM($W$128))&gt;0)</formula>
    </cfRule>
  </conditionalFormatting>
  <conditionalFormatting sqref="W128">
    <cfRule type="expression" dxfId="2294" priority="24">
      <formula>$S$128 = FALSE</formula>
    </cfRule>
  </conditionalFormatting>
  <conditionalFormatting sqref="W128">
    <cfRule type="expression" dxfId="2293" priority="23">
      <formula>OR($T$128 = TRUE, AND($W$128 = TRUE, $S$128 = FALSE))</formula>
    </cfRule>
  </conditionalFormatting>
  <conditionalFormatting sqref="W148">
    <cfRule type="expression" dxfId="2292" priority="22">
      <formula>AND($R$148,$S$148)</formula>
    </cfRule>
  </conditionalFormatting>
  <conditionalFormatting sqref="W148">
    <cfRule type="expression" dxfId="2291" priority="21">
      <formula>AND($W$148&lt;&gt;"Not Met",LEN(TRIM($W$148))&gt;0)</formula>
    </cfRule>
  </conditionalFormatting>
  <conditionalFormatting sqref="W148">
    <cfRule type="expression" dxfId="2290" priority="20">
      <formula>$S$148 = FALSE</formula>
    </cfRule>
  </conditionalFormatting>
  <conditionalFormatting sqref="W148">
    <cfRule type="expression" dxfId="2289" priority="19">
      <formula>OR($T$148 = TRUE, AND(LEN(TRIM($W$148))&gt;0, $S$148 = FALSE))</formula>
    </cfRule>
  </conditionalFormatting>
  <conditionalFormatting sqref="W57">
    <cfRule type="expression" dxfId="2288" priority="18">
      <formula>AND($R$57,$S$57)</formula>
    </cfRule>
  </conditionalFormatting>
  <conditionalFormatting sqref="W57">
    <cfRule type="expression" dxfId="2287" priority="17">
      <formula>AND(IF($R$57,$W$57,TRUE),LEN(TRIM($W$57))&gt;0)</formula>
    </cfRule>
  </conditionalFormatting>
  <conditionalFormatting sqref="W57">
    <cfRule type="expression" dxfId="2286" priority="16">
      <formula>$S$57 = FALSE</formula>
    </cfRule>
  </conditionalFormatting>
  <conditionalFormatting sqref="W57">
    <cfRule type="expression" dxfId="2285" priority="15">
      <formula>OR($T$57 = TRUE, AND($W$57 = TRUE, $S$57 = FALSE))</formula>
    </cfRule>
  </conditionalFormatting>
  <conditionalFormatting sqref="W12">
    <cfRule type="expression" dxfId="2284" priority="2">
      <formula>OR($T$12 = TRUE, AND(LEN(TRIM($W$12))&gt;0, $S$12 = FALSE))</formula>
    </cfRule>
    <cfRule type="expression" dxfId="2283" priority="3">
      <formula>$S$12 = FALSE</formula>
    </cfRule>
    <cfRule type="expression" dxfId="2282" priority="4">
      <formula>AND($W$12&lt;&gt;"Not Met",LEN(TRIM($W$12))&gt;0)</formula>
    </cfRule>
    <cfRule type="expression" dxfId="2281" priority="5">
      <formula>AND($R$12,$S$12)</formula>
    </cfRule>
  </conditionalFormatting>
  <conditionalFormatting sqref="X11:X12">
    <cfRule type="expression" dxfId="2280" priority="10117">
      <formula>R12</formula>
    </cfRule>
  </conditionalFormatting>
  <dataValidations xWindow="1349" yWindow="897" count="9">
    <dataValidation type="list" allowBlank="1" showDropDown="1" showInputMessage="1" showErrorMessage="1" error="Use Checkbox" prompt="Use Checkbox" sqref="W21 W124 W40 W105 W14 W119 W30 W75 W78 W36 W33 W121:W122 W128 W42 W57" xr:uid="{00000000-0002-0000-0500-000000000000}">
      <formula1>TorF</formula1>
    </dataValidation>
    <dataValidation type="list" allowBlank="1" showInputMessage="1" showErrorMessage="1" error="Please use the dropdown." sqref="W24" xr:uid="{00000000-0002-0000-0500-000001000000}">
      <formula1>INDIRECT($U$24)</formula1>
    </dataValidation>
    <dataValidation type="list" allowBlank="1" showInputMessage="1" showErrorMessage="1" error="Please use the dropdown." sqref="W111" xr:uid="{00000000-0002-0000-0500-000002000000}">
      <formula1>INDIRECT($U$111)</formula1>
    </dataValidation>
    <dataValidation type="decimal" allowBlank="1" showDropDown="1" showInputMessage="1" showErrorMessage="1" prompt="Enter the ACH50" sqref="W59" xr:uid="{00000000-0002-0000-0500-000003000000}">
      <formula1>0</formula1>
      <formula2>50</formula2>
    </dataValidation>
    <dataValidation type="decimal" allowBlank="1" showDropDown="1" showInputMessage="1" showErrorMessage="1" prompt="Enter the ELR50" sqref="W62" xr:uid="{00000000-0002-0000-0500-000004000000}">
      <formula1>0</formula1>
      <formula2>1</formula2>
    </dataValidation>
    <dataValidation type="whole" allowBlank="1" showDropDown="1" showErrorMessage="1" sqref="W153:W158 W165:W170" xr:uid="{00000000-0002-0000-0500-000005000000}">
      <formula1>0</formula1>
      <formula2>500000</formula2>
    </dataValidation>
    <dataValidation type="list" allowBlank="1" showInputMessage="1" showErrorMessage="1" error="Please use the dropdown." sqref="W148" xr:uid="{00000000-0002-0000-0500-000006000000}">
      <formula1>INDIRECT($U$148)</formula1>
    </dataValidation>
    <dataValidation type="list" allowBlank="1" showInputMessage="1" showErrorMessage="1" error="Please use the dropdown." sqref="W12" xr:uid="{7F9020B8-E119-43A3-B529-5198B1ED1C24}">
      <formula1>INDIRECT($U$12)</formula1>
    </dataValidation>
    <dataValidation type="whole" allowBlank="1" showDropDown="1" showErrorMessage="1" sqref="W162 W150" xr:uid="{3FAE0EB7-C01B-4A68-80A7-162624D4C409}">
      <formula1>0</formula1>
      <formula2>1000000</formula2>
    </dataValidation>
  </dataValidations>
  <hyperlinks>
    <hyperlink ref="L77" location="'Table 11.701.4.3.2(2)'!A1" display="See Table 11.701.4.3.2(2)" xr:uid="{00000000-0004-0000-0500-000000000000}"/>
    <hyperlink ref="X177" location="'Ch8'!A1" display="CLICK TO PROCEED TO CHAPTER 8 &gt;&gt;" xr:uid="{00000000-0004-0000-0500-000001000000}"/>
    <hyperlink ref="L135" location="'Table 305.3.5'!A1" display="See Table Table 305.3.5" xr:uid="{00000000-0004-0000-0500-000002000000}"/>
    <hyperlink ref="L132" location="'Table 703.2.5.1'!A1" display="See Table 703.2.5.1" xr:uid="{E0B724F7-1406-4C8F-80CB-21C4B5520DBB}"/>
    <hyperlink ref="L127" location="'Table 703.2.5.1'!A1" display="See Table 703.2.5.1" xr:uid="{567AA51D-116B-4863-A7F3-B2EB2C461BCB}"/>
  </hyperlinks>
  <pageMargins left="0.7" right="0.7" top="0.75" bottom="0.75" header="0.3" footer="0.3"/>
  <pageSetup scale="13" fitToHeight="0" orientation="portrait" r:id="rId1"/>
  <rowBreaks count="1" manualBreakCount="1">
    <brk id="101"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34"/>
  <sheetViews>
    <sheetView showGridLines="0" zoomScaleNormal="100" zoomScaleSheetLayoutView="70" workbookViewId="0">
      <pane ySplit="7" topLeftCell="A8" activePane="bottomLeft" state="frozen"/>
      <selection activeCell="E7" sqref="E7:F7"/>
      <selection pane="bottomLeft" activeCell="G32" sqref="G32"/>
    </sheetView>
  </sheetViews>
  <sheetFormatPr baseColWidth="10" defaultColWidth="9.1640625" defaultRowHeight="15" x14ac:dyDescent="0.2"/>
  <cols>
    <col min="1" max="1" width="3.83203125" style="13" customWidth="1"/>
    <col min="2" max="2" width="10" style="47" customWidth="1"/>
    <col min="3" max="8" width="10" style="470" customWidth="1"/>
    <col min="9" max="10" width="10" style="47" customWidth="1"/>
    <col min="11" max="12" width="10.83203125" style="42" customWidth="1"/>
    <col min="13" max="13" width="10.83203125" style="102" customWidth="1"/>
    <col min="14" max="14" width="10.83203125" style="47" customWidth="1"/>
    <col min="15" max="15" width="69" style="47" customWidth="1"/>
    <col min="16" max="16" width="34.83203125" style="447" hidden="1" customWidth="1"/>
    <col min="17" max="17" width="34.83203125" style="47" hidden="1" customWidth="1"/>
    <col min="18" max="18" width="9.1640625" style="448" hidden="1" customWidth="1"/>
    <col min="19" max="28" width="9.1640625" style="47" hidden="1" customWidth="1"/>
    <col min="29" max="29" width="16.5" style="47" hidden="1" customWidth="1"/>
    <col min="30" max="30" width="4.6640625" style="47" hidden="1" customWidth="1"/>
    <col min="31" max="31" width="14.33203125" style="47" hidden="1" customWidth="1"/>
    <col min="32" max="32" width="5.5" style="47" hidden="1" customWidth="1"/>
    <col min="33" max="33" width="14.33203125" style="47" hidden="1" customWidth="1"/>
    <col min="34" max="34" width="6.1640625" style="47" hidden="1" customWidth="1"/>
    <col min="35" max="35" width="14.1640625" style="47" hidden="1" customWidth="1"/>
    <col min="36" max="36" width="4.1640625" style="47" hidden="1" customWidth="1"/>
    <col min="37" max="61" width="9.1640625" style="47" hidden="1" customWidth="1"/>
    <col min="62" max="16384" width="9.1640625" style="47"/>
  </cols>
  <sheetData>
    <row r="1" spans="1:28" ht="15" customHeight="1" x14ac:dyDescent="0.2">
      <c r="A1" s="805"/>
      <c r="B1" s="768" t="str">
        <f>IF(OR(X3,Z3),"Errors on page, no Level reached","Chapter Level: "&amp;X1)</f>
        <v>Chapter Level: None</v>
      </c>
      <c r="C1" s="768"/>
      <c r="D1" s="768"/>
      <c r="E1" s="768"/>
      <c r="F1" s="768"/>
      <c r="G1" s="768"/>
      <c r="H1" s="768"/>
      <c r="I1" s="768"/>
      <c r="J1" s="768"/>
      <c r="K1" s="806"/>
      <c r="L1" s="806"/>
      <c r="M1" s="806"/>
      <c r="N1" s="806"/>
      <c r="O1" s="337" t="s">
        <v>2150</v>
      </c>
      <c r="P1" s="562"/>
      <c r="Q1" s="562"/>
      <c r="R1" s="562"/>
      <c r="S1" s="562"/>
      <c r="T1" s="562"/>
      <c r="U1" s="562"/>
      <c r="V1" s="562"/>
      <c r="W1" s="594" t="s">
        <v>2931</v>
      </c>
      <c r="X1" s="562" t="str">
        <f>Ch8Level</f>
        <v>None</v>
      </c>
      <c r="Y1" s="562"/>
      <c r="Z1" s="562"/>
      <c r="AA1" s="562"/>
      <c r="AB1" s="562"/>
    </row>
    <row r="2" spans="1:28" x14ac:dyDescent="0.2">
      <c r="A2" s="805"/>
      <c r="B2" s="769" t="e">
        <f ca="1">IF(OR(X3,Z3),"Errors on page, no Level reached","Total Project Points: "&amp;Dpoints)</f>
        <v>#REF!</v>
      </c>
      <c r="C2" s="769"/>
      <c r="D2" s="769"/>
      <c r="E2" s="769"/>
      <c r="F2" s="769"/>
      <c r="G2" s="769"/>
      <c r="H2" s="769"/>
      <c r="I2" s="769"/>
      <c r="J2" s="769"/>
      <c r="K2" s="806"/>
      <c r="L2" s="806"/>
      <c r="M2" s="806"/>
      <c r="N2" s="806"/>
      <c r="O2" s="337" t="s">
        <v>2152</v>
      </c>
      <c r="P2" s="562"/>
      <c r="Q2" s="562"/>
      <c r="R2" s="562"/>
      <c r="S2" s="562"/>
      <c r="T2" s="562"/>
      <c r="U2" s="562"/>
      <c r="V2" s="562"/>
      <c r="W2" s="594" t="s">
        <v>2932</v>
      </c>
      <c r="X2" s="562">
        <f ca="1">INDIRECT(W2)</f>
        <v>0</v>
      </c>
      <c r="Y2" s="562" t="s">
        <v>2933</v>
      </c>
      <c r="Z2" s="562" t="e">
        <f ca="1">INDIRECT(Y2)</f>
        <v>#REF!</v>
      </c>
      <c r="AA2" s="562"/>
      <c r="AB2" s="562"/>
    </row>
    <row r="3" spans="1:28" x14ac:dyDescent="0.2">
      <c r="A3" s="805"/>
      <c r="B3" s="769" t="str">
        <f ca="1">IF(OR(X3,Z3),"Errors on page, no Level reached","Total Project Level: "&amp;Dlevel)</f>
        <v>Total Project Level: None</v>
      </c>
      <c r="C3" s="769"/>
      <c r="D3" s="769"/>
      <c r="E3" s="769"/>
      <c r="F3" s="769"/>
      <c r="G3" s="769"/>
      <c r="H3" s="769"/>
      <c r="I3" s="769"/>
      <c r="J3" s="769"/>
      <c r="K3" s="806"/>
      <c r="L3" s="806"/>
      <c r="M3" s="806"/>
      <c r="N3" s="806"/>
      <c r="O3" s="337" t="s">
        <v>2154</v>
      </c>
      <c r="P3" s="562"/>
      <c r="Q3" s="562"/>
      <c r="R3" s="562"/>
      <c r="S3" s="562"/>
      <c r="T3" s="562"/>
      <c r="U3" s="562"/>
      <c r="V3" s="562"/>
      <c r="W3" s="594" t="s">
        <v>2934</v>
      </c>
      <c r="X3" s="562" t="b">
        <v>0</v>
      </c>
      <c r="Y3" s="594" t="s">
        <v>2935</v>
      </c>
      <c r="Z3" s="562" t="b">
        <v>0</v>
      </c>
      <c r="AA3" s="562"/>
      <c r="AB3" s="562"/>
    </row>
    <row r="4" spans="1:28" x14ac:dyDescent="0.2">
      <c r="A4" s="805"/>
      <c r="B4" s="778"/>
      <c r="C4" s="779"/>
      <c r="D4" s="779"/>
      <c r="E4" s="779"/>
      <c r="F4" s="779"/>
      <c r="G4" s="779"/>
      <c r="H4" s="779"/>
      <c r="I4" s="779"/>
      <c r="J4" s="780"/>
      <c r="K4" s="806"/>
      <c r="L4" s="806"/>
      <c r="M4" s="806"/>
      <c r="N4" s="806"/>
      <c r="O4" s="715" t="s">
        <v>46</v>
      </c>
      <c r="P4" s="562"/>
      <c r="Q4" s="562"/>
      <c r="R4" s="562"/>
      <c r="S4" s="562"/>
      <c r="T4" s="562"/>
      <c r="U4" s="562"/>
      <c r="V4" s="562"/>
      <c r="W4" s="594"/>
      <c r="X4" s="562"/>
      <c r="Y4" s="594"/>
      <c r="Z4" s="562"/>
      <c r="AA4" s="562"/>
      <c r="AB4" s="562"/>
    </row>
    <row r="5" spans="1:28" x14ac:dyDescent="0.2">
      <c r="A5" s="805"/>
      <c r="B5" s="781" t="str">
        <f>"Revision Date:  "&amp;TEXT('Info &amp; Intro'!E7,"m/d/yyyy")</f>
        <v>Revision Date:  11/30/2020</v>
      </c>
      <c r="C5" s="877"/>
      <c r="D5" s="877"/>
      <c r="E5" s="877"/>
      <c r="F5" s="877"/>
      <c r="G5" s="877"/>
      <c r="H5" s="877"/>
      <c r="I5" s="782"/>
      <c r="J5" s="783"/>
      <c r="K5" s="806"/>
      <c r="L5" s="806"/>
      <c r="M5" s="806"/>
      <c r="N5" s="806"/>
      <c r="O5" s="715"/>
      <c r="P5" s="562"/>
      <c r="Q5" s="562"/>
      <c r="R5" s="562"/>
      <c r="S5" s="562"/>
      <c r="T5" s="562"/>
      <c r="U5" s="562"/>
      <c r="V5" s="562"/>
      <c r="W5" s="594"/>
      <c r="X5" s="562"/>
      <c r="Y5" s="594"/>
      <c r="Z5" s="562"/>
      <c r="AA5" s="562"/>
      <c r="AB5" s="562"/>
    </row>
    <row r="6" spans="1:28" x14ac:dyDescent="0.2">
      <c r="A6" s="805"/>
      <c r="B6" s="603"/>
      <c r="C6" s="604"/>
      <c r="D6" s="878" t="s">
        <v>2936</v>
      </c>
      <c r="E6" s="878"/>
      <c r="F6" s="878"/>
      <c r="G6" s="878"/>
      <c r="H6" s="878"/>
      <c r="I6" s="878"/>
      <c r="J6" s="879"/>
      <c r="K6" s="784"/>
      <c r="L6" s="601"/>
      <c r="M6" s="23"/>
      <c r="N6" s="784"/>
      <c r="O6" s="770"/>
      <c r="P6" s="562"/>
      <c r="Q6" s="562"/>
      <c r="R6" s="562"/>
      <c r="S6" s="562"/>
      <c r="T6" s="588" t="s">
        <v>2169</v>
      </c>
      <c r="U6" s="588" t="s">
        <v>2165</v>
      </c>
      <c r="V6" s="588" t="s">
        <v>2170</v>
      </c>
      <c r="W6" s="562"/>
      <c r="X6" s="562"/>
      <c r="Y6" s="562"/>
      <c r="Z6" s="562"/>
      <c r="AA6" s="562"/>
      <c r="AB6" s="562"/>
    </row>
    <row r="7" spans="1:28" x14ac:dyDescent="0.2">
      <c r="A7" s="805"/>
      <c r="B7" s="603"/>
      <c r="C7" s="604"/>
      <c r="D7" s="789"/>
      <c r="E7" s="789"/>
      <c r="F7" s="789"/>
      <c r="G7" s="789"/>
      <c r="H7" s="789"/>
      <c r="I7" s="789"/>
      <c r="J7" s="790"/>
      <c r="K7" s="785"/>
      <c r="L7" s="602"/>
      <c r="M7" s="23"/>
      <c r="N7" s="785"/>
      <c r="O7" s="771"/>
      <c r="P7" s="562"/>
      <c r="Q7" s="562"/>
      <c r="R7" s="562"/>
      <c r="S7" s="562"/>
      <c r="T7" s="588" t="s">
        <v>2169</v>
      </c>
      <c r="U7" s="588" t="s">
        <v>2165</v>
      </c>
      <c r="V7" s="588" t="s">
        <v>2170</v>
      </c>
      <c r="W7" s="562"/>
      <c r="X7" s="562"/>
      <c r="Y7" s="562"/>
      <c r="Z7" s="562"/>
      <c r="AA7" s="562"/>
      <c r="AB7" s="562"/>
    </row>
    <row r="8" spans="1:28" s="439" customFormat="1" hidden="1" x14ac:dyDescent="0.2">
      <c r="A8" s="13"/>
      <c r="B8" s="604"/>
      <c r="C8" s="604"/>
      <c r="D8" s="604"/>
      <c r="E8" s="604"/>
      <c r="F8" s="604"/>
      <c r="G8" s="604"/>
      <c r="H8" s="604"/>
      <c r="I8" s="604"/>
      <c r="J8" s="602"/>
      <c r="K8" s="602"/>
      <c r="L8" s="602"/>
      <c r="M8" s="23"/>
      <c r="N8" s="602"/>
      <c r="O8" s="604"/>
      <c r="P8" s="562"/>
      <c r="Q8" s="562"/>
      <c r="R8" s="562"/>
      <c r="S8" s="562"/>
      <c r="T8" s="588"/>
      <c r="U8" s="588"/>
      <c r="V8" s="588"/>
      <c r="W8" s="562"/>
      <c r="X8" s="562"/>
      <c r="Y8" s="562"/>
      <c r="Z8" s="562"/>
      <c r="AA8" s="562"/>
      <c r="AB8" s="562"/>
    </row>
    <row r="9" spans="1:28" customFormat="1" ht="15" customHeight="1" x14ac:dyDescent="0.2">
      <c r="A9" s="562"/>
      <c r="B9" s="99" t="s">
        <v>2937</v>
      </c>
      <c r="C9" s="598"/>
      <c r="D9" s="791" t="s">
        <v>2938</v>
      </c>
      <c r="E9" s="791"/>
      <c r="F9" s="791"/>
      <c r="G9" s="791"/>
      <c r="H9" s="791"/>
      <c r="I9" s="791"/>
      <c r="J9" s="791"/>
      <c r="K9" s="562"/>
      <c r="L9" s="562"/>
      <c r="M9" s="562"/>
      <c r="N9" s="562"/>
      <c r="O9" s="562"/>
      <c r="P9" s="562"/>
      <c r="Q9" s="562"/>
      <c r="R9" s="562"/>
      <c r="S9" s="562"/>
      <c r="T9" s="562"/>
      <c r="U9" s="562"/>
      <c r="V9" s="562"/>
      <c r="W9" s="562"/>
      <c r="X9" s="562"/>
      <c r="Y9" s="562"/>
      <c r="Z9" s="562"/>
      <c r="AA9" s="562"/>
      <c r="AB9" s="562"/>
    </row>
    <row r="10" spans="1:28" s="470" customFormat="1" x14ac:dyDescent="0.2">
      <c r="A10" s="562"/>
      <c r="B10" s="99"/>
      <c r="C10" s="598"/>
      <c r="D10" s="791"/>
      <c r="E10" s="791"/>
      <c r="F10" s="791"/>
      <c r="G10" s="791"/>
      <c r="H10" s="791"/>
      <c r="I10" s="791"/>
      <c r="J10" s="791"/>
      <c r="K10" s="562"/>
      <c r="L10" s="562"/>
      <c r="M10" s="562"/>
      <c r="N10" s="562"/>
      <c r="O10" s="562"/>
      <c r="P10" s="562"/>
      <c r="Q10" s="562"/>
      <c r="R10" s="562"/>
      <c r="S10" s="562"/>
      <c r="T10" s="562"/>
      <c r="U10" s="562"/>
      <c r="V10" s="562"/>
      <c r="W10" s="562"/>
      <c r="X10" s="562"/>
      <c r="Y10" s="562"/>
      <c r="Z10" s="562"/>
      <c r="AA10" s="562"/>
      <c r="AB10" s="562"/>
    </row>
    <row r="11" spans="1:28" s="475" customFormat="1" x14ac:dyDescent="0.2">
      <c r="A11" s="562"/>
      <c r="B11" s="99"/>
      <c r="C11" s="598"/>
      <c r="D11" s="791"/>
      <c r="E11" s="791"/>
      <c r="F11" s="791"/>
      <c r="G11" s="791"/>
      <c r="H11" s="791"/>
      <c r="I11" s="791"/>
      <c r="J11" s="791"/>
      <c r="K11" s="562"/>
      <c r="L11" s="562"/>
      <c r="M11" s="562"/>
      <c r="N11" s="562"/>
      <c r="O11" s="562"/>
      <c r="P11" s="562"/>
      <c r="Q11" s="562"/>
      <c r="R11" s="562"/>
      <c r="S11" s="562"/>
      <c r="T11" s="562"/>
      <c r="U11" s="562"/>
      <c r="V11" s="562"/>
      <c r="W11" s="562"/>
      <c r="X11" s="562"/>
      <c r="Y11" s="562"/>
      <c r="Z11" s="562"/>
      <c r="AA11" s="562"/>
      <c r="AB11" s="562"/>
    </row>
    <row r="12" spans="1:28" s="470" customFormat="1" x14ac:dyDescent="0.2">
      <c r="A12" s="562"/>
      <c r="B12" s="98"/>
      <c r="C12" s="598"/>
      <c r="D12" s="880" t="s">
        <v>2939</v>
      </c>
      <c r="E12" s="880"/>
      <c r="F12" s="880"/>
      <c r="G12" s="880"/>
      <c r="H12" s="880"/>
      <c r="I12" s="880"/>
      <c r="J12" s="880"/>
      <c r="K12" s="562"/>
      <c r="L12" s="562"/>
      <c r="M12" s="562"/>
      <c r="N12" s="562"/>
      <c r="O12" s="562"/>
      <c r="P12" s="562"/>
      <c r="Q12" s="562"/>
      <c r="R12" s="562"/>
      <c r="S12" s="562"/>
      <c r="T12" s="562"/>
      <c r="U12" s="562"/>
      <c r="V12" s="562"/>
      <c r="W12" s="562"/>
      <c r="X12" s="562"/>
      <c r="Y12" s="562"/>
      <c r="Z12" s="562"/>
      <c r="AA12" s="562"/>
      <c r="AB12" s="562"/>
    </row>
    <row r="13" spans="1:28" s="470" customFormat="1" x14ac:dyDescent="0.2">
      <c r="A13" s="562"/>
      <c r="B13" s="145" t="s">
        <v>2940</v>
      </c>
      <c r="C13" s="638"/>
      <c r="D13" s="831" t="s">
        <v>2941</v>
      </c>
      <c r="E13" s="831"/>
      <c r="F13" s="831"/>
      <c r="G13" s="831"/>
      <c r="H13" s="831"/>
      <c r="I13" s="831"/>
      <c r="J13" s="831"/>
      <c r="K13" s="562"/>
      <c r="L13" s="562"/>
      <c r="M13" s="562"/>
      <c r="N13" s="562"/>
      <c r="O13" s="562"/>
      <c r="P13" s="562"/>
      <c r="Q13" s="562"/>
      <c r="R13" s="562"/>
      <c r="S13" s="562"/>
      <c r="T13" s="562"/>
      <c r="U13" s="562"/>
      <c r="V13" s="562"/>
      <c r="W13" s="562"/>
      <c r="X13" s="562"/>
      <c r="Y13" s="562"/>
      <c r="Z13" s="562"/>
      <c r="AA13" s="562"/>
      <c r="AB13" s="562"/>
    </row>
    <row r="14" spans="1:28" s="470" customFormat="1" x14ac:dyDescent="0.2">
      <c r="A14" s="562"/>
      <c r="B14" s="99"/>
      <c r="C14" s="598"/>
      <c r="D14" s="791"/>
      <c r="E14" s="791"/>
      <c r="F14" s="791"/>
      <c r="G14" s="791"/>
      <c r="H14" s="791"/>
      <c r="I14" s="791"/>
      <c r="J14" s="791"/>
      <c r="K14" s="562"/>
      <c r="L14" s="562"/>
      <c r="M14" s="562"/>
      <c r="N14" s="562"/>
      <c r="O14" s="562"/>
      <c r="P14" s="562"/>
      <c r="Q14" s="562"/>
      <c r="R14" s="562"/>
      <c r="S14" s="562"/>
      <c r="T14" s="562"/>
      <c r="U14" s="562"/>
      <c r="V14" s="562"/>
      <c r="W14" s="562"/>
      <c r="X14" s="562"/>
      <c r="Y14" s="562"/>
      <c r="Z14" s="562"/>
      <c r="AA14" s="562"/>
      <c r="AB14" s="562"/>
    </row>
    <row r="15" spans="1:28" s="470" customFormat="1" x14ac:dyDescent="0.2">
      <c r="A15" s="562"/>
      <c r="B15" s="99"/>
      <c r="C15" s="598"/>
      <c r="D15" s="791"/>
      <c r="E15" s="791"/>
      <c r="F15" s="791"/>
      <c r="G15" s="791"/>
      <c r="H15" s="791"/>
      <c r="I15" s="791"/>
      <c r="J15" s="791"/>
      <c r="K15" s="562"/>
      <c r="L15" s="562"/>
      <c r="M15" s="562"/>
      <c r="N15" s="562"/>
      <c r="O15" s="562"/>
      <c r="P15" s="562"/>
      <c r="Q15" s="562"/>
      <c r="R15" s="562"/>
      <c r="S15" s="562"/>
      <c r="T15" s="562"/>
      <c r="U15" s="562"/>
      <c r="V15" s="562"/>
      <c r="W15" s="562"/>
      <c r="X15" s="562"/>
      <c r="Y15" s="562"/>
      <c r="Z15" s="562"/>
      <c r="AA15" s="562"/>
      <c r="AB15" s="562"/>
    </row>
    <row r="16" spans="1:28" s="470" customFormat="1" x14ac:dyDescent="0.2">
      <c r="A16" s="562"/>
      <c r="B16" s="64"/>
      <c r="C16" s="64"/>
      <c r="D16" s="791"/>
      <c r="E16" s="791"/>
      <c r="F16" s="791"/>
      <c r="G16" s="791"/>
      <c r="H16" s="791"/>
      <c r="I16" s="791"/>
      <c r="J16" s="791"/>
      <c r="K16" s="562"/>
      <c r="L16" s="562"/>
      <c r="M16" s="562"/>
      <c r="N16" s="562"/>
      <c r="O16" s="562"/>
      <c r="P16" s="562"/>
      <c r="Q16" s="562"/>
      <c r="R16" s="562"/>
      <c r="S16" s="562"/>
      <c r="T16" s="562"/>
      <c r="U16" s="562"/>
      <c r="V16" s="562"/>
      <c r="W16" s="562"/>
      <c r="X16" s="562"/>
      <c r="Y16" s="562"/>
      <c r="Z16" s="562"/>
      <c r="AA16" s="562"/>
      <c r="AB16" s="562"/>
    </row>
    <row r="17" spans="2:15" s="470" customFormat="1" x14ac:dyDescent="0.2">
      <c r="B17" s="64"/>
      <c r="C17" s="64"/>
      <c r="D17" s="870" t="s">
        <v>2942</v>
      </c>
      <c r="E17" s="870"/>
      <c r="F17" s="870"/>
      <c r="G17" s="870"/>
      <c r="H17" s="870"/>
      <c r="I17" s="870"/>
      <c r="J17" s="870"/>
      <c r="K17" s="562"/>
      <c r="L17" s="562"/>
      <c r="M17" s="562"/>
      <c r="N17" s="562"/>
      <c r="O17" s="562"/>
    </row>
    <row r="18" spans="2:15" s="470" customFormat="1" x14ac:dyDescent="0.2">
      <c r="B18" s="64"/>
      <c r="C18" s="64"/>
      <c r="D18" s="870"/>
      <c r="E18" s="870"/>
      <c r="F18" s="870"/>
      <c r="G18" s="870"/>
      <c r="H18" s="870"/>
      <c r="I18" s="870"/>
      <c r="J18" s="870"/>
      <c r="K18" s="562"/>
      <c r="L18" s="562"/>
      <c r="M18" s="562"/>
      <c r="N18" s="562"/>
      <c r="O18" s="562"/>
    </row>
    <row r="19" spans="2:15" s="470" customFormat="1" x14ac:dyDescent="0.2">
      <c r="B19" s="64"/>
      <c r="C19" s="64"/>
      <c r="D19" s="791" t="s">
        <v>2943</v>
      </c>
      <c r="E19" s="791"/>
      <c r="F19" s="791"/>
      <c r="G19" s="791"/>
      <c r="H19" s="791"/>
      <c r="I19" s="791"/>
      <c r="J19" s="791"/>
      <c r="K19" s="562"/>
      <c r="L19" s="562"/>
      <c r="M19" s="562"/>
      <c r="N19" s="562"/>
      <c r="O19" s="562"/>
    </row>
    <row r="20" spans="2:15" s="470" customFormat="1" x14ac:dyDescent="0.2">
      <c r="B20" s="64"/>
      <c r="C20" s="64"/>
      <c r="D20" s="791"/>
      <c r="E20" s="791"/>
      <c r="F20" s="791"/>
      <c r="G20" s="791"/>
      <c r="H20" s="791"/>
      <c r="I20" s="791"/>
      <c r="J20" s="791"/>
      <c r="K20" s="562"/>
      <c r="L20" s="562"/>
      <c r="M20" s="562"/>
      <c r="N20" s="562"/>
      <c r="O20" s="562"/>
    </row>
    <row r="21" spans="2:15" s="470" customFormat="1" x14ac:dyDescent="0.2">
      <c r="B21" s="64"/>
      <c r="C21" s="64"/>
      <c r="D21" s="791"/>
      <c r="E21" s="791"/>
      <c r="F21" s="791"/>
      <c r="G21" s="791"/>
      <c r="H21" s="791"/>
      <c r="I21" s="791"/>
      <c r="J21" s="791"/>
      <c r="K21" s="562"/>
      <c r="L21" s="562"/>
      <c r="M21" s="562"/>
      <c r="N21" s="562"/>
      <c r="O21" s="562"/>
    </row>
    <row r="22" spans="2:15" s="470" customFormat="1" x14ac:dyDescent="0.2">
      <c r="B22" s="64"/>
      <c r="C22" s="64"/>
      <c r="D22" s="791"/>
      <c r="E22" s="791"/>
      <c r="F22" s="791"/>
      <c r="G22" s="791"/>
      <c r="H22" s="791"/>
      <c r="I22" s="791"/>
      <c r="J22" s="791"/>
      <c r="K22" s="562"/>
      <c r="L22" s="562"/>
      <c r="M22" s="562"/>
      <c r="N22" s="562"/>
      <c r="O22" s="562"/>
    </row>
    <row r="23" spans="2:15" s="470" customFormat="1" x14ac:dyDescent="0.2">
      <c r="B23" s="64"/>
      <c r="C23" s="64"/>
      <c r="D23" s="791"/>
      <c r="E23" s="791"/>
      <c r="F23" s="791"/>
      <c r="G23" s="791"/>
      <c r="H23" s="791"/>
      <c r="I23" s="791"/>
      <c r="J23" s="791"/>
      <c r="K23" s="562"/>
      <c r="L23" s="562"/>
      <c r="M23" s="562"/>
      <c r="N23" s="562"/>
      <c r="O23" s="562"/>
    </row>
    <row r="24" spans="2:15" s="470" customFormat="1" x14ac:dyDescent="0.2">
      <c r="B24" s="64"/>
      <c r="C24" s="64"/>
      <c r="D24" s="791"/>
      <c r="E24" s="791"/>
      <c r="F24" s="791"/>
      <c r="G24" s="791"/>
      <c r="H24" s="791"/>
      <c r="I24" s="791"/>
      <c r="J24" s="791"/>
      <c r="K24" s="562"/>
      <c r="L24" s="562"/>
      <c r="M24" s="562"/>
      <c r="N24" s="562"/>
      <c r="O24" s="562"/>
    </row>
    <row r="25" spans="2:15" s="470" customFormat="1" x14ac:dyDescent="0.2">
      <c r="B25" s="562"/>
      <c r="C25" s="562"/>
      <c r="D25" s="562"/>
      <c r="E25" s="562"/>
      <c r="F25" s="562"/>
      <c r="G25" s="562"/>
      <c r="H25" s="562"/>
      <c r="I25" s="562"/>
      <c r="J25" s="562"/>
      <c r="K25" s="562"/>
      <c r="L25" s="562"/>
      <c r="M25" s="562"/>
      <c r="N25" s="562"/>
      <c r="O25" s="562"/>
    </row>
    <row r="26" spans="2:15" s="470" customFormat="1" x14ac:dyDescent="0.2">
      <c r="B26" s="562"/>
      <c r="C26" s="562"/>
      <c r="D26" s="562"/>
      <c r="E26" s="562"/>
      <c r="F26" s="562"/>
      <c r="G26" s="562"/>
      <c r="H26" s="562"/>
      <c r="I26" s="562"/>
      <c r="J26" s="562"/>
      <c r="K26" s="562"/>
      <c r="L26" s="562"/>
      <c r="M26" s="562"/>
      <c r="N26" s="562"/>
      <c r="O26" s="562"/>
    </row>
    <row r="27" spans="2:15" customFormat="1" x14ac:dyDescent="0.2">
      <c r="B27" s="562"/>
      <c r="C27" s="562"/>
      <c r="D27" s="874" t="s">
        <v>2944</v>
      </c>
      <c r="E27" s="874"/>
      <c r="F27" s="874"/>
      <c r="G27" s="874" t="s">
        <v>2945</v>
      </c>
      <c r="H27" s="874"/>
      <c r="I27" s="874"/>
      <c r="J27" s="562"/>
      <c r="K27" s="874" t="s">
        <v>2946</v>
      </c>
      <c r="L27" s="874"/>
      <c r="M27" s="874"/>
      <c r="N27" s="562"/>
      <c r="O27" s="562"/>
    </row>
    <row r="28" spans="2:15" customFormat="1" x14ac:dyDescent="0.2">
      <c r="B28" s="562"/>
      <c r="C28" s="562"/>
      <c r="D28" s="562"/>
      <c r="E28" s="562"/>
      <c r="F28" s="562"/>
      <c r="G28" s="562"/>
      <c r="H28" s="562"/>
      <c r="I28" s="562"/>
      <c r="J28" s="562"/>
      <c r="K28" s="562"/>
      <c r="L28" s="562"/>
      <c r="M28" s="562"/>
      <c r="N28" s="562"/>
      <c r="O28" s="562"/>
    </row>
    <row r="29" spans="2:15" s="468" customFormat="1" ht="15" customHeight="1" x14ac:dyDescent="0.2">
      <c r="B29" s="562"/>
      <c r="C29" s="562"/>
      <c r="D29" s="562"/>
      <c r="E29" s="562"/>
      <c r="F29" s="592"/>
      <c r="G29" s="873" t="s">
        <v>2947</v>
      </c>
      <c r="H29" s="873" t="s">
        <v>2948</v>
      </c>
      <c r="I29" s="873" t="s">
        <v>2949</v>
      </c>
      <c r="J29" s="562"/>
      <c r="K29" s="873" t="s">
        <v>2947</v>
      </c>
      <c r="L29" s="873" t="s">
        <v>2948</v>
      </c>
      <c r="M29" s="873" t="s">
        <v>2949</v>
      </c>
      <c r="N29" s="562"/>
      <c r="O29" s="562"/>
    </row>
    <row r="30" spans="2:15" customFormat="1" x14ac:dyDescent="0.2">
      <c r="B30" s="562"/>
      <c r="C30" s="562"/>
      <c r="D30" s="874" t="s">
        <v>2950</v>
      </c>
      <c r="E30" s="874"/>
      <c r="F30" s="875"/>
      <c r="G30" s="873"/>
      <c r="H30" s="873"/>
      <c r="I30" s="873"/>
      <c r="J30" s="562"/>
      <c r="K30" s="873"/>
      <c r="L30" s="873"/>
      <c r="M30" s="873"/>
      <c r="N30" s="562"/>
      <c r="O30" s="562"/>
    </row>
    <row r="31" spans="2:15" customFormat="1" x14ac:dyDescent="0.2">
      <c r="B31" s="562"/>
      <c r="C31" s="562"/>
      <c r="D31" s="562"/>
      <c r="E31" s="562"/>
      <c r="F31" s="562"/>
      <c r="G31" s="42"/>
      <c r="H31" s="648"/>
      <c r="I31" s="562"/>
      <c r="J31" s="562"/>
      <c r="K31" s="42"/>
      <c r="L31" s="648"/>
      <c r="M31" s="562"/>
      <c r="N31" s="562"/>
      <c r="O31" s="562"/>
    </row>
    <row r="32" spans="2:15" s="468" customFormat="1" x14ac:dyDescent="0.2">
      <c r="B32" s="562"/>
      <c r="C32" s="562"/>
      <c r="D32" s="592" t="s">
        <v>2951</v>
      </c>
      <c r="E32" s="562"/>
      <c r="F32" s="594" t="s">
        <v>2952</v>
      </c>
      <c r="G32" s="476"/>
      <c r="H32" s="518"/>
      <c r="I32" s="518"/>
      <c r="J32" s="519">
        <f>I32*G32</f>
        <v>0</v>
      </c>
      <c r="K32" s="476"/>
      <c r="L32" s="518"/>
      <c r="M32" s="518"/>
      <c r="N32" s="519">
        <f t="shared" ref="N32:N33" si="0">M32*K32</f>
        <v>0</v>
      </c>
      <c r="O32" s="563"/>
    </row>
    <row r="33" spans="4:15" s="468" customFormat="1" x14ac:dyDescent="0.2">
      <c r="D33" s="562"/>
      <c r="E33" s="562"/>
      <c r="F33" s="594" t="s">
        <v>2953</v>
      </c>
      <c r="G33" s="476"/>
      <c r="H33" s="518"/>
      <c r="I33" s="518"/>
      <c r="J33" s="519">
        <f>I33*G33</f>
        <v>0</v>
      </c>
      <c r="K33" s="476"/>
      <c r="L33" s="518"/>
      <c r="M33" s="518"/>
      <c r="N33" s="519">
        <f t="shared" si="0"/>
        <v>0</v>
      </c>
      <c r="O33" s="563"/>
    </row>
    <row r="34" spans="4:15" s="468" customFormat="1" x14ac:dyDescent="0.2">
      <c r="D34" s="562"/>
      <c r="E34" s="562"/>
      <c r="F34" s="562"/>
      <c r="G34" s="562"/>
      <c r="H34" s="562"/>
      <c r="I34" s="562"/>
      <c r="J34" s="562"/>
      <c r="K34" s="562"/>
      <c r="L34" s="562"/>
      <c r="M34" s="562"/>
      <c r="N34" s="562"/>
      <c r="O34" s="562"/>
    </row>
    <row r="35" spans="4:15" s="468" customFormat="1" x14ac:dyDescent="0.2">
      <c r="D35" s="592" t="s">
        <v>2954</v>
      </c>
      <c r="E35" s="562"/>
      <c r="F35" s="594" t="s">
        <v>2955</v>
      </c>
      <c r="G35" s="476"/>
      <c r="H35" s="518"/>
      <c r="I35" s="518"/>
      <c r="J35" s="519">
        <f t="shared" ref="J35:J39" si="1">I35*G35</f>
        <v>0</v>
      </c>
      <c r="K35" s="476"/>
      <c r="L35" s="518"/>
      <c r="M35" s="518"/>
      <c r="N35" s="519">
        <f t="shared" ref="N35:N39" si="2">M35*K35</f>
        <v>0</v>
      </c>
      <c r="O35" s="563"/>
    </row>
    <row r="36" spans="4:15" s="468" customFormat="1" x14ac:dyDescent="0.2">
      <c r="D36" s="562"/>
      <c r="E36" s="562"/>
      <c r="F36" s="594" t="s">
        <v>2956</v>
      </c>
      <c r="G36" s="476"/>
      <c r="H36" s="518"/>
      <c r="I36" s="518"/>
      <c r="J36" s="519">
        <f t="shared" si="1"/>
        <v>0</v>
      </c>
      <c r="K36" s="476"/>
      <c r="L36" s="518"/>
      <c r="M36" s="518"/>
      <c r="N36" s="519">
        <f t="shared" si="2"/>
        <v>0</v>
      </c>
      <c r="O36" s="563"/>
    </row>
    <row r="37" spans="4:15" s="468" customFormat="1" x14ac:dyDescent="0.2">
      <c r="D37" s="562"/>
      <c r="E37" s="562"/>
      <c r="F37" s="594" t="s">
        <v>2957</v>
      </c>
      <c r="G37" s="476"/>
      <c r="H37" s="518"/>
      <c r="I37" s="518"/>
      <c r="J37" s="519">
        <f t="shared" si="1"/>
        <v>0</v>
      </c>
      <c r="K37" s="476"/>
      <c r="L37" s="518"/>
      <c r="M37" s="518"/>
      <c r="N37" s="519">
        <f t="shared" si="2"/>
        <v>0</v>
      </c>
      <c r="O37" s="563"/>
    </row>
    <row r="38" spans="4:15" s="468" customFormat="1" x14ac:dyDescent="0.2">
      <c r="D38" s="562"/>
      <c r="E38" s="562"/>
      <c r="F38" s="594" t="s">
        <v>2958</v>
      </c>
      <c r="G38" s="476"/>
      <c r="H38" s="518"/>
      <c r="I38" s="518"/>
      <c r="J38" s="519">
        <f t="shared" si="1"/>
        <v>0</v>
      </c>
      <c r="K38" s="476"/>
      <c r="L38" s="518"/>
      <c r="M38" s="518"/>
      <c r="N38" s="519">
        <f t="shared" si="2"/>
        <v>0</v>
      </c>
      <c r="O38" s="563"/>
    </row>
    <row r="39" spans="4:15" s="468" customFormat="1" x14ac:dyDescent="0.2">
      <c r="D39" s="562"/>
      <c r="E39" s="562"/>
      <c r="F39" s="594" t="s">
        <v>2959</v>
      </c>
      <c r="G39" s="476"/>
      <c r="H39" s="518"/>
      <c r="I39" s="518"/>
      <c r="J39" s="519">
        <f t="shared" si="1"/>
        <v>0</v>
      </c>
      <c r="K39" s="476"/>
      <c r="L39" s="518"/>
      <c r="M39" s="518"/>
      <c r="N39" s="519">
        <f t="shared" si="2"/>
        <v>0</v>
      </c>
      <c r="O39" s="563"/>
    </row>
    <row r="40" spans="4:15" s="468" customFormat="1" x14ac:dyDescent="0.2">
      <c r="D40" s="562"/>
      <c r="E40" s="562"/>
      <c r="F40" s="562"/>
      <c r="G40" s="562"/>
      <c r="H40" s="562"/>
      <c r="I40" s="562"/>
      <c r="J40" s="562"/>
      <c r="K40" s="562"/>
      <c r="L40" s="562"/>
      <c r="M40" s="562"/>
      <c r="N40" s="562"/>
      <c r="O40" s="562"/>
    </row>
    <row r="41" spans="4:15" s="468" customFormat="1" x14ac:dyDescent="0.2">
      <c r="D41" s="592" t="s">
        <v>2960</v>
      </c>
      <c r="E41" s="562"/>
      <c r="F41" s="594" t="s">
        <v>2955</v>
      </c>
      <c r="G41" s="476"/>
      <c r="H41" s="518"/>
      <c r="I41" s="518"/>
      <c r="J41" s="519">
        <f t="shared" ref="J41:J45" si="3">I41*G41</f>
        <v>0</v>
      </c>
      <c r="K41" s="476"/>
      <c r="L41" s="518"/>
      <c r="M41" s="518"/>
      <c r="N41" s="519">
        <f t="shared" ref="N41:N45" si="4">M41*K41</f>
        <v>0</v>
      </c>
      <c r="O41" s="563"/>
    </row>
    <row r="42" spans="4:15" s="468" customFormat="1" x14ac:dyDescent="0.2">
      <c r="D42" s="562"/>
      <c r="E42" s="562"/>
      <c r="F42" s="594" t="s">
        <v>2956</v>
      </c>
      <c r="G42" s="476"/>
      <c r="H42" s="518"/>
      <c r="I42" s="518"/>
      <c r="J42" s="519">
        <f t="shared" si="3"/>
        <v>0</v>
      </c>
      <c r="K42" s="476"/>
      <c r="L42" s="518"/>
      <c r="M42" s="518"/>
      <c r="N42" s="519">
        <f t="shared" si="4"/>
        <v>0</v>
      </c>
      <c r="O42" s="563"/>
    </row>
    <row r="43" spans="4:15" s="468" customFormat="1" x14ac:dyDescent="0.2">
      <c r="D43" s="562"/>
      <c r="E43" s="562"/>
      <c r="F43" s="594" t="s">
        <v>2957</v>
      </c>
      <c r="G43" s="476"/>
      <c r="H43" s="518"/>
      <c r="I43" s="518"/>
      <c r="J43" s="519">
        <f t="shared" si="3"/>
        <v>0</v>
      </c>
      <c r="K43" s="476"/>
      <c r="L43" s="518"/>
      <c r="M43" s="518"/>
      <c r="N43" s="519">
        <f t="shared" si="4"/>
        <v>0</v>
      </c>
      <c r="O43" s="563"/>
    </row>
    <row r="44" spans="4:15" s="468" customFormat="1" x14ac:dyDescent="0.2">
      <c r="D44" s="562"/>
      <c r="E44" s="562"/>
      <c r="F44" s="594" t="s">
        <v>2958</v>
      </c>
      <c r="G44" s="476"/>
      <c r="H44" s="518"/>
      <c r="I44" s="518"/>
      <c r="J44" s="519">
        <f t="shared" si="3"/>
        <v>0</v>
      </c>
      <c r="K44" s="476"/>
      <c r="L44" s="518"/>
      <c r="M44" s="518"/>
      <c r="N44" s="519">
        <f t="shared" si="4"/>
        <v>0</v>
      </c>
      <c r="O44" s="563"/>
    </row>
    <row r="45" spans="4:15" s="468" customFormat="1" x14ac:dyDescent="0.2">
      <c r="D45" s="562"/>
      <c r="E45" s="562"/>
      <c r="F45" s="594" t="s">
        <v>2959</v>
      </c>
      <c r="G45" s="476"/>
      <c r="H45" s="518"/>
      <c r="I45" s="518"/>
      <c r="J45" s="519">
        <f t="shared" si="3"/>
        <v>0</v>
      </c>
      <c r="K45" s="476"/>
      <c r="L45" s="518"/>
      <c r="M45" s="518"/>
      <c r="N45" s="519">
        <f t="shared" si="4"/>
        <v>0</v>
      </c>
      <c r="O45" s="563"/>
    </row>
    <row r="46" spans="4:15" s="468" customFormat="1" x14ac:dyDescent="0.2">
      <c r="D46" s="562"/>
      <c r="E46" s="562"/>
      <c r="F46" s="562"/>
      <c r="G46" s="562"/>
      <c r="H46" s="562"/>
      <c r="I46" s="562"/>
      <c r="J46" s="562"/>
      <c r="K46" s="562"/>
      <c r="L46" s="562"/>
      <c r="M46" s="562"/>
      <c r="N46" s="562"/>
      <c r="O46" s="562"/>
    </row>
    <row r="47" spans="4:15" s="468" customFormat="1" x14ac:dyDescent="0.2">
      <c r="D47" s="592" t="s">
        <v>2961</v>
      </c>
      <c r="E47" s="562"/>
      <c r="F47" s="594" t="s">
        <v>2955</v>
      </c>
      <c r="G47" s="476"/>
      <c r="H47" s="518"/>
      <c r="I47" s="518"/>
      <c r="J47" s="519">
        <f t="shared" ref="J47:J51" si="5">I47*G47</f>
        <v>0</v>
      </c>
      <c r="K47" s="476"/>
      <c r="L47" s="518"/>
      <c r="M47" s="518"/>
      <c r="N47" s="519">
        <f t="shared" ref="N47:N51" si="6">M47*K47</f>
        <v>0</v>
      </c>
      <c r="O47" s="563"/>
    </row>
    <row r="48" spans="4:15" s="468" customFormat="1" x14ac:dyDescent="0.2">
      <c r="D48" s="562"/>
      <c r="E48" s="562"/>
      <c r="F48" s="594" t="s">
        <v>2956</v>
      </c>
      <c r="G48" s="476"/>
      <c r="H48" s="518"/>
      <c r="I48" s="518"/>
      <c r="J48" s="519">
        <f t="shared" si="5"/>
        <v>0</v>
      </c>
      <c r="K48" s="476"/>
      <c r="L48" s="518"/>
      <c r="M48" s="518"/>
      <c r="N48" s="519">
        <f t="shared" si="6"/>
        <v>0</v>
      </c>
      <c r="O48" s="563"/>
    </row>
    <row r="49" spans="4:15" s="468" customFormat="1" x14ac:dyDescent="0.2">
      <c r="D49" s="562"/>
      <c r="E49" s="562"/>
      <c r="F49" s="594" t="s">
        <v>2957</v>
      </c>
      <c r="G49" s="476"/>
      <c r="H49" s="518"/>
      <c r="I49" s="518"/>
      <c r="J49" s="519">
        <f t="shared" si="5"/>
        <v>0</v>
      </c>
      <c r="K49" s="476"/>
      <c r="L49" s="518"/>
      <c r="M49" s="518"/>
      <c r="N49" s="519">
        <f t="shared" si="6"/>
        <v>0</v>
      </c>
      <c r="O49" s="563"/>
    </row>
    <row r="50" spans="4:15" s="468" customFormat="1" x14ac:dyDescent="0.2">
      <c r="D50" s="562"/>
      <c r="E50" s="562"/>
      <c r="F50" s="594" t="s">
        <v>2958</v>
      </c>
      <c r="G50" s="476"/>
      <c r="H50" s="518"/>
      <c r="I50" s="518"/>
      <c r="J50" s="519">
        <f t="shared" si="5"/>
        <v>0</v>
      </c>
      <c r="K50" s="476"/>
      <c r="L50" s="518"/>
      <c r="M50" s="518"/>
      <c r="N50" s="519">
        <f t="shared" si="6"/>
        <v>0</v>
      </c>
      <c r="O50" s="563"/>
    </row>
    <row r="51" spans="4:15" s="468" customFormat="1" x14ac:dyDescent="0.2">
      <c r="D51" s="562"/>
      <c r="E51" s="562"/>
      <c r="F51" s="594" t="s">
        <v>2959</v>
      </c>
      <c r="G51" s="476"/>
      <c r="H51" s="518"/>
      <c r="I51" s="518"/>
      <c r="J51" s="519">
        <f t="shared" si="5"/>
        <v>0</v>
      </c>
      <c r="K51" s="476"/>
      <c r="L51" s="518"/>
      <c r="M51" s="518"/>
      <c r="N51" s="519">
        <f t="shared" si="6"/>
        <v>0</v>
      </c>
      <c r="O51" s="563"/>
    </row>
    <row r="52" spans="4:15" s="468" customFormat="1" x14ac:dyDescent="0.2">
      <c r="D52" s="562"/>
      <c r="E52" s="562"/>
      <c r="F52" s="592" t="s">
        <v>2962</v>
      </c>
      <c r="G52" s="562"/>
      <c r="H52" s="562"/>
      <c r="I52" s="562"/>
      <c r="J52" s="562"/>
      <c r="K52" s="562"/>
      <c r="L52" s="562"/>
      <c r="M52" s="562"/>
      <c r="N52" s="562"/>
      <c r="O52" s="562"/>
    </row>
    <row r="53" spans="4:15" s="468" customFormat="1" x14ac:dyDescent="0.2">
      <c r="D53" s="876"/>
      <c r="E53" s="876"/>
      <c r="F53" s="876"/>
      <c r="G53" s="476"/>
      <c r="H53" s="518"/>
      <c r="I53" s="518"/>
      <c r="J53" s="519">
        <f t="shared" ref="J53:J57" si="7">I53*G53</f>
        <v>0</v>
      </c>
      <c r="K53" s="476"/>
      <c r="L53" s="518"/>
      <c r="M53" s="518"/>
      <c r="N53" s="519">
        <f t="shared" ref="N53:N57" si="8">M53*K53</f>
        <v>0</v>
      </c>
      <c r="O53" s="563"/>
    </row>
    <row r="54" spans="4:15" s="468" customFormat="1" x14ac:dyDescent="0.2">
      <c r="D54" s="876"/>
      <c r="E54" s="876"/>
      <c r="F54" s="876"/>
      <c r="G54" s="476"/>
      <c r="H54" s="518"/>
      <c r="I54" s="518"/>
      <c r="J54" s="519">
        <f t="shared" si="7"/>
        <v>0</v>
      </c>
      <c r="K54" s="476"/>
      <c r="L54" s="518"/>
      <c r="M54" s="518"/>
      <c r="N54" s="519">
        <f t="shared" si="8"/>
        <v>0</v>
      </c>
      <c r="O54" s="563"/>
    </row>
    <row r="55" spans="4:15" s="468" customFormat="1" x14ac:dyDescent="0.2">
      <c r="D55" s="876"/>
      <c r="E55" s="876"/>
      <c r="F55" s="876"/>
      <c r="G55" s="476"/>
      <c r="H55" s="518"/>
      <c r="I55" s="518"/>
      <c r="J55" s="519">
        <f t="shared" si="7"/>
        <v>0</v>
      </c>
      <c r="K55" s="476"/>
      <c r="L55" s="518"/>
      <c r="M55" s="518"/>
      <c r="N55" s="519">
        <f t="shared" si="8"/>
        <v>0</v>
      </c>
      <c r="O55" s="563"/>
    </row>
    <row r="56" spans="4:15" s="468" customFormat="1" x14ac:dyDescent="0.2">
      <c r="D56" s="876"/>
      <c r="E56" s="876"/>
      <c r="F56" s="876"/>
      <c r="G56" s="476"/>
      <c r="H56" s="518"/>
      <c r="I56" s="518"/>
      <c r="J56" s="519">
        <f t="shared" si="7"/>
        <v>0</v>
      </c>
      <c r="K56" s="476"/>
      <c r="L56" s="518"/>
      <c r="M56" s="518"/>
      <c r="N56" s="519">
        <f t="shared" si="8"/>
        <v>0</v>
      </c>
      <c r="O56" s="563"/>
    </row>
    <row r="57" spans="4:15" s="468" customFormat="1" x14ac:dyDescent="0.2">
      <c r="D57" s="876"/>
      <c r="E57" s="876"/>
      <c r="F57" s="876"/>
      <c r="G57" s="476"/>
      <c r="H57" s="518"/>
      <c r="I57" s="518"/>
      <c r="J57" s="519">
        <f t="shared" si="7"/>
        <v>0</v>
      </c>
      <c r="K57" s="476"/>
      <c r="L57" s="518"/>
      <c r="M57" s="518"/>
      <c r="N57" s="519">
        <f t="shared" si="8"/>
        <v>0</v>
      </c>
      <c r="O57" s="563"/>
    </row>
    <row r="58" spans="4:15" s="468" customFormat="1" x14ac:dyDescent="0.2">
      <c r="D58" s="562"/>
      <c r="E58" s="562"/>
      <c r="F58" s="562"/>
      <c r="G58" s="562"/>
      <c r="H58" s="562"/>
      <c r="I58" s="562"/>
      <c r="J58" s="562"/>
      <c r="K58" s="562"/>
      <c r="L58" s="562"/>
      <c r="M58" s="562"/>
      <c r="N58" s="562"/>
      <c r="O58" s="562"/>
    </row>
    <row r="59" spans="4:15" s="470" customFormat="1" ht="15" customHeight="1" x14ac:dyDescent="0.2">
      <c r="D59" s="874" t="s">
        <v>2963</v>
      </c>
      <c r="E59" s="874"/>
      <c r="F59" s="874"/>
      <c r="G59" s="873" t="s">
        <v>2947</v>
      </c>
      <c r="H59" s="873" t="s">
        <v>2964</v>
      </c>
      <c r="I59" s="873" t="s">
        <v>2949</v>
      </c>
      <c r="J59" s="562"/>
      <c r="K59" s="873" t="s">
        <v>2947</v>
      </c>
      <c r="L59" s="873" t="s">
        <v>2964</v>
      </c>
      <c r="M59" s="873" t="s">
        <v>2949</v>
      </c>
      <c r="N59" s="562"/>
      <c r="O59" s="562"/>
    </row>
    <row r="60" spans="4:15" s="470" customFormat="1" x14ac:dyDescent="0.2">
      <c r="D60" s="562"/>
      <c r="E60" s="562"/>
      <c r="F60" s="562"/>
      <c r="G60" s="873"/>
      <c r="H60" s="873"/>
      <c r="I60" s="873"/>
      <c r="J60" s="562"/>
      <c r="K60" s="873"/>
      <c r="L60" s="873"/>
      <c r="M60" s="873"/>
      <c r="N60" s="562"/>
      <c r="O60" s="562"/>
    </row>
    <row r="61" spans="4:15" s="468" customFormat="1" x14ac:dyDescent="0.2">
      <c r="D61" s="562"/>
      <c r="E61" s="562"/>
      <c r="F61" s="562"/>
      <c r="G61" s="562"/>
      <c r="H61" s="562"/>
      <c r="I61" s="562"/>
      <c r="J61" s="562"/>
      <c r="K61" s="562"/>
      <c r="L61" s="562"/>
      <c r="M61" s="562"/>
      <c r="N61" s="562"/>
      <c r="O61" s="562"/>
    </row>
    <row r="62" spans="4:15" s="468" customFormat="1" x14ac:dyDescent="0.2">
      <c r="D62" s="562"/>
      <c r="E62" s="562"/>
      <c r="F62" s="594" t="s">
        <v>2965</v>
      </c>
      <c r="G62" s="476"/>
      <c r="H62" s="518"/>
      <c r="I62" s="518"/>
      <c r="J62" s="519">
        <f>I62*G62*H62/12</f>
        <v>0</v>
      </c>
      <c r="K62" s="476"/>
      <c r="L62" s="518"/>
      <c r="M62" s="518"/>
      <c r="N62" s="519">
        <f>M62*K62*L62/12</f>
        <v>0</v>
      </c>
      <c r="O62" s="563"/>
    </row>
    <row r="63" spans="4:15" s="468" customFormat="1" x14ac:dyDescent="0.2">
      <c r="D63" s="562"/>
      <c r="E63" s="562"/>
      <c r="F63" s="594" t="s">
        <v>2966</v>
      </c>
      <c r="G63" s="476"/>
      <c r="H63" s="518"/>
      <c r="I63" s="518"/>
      <c r="J63" s="519">
        <f t="shared" ref="J63:J65" si="9">I63*G63*H63/12</f>
        <v>0</v>
      </c>
      <c r="K63" s="476"/>
      <c r="L63" s="518"/>
      <c r="M63" s="518"/>
      <c r="N63" s="519">
        <f t="shared" ref="N63:N65" si="10">M63*K63*L63/12</f>
        <v>0</v>
      </c>
      <c r="O63" s="563"/>
    </row>
    <row r="64" spans="4:15" s="468" customFormat="1" x14ac:dyDescent="0.2">
      <c r="D64" s="562"/>
      <c r="E64" s="562"/>
      <c r="F64" s="594" t="s">
        <v>2967</v>
      </c>
      <c r="G64" s="476"/>
      <c r="H64" s="518"/>
      <c r="I64" s="518"/>
      <c r="J64" s="519">
        <f t="shared" si="9"/>
        <v>0</v>
      </c>
      <c r="K64" s="476"/>
      <c r="L64" s="518"/>
      <c r="M64" s="518"/>
      <c r="N64" s="519">
        <f t="shared" si="10"/>
        <v>0</v>
      </c>
      <c r="O64" s="563"/>
    </row>
    <row r="65" spans="2:52" s="468" customFormat="1" x14ac:dyDescent="0.2">
      <c r="B65" s="562"/>
      <c r="C65" s="562"/>
      <c r="D65" s="562"/>
      <c r="E65" s="562"/>
      <c r="F65" s="594" t="s">
        <v>2968</v>
      </c>
      <c r="G65" s="476"/>
      <c r="H65" s="518"/>
      <c r="I65" s="518"/>
      <c r="J65" s="519">
        <f t="shared" si="9"/>
        <v>0</v>
      </c>
      <c r="K65" s="476"/>
      <c r="L65" s="518"/>
      <c r="M65" s="518"/>
      <c r="N65" s="519">
        <f t="shared" si="10"/>
        <v>0</v>
      </c>
      <c r="O65" s="563"/>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row>
    <row r="66" spans="2:52" s="468" customFormat="1" x14ac:dyDescent="0.2">
      <c r="B66" s="562"/>
      <c r="C66" s="562"/>
      <c r="D66" s="562"/>
      <c r="E66" s="562"/>
      <c r="F66" s="592" t="s">
        <v>2962</v>
      </c>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row>
    <row r="67" spans="2:52" s="468" customFormat="1" x14ac:dyDescent="0.2">
      <c r="B67" s="562"/>
      <c r="C67" s="562"/>
      <c r="D67" s="876"/>
      <c r="E67" s="876"/>
      <c r="F67" s="876"/>
      <c r="G67" s="476"/>
      <c r="H67" s="518"/>
      <c r="I67" s="518"/>
      <c r="J67" s="519">
        <f t="shared" ref="J67:J70" si="11">I67*G67*H67/12</f>
        <v>0</v>
      </c>
      <c r="K67" s="476"/>
      <c r="L67" s="518"/>
      <c r="M67" s="518"/>
      <c r="N67" s="519">
        <f t="shared" ref="N67:N70" si="12">M67*K67*L67/12</f>
        <v>0</v>
      </c>
      <c r="O67" s="563"/>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row>
    <row r="68" spans="2:52" s="468" customFormat="1" x14ac:dyDescent="0.2">
      <c r="B68" s="562"/>
      <c r="C68" s="562"/>
      <c r="D68" s="876"/>
      <c r="E68" s="876"/>
      <c r="F68" s="876"/>
      <c r="G68" s="476"/>
      <c r="H68" s="518"/>
      <c r="I68" s="518"/>
      <c r="J68" s="519">
        <f t="shared" si="11"/>
        <v>0</v>
      </c>
      <c r="K68" s="476"/>
      <c r="L68" s="518"/>
      <c r="M68" s="518"/>
      <c r="N68" s="519">
        <f t="shared" si="12"/>
        <v>0</v>
      </c>
      <c r="O68" s="563"/>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row>
    <row r="69" spans="2:52" s="468" customFormat="1" x14ac:dyDescent="0.2">
      <c r="B69" s="562"/>
      <c r="C69" s="562"/>
      <c r="D69" s="876"/>
      <c r="E69" s="876"/>
      <c r="F69" s="876"/>
      <c r="G69" s="476"/>
      <c r="H69" s="518"/>
      <c r="I69" s="518"/>
      <c r="J69" s="519">
        <f t="shared" si="11"/>
        <v>0</v>
      </c>
      <c r="K69" s="476"/>
      <c r="L69" s="518"/>
      <c r="M69" s="518"/>
      <c r="N69" s="519">
        <f t="shared" si="12"/>
        <v>0</v>
      </c>
      <c r="O69" s="563"/>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row>
    <row r="70" spans="2:52" s="468" customFormat="1" x14ac:dyDescent="0.2">
      <c r="B70" s="562"/>
      <c r="C70" s="562"/>
      <c r="D70" s="876"/>
      <c r="E70" s="876"/>
      <c r="F70" s="876"/>
      <c r="G70" s="476"/>
      <c r="H70" s="518"/>
      <c r="I70" s="518"/>
      <c r="J70" s="519">
        <f t="shared" si="11"/>
        <v>0</v>
      </c>
      <c r="K70" s="476"/>
      <c r="L70" s="518"/>
      <c r="M70" s="518"/>
      <c r="N70" s="519">
        <f t="shared" si="12"/>
        <v>0</v>
      </c>
      <c r="O70" s="563"/>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row>
    <row r="71" spans="2:52" s="468" customFormat="1" x14ac:dyDescent="0.2">
      <c r="B71" s="562"/>
      <c r="C71" s="562"/>
      <c r="D71" s="562"/>
      <c r="E71" s="562"/>
      <c r="F71" s="594"/>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row>
    <row r="72" spans="2:52" s="468" customFormat="1" x14ac:dyDescent="0.2">
      <c r="B72" s="562"/>
      <c r="C72" s="562"/>
      <c r="D72" s="562"/>
      <c r="E72" s="562"/>
      <c r="F72" s="562"/>
      <c r="G72" s="562"/>
      <c r="H72" s="562"/>
      <c r="I72" s="592" t="s">
        <v>2969</v>
      </c>
      <c r="J72" s="519">
        <f>SUM(J32:J70)</f>
        <v>0</v>
      </c>
      <c r="K72" s="562"/>
      <c r="L72" s="562"/>
      <c r="M72" s="562"/>
      <c r="N72" s="519">
        <f>SUM(N32:N70)</f>
        <v>0</v>
      </c>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row>
    <row r="73" spans="2:52" s="470" customFormat="1" x14ac:dyDescent="0.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row>
    <row r="74" spans="2:52" customFormat="1" x14ac:dyDescent="0.2">
      <c r="B74" s="562"/>
      <c r="C74" s="562"/>
      <c r="D74" s="562"/>
      <c r="E74" s="562"/>
      <c r="F74" s="562"/>
      <c r="G74" s="562"/>
      <c r="H74" s="562"/>
      <c r="I74" s="592" t="s">
        <v>2970</v>
      </c>
      <c r="J74" s="477">
        <f>IFERROR((J72-N72)/J72,0)</f>
        <v>0</v>
      </c>
      <c r="K74" s="42"/>
      <c r="L74" s="42"/>
      <c r="M74" s="648"/>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row>
    <row r="75" spans="2:52" customFormat="1" x14ac:dyDescent="0.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row>
    <row r="76" spans="2:52" customFormat="1" ht="16" thickBot="1" x14ac:dyDescent="0.25">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row>
    <row r="77" spans="2:52" ht="17" thickTop="1" thickBot="1" x14ac:dyDescent="0.25">
      <c r="B77" s="154" t="s">
        <v>2971</v>
      </c>
      <c r="C77" s="154"/>
      <c r="D77" s="154"/>
      <c r="E77" s="154"/>
      <c r="F77" s="154"/>
      <c r="G77" s="154"/>
      <c r="H77" s="154"/>
      <c r="I77" s="155"/>
      <c r="J77" s="155"/>
      <c r="K77" s="156"/>
      <c r="L77" s="156"/>
      <c r="M77" s="157"/>
      <c r="N77" s="155"/>
      <c r="O77" s="194" t="s">
        <v>2972</v>
      </c>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row>
    <row r="78" spans="2:52" ht="15.75" customHeight="1" thickTop="1" x14ac:dyDescent="0.2">
      <c r="B78" s="562"/>
      <c r="C78" s="562"/>
      <c r="D78" s="562"/>
      <c r="E78" s="562"/>
      <c r="F78" s="562"/>
      <c r="G78" s="562"/>
      <c r="H78" s="562"/>
      <c r="I78" s="562"/>
      <c r="J78" s="562"/>
      <c r="M78" s="648"/>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94" t="str">
        <f>'Overview (Design)'!A8</f>
        <v>Builder Name:</v>
      </c>
      <c r="AP78" s="562" t="str">
        <f>'Overview (Design)'!G8</f>
        <v>AAA Green Builders</v>
      </c>
      <c r="AQ78" s="562"/>
      <c r="AR78" s="562"/>
      <c r="AS78" s="562"/>
      <c r="AT78" s="562"/>
      <c r="AU78" s="562"/>
      <c r="AV78" s="562"/>
      <c r="AW78" s="562"/>
      <c r="AX78" s="562"/>
      <c r="AY78" s="562"/>
      <c r="AZ78" s="562"/>
    </row>
    <row r="79" spans="2:52" x14ac:dyDescent="0.2">
      <c r="B79" s="562"/>
      <c r="C79" s="562"/>
      <c r="D79" s="562"/>
      <c r="E79" s="562"/>
      <c r="F79" s="562"/>
      <c r="G79" s="562"/>
      <c r="H79" s="562"/>
      <c r="I79" s="562"/>
      <c r="J79" s="562"/>
      <c r="M79" s="648"/>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94" t="str">
        <f>'Overview (Design)'!A9</f>
        <v>Physical Address of Home:</v>
      </c>
      <c r="AP79" s="562" t="str">
        <f>'Overview (Design)'!G9</f>
        <v>6666 Oak St.</v>
      </c>
      <c r="AQ79" s="562"/>
      <c r="AR79" s="562"/>
      <c r="AS79" s="562"/>
      <c r="AT79" s="562"/>
      <c r="AU79" s="562"/>
      <c r="AV79" s="562"/>
      <c r="AW79" s="562"/>
      <c r="AX79" s="562"/>
      <c r="AY79" s="562"/>
      <c r="AZ79" s="562"/>
    </row>
    <row r="80" spans="2:52" x14ac:dyDescent="0.2">
      <c r="B80" s="562"/>
      <c r="C80" s="562"/>
      <c r="D80" s="562"/>
      <c r="E80" s="562"/>
      <c r="F80" s="562"/>
      <c r="G80" s="562"/>
      <c r="H80" s="562"/>
      <c r="I80" s="562"/>
      <c r="J80" s="562"/>
      <c r="M80" s="648"/>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94" t="str">
        <f>'Overview (Design)'!A10</f>
        <v>Community/Lot #:</v>
      </c>
      <c r="AP80" s="562">
        <f>'Overview (Design)'!G10</f>
        <v>0</v>
      </c>
      <c r="AQ80" s="562"/>
      <c r="AR80" s="562"/>
      <c r="AS80" s="562"/>
      <c r="AT80" s="562"/>
      <c r="AU80" s="562"/>
      <c r="AV80" s="562"/>
      <c r="AW80" s="562"/>
      <c r="AX80" s="562"/>
      <c r="AY80" s="562"/>
      <c r="AZ80" s="562"/>
    </row>
    <row r="81" spans="37:52" x14ac:dyDescent="0.2">
      <c r="AK81" s="562"/>
      <c r="AL81" s="562"/>
      <c r="AM81" s="562"/>
      <c r="AN81" s="562"/>
      <c r="AO81" s="594" t="str">
        <f>'Overview (Design)'!A11</f>
        <v>City:</v>
      </c>
      <c r="AP81" s="562" t="str">
        <f>'Overview (Design)'!G11</f>
        <v>Raleigh</v>
      </c>
      <c r="AQ81" s="562"/>
      <c r="AR81" s="562"/>
      <c r="AS81" s="562"/>
      <c r="AT81" s="562"/>
      <c r="AU81" s="562"/>
      <c r="AV81" s="562"/>
      <c r="AW81" s="562"/>
      <c r="AX81" s="562"/>
      <c r="AY81" s="562"/>
      <c r="AZ81" s="562"/>
    </row>
    <row r="82" spans="37:52" x14ac:dyDescent="0.2">
      <c r="AK82" s="562"/>
      <c r="AL82" s="562"/>
      <c r="AM82" s="562"/>
      <c r="AN82" s="562"/>
      <c r="AO82" s="594" t="str">
        <f>'Overview (Design)'!A12</f>
        <v>State:</v>
      </c>
      <c r="AP82" s="562" t="str">
        <f>'Overview (Design)'!G12</f>
        <v>North Carolina</v>
      </c>
      <c r="AQ82" s="562"/>
      <c r="AR82" s="562"/>
      <c r="AS82" s="562"/>
      <c r="AT82" s="562" t="str">
        <f>'Overview (Design)'!K12</f>
        <v>State</v>
      </c>
      <c r="AU82" s="562" t="str">
        <f>'Overview (Design)'!L12</f>
        <v>County</v>
      </c>
      <c r="AV82" s="562" t="str">
        <f>'Overview (Design)'!M12</f>
        <v>Radon</v>
      </c>
      <c r="AW82" s="562" t="str">
        <f>'Overview (Design)'!N12</f>
        <v>Climate</v>
      </c>
      <c r="AX82" s="562" t="str">
        <f>'Overview (Design)'!O12</f>
        <v>Moist</v>
      </c>
      <c r="AY82" s="562" t="str">
        <f>'Overview (Design)'!P12</f>
        <v>WarmHumid</v>
      </c>
      <c r="AZ82" s="562" t="str">
        <f>'Overview (Design)'!Q12</f>
        <v>Tropical</v>
      </c>
    </row>
    <row r="83" spans="37:52" ht="15" customHeight="1" x14ac:dyDescent="0.2">
      <c r="AK83" s="562"/>
      <c r="AL83" s="562"/>
      <c r="AM83" s="562"/>
      <c r="AN83" s="562"/>
      <c r="AO83" s="594" t="str">
        <f>'Overview (Design)'!A13</f>
        <v>County:</v>
      </c>
      <c r="AP83" s="562">
        <f>'Overview (Design)'!G13</f>
        <v>0</v>
      </c>
      <c r="AQ83" s="562"/>
      <c r="AR83" s="562"/>
      <c r="AS83" s="562"/>
      <c r="AT83" s="562" t="str">
        <f>'Overview (Design)'!K13</f>
        <v>North Carolina</v>
      </c>
      <c r="AU83" s="562" t="str">
        <f>'Overview (Design)'!L13</f>
        <v/>
      </c>
      <c r="AV83" s="562" t="str">
        <f>'Overview (Design)'!M13</f>
        <v>!!</v>
      </c>
      <c r="AW83" s="562" t="str">
        <f>'Overview (Design)'!N13</f>
        <v>!!</v>
      </c>
      <c r="AX83" s="562" t="str">
        <f>'Overview (Design)'!O13</f>
        <v>!!</v>
      </c>
      <c r="AY83" s="562" t="str">
        <f>'Overview (Design)'!P13</f>
        <v>!!</v>
      </c>
      <c r="AZ83" s="562" t="str">
        <f>'Overview (Design)'!Q13</f>
        <v>!!</v>
      </c>
    </row>
    <row r="84" spans="37:52" x14ac:dyDescent="0.2">
      <c r="AK84" s="562"/>
      <c r="AL84" s="562"/>
      <c r="AM84" s="562"/>
      <c r="AN84" s="562"/>
      <c r="AO84" s="594" t="str">
        <f>'Overview (Design)'!A14</f>
        <v>Zip:</v>
      </c>
      <c r="AP84" s="562" t="str">
        <f>'Overview (Design)'!G14</f>
        <v>99999</v>
      </c>
      <c r="AQ84" s="562"/>
      <c r="AR84" s="562"/>
      <c r="AS84" s="562"/>
      <c r="AT84" s="562"/>
      <c r="AU84" s="562"/>
      <c r="AV84" s="562"/>
      <c r="AW84" s="562"/>
      <c r="AX84" s="562"/>
      <c r="AY84" s="562"/>
      <c r="AZ84" s="562"/>
    </row>
    <row r="85" spans="37:52" x14ac:dyDescent="0.2">
      <c r="AK85" s="562"/>
      <c r="AL85" s="562"/>
      <c r="AM85" s="562"/>
      <c r="AN85" s="562"/>
      <c r="AO85" s="594"/>
      <c r="AP85" s="562"/>
      <c r="AQ85" s="562"/>
      <c r="AR85" s="562"/>
      <c r="AS85" s="562"/>
      <c r="AT85" s="562"/>
      <c r="AU85" s="562"/>
      <c r="AV85" s="562"/>
      <c r="AW85" s="562"/>
      <c r="AX85" s="562"/>
      <c r="AY85" s="562"/>
      <c r="AZ85" s="562"/>
    </row>
    <row r="86" spans="37:52" ht="15" customHeight="1" x14ac:dyDescent="0.2">
      <c r="AK86" s="562"/>
      <c r="AL86" s="562"/>
      <c r="AM86" s="562"/>
      <c r="AN86" s="562"/>
      <c r="AO86" s="594" t="str">
        <f>'Overview (Design)'!A16</f>
        <v>Single-Family or Multifamily:</v>
      </c>
      <c r="AP86" s="562" t="str">
        <f>'Overview (Design)'!G16</f>
        <v>Single-Family</v>
      </c>
      <c r="AQ86" s="562"/>
      <c r="AR86" s="562"/>
      <c r="AS86" s="562"/>
      <c r="AT86" s="562"/>
      <c r="AU86" s="562"/>
      <c r="AV86" s="562"/>
      <c r="AW86" s="562"/>
      <c r="AX86" s="562"/>
      <c r="AY86" s="562"/>
      <c r="AZ86" s="562"/>
    </row>
    <row r="87" spans="37:52" x14ac:dyDescent="0.2">
      <c r="AK87" s="562"/>
      <c r="AL87" s="562"/>
      <c r="AM87" s="562"/>
      <c r="AN87" s="562"/>
      <c r="AO87" s="594" t="str">
        <f>'Overview (Design)'!A17</f>
        <v>Number of Units:</v>
      </c>
      <c r="AP87" s="562">
        <f>'Overview (Design)'!G17</f>
        <v>0</v>
      </c>
      <c r="AQ87" s="562"/>
      <c r="AR87" s="562"/>
      <c r="AS87" s="562"/>
      <c r="AT87" s="562"/>
      <c r="AU87" s="562"/>
      <c r="AV87" s="562"/>
      <c r="AW87" s="562"/>
      <c r="AX87" s="562"/>
      <c r="AY87" s="562"/>
      <c r="AZ87" s="562"/>
    </row>
    <row r="88" spans="37:52" x14ac:dyDescent="0.2">
      <c r="AK88" s="562"/>
      <c r="AL88" s="562"/>
      <c r="AM88" s="562"/>
      <c r="AN88" s="562"/>
      <c r="AO88" s="594" t="str">
        <f>'Overview (Design)'!A18</f>
        <v>Project Name:</v>
      </c>
      <c r="AP88" s="562">
        <f>'Overview (Design)'!G18</f>
        <v>0</v>
      </c>
      <c r="AQ88" s="562"/>
      <c r="AR88" s="562"/>
      <c r="AS88" s="562"/>
      <c r="AT88" s="562"/>
      <c r="AU88" s="562"/>
      <c r="AV88" s="562"/>
      <c r="AW88" s="562"/>
      <c r="AX88" s="562"/>
      <c r="AY88" s="562"/>
      <c r="AZ88" s="562"/>
    </row>
    <row r="89" spans="37:52" x14ac:dyDescent="0.2">
      <c r="AK89" s="562"/>
      <c r="AL89" s="562"/>
      <c r="AM89" s="562"/>
      <c r="AN89" s="562"/>
      <c r="AO89" s="594"/>
      <c r="AP89" s="562"/>
      <c r="AQ89" s="562"/>
      <c r="AR89" s="562"/>
      <c r="AS89" s="562"/>
      <c r="AT89" s="562"/>
      <c r="AU89" s="562"/>
      <c r="AV89" s="562"/>
      <c r="AW89" s="562"/>
      <c r="AX89" s="562"/>
      <c r="AY89" s="562"/>
      <c r="AZ89" s="562"/>
    </row>
    <row r="90" spans="37:52" x14ac:dyDescent="0.2">
      <c r="AK90" s="562"/>
      <c r="AL90" s="562"/>
      <c r="AM90" s="562"/>
      <c r="AN90" s="562"/>
      <c r="AO90" s="594" t="str">
        <f>'Overview (Design)'!A21</f>
        <v>Above grade plane finished floor area:</v>
      </c>
      <c r="AP90" s="562">
        <f>'Overview (Design)'!G21</f>
        <v>0</v>
      </c>
      <c r="AQ90" s="562"/>
      <c r="AR90" s="562"/>
      <c r="AS90" s="562"/>
      <c r="AT90" s="562"/>
      <c r="AU90" s="562"/>
      <c r="AV90" s="562"/>
      <c r="AW90" s="562"/>
      <c r="AX90" s="562"/>
      <c r="AY90" s="562"/>
      <c r="AZ90" s="562"/>
    </row>
    <row r="91" spans="37:52" x14ac:dyDescent="0.2">
      <c r="AK91" s="562"/>
      <c r="AL91" s="562"/>
      <c r="AM91" s="562"/>
      <c r="AN91" s="562"/>
      <c r="AO91" s="594" t="str">
        <f>'Overview (Design)'!A22</f>
        <v>Total conditioned floor area:</v>
      </c>
      <c r="AP91" s="562">
        <f>'Overview (Design)'!G22</f>
        <v>0</v>
      </c>
      <c r="AQ91" s="562"/>
      <c r="AR91" s="562"/>
      <c r="AS91" s="562"/>
      <c r="AT91" s="562"/>
      <c r="AU91" s="562"/>
      <c r="AV91" s="562"/>
      <c r="AW91" s="562"/>
      <c r="AX91" s="562"/>
      <c r="AY91" s="562"/>
      <c r="AZ91" s="562"/>
    </row>
    <row r="92" spans="37:52" ht="15" customHeight="1" x14ac:dyDescent="0.2">
      <c r="AK92" s="562"/>
      <c r="AL92" s="562"/>
      <c r="AM92" s="562"/>
      <c r="AN92" s="562"/>
      <c r="AO92" s="594" t="str">
        <f>'Overview (Design)'!A23</f>
        <v>Stories above grade:</v>
      </c>
      <c r="AP92" s="562">
        <f>'Overview (Design)'!G23</f>
        <v>0</v>
      </c>
      <c r="AQ92" s="562"/>
      <c r="AR92" s="562"/>
      <c r="AS92" s="562"/>
      <c r="AT92" s="562"/>
      <c r="AU92" s="562"/>
      <c r="AV92" s="562"/>
      <c r="AW92" s="562"/>
      <c r="AX92" s="562"/>
      <c r="AY92" s="562"/>
      <c r="AZ92" s="562"/>
    </row>
    <row r="94" spans="37:52" ht="15" customHeight="1" x14ac:dyDescent="0.2">
      <c r="AK94" s="562"/>
      <c r="AL94" s="562"/>
      <c r="AM94" s="562"/>
      <c r="AN94" s="562"/>
      <c r="AO94" s="594" t="str">
        <f>'Overview (Design)'!A25</f>
        <v xml:space="preserve">Project Description (optional): </v>
      </c>
      <c r="AP94" s="562">
        <f>'Overview (Design)'!G25</f>
        <v>0</v>
      </c>
      <c r="AQ94" s="562"/>
      <c r="AR94" s="562"/>
      <c r="AS94" s="562"/>
      <c r="AT94" s="562"/>
      <c r="AU94" s="562"/>
      <c r="AV94" s="562"/>
      <c r="AW94" s="562"/>
      <c r="AX94" s="562"/>
      <c r="AY94" s="562"/>
      <c r="AZ94" s="562"/>
    </row>
    <row r="96" spans="37:52" ht="15" customHeight="1" x14ac:dyDescent="0.2">
      <c r="AK96" s="562"/>
      <c r="AL96" s="562"/>
      <c r="AM96" s="562"/>
      <c r="AN96" s="562"/>
      <c r="AO96" s="594" t="str">
        <f>'Overview (Design)'!A27</f>
        <v>HERS Index (if available):</v>
      </c>
      <c r="AP96" s="562">
        <f>'Overview (Design)'!G27</f>
        <v>0</v>
      </c>
      <c r="AQ96" s="562"/>
      <c r="AR96" s="562"/>
      <c r="AS96" s="562"/>
      <c r="AT96" s="562"/>
      <c r="AU96" s="562"/>
      <c r="AV96" s="562"/>
      <c r="AW96" s="562"/>
      <c r="AX96" s="562"/>
      <c r="AY96" s="562"/>
      <c r="AZ96" s="562"/>
    </row>
    <row r="97" spans="1:42" x14ac:dyDescent="0.2">
      <c r="B97" s="562"/>
      <c r="C97" s="562"/>
      <c r="D97" s="562"/>
      <c r="E97" s="562"/>
      <c r="F97" s="562"/>
      <c r="G97" s="562"/>
      <c r="H97" s="562"/>
      <c r="I97" s="562"/>
      <c r="J97" s="562"/>
      <c r="M97" s="648"/>
      <c r="N97" s="562"/>
      <c r="O97" s="562"/>
      <c r="P97" s="562"/>
      <c r="Q97" s="562"/>
      <c r="R97" s="562"/>
      <c r="S97" s="562"/>
      <c r="T97" s="562"/>
      <c r="U97" s="562"/>
      <c r="V97" s="562"/>
      <c r="W97" s="562"/>
      <c r="X97" s="562"/>
      <c r="Y97" s="562"/>
      <c r="Z97" s="562"/>
      <c r="AA97" s="562"/>
      <c r="AB97" s="562"/>
      <c r="AC97" s="562"/>
      <c r="AD97" s="562"/>
      <c r="AE97" s="562"/>
      <c r="AF97" s="562"/>
      <c r="AG97" s="562"/>
      <c r="AH97" s="562"/>
      <c r="AI97" s="562"/>
      <c r="AJ97" s="562"/>
      <c r="AK97" s="562"/>
      <c r="AL97" s="562"/>
      <c r="AM97" s="562"/>
      <c r="AN97" s="562"/>
      <c r="AO97" s="594" t="str">
        <f>'Overview (Design)'!A28</f>
        <v>Foundation Type:</v>
      </c>
      <c r="AP97" s="562">
        <f>'Overview (Design)'!G28</f>
        <v>0</v>
      </c>
    </row>
    <row r="98" spans="1:42" ht="15" customHeight="1" x14ac:dyDescent="0.2">
      <c r="B98" s="562"/>
      <c r="C98" s="562"/>
      <c r="D98" s="562"/>
      <c r="E98" s="562"/>
      <c r="F98" s="562"/>
      <c r="G98" s="562"/>
      <c r="H98" s="562"/>
      <c r="I98" s="562"/>
      <c r="J98" s="562"/>
      <c r="M98" s="648"/>
      <c r="N98" s="562"/>
      <c r="O98" s="562"/>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562"/>
      <c r="AM98" s="562"/>
      <c r="AN98" s="562"/>
      <c r="AO98" s="594"/>
      <c r="AP98" s="562"/>
    </row>
    <row r="99" spans="1:42" x14ac:dyDescent="0.2">
      <c r="B99" s="562"/>
      <c r="C99" s="562"/>
      <c r="D99" s="562"/>
      <c r="E99" s="562"/>
      <c r="F99" s="562"/>
      <c r="G99" s="562"/>
      <c r="H99" s="562"/>
      <c r="I99" s="562"/>
      <c r="J99" s="562"/>
      <c r="M99" s="648"/>
      <c r="N99" s="562"/>
      <c r="O99" s="562"/>
      <c r="P99" s="562"/>
      <c r="Q99" s="562"/>
      <c r="R99" s="562"/>
      <c r="S99" s="562"/>
      <c r="T99" s="562"/>
      <c r="U99" s="562"/>
      <c r="V99" s="562"/>
      <c r="W99" s="562"/>
      <c r="X99" s="562"/>
      <c r="Y99" s="562"/>
      <c r="Z99" s="562"/>
      <c r="AA99" s="562"/>
      <c r="AB99" s="562"/>
      <c r="AC99" s="562"/>
      <c r="AD99" s="562"/>
      <c r="AE99" s="562"/>
      <c r="AF99" s="562"/>
      <c r="AG99" s="562"/>
      <c r="AH99" s="562"/>
      <c r="AI99" s="562"/>
      <c r="AJ99" s="562"/>
      <c r="AK99" s="562"/>
      <c r="AL99" s="562"/>
      <c r="AM99" s="562"/>
      <c r="AN99" s="562"/>
      <c r="AO99" s="594" t="str">
        <f>'Overview (Design)'!A30</f>
        <v>Type of Heating System (main system):</v>
      </c>
      <c r="AP99" s="562">
        <f>'Overview (Design)'!G30</f>
        <v>0</v>
      </c>
    </row>
    <row r="100" spans="1:42" x14ac:dyDescent="0.2">
      <c r="B100" s="562"/>
      <c r="C100" s="562"/>
      <c r="D100" s="562"/>
      <c r="E100" s="562"/>
      <c r="F100" s="562"/>
      <c r="G100" s="562"/>
      <c r="H100" s="562"/>
      <c r="I100" s="562"/>
      <c r="J100" s="562"/>
      <c r="M100" s="648"/>
      <c r="N100" s="562"/>
      <c r="O100" s="562"/>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94" t="str">
        <f>'Overview (Design)'!A31</f>
        <v>Type of Heating System (system 2):</v>
      </c>
      <c r="AP100" s="562">
        <f>'Overview (Design)'!G31</f>
        <v>0</v>
      </c>
    </row>
    <row r="101" spans="1:42" ht="15" customHeight="1" x14ac:dyDescent="0.2">
      <c r="B101" s="562"/>
      <c r="C101" s="562"/>
      <c r="D101" s="562"/>
      <c r="E101" s="562"/>
      <c r="F101" s="562"/>
      <c r="G101" s="562"/>
      <c r="H101" s="562"/>
      <c r="I101" s="562"/>
      <c r="J101" s="562"/>
      <c r="M101" s="648"/>
      <c r="N101" s="562"/>
      <c r="O101" s="562"/>
      <c r="P101" s="562"/>
      <c r="Q101" s="562"/>
      <c r="R101" s="562"/>
      <c r="S101" s="562"/>
      <c r="T101" s="562"/>
      <c r="U101" s="562"/>
      <c r="V101" s="562"/>
      <c r="W101" s="562"/>
      <c r="X101" s="562"/>
      <c r="Y101" s="562"/>
      <c r="Z101" s="562"/>
      <c r="AA101" s="562"/>
      <c r="AB101" s="562"/>
      <c r="AC101" s="562"/>
      <c r="AD101" s="562"/>
      <c r="AE101" s="562"/>
      <c r="AF101" s="562"/>
      <c r="AG101" s="562"/>
      <c r="AH101" s="562"/>
      <c r="AI101" s="562"/>
      <c r="AJ101" s="562"/>
      <c r="AK101" s="562"/>
      <c r="AL101" s="562"/>
      <c r="AM101" s="562"/>
      <c r="AN101" s="562"/>
      <c r="AO101" s="594" t="str">
        <f>'Overview (Design)'!A32</f>
        <v>Type of Heating System (system 3):</v>
      </c>
      <c r="AP101" s="562">
        <f>'Overview (Design)'!G32</f>
        <v>0</v>
      </c>
    </row>
    <row r="102" spans="1:42" x14ac:dyDescent="0.2">
      <c r="B102" s="562"/>
      <c r="C102" s="562"/>
      <c r="D102" s="562"/>
      <c r="E102" s="562"/>
      <c r="F102" s="562"/>
      <c r="G102" s="562"/>
      <c r="H102" s="562"/>
      <c r="I102" s="562"/>
      <c r="J102" s="562"/>
      <c r="M102" s="648"/>
      <c r="N102" s="562"/>
      <c r="O102" s="562"/>
      <c r="P102" s="562"/>
      <c r="Q102" s="562"/>
      <c r="R102" s="562"/>
      <c r="S102" s="562"/>
      <c r="T102" s="562"/>
      <c r="U102" s="562"/>
      <c r="V102" s="562"/>
      <c r="W102" s="562"/>
      <c r="X102" s="562"/>
      <c r="Y102" s="562"/>
      <c r="Z102" s="562"/>
      <c r="AA102" s="562"/>
      <c r="AB102" s="562"/>
      <c r="AC102" s="562"/>
      <c r="AD102" s="562"/>
      <c r="AE102" s="562"/>
      <c r="AF102" s="562"/>
      <c r="AG102" s="562"/>
      <c r="AH102" s="562"/>
      <c r="AI102" s="562"/>
      <c r="AJ102" s="562"/>
      <c r="AK102" s="562"/>
      <c r="AL102" s="562"/>
      <c r="AM102" s="562"/>
      <c r="AN102" s="562"/>
      <c r="AO102" s="594" t="str">
        <f>'Overview (Design)'!A33</f>
        <v>Heating Fuel:</v>
      </c>
      <c r="AP102" s="562">
        <f>'Overview (Design)'!G33</f>
        <v>0</v>
      </c>
    </row>
    <row r="103" spans="1:42" ht="15" customHeight="1" x14ac:dyDescent="0.2">
      <c r="B103" s="562"/>
      <c r="C103" s="562"/>
      <c r="D103" s="562"/>
      <c r="E103" s="562"/>
      <c r="F103" s="562"/>
      <c r="G103" s="562"/>
      <c r="H103" s="562"/>
      <c r="I103" s="562"/>
      <c r="J103" s="562"/>
      <c r="M103" s="648"/>
      <c r="N103" s="562"/>
      <c r="O103" s="562"/>
      <c r="P103" s="562"/>
      <c r="Q103" s="562"/>
      <c r="R103" s="562"/>
      <c r="S103" s="562"/>
      <c r="T103" s="562"/>
      <c r="U103" s="562"/>
      <c r="V103" s="562"/>
      <c r="W103" s="562"/>
      <c r="X103" s="562"/>
      <c r="Y103" s="562"/>
      <c r="Z103" s="562"/>
      <c r="AA103" s="562"/>
      <c r="AB103" s="562"/>
      <c r="AC103" s="562"/>
      <c r="AD103" s="562"/>
      <c r="AE103" s="562"/>
      <c r="AF103" s="562"/>
      <c r="AG103" s="562"/>
      <c r="AH103" s="562"/>
      <c r="AI103" s="562"/>
      <c r="AJ103" s="562"/>
      <c r="AK103" s="562"/>
      <c r="AL103" s="562"/>
      <c r="AM103" s="562"/>
      <c r="AN103" s="562"/>
      <c r="AO103" s="594" t="str">
        <f>'Overview (Design)'!A34</f>
        <v>Heating Ducts:</v>
      </c>
      <c r="AP103" s="562">
        <f>'Overview (Design)'!G34</f>
        <v>0</v>
      </c>
    </row>
    <row r="104" spans="1:42" x14ac:dyDescent="0.2">
      <c r="B104" s="562"/>
      <c r="C104" s="562"/>
      <c r="D104" s="562"/>
      <c r="E104" s="562"/>
      <c r="F104" s="562"/>
      <c r="G104" s="562"/>
      <c r="H104" s="562"/>
      <c r="I104" s="562"/>
      <c r="J104" s="562"/>
      <c r="M104" s="648"/>
      <c r="N104" s="562"/>
      <c r="O104" s="562"/>
      <c r="P104" s="562"/>
      <c r="Q104" s="562"/>
      <c r="R104" s="562"/>
      <c r="S104" s="562"/>
      <c r="T104" s="562"/>
      <c r="U104" s="562"/>
      <c r="V104" s="562"/>
      <c r="W104" s="562"/>
      <c r="X104" s="562"/>
      <c r="Y104" s="562"/>
      <c r="Z104" s="562"/>
      <c r="AA104" s="562"/>
      <c r="AB104" s="562"/>
      <c r="AC104" s="562"/>
      <c r="AD104" s="562"/>
      <c r="AE104" s="562"/>
      <c r="AF104" s="562"/>
      <c r="AG104" s="562"/>
      <c r="AH104" s="562"/>
      <c r="AI104" s="562"/>
      <c r="AJ104" s="562"/>
      <c r="AK104" s="562"/>
      <c r="AL104" s="562"/>
      <c r="AM104" s="562"/>
      <c r="AN104" s="562"/>
      <c r="AO104" s="594" t="str">
        <f>'Overview (Design)'!A35</f>
        <v>Type of Cooling System (main system):</v>
      </c>
      <c r="AP104" s="562">
        <f>'Overview (Design)'!G35</f>
        <v>0</v>
      </c>
    </row>
    <row r="105" spans="1:42" s="101" customFormat="1" x14ac:dyDescent="0.2">
      <c r="A105" s="13"/>
      <c r="B105" s="562"/>
      <c r="C105" s="562"/>
      <c r="D105" s="562"/>
      <c r="E105" s="562"/>
      <c r="F105" s="562"/>
      <c r="G105" s="562"/>
      <c r="H105" s="562"/>
      <c r="I105" s="562"/>
      <c r="J105" s="562"/>
      <c r="K105" s="42"/>
      <c r="L105" s="42"/>
      <c r="M105" s="648"/>
      <c r="N105" s="562"/>
      <c r="O105" s="562"/>
      <c r="P105" s="562"/>
      <c r="Q105" s="562"/>
      <c r="R105" s="562"/>
      <c r="S105" s="562"/>
      <c r="T105" s="562"/>
      <c r="U105" s="562"/>
      <c r="V105" s="562"/>
      <c r="W105" s="562"/>
      <c r="X105" s="562"/>
      <c r="Y105" s="562"/>
      <c r="Z105" s="562"/>
      <c r="AA105" s="562"/>
      <c r="AB105" s="562"/>
      <c r="AC105" s="562"/>
      <c r="AD105" s="562"/>
      <c r="AE105" s="562"/>
      <c r="AF105" s="562"/>
      <c r="AG105" s="562"/>
      <c r="AH105" s="562"/>
      <c r="AI105" s="562"/>
      <c r="AJ105" s="562"/>
      <c r="AK105" s="562"/>
      <c r="AL105" s="562"/>
      <c r="AM105" s="562"/>
      <c r="AN105" s="562"/>
      <c r="AO105" s="594" t="str">
        <f>'Overview (Design)'!A36</f>
        <v>Type of Cooling System (system 2):</v>
      </c>
      <c r="AP105" s="562">
        <f>'Overview (Design)'!G36</f>
        <v>0</v>
      </c>
    </row>
    <row r="106" spans="1:42" x14ac:dyDescent="0.2">
      <c r="B106" s="562"/>
      <c r="C106" s="562"/>
      <c r="D106" s="562"/>
      <c r="E106" s="562"/>
      <c r="F106" s="562"/>
      <c r="G106" s="562"/>
      <c r="H106" s="562"/>
      <c r="I106" s="562"/>
      <c r="J106" s="562"/>
      <c r="M106" s="648"/>
      <c r="N106" s="562"/>
      <c r="O106" s="562"/>
      <c r="P106" s="562"/>
      <c r="Q106" s="562"/>
      <c r="R106" s="562"/>
      <c r="S106" s="562"/>
      <c r="T106" s="562"/>
      <c r="U106" s="562"/>
      <c r="V106" s="562"/>
      <c r="W106" s="562"/>
      <c r="X106" s="562"/>
      <c r="Y106" s="562"/>
      <c r="Z106" s="562"/>
      <c r="AA106" s="562"/>
      <c r="AB106" s="562"/>
      <c r="AC106" s="562"/>
      <c r="AD106" s="562"/>
      <c r="AE106" s="562"/>
      <c r="AF106" s="562"/>
      <c r="AG106" s="562"/>
      <c r="AH106" s="562"/>
      <c r="AI106" s="562"/>
      <c r="AJ106" s="562"/>
      <c r="AK106" s="562"/>
      <c r="AL106" s="562"/>
      <c r="AM106" s="562"/>
      <c r="AN106" s="562"/>
      <c r="AO106" s="594" t="str">
        <f>'Overview (Design)'!A37</f>
        <v>Type of Cooling System (system 3):</v>
      </c>
      <c r="AP106" s="562">
        <f>'Overview (Design)'!G37</f>
        <v>0</v>
      </c>
    </row>
    <row r="107" spans="1:42" x14ac:dyDescent="0.2">
      <c r="B107" s="562"/>
      <c r="C107" s="562"/>
      <c r="D107" s="562"/>
      <c r="E107" s="562"/>
      <c r="F107" s="562"/>
      <c r="G107" s="562"/>
      <c r="H107" s="562"/>
      <c r="I107" s="562"/>
      <c r="J107" s="562"/>
      <c r="M107" s="648"/>
      <c r="N107" s="562"/>
      <c r="O107" s="562"/>
      <c r="P107" s="562"/>
      <c r="Q107" s="562"/>
      <c r="R107" s="562"/>
      <c r="S107" s="562"/>
      <c r="T107" s="562"/>
      <c r="U107" s="562"/>
      <c r="V107" s="562"/>
      <c r="W107" s="562"/>
      <c r="X107" s="562"/>
      <c r="Y107" s="562"/>
      <c r="Z107" s="562"/>
      <c r="AA107" s="562"/>
      <c r="AB107" s="562"/>
      <c r="AC107" s="562"/>
      <c r="AD107" s="562"/>
      <c r="AE107" s="562"/>
      <c r="AF107" s="562"/>
      <c r="AG107" s="562"/>
      <c r="AH107" s="562"/>
      <c r="AI107" s="562"/>
      <c r="AJ107" s="562"/>
      <c r="AK107" s="562"/>
      <c r="AL107" s="562"/>
      <c r="AM107" s="562"/>
      <c r="AN107" s="562"/>
      <c r="AO107" s="594" t="str">
        <f>'Overview (Design)'!A38</f>
        <v>Cooling Ducts:</v>
      </c>
      <c r="AP107" s="562">
        <f>'Overview (Design)'!G38</f>
        <v>0</v>
      </c>
    </row>
    <row r="108" spans="1:42" ht="15" customHeight="1" x14ac:dyDescent="0.2">
      <c r="B108" s="562"/>
      <c r="C108" s="562"/>
      <c r="D108" s="562"/>
      <c r="E108" s="562"/>
      <c r="F108" s="562"/>
      <c r="G108" s="562"/>
      <c r="H108" s="562"/>
      <c r="I108" s="562"/>
      <c r="J108" s="562"/>
      <c r="M108" s="648"/>
      <c r="N108" s="562"/>
      <c r="O108" s="562"/>
      <c r="P108" s="562"/>
      <c r="Q108" s="562"/>
      <c r="R108" s="562"/>
      <c r="S108" s="562"/>
      <c r="T108" s="562"/>
      <c r="U108" s="562"/>
      <c r="V108" s="562"/>
      <c r="W108" s="562"/>
      <c r="X108" s="562"/>
      <c r="Y108" s="562"/>
      <c r="Z108" s="562"/>
      <c r="AA108" s="562"/>
      <c r="AB108" s="562"/>
      <c r="AC108" s="562"/>
      <c r="AD108" s="562"/>
      <c r="AE108" s="562"/>
      <c r="AF108" s="562"/>
      <c r="AG108" s="562"/>
      <c r="AH108" s="562"/>
      <c r="AI108" s="562"/>
      <c r="AJ108" s="562"/>
      <c r="AK108" s="562"/>
      <c r="AL108" s="562"/>
      <c r="AM108" s="562"/>
      <c r="AN108" s="562"/>
      <c r="AO108" s="594">
        <f>'Overview (Design)'!A39</f>
        <v>0</v>
      </c>
      <c r="AP108" s="562">
        <f>'Overview (Design)'!G39</f>
        <v>0</v>
      </c>
    </row>
    <row r="109" spans="1:42" x14ac:dyDescent="0.2">
      <c r="B109" s="562"/>
      <c r="C109" s="562"/>
      <c r="D109" s="562"/>
      <c r="E109" s="562"/>
      <c r="F109" s="562"/>
      <c r="G109" s="562"/>
      <c r="H109" s="562"/>
      <c r="I109" s="562"/>
      <c r="J109" s="562"/>
      <c r="M109" s="648"/>
      <c r="N109" s="562"/>
      <c r="O109" s="562"/>
      <c r="P109" s="562"/>
      <c r="Q109" s="562"/>
      <c r="R109" s="562"/>
      <c r="S109" s="562"/>
      <c r="T109" s="562"/>
      <c r="U109" s="562"/>
      <c r="V109" s="562"/>
      <c r="W109" s="562"/>
      <c r="X109" s="562"/>
      <c r="Y109" s="562"/>
      <c r="Z109" s="562"/>
      <c r="AA109" s="562"/>
      <c r="AB109" s="562"/>
      <c r="AC109" s="562"/>
      <c r="AD109" s="562"/>
      <c r="AE109" s="562"/>
      <c r="AF109" s="562"/>
      <c r="AG109" s="562"/>
      <c r="AH109" s="562"/>
      <c r="AI109" s="562"/>
      <c r="AJ109" s="562"/>
      <c r="AK109" s="562"/>
      <c r="AL109" s="562"/>
      <c r="AM109" s="562"/>
      <c r="AN109" s="562"/>
      <c r="AO109" s="594" t="str">
        <f>'Overview (Design)'!A40</f>
        <v>Maximum window and door SHGC:</v>
      </c>
      <c r="AP109" s="562">
        <f>'Overview (Design)'!G40</f>
        <v>0</v>
      </c>
    </row>
    <row r="110" spans="1:42" x14ac:dyDescent="0.2">
      <c r="B110" s="562"/>
      <c r="C110" s="562"/>
      <c r="D110" s="562"/>
      <c r="E110" s="562"/>
      <c r="F110" s="562"/>
      <c r="G110" s="562"/>
      <c r="H110" s="562"/>
      <c r="I110" s="562"/>
      <c r="J110" s="562"/>
      <c r="M110" s="648"/>
      <c r="N110" s="562"/>
      <c r="O110" s="562"/>
      <c r="P110" s="562"/>
      <c r="Q110" s="562"/>
      <c r="R110" s="562"/>
      <c r="S110" s="562"/>
      <c r="T110" s="562"/>
      <c r="U110" s="562"/>
      <c r="V110" s="562"/>
      <c r="W110" s="562"/>
      <c r="X110" s="562"/>
      <c r="Y110" s="562"/>
      <c r="Z110" s="562"/>
      <c r="AA110" s="562"/>
      <c r="AB110" s="562"/>
      <c r="AC110" s="562"/>
      <c r="AD110" s="562"/>
      <c r="AE110" s="562"/>
      <c r="AF110" s="562"/>
      <c r="AG110" s="562"/>
      <c r="AH110" s="562"/>
      <c r="AI110" s="562"/>
      <c r="AJ110" s="562"/>
      <c r="AK110" s="562"/>
      <c r="AL110" s="562"/>
      <c r="AM110" s="562"/>
      <c r="AN110" s="562"/>
      <c r="AO110" s="594" t="str">
        <f>'Overview (Design)'!A41</f>
        <v>Maximum skylight SHGC:</v>
      </c>
      <c r="AP110" s="562">
        <f>'Overview (Design)'!G41</f>
        <v>0</v>
      </c>
    </row>
    <row r="111" spans="1:42" ht="15.75" customHeight="1" x14ac:dyDescent="0.2">
      <c r="B111" s="562"/>
      <c r="C111" s="562"/>
      <c r="D111" s="562"/>
      <c r="E111" s="562"/>
      <c r="F111" s="562"/>
      <c r="G111" s="562"/>
      <c r="H111" s="562"/>
      <c r="I111" s="562"/>
      <c r="J111" s="562"/>
      <c r="M111" s="648"/>
      <c r="N111" s="562"/>
      <c r="O111" s="562"/>
      <c r="P111" s="562"/>
      <c r="Q111" s="562"/>
      <c r="R111" s="562"/>
      <c r="S111" s="562"/>
      <c r="T111" s="562"/>
      <c r="U111" s="562"/>
      <c r="V111" s="562"/>
      <c r="W111" s="562"/>
      <c r="X111" s="562"/>
      <c r="Y111" s="562"/>
      <c r="Z111" s="562"/>
      <c r="AA111" s="562"/>
      <c r="AB111" s="562"/>
      <c r="AC111" s="562"/>
      <c r="AD111" s="562"/>
      <c r="AE111" s="562"/>
      <c r="AF111" s="562"/>
      <c r="AG111" s="562"/>
      <c r="AH111" s="562"/>
      <c r="AI111" s="562"/>
      <c r="AJ111" s="562"/>
      <c r="AK111" s="562"/>
      <c r="AL111" s="562"/>
      <c r="AM111" s="562"/>
      <c r="AN111" s="562"/>
      <c r="AO111" s="594" t="str">
        <f>'Overview (Design)'!A42</f>
        <v>Maximum window and door U-value:</v>
      </c>
      <c r="AP111" s="562">
        <f>'Overview (Design)'!G42</f>
        <v>0</v>
      </c>
    </row>
    <row r="112" spans="1:42" x14ac:dyDescent="0.2">
      <c r="B112" s="562"/>
      <c r="C112" s="562"/>
      <c r="D112" s="562"/>
      <c r="E112" s="562"/>
      <c r="F112" s="562"/>
      <c r="G112" s="562"/>
      <c r="H112" s="562"/>
      <c r="I112" s="562"/>
      <c r="J112" s="562"/>
      <c r="M112" s="648"/>
      <c r="N112" s="562"/>
      <c r="O112" s="562"/>
      <c r="P112" s="562"/>
      <c r="Q112" s="562"/>
      <c r="R112" s="562"/>
      <c r="S112" s="562"/>
      <c r="T112" s="562"/>
      <c r="U112" s="562"/>
      <c r="V112" s="562"/>
      <c r="W112" s="562"/>
      <c r="X112" s="562"/>
      <c r="Y112" s="562"/>
      <c r="Z112" s="562"/>
      <c r="AA112" s="562"/>
      <c r="AB112" s="562"/>
      <c r="AC112" s="562"/>
      <c r="AD112" s="562"/>
      <c r="AE112" s="562"/>
      <c r="AF112" s="562"/>
      <c r="AG112" s="562"/>
      <c r="AH112" s="562"/>
      <c r="AI112" s="562"/>
      <c r="AJ112" s="562"/>
      <c r="AK112" s="562"/>
      <c r="AL112" s="562"/>
      <c r="AM112" s="562"/>
      <c r="AN112" s="562"/>
      <c r="AO112" s="594" t="str">
        <f>'Overview (Design)'!A43</f>
        <v>Maximum skylight U-value:</v>
      </c>
      <c r="AP112" s="562">
        <f>'Overview (Design)'!G43</f>
        <v>0</v>
      </c>
    </row>
    <row r="113" spans="37:42" x14ac:dyDescent="0.2">
      <c r="AK113" s="562"/>
      <c r="AL113" s="562"/>
      <c r="AM113" s="562"/>
      <c r="AN113" s="562"/>
      <c r="AO113" s="594" t="str">
        <f>'Overview (Design)'!A44</f>
        <v>Renewable Energy:</v>
      </c>
      <c r="AP113" s="562">
        <f>'Overview (Design)'!G44</f>
        <v>0</v>
      </c>
    </row>
    <row r="114" spans="37:42" ht="15" customHeight="1" x14ac:dyDescent="0.2">
      <c r="AK114" s="562"/>
      <c r="AL114" s="562"/>
      <c r="AM114" s="562"/>
      <c r="AN114" s="562"/>
      <c r="AO114" s="594" t="str">
        <f>'Overview (Design)'!A45</f>
        <v>Thermal Envelope Insulation:</v>
      </c>
      <c r="AP114" s="562">
        <f>'Overview (Design)'!G45</f>
        <v>0</v>
      </c>
    </row>
    <row r="115" spans="37:42" x14ac:dyDescent="0.2">
      <c r="AK115" s="562"/>
      <c r="AL115" s="562"/>
      <c r="AM115" s="562"/>
      <c r="AN115" s="562"/>
      <c r="AO115" s="594" t="str">
        <f>'Overview (Design)'!A46</f>
        <v>Attic Type:</v>
      </c>
      <c r="AP115" s="562">
        <f>'Overview (Design)'!G46</f>
        <v>0</v>
      </c>
    </row>
    <row r="116" spans="37:42" ht="15" customHeight="1" x14ac:dyDescent="0.2">
      <c r="AK116" s="562"/>
      <c r="AL116" s="562"/>
      <c r="AM116" s="562"/>
      <c r="AN116" s="562"/>
      <c r="AO116" s="594" t="str">
        <f>'Overview (Design)'!A47</f>
        <v>Attached Garage:</v>
      </c>
      <c r="AP116" s="562">
        <f>'Overview (Design)'!G47</f>
        <v>0</v>
      </c>
    </row>
    <row r="117" spans="37:42" x14ac:dyDescent="0.2">
      <c r="AK117" s="562"/>
      <c r="AL117" s="562"/>
      <c r="AM117" s="562"/>
      <c r="AN117" s="562"/>
      <c r="AO117" s="594" t="str">
        <f>'Overview (Design)'!A48</f>
        <v>Recessed Lighting:</v>
      </c>
      <c r="AP117" s="562">
        <f>'Overview (Design)'!G48</f>
        <v>0</v>
      </c>
    </row>
    <row r="118" spans="37:42" ht="15" customHeight="1" x14ac:dyDescent="0.2">
      <c r="AK118" s="562"/>
      <c r="AL118" s="562"/>
      <c r="AM118" s="562"/>
      <c r="AN118" s="562"/>
      <c r="AO118" s="594"/>
      <c r="AP118" s="562"/>
    </row>
    <row r="119" spans="37:42" x14ac:dyDescent="0.2">
      <c r="AK119" s="562"/>
      <c r="AL119" s="562"/>
      <c r="AM119" s="562"/>
      <c r="AN119" s="562"/>
      <c r="AO119" s="594" t="str">
        <f>'Overview (Design)'!A50</f>
        <v>Special Design Features:</v>
      </c>
      <c r="AP119" s="562">
        <f>'Overview (Design)'!G50</f>
        <v>0</v>
      </c>
    </row>
    <row r="120" spans="37:42" x14ac:dyDescent="0.2">
      <c r="AK120" s="562"/>
      <c r="AL120" s="562"/>
      <c r="AM120" s="562"/>
      <c r="AN120" s="562"/>
      <c r="AO120" s="594" t="str">
        <f>'Overview (Design)'!A51</f>
        <v>Passive Solar:</v>
      </c>
      <c r="AP120" s="562">
        <f>'Overview (Design)'!G51</f>
        <v>0</v>
      </c>
    </row>
    <row r="121" spans="37:42" ht="15" customHeight="1" x14ac:dyDescent="0.2">
      <c r="AK121" s="562"/>
      <c r="AL121" s="562"/>
      <c r="AM121" s="562"/>
      <c r="AN121" s="562"/>
      <c r="AO121" s="594" t="str">
        <f>'Overview (Design)'!A52</f>
        <v>Mass Walls:</v>
      </c>
      <c r="AP121" s="562">
        <f>'Overview (Design)'!G52</f>
        <v>0</v>
      </c>
    </row>
    <row r="122" spans="37:42" x14ac:dyDescent="0.2">
      <c r="AK122" s="562"/>
      <c r="AL122" s="562"/>
      <c r="AM122" s="562"/>
      <c r="AN122" s="562"/>
      <c r="AO122" s="594" t="str">
        <f>'Overview (Design)'!A53</f>
        <v>Ductless:</v>
      </c>
      <c r="AP122" s="562">
        <f>'Overview (Design)'!G53</f>
        <v>0</v>
      </c>
    </row>
    <row r="123" spans="37:42" ht="15" customHeight="1" x14ac:dyDescent="0.2">
      <c r="AK123" s="562"/>
      <c r="AL123" s="562"/>
      <c r="AM123" s="562"/>
      <c r="AN123" s="562"/>
      <c r="AO123" s="594" t="str">
        <f>'Overview (Design)'!A54</f>
        <v>Radiant/Hydronic:</v>
      </c>
      <c r="AP123" s="562">
        <f>'Overview (Design)'!G54</f>
        <v>0</v>
      </c>
    </row>
    <row r="124" spans="37:42" x14ac:dyDescent="0.2">
      <c r="AK124" s="562"/>
      <c r="AL124" s="562"/>
      <c r="AM124" s="562"/>
      <c r="AN124" s="562"/>
      <c r="AO124" s="594" t="str">
        <f>'Overview (Design)'!A55</f>
        <v>Tankless Water Heater:</v>
      </c>
      <c r="AP124" s="562">
        <f>'Overview (Design)'!G55</f>
        <v>0</v>
      </c>
    </row>
    <row r="125" spans="37:42" x14ac:dyDescent="0.2">
      <c r="AK125" s="562"/>
      <c r="AL125" s="562"/>
      <c r="AM125" s="562"/>
      <c r="AN125" s="562"/>
      <c r="AO125" s="594" t="str">
        <f>'Overview (Design)'!A56</f>
        <v>Composting Toilet:</v>
      </c>
      <c r="AP125" s="562">
        <f>'Overview (Design)'!G56</f>
        <v>0</v>
      </c>
    </row>
    <row r="126" spans="37:42" x14ac:dyDescent="0.2">
      <c r="AK126" s="562"/>
      <c r="AL126" s="562"/>
      <c r="AM126" s="562"/>
      <c r="AN126" s="562"/>
      <c r="AO126" s="594"/>
      <c r="AP126" s="562"/>
    </row>
    <row r="127" spans="37:42" ht="15" customHeight="1" x14ac:dyDescent="0.2">
      <c r="AK127" s="562"/>
      <c r="AL127" s="562"/>
      <c r="AM127" s="562"/>
      <c r="AN127" s="562"/>
      <c r="AO127" s="594" t="str">
        <f>'Overview (Design)'!A58</f>
        <v>Local Energy Code:</v>
      </c>
      <c r="AP127" s="562">
        <f>'Overview (Design)'!G58</f>
        <v>0</v>
      </c>
    </row>
    <row r="128" spans="37:42" x14ac:dyDescent="0.2">
      <c r="AK128" s="562"/>
      <c r="AL128" s="562"/>
      <c r="AM128" s="562"/>
      <c r="AN128" s="562"/>
      <c r="AO128" s="594" t="str">
        <f>'Overview (Design)'!A59</f>
        <v>Local Building Code:</v>
      </c>
      <c r="AP128" s="562">
        <f>'Overview (Design)'!G59</f>
        <v>0</v>
      </c>
    </row>
    <row r="130" spans="41:42" ht="15" customHeight="1" x14ac:dyDescent="0.2">
      <c r="AO130" s="562"/>
      <c r="AP130" s="562"/>
    </row>
    <row r="131" spans="41:42" ht="15" customHeight="1" x14ac:dyDescent="0.2">
      <c r="AO131" s="562"/>
      <c r="AP131" s="562"/>
    </row>
    <row r="135" spans="41:42" ht="15" customHeight="1" x14ac:dyDescent="0.2">
      <c r="AO135" s="562"/>
      <c r="AP135" s="562"/>
    </row>
    <row r="138" spans="41:42" ht="15" customHeight="1" x14ac:dyDescent="0.2">
      <c r="AO138" s="562"/>
      <c r="AP138" s="562"/>
    </row>
    <row r="140" spans="41:42" ht="15" customHeight="1" x14ac:dyDescent="0.2">
      <c r="AO140" s="562"/>
      <c r="AP140" s="562"/>
    </row>
    <row r="141" spans="41:42" ht="15" customHeight="1" x14ac:dyDescent="0.2">
      <c r="AO141" s="562"/>
      <c r="AP141" s="562"/>
    </row>
    <row r="144" spans="41:42" x14ac:dyDescent="0.2">
      <c r="AO144" s="64"/>
      <c r="AP144" s="64"/>
    </row>
    <row r="145" spans="1:42" s="120" customFormat="1" ht="15" customHeight="1" x14ac:dyDescent="0.2">
      <c r="A145" s="13"/>
      <c r="B145" s="562"/>
      <c r="C145" s="562"/>
      <c r="D145" s="562"/>
      <c r="E145" s="562"/>
      <c r="F145" s="562"/>
      <c r="G145" s="562"/>
      <c r="H145" s="562"/>
      <c r="I145" s="562"/>
      <c r="J145" s="562"/>
      <c r="K145" s="42"/>
      <c r="L145" s="42"/>
      <c r="M145" s="648"/>
      <c r="N145" s="562"/>
      <c r="O145" s="562"/>
      <c r="P145" s="562"/>
      <c r="Q145" s="562"/>
      <c r="R145" s="562"/>
      <c r="S145" s="562"/>
      <c r="T145" s="562"/>
      <c r="U145" s="562"/>
      <c r="V145" s="562"/>
      <c r="W145" s="562"/>
      <c r="X145" s="562"/>
      <c r="Y145" s="562"/>
      <c r="Z145" s="562"/>
      <c r="AA145" s="562"/>
      <c r="AB145" s="562"/>
      <c r="AC145" s="562"/>
      <c r="AD145" s="562"/>
      <c r="AE145" s="562"/>
      <c r="AF145" s="562"/>
      <c r="AG145" s="562"/>
      <c r="AH145" s="562"/>
      <c r="AI145" s="562"/>
      <c r="AJ145" s="562"/>
      <c r="AK145" s="562"/>
      <c r="AL145" s="562"/>
      <c r="AM145" s="562"/>
      <c r="AN145" s="562"/>
      <c r="AO145" s="562"/>
      <c r="AP145" s="562"/>
    </row>
    <row r="147" spans="1:42" x14ac:dyDescent="0.2">
      <c r="B147" s="562"/>
      <c r="C147" s="562"/>
      <c r="D147" s="562"/>
      <c r="E147" s="562"/>
      <c r="F147" s="562"/>
      <c r="G147" s="562"/>
      <c r="H147" s="562"/>
      <c r="I147" s="562"/>
      <c r="J147" s="562"/>
      <c r="M147" s="648"/>
      <c r="N147" s="562"/>
      <c r="O147" s="562"/>
      <c r="P147" s="562"/>
      <c r="Q147" s="562"/>
      <c r="R147" s="562"/>
      <c r="S147" s="562"/>
      <c r="T147" s="562"/>
      <c r="U147" s="562"/>
      <c r="V147" s="562"/>
      <c r="W147" s="562"/>
      <c r="X147" s="562"/>
      <c r="Y147" s="562"/>
      <c r="Z147" s="562"/>
      <c r="AA147" s="562"/>
      <c r="AB147" s="562"/>
      <c r="AC147" s="562"/>
      <c r="AD147" s="562"/>
      <c r="AE147" s="562"/>
      <c r="AF147" s="562"/>
      <c r="AG147" s="562"/>
      <c r="AH147" s="562"/>
      <c r="AI147" s="562"/>
      <c r="AJ147" s="562"/>
      <c r="AK147" s="562"/>
      <c r="AL147" s="562"/>
      <c r="AM147" s="562"/>
      <c r="AN147" s="562"/>
      <c r="AO147" s="562"/>
      <c r="AP147" s="562"/>
    </row>
    <row r="148" spans="1:42" s="64" customFormat="1" ht="15.75" customHeight="1" x14ac:dyDescent="0.2">
      <c r="A148" s="13"/>
      <c r="B148" s="562"/>
      <c r="C148" s="562"/>
      <c r="D148" s="562"/>
      <c r="E148" s="562"/>
      <c r="F148" s="562"/>
      <c r="G148" s="562"/>
      <c r="H148" s="562"/>
      <c r="I148" s="562"/>
      <c r="J148" s="562"/>
      <c r="K148" s="42"/>
      <c r="L148" s="42"/>
      <c r="M148" s="648"/>
      <c r="N148" s="562"/>
      <c r="O148" s="562"/>
      <c r="P148" s="562"/>
      <c r="Q148" s="562"/>
      <c r="R148" s="562"/>
      <c r="S148" s="562"/>
      <c r="T148" s="562"/>
      <c r="U148" s="562"/>
      <c r="V148" s="562"/>
      <c r="W148" s="562"/>
      <c r="X148" s="562"/>
      <c r="Y148" s="562"/>
      <c r="Z148" s="562"/>
      <c r="AA148" s="562"/>
      <c r="AB148" s="562"/>
      <c r="AC148" s="562"/>
      <c r="AD148" s="562"/>
      <c r="AE148" s="562"/>
      <c r="AF148" s="562"/>
      <c r="AG148" s="562"/>
      <c r="AH148" s="562"/>
      <c r="AI148" s="562"/>
      <c r="AJ148" s="562"/>
      <c r="AK148" s="562"/>
      <c r="AL148" s="562"/>
      <c r="AO148" s="562"/>
      <c r="AP148" s="562"/>
    </row>
    <row r="150" spans="1:42" ht="15" customHeight="1" x14ac:dyDescent="0.2">
      <c r="B150" s="562"/>
      <c r="C150" s="562"/>
      <c r="D150" s="562"/>
      <c r="E150" s="562"/>
      <c r="F150" s="562"/>
      <c r="G150" s="562"/>
      <c r="H150" s="562"/>
      <c r="I150" s="562"/>
      <c r="J150" s="562"/>
      <c r="M150" s="648"/>
      <c r="N150" s="562"/>
      <c r="O150" s="562"/>
      <c r="P150" s="562"/>
      <c r="Q150" s="562"/>
      <c r="R150" s="562"/>
      <c r="S150" s="562"/>
      <c r="T150" s="562"/>
      <c r="U150" s="562"/>
      <c r="V150" s="562"/>
      <c r="W150" s="562"/>
      <c r="X150" s="562"/>
      <c r="Y150" s="562"/>
      <c r="Z150" s="562"/>
      <c r="AA150" s="562"/>
      <c r="AB150" s="562"/>
      <c r="AC150" s="562"/>
      <c r="AD150" s="562"/>
      <c r="AE150" s="562"/>
      <c r="AF150" s="562"/>
      <c r="AG150" s="562"/>
      <c r="AH150" s="562"/>
      <c r="AI150" s="562"/>
      <c r="AJ150" s="562"/>
      <c r="AK150" s="562"/>
      <c r="AL150" s="562"/>
      <c r="AM150" s="562"/>
      <c r="AN150" s="562"/>
      <c r="AO150" s="562"/>
      <c r="AP150" s="562"/>
    </row>
    <row r="152" spans="1:42" ht="15" customHeight="1" x14ac:dyDescent="0.2">
      <c r="B152" s="562"/>
      <c r="C152" s="562"/>
      <c r="D152" s="562"/>
      <c r="E152" s="562"/>
      <c r="F152" s="562"/>
      <c r="G152" s="562"/>
      <c r="H152" s="562"/>
      <c r="I152" s="562"/>
      <c r="J152" s="562"/>
      <c r="M152" s="648"/>
      <c r="N152" s="562"/>
      <c r="O152" s="562"/>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c r="AN152" s="562"/>
      <c r="AO152" s="562"/>
      <c r="AP152" s="562"/>
    </row>
    <row r="155" spans="1:42" ht="15" customHeight="1" x14ac:dyDescent="0.2">
      <c r="B155" s="562"/>
      <c r="C155" s="562"/>
      <c r="D155" s="562"/>
      <c r="E155" s="562"/>
      <c r="F155" s="562"/>
      <c r="G155" s="562"/>
      <c r="H155" s="562"/>
      <c r="I155" s="562"/>
      <c r="J155" s="562"/>
      <c r="M155" s="648"/>
      <c r="N155" s="562"/>
      <c r="O155" s="562"/>
      <c r="P155" s="562"/>
      <c r="Q155" s="562"/>
      <c r="R155" s="562"/>
      <c r="S155" s="562"/>
      <c r="T155" s="562"/>
      <c r="U155" s="562"/>
      <c r="V155" s="562"/>
      <c r="W155" s="562"/>
      <c r="X155" s="562"/>
      <c r="Y155" s="562"/>
      <c r="Z155" s="562"/>
      <c r="AA155" s="562"/>
      <c r="AB155" s="562"/>
      <c r="AC155" s="562"/>
      <c r="AD155" s="562"/>
      <c r="AE155" s="562"/>
      <c r="AF155" s="562"/>
      <c r="AG155" s="562"/>
      <c r="AH155" s="562"/>
      <c r="AI155" s="562"/>
      <c r="AJ155" s="562"/>
      <c r="AK155" s="562"/>
      <c r="AL155" s="562"/>
      <c r="AM155" s="562"/>
      <c r="AN155" s="562"/>
      <c r="AO155" s="562"/>
      <c r="AP155" s="562"/>
    </row>
    <row r="159" spans="1:42" ht="15" customHeight="1" x14ac:dyDescent="0.2">
      <c r="B159" s="562"/>
      <c r="C159" s="562"/>
      <c r="D159" s="562"/>
      <c r="E159" s="562"/>
      <c r="F159" s="562"/>
      <c r="G159" s="562"/>
      <c r="H159" s="562"/>
      <c r="I159" s="562"/>
      <c r="J159" s="562"/>
      <c r="M159" s="648"/>
      <c r="N159" s="562"/>
      <c r="O159" s="562"/>
      <c r="P159" s="562"/>
      <c r="Q159" s="562"/>
      <c r="R159" s="562"/>
      <c r="S159" s="562"/>
      <c r="T159" s="562"/>
      <c r="U159" s="562"/>
      <c r="V159" s="562"/>
      <c r="W159" s="562"/>
      <c r="X159" s="562"/>
      <c r="Y159" s="562"/>
      <c r="Z159" s="562"/>
      <c r="AA159" s="562"/>
      <c r="AB159" s="562"/>
      <c r="AC159" s="562"/>
      <c r="AD159" s="562"/>
      <c r="AE159" s="562"/>
      <c r="AF159" s="562"/>
      <c r="AG159" s="562"/>
      <c r="AH159" s="562"/>
      <c r="AI159" s="562"/>
      <c r="AJ159" s="562"/>
      <c r="AK159" s="562"/>
      <c r="AL159" s="562"/>
      <c r="AM159" s="562"/>
      <c r="AN159" s="562"/>
      <c r="AO159" s="562"/>
      <c r="AP159" s="562"/>
    </row>
    <row r="161" spans="41:42" ht="15" customHeight="1" x14ac:dyDescent="0.2">
      <c r="AO161" s="562"/>
      <c r="AP161" s="562"/>
    </row>
    <row r="162" spans="41:42" ht="15" customHeight="1" x14ac:dyDescent="0.2">
      <c r="AO162" s="562"/>
      <c r="AP162" s="562"/>
    </row>
    <row r="165" spans="41:42" ht="15" customHeight="1" x14ac:dyDescent="0.2">
      <c r="AO165" s="562"/>
      <c r="AP165" s="562"/>
    </row>
    <row r="169" spans="41:42" ht="15" customHeight="1" x14ac:dyDescent="0.2">
      <c r="AO169" s="562"/>
      <c r="AP169" s="562"/>
    </row>
    <row r="173" spans="41:42" x14ac:dyDescent="0.2">
      <c r="AO173" s="562"/>
      <c r="AP173" s="562"/>
    </row>
    <row r="175" spans="41:42" ht="15" customHeight="1" x14ac:dyDescent="0.2">
      <c r="AO175" s="562"/>
      <c r="AP175" s="562"/>
    </row>
    <row r="177" spans="1:42" s="120" customFormat="1" ht="15" customHeight="1" x14ac:dyDescent="0.2">
      <c r="A177" s="13"/>
      <c r="B177" s="562"/>
      <c r="C177" s="562"/>
      <c r="D177" s="562"/>
      <c r="E177" s="562"/>
      <c r="F177" s="562"/>
      <c r="G177" s="562"/>
      <c r="H177" s="562"/>
      <c r="I177" s="562"/>
      <c r="J177" s="562"/>
      <c r="K177" s="42"/>
      <c r="L177" s="42"/>
      <c r="M177" s="648"/>
      <c r="N177" s="562"/>
      <c r="O177" s="562"/>
      <c r="P177" s="562"/>
      <c r="Q177" s="562"/>
      <c r="R177" s="562"/>
      <c r="S177" s="562"/>
      <c r="T177" s="562"/>
      <c r="U177" s="562"/>
      <c r="V177" s="562"/>
      <c r="W177" s="562"/>
      <c r="X177" s="562"/>
      <c r="Y177" s="562"/>
      <c r="Z177" s="562"/>
      <c r="AA177" s="562"/>
      <c r="AB177" s="562"/>
      <c r="AC177" s="562"/>
      <c r="AD177" s="562"/>
      <c r="AE177" s="562"/>
      <c r="AF177" s="562"/>
      <c r="AG177" s="562"/>
      <c r="AH177" s="562"/>
      <c r="AI177" s="562"/>
      <c r="AJ177" s="562"/>
      <c r="AK177" s="562"/>
      <c r="AL177" s="562"/>
      <c r="AM177" s="562"/>
      <c r="AN177" s="562"/>
      <c r="AO177" s="562"/>
      <c r="AP177" s="562"/>
    </row>
    <row r="179" spans="1:42" x14ac:dyDescent="0.2">
      <c r="B179" s="562"/>
      <c r="C179" s="562"/>
      <c r="D179" s="562"/>
      <c r="E179" s="562"/>
      <c r="F179" s="562"/>
      <c r="G179" s="562"/>
      <c r="H179" s="562"/>
      <c r="I179" s="562"/>
      <c r="J179" s="562"/>
      <c r="M179" s="648"/>
      <c r="N179" s="562"/>
      <c r="O179" s="562"/>
      <c r="P179" s="562"/>
      <c r="Q179" s="562"/>
      <c r="R179" s="562"/>
      <c r="S179" s="562"/>
      <c r="T179" s="562"/>
      <c r="U179" s="562"/>
      <c r="V179" s="562"/>
      <c r="W179" s="562"/>
      <c r="X179" s="562"/>
      <c r="Y179" s="562"/>
      <c r="Z179" s="562"/>
      <c r="AA179" s="562"/>
      <c r="AB179" s="562"/>
      <c r="AC179" s="562"/>
      <c r="AD179" s="562"/>
      <c r="AE179" s="562"/>
      <c r="AF179" s="562"/>
      <c r="AG179" s="562"/>
      <c r="AH179" s="562"/>
      <c r="AI179" s="562"/>
      <c r="AJ179" s="562"/>
      <c r="AK179" s="562"/>
      <c r="AL179" s="562"/>
      <c r="AM179" s="562"/>
      <c r="AN179" s="562"/>
      <c r="AO179" s="562"/>
      <c r="AP179" s="562"/>
    </row>
    <row r="180" spans="1:42" ht="15" customHeight="1" x14ac:dyDescent="0.2">
      <c r="B180" s="562"/>
      <c r="C180" s="562"/>
      <c r="D180" s="562"/>
      <c r="E180" s="562"/>
      <c r="F180" s="562"/>
      <c r="G180" s="562"/>
      <c r="H180" s="562"/>
      <c r="I180" s="562"/>
      <c r="J180" s="562"/>
      <c r="M180" s="648"/>
      <c r="N180" s="562"/>
      <c r="O180" s="562"/>
      <c r="P180" s="562"/>
      <c r="Q180" s="562"/>
      <c r="R180" s="562"/>
      <c r="S180" s="562"/>
      <c r="T180" s="562"/>
      <c r="U180" s="562"/>
      <c r="V180" s="562"/>
      <c r="W180" s="562"/>
      <c r="X180" s="562"/>
      <c r="Y180" s="562"/>
      <c r="Z180" s="562"/>
      <c r="AA180" s="562"/>
      <c r="AB180" s="562"/>
      <c r="AC180" s="562"/>
      <c r="AD180" s="562"/>
      <c r="AE180" s="562"/>
      <c r="AF180" s="562"/>
      <c r="AG180" s="562"/>
      <c r="AH180" s="562"/>
      <c r="AI180" s="562"/>
      <c r="AJ180" s="562"/>
      <c r="AK180" s="562"/>
      <c r="AL180" s="562"/>
      <c r="AM180" s="562"/>
      <c r="AN180" s="562"/>
      <c r="AO180" s="562"/>
      <c r="AP180" s="562"/>
    </row>
    <row r="182" spans="1:42" x14ac:dyDescent="0.2">
      <c r="B182" s="562"/>
      <c r="C182" s="562"/>
      <c r="D182" s="562"/>
      <c r="E182" s="562"/>
      <c r="F182" s="562"/>
      <c r="G182" s="562"/>
      <c r="H182" s="562"/>
      <c r="I182" s="562"/>
      <c r="J182" s="562"/>
      <c r="M182" s="648"/>
      <c r="N182" s="562"/>
      <c r="O182" s="562"/>
      <c r="P182" s="562"/>
      <c r="Q182" s="562"/>
      <c r="R182" s="562"/>
      <c r="S182" s="562"/>
      <c r="T182" s="562"/>
      <c r="U182" s="562"/>
      <c r="V182" s="562"/>
      <c r="W182" s="562"/>
      <c r="X182" s="562"/>
      <c r="Y182" s="562"/>
      <c r="Z182" s="562"/>
      <c r="AA182" s="562"/>
      <c r="AB182" s="562"/>
      <c r="AC182" s="562"/>
      <c r="AD182" s="562"/>
      <c r="AE182" s="562"/>
      <c r="AF182" s="562"/>
      <c r="AG182" s="562"/>
      <c r="AH182" s="562"/>
      <c r="AI182" s="562"/>
      <c r="AJ182" s="562"/>
      <c r="AK182" s="562"/>
      <c r="AL182" s="562"/>
      <c r="AM182" s="562"/>
      <c r="AN182" s="562"/>
      <c r="AO182" s="562"/>
      <c r="AP182" s="562"/>
    </row>
    <row r="183" spans="1:42" ht="15" customHeight="1" x14ac:dyDescent="0.2">
      <c r="B183" s="562"/>
      <c r="C183" s="562"/>
      <c r="D183" s="562"/>
      <c r="E183" s="562"/>
      <c r="F183" s="562"/>
      <c r="G183" s="562"/>
      <c r="H183" s="562"/>
      <c r="I183" s="562"/>
      <c r="J183" s="562"/>
      <c r="M183" s="648"/>
      <c r="N183" s="562"/>
      <c r="O183" s="562"/>
      <c r="P183" s="562"/>
      <c r="Q183" s="562"/>
      <c r="R183" s="562"/>
      <c r="S183" s="562"/>
      <c r="T183" s="562"/>
      <c r="U183" s="562"/>
      <c r="V183" s="562"/>
      <c r="W183" s="562"/>
      <c r="X183" s="562"/>
      <c r="Y183" s="562"/>
      <c r="Z183" s="562"/>
      <c r="AA183" s="562"/>
      <c r="AB183" s="562"/>
      <c r="AC183" s="562"/>
      <c r="AD183" s="562"/>
      <c r="AE183" s="562"/>
      <c r="AF183" s="562"/>
      <c r="AG183" s="562"/>
      <c r="AH183" s="562"/>
      <c r="AI183" s="562"/>
      <c r="AJ183" s="562"/>
      <c r="AK183" s="562"/>
      <c r="AL183" s="562"/>
      <c r="AM183" s="562"/>
      <c r="AN183" s="562"/>
      <c r="AO183" s="562"/>
      <c r="AP183" s="562"/>
    </row>
    <row r="184" spans="1:42" x14ac:dyDescent="0.2">
      <c r="B184" s="562"/>
      <c r="C184" s="562"/>
      <c r="D184" s="562"/>
      <c r="E184" s="562"/>
      <c r="F184" s="562"/>
      <c r="G184" s="562"/>
      <c r="H184" s="562"/>
      <c r="I184" s="562"/>
      <c r="J184" s="562"/>
      <c r="M184" s="648"/>
      <c r="N184" s="562"/>
      <c r="O184" s="562"/>
      <c r="P184" s="562"/>
      <c r="Q184" s="562"/>
      <c r="R184" s="562"/>
      <c r="S184" s="562"/>
      <c r="T184" s="562"/>
      <c r="U184" s="562"/>
      <c r="V184" s="562"/>
      <c r="W184" s="562"/>
      <c r="X184" s="562"/>
      <c r="Y184" s="562"/>
      <c r="Z184" s="562"/>
      <c r="AA184" s="562"/>
      <c r="AB184" s="562"/>
      <c r="AC184" s="562"/>
      <c r="AD184" s="562"/>
      <c r="AE184" s="562"/>
      <c r="AF184" s="562"/>
      <c r="AG184" s="562"/>
      <c r="AH184" s="562"/>
      <c r="AI184" s="562"/>
      <c r="AJ184" s="562"/>
      <c r="AK184" s="562"/>
      <c r="AL184" s="562"/>
      <c r="AM184" s="562"/>
      <c r="AN184" s="562"/>
      <c r="AO184" s="562"/>
      <c r="AP184" s="562"/>
    </row>
    <row r="185" spans="1:42" x14ac:dyDescent="0.2">
      <c r="B185" s="562"/>
      <c r="C185" s="562"/>
      <c r="D185" s="562"/>
      <c r="E185" s="562"/>
      <c r="F185" s="562"/>
      <c r="G185" s="562"/>
      <c r="H185" s="562"/>
      <c r="I185" s="562"/>
      <c r="J185" s="562"/>
      <c r="M185" s="648"/>
      <c r="N185" s="562"/>
      <c r="O185" s="562"/>
      <c r="P185" s="562"/>
      <c r="Q185" s="562"/>
      <c r="R185" s="562"/>
      <c r="S185" s="562"/>
      <c r="T185" s="562"/>
      <c r="U185" s="562"/>
      <c r="V185" s="562"/>
      <c r="W185" s="562"/>
      <c r="X185" s="562"/>
      <c r="Y185" s="562"/>
      <c r="Z185" s="562"/>
      <c r="AA185" s="562"/>
      <c r="AB185" s="562"/>
      <c r="AC185" s="562"/>
      <c r="AD185" s="562"/>
      <c r="AE185" s="562"/>
      <c r="AF185" s="562"/>
      <c r="AG185" s="562"/>
      <c r="AH185" s="562"/>
      <c r="AI185" s="562"/>
      <c r="AJ185" s="562"/>
      <c r="AK185" s="562"/>
      <c r="AL185" s="562"/>
      <c r="AM185" s="562"/>
      <c r="AN185" s="562"/>
      <c r="AO185" s="562"/>
      <c r="AP185" s="562"/>
    </row>
    <row r="186" spans="1:42" s="101" customFormat="1" ht="15" customHeight="1" x14ac:dyDescent="0.2">
      <c r="A186" s="13"/>
      <c r="B186" s="562"/>
      <c r="C186" s="562"/>
      <c r="D186" s="562"/>
      <c r="E186" s="562"/>
      <c r="F186" s="562"/>
      <c r="G186" s="562"/>
      <c r="H186" s="562"/>
      <c r="I186" s="562"/>
      <c r="J186" s="562"/>
      <c r="K186" s="42"/>
      <c r="L186" s="42"/>
      <c r="M186" s="648"/>
      <c r="N186" s="562"/>
      <c r="O186" s="562"/>
      <c r="P186" s="562"/>
      <c r="Q186" s="562"/>
      <c r="R186" s="562"/>
      <c r="S186" s="562"/>
      <c r="T186" s="562"/>
      <c r="U186" s="562"/>
      <c r="V186" s="562"/>
      <c r="W186" s="562"/>
      <c r="X186" s="562"/>
      <c r="Y186" s="562"/>
      <c r="Z186" s="562"/>
      <c r="AA186" s="562"/>
      <c r="AB186" s="562"/>
      <c r="AC186" s="562"/>
      <c r="AD186" s="562"/>
      <c r="AE186" s="562"/>
      <c r="AF186" s="562"/>
      <c r="AG186" s="562"/>
      <c r="AH186" s="562"/>
      <c r="AI186" s="562"/>
      <c r="AJ186" s="562"/>
      <c r="AK186" s="562"/>
      <c r="AL186" s="562"/>
      <c r="AM186" s="562"/>
      <c r="AN186" s="562"/>
      <c r="AO186" s="562"/>
      <c r="AP186" s="562"/>
    </row>
    <row r="187" spans="1:42" s="101" customFormat="1" x14ac:dyDescent="0.2">
      <c r="A187" s="13"/>
      <c r="B187" s="562"/>
      <c r="C187" s="562"/>
      <c r="D187" s="562"/>
      <c r="E187" s="562"/>
      <c r="F187" s="562"/>
      <c r="G187" s="562"/>
      <c r="H187" s="562"/>
      <c r="I187" s="562"/>
      <c r="J187" s="562"/>
      <c r="K187" s="42"/>
      <c r="L187" s="42"/>
      <c r="M187" s="648"/>
      <c r="N187" s="562"/>
      <c r="O187" s="562"/>
      <c r="P187" s="562"/>
      <c r="Q187" s="562"/>
      <c r="R187" s="562"/>
      <c r="S187" s="562"/>
      <c r="T187" s="562"/>
      <c r="U187" s="562"/>
      <c r="V187" s="562"/>
      <c r="W187" s="562"/>
      <c r="X187" s="562"/>
      <c r="Y187" s="562"/>
      <c r="Z187" s="562"/>
      <c r="AA187" s="562"/>
      <c r="AB187" s="562"/>
      <c r="AC187" s="562"/>
      <c r="AD187" s="562"/>
      <c r="AE187" s="562"/>
      <c r="AF187" s="562"/>
      <c r="AG187" s="562"/>
      <c r="AH187" s="562"/>
      <c r="AI187" s="562"/>
      <c r="AJ187" s="562"/>
      <c r="AK187" s="562"/>
      <c r="AL187" s="562"/>
      <c r="AM187" s="562"/>
      <c r="AN187" s="562"/>
      <c r="AO187" s="562"/>
      <c r="AP187" s="562"/>
    </row>
    <row r="188" spans="1:42" s="218" customFormat="1" ht="15" customHeight="1" x14ac:dyDescent="0.2">
      <c r="A188" s="13"/>
      <c r="B188" s="562"/>
      <c r="C188" s="562"/>
      <c r="D188" s="562"/>
      <c r="E188" s="562"/>
      <c r="F188" s="562"/>
      <c r="G188" s="562"/>
      <c r="H188" s="562"/>
      <c r="I188" s="562"/>
      <c r="J188" s="562"/>
      <c r="K188" s="42"/>
      <c r="L188" s="42"/>
      <c r="M188" s="648"/>
      <c r="N188" s="562"/>
      <c r="O188" s="562"/>
      <c r="P188" s="562"/>
      <c r="Q188" s="562"/>
      <c r="R188" s="562"/>
      <c r="S188" s="562"/>
      <c r="T188" s="562"/>
      <c r="U188" s="562"/>
      <c r="V188" s="562"/>
      <c r="W188" s="562"/>
      <c r="X188" s="562"/>
      <c r="Y188" s="562"/>
      <c r="Z188" s="562"/>
      <c r="AA188" s="562"/>
      <c r="AB188" s="562"/>
      <c r="AC188" s="562"/>
      <c r="AD188" s="562"/>
      <c r="AE188" s="562"/>
      <c r="AF188" s="562"/>
      <c r="AG188" s="562"/>
      <c r="AH188" s="562"/>
      <c r="AI188" s="562"/>
      <c r="AJ188" s="562"/>
      <c r="AK188" s="562"/>
      <c r="AL188" s="562"/>
      <c r="AM188" s="562"/>
      <c r="AN188" s="562"/>
      <c r="AO188" s="562"/>
      <c r="AP188" s="562"/>
    </row>
    <row r="189" spans="1:42" s="218" customFormat="1" x14ac:dyDescent="0.2">
      <c r="A189" s="13"/>
      <c r="B189" s="562"/>
      <c r="C189" s="562"/>
      <c r="D189" s="562"/>
      <c r="E189" s="562"/>
      <c r="F189" s="562"/>
      <c r="G189" s="562"/>
      <c r="H189" s="562"/>
      <c r="I189" s="562"/>
      <c r="J189" s="562"/>
      <c r="K189" s="42"/>
      <c r="L189" s="42"/>
      <c r="M189" s="648"/>
      <c r="N189" s="562"/>
      <c r="O189" s="562"/>
      <c r="P189" s="562"/>
      <c r="Q189" s="562"/>
      <c r="R189" s="562"/>
      <c r="S189" s="562"/>
      <c r="T189" s="562"/>
      <c r="U189" s="562"/>
      <c r="V189" s="562"/>
      <c r="W189" s="562"/>
      <c r="X189" s="562"/>
      <c r="Y189" s="562"/>
      <c r="Z189" s="562"/>
      <c r="AA189" s="562"/>
      <c r="AB189" s="562"/>
      <c r="AC189" s="562"/>
      <c r="AD189" s="562"/>
      <c r="AE189" s="562"/>
      <c r="AF189" s="562"/>
      <c r="AG189" s="562"/>
      <c r="AH189" s="562"/>
      <c r="AI189" s="562"/>
      <c r="AJ189" s="562"/>
      <c r="AK189" s="562"/>
      <c r="AL189" s="562"/>
      <c r="AM189" s="562"/>
      <c r="AN189" s="562"/>
      <c r="AO189" s="562"/>
      <c r="AP189" s="562"/>
    </row>
    <row r="190" spans="1:42" ht="15" customHeight="1" x14ac:dyDescent="0.2">
      <c r="B190" s="562"/>
      <c r="C190" s="562"/>
      <c r="D190" s="562"/>
      <c r="E190" s="562"/>
      <c r="F190" s="562"/>
      <c r="G190" s="562"/>
      <c r="H190" s="562"/>
      <c r="I190" s="562"/>
      <c r="J190" s="562"/>
      <c r="M190" s="648"/>
      <c r="N190" s="562"/>
      <c r="O190" s="562"/>
      <c r="P190" s="562"/>
      <c r="Q190" s="562"/>
      <c r="R190" s="562"/>
      <c r="S190" s="562"/>
      <c r="T190" s="562"/>
      <c r="U190" s="562"/>
      <c r="V190" s="562"/>
      <c r="W190" s="562"/>
      <c r="X190" s="562"/>
      <c r="Y190" s="562"/>
      <c r="Z190" s="562"/>
      <c r="AA190" s="562"/>
      <c r="AB190" s="562"/>
      <c r="AC190" s="562"/>
      <c r="AD190" s="562"/>
      <c r="AE190" s="562"/>
      <c r="AF190" s="562"/>
      <c r="AG190" s="562"/>
      <c r="AH190" s="562"/>
      <c r="AI190" s="562"/>
      <c r="AJ190" s="562"/>
      <c r="AK190" s="562"/>
      <c r="AL190" s="562"/>
      <c r="AM190" s="562"/>
      <c r="AN190" s="562"/>
      <c r="AO190" s="562"/>
      <c r="AP190" s="562"/>
    </row>
    <row r="191" spans="1:42" x14ac:dyDescent="0.2">
      <c r="B191" s="562"/>
      <c r="C191" s="562"/>
      <c r="D191" s="562"/>
      <c r="E191" s="562"/>
      <c r="F191" s="562"/>
      <c r="G191" s="562"/>
      <c r="H191" s="562"/>
      <c r="I191" s="562"/>
      <c r="J191" s="562"/>
      <c r="M191" s="648"/>
      <c r="N191" s="562"/>
      <c r="O191" s="562"/>
      <c r="P191" s="562"/>
      <c r="Q191" s="562"/>
      <c r="R191" s="562"/>
      <c r="S191" s="562"/>
      <c r="T191" s="562"/>
      <c r="U191" s="562"/>
      <c r="V191" s="562"/>
      <c r="W191" s="562"/>
      <c r="X191" s="562"/>
      <c r="Y191" s="562"/>
      <c r="Z191" s="562"/>
      <c r="AA191" s="562"/>
      <c r="AB191" s="562"/>
      <c r="AC191" s="562"/>
      <c r="AD191" s="562"/>
      <c r="AE191" s="562"/>
      <c r="AF191" s="562"/>
      <c r="AG191" s="562"/>
      <c r="AH191" s="562"/>
      <c r="AI191" s="562"/>
      <c r="AJ191" s="562"/>
      <c r="AK191" s="562"/>
      <c r="AL191" s="562"/>
      <c r="AM191" s="562"/>
      <c r="AN191" s="562"/>
      <c r="AO191" s="562"/>
      <c r="AP191" s="562"/>
    </row>
    <row r="192" spans="1:42" ht="15.75" customHeight="1" x14ac:dyDescent="0.2">
      <c r="B192" s="562"/>
      <c r="C192" s="562"/>
      <c r="D192" s="562"/>
      <c r="E192" s="562"/>
      <c r="F192" s="562"/>
      <c r="G192" s="562"/>
      <c r="H192" s="562"/>
      <c r="I192" s="562"/>
      <c r="J192" s="562"/>
      <c r="M192" s="648"/>
      <c r="N192" s="562"/>
      <c r="O192" s="562"/>
      <c r="P192" s="562"/>
      <c r="Q192" s="562"/>
      <c r="R192" s="562"/>
      <c r="S192" s="562"/>
      <c r="T192" s="562"/>
      <c r="U192" s="562"/>
      <c r="V192" s="562"/>
      <c r="W192" s="562"/>
      <c r="X192" s="562"/>
      <c r="Y192" s="562"/>
      <c r="Z192" s="562"/>
      <c r="AA192" s="562"/>
      <c r="AB192" s="562"/>
      <c r="AC192" s="562"/>
      <c r="AD192" s="562"/>
      <c r="AE192" s="562"/>
      <c r="AF192" s="562"/>
      <c r="AG192" s="562"/>
      <c r="AH192" s="562"/>
      <c r="AI192" s="562"/>
      <c r="AJ192" s="562"/>
      <c r="AK192" s="562"/>
      <c r="AL192" s="562"/>
      <c r="AM192" s="562"/>
      <c r="AN192" s="562"/>
      <c r="AO192" s="562"/>
      <c r="AP192" s="562"/>
    </row>
    <row r="196" spans="1:42" ht="15" customHeight="1" x14ac:dyDescent="0.2">
      <c r="B196" s="562"/>
      <c r="C196" s="562"/>
      <c r="D196" s="562"/>
      <c r="E196" s="562"/>
      <c r="F196" s="562"/>
      <c r="G196" s="562"/>
      <c r="H196" s="562"/>
      <c r="I196" s="562"/>
      <c r="J196" s="562"/>
      <c r="M196" s="648"/>
      <c r="N196" s="562"/>
      <c r="O196" s="562"/>
      <c r="P196" s="562"/>
      <c r="Q196" s="562"/>
      <c r="R196" s="562"/>
      <c r="S196" s="562"/>
      <c r="T196" s="562"/>
      <c r="U196" s="562"/>
      <c r="V196" s="562"/>
      <c r="W196" s="562"/>
      <c r="X196" s="562"/>
      <c r="Y196" s="562"/>
      <c r="Z196" s="562"/>
      <c r="AA196" s="562"/>
      <c r="AB196" s="562"/>
      <c r="AC196" s="562"/>
      <c r="AD196" s="562"/>
      <c r="AE196" s="562"/>
      <c r="AF196" s="562"/>
      <c r="AG196" s="562"/>
      <c r="AH196" s="562"/>
      <c r="AI196" s="562"/>
      <c r="AJ196" s="562"/>
      <c r="AK196" s="562"/>
      <c r="AL196" s="562"/>
      <c r="AM196" s="562"/>
      <c r="AN196" s="562"/>
      <c r="AO196" s="562"/>
      <c r="AP196" s="562"/>
    </row>
    <row r="200" spans="1:42" ht="15" customHeight="1" x14ac:dyDescent="0.2">
      <c r="B200" s="562"/>
      <c r="C200" s="562"/>
      <c r="D200" s="562"/>
      <c r="E200" s="562"/>
      <c r="F200" s="562"/>
      <c r="G200" s="562"/>
      <c r="H200" s="562"/>
      <c r="I200" s="562"/>
      <c r="J200" s="562"/>
      <c r="M200" s="648"/>
      <c r="N200" s="562"/>
      <c r="O200" s="562"/>
      <c r="P200" s="562"/>
      <c r="Q200" s="562"/>
      <c r="R200" s="562"/>
      <c r="S200" s="562"/>
      <c r="T200" s="562"/>
      <c r="U200" s="562"/>
      <c r="V200" s="562"/>
      <c r="W200" s="562"/>
      <c r="X200" s="562"/>
      <c r="Y200" s="562"/>
      <c r="Z200" s="562"/>
      <c r="AA200" s="562"/>
      <c r="AB200" s="562"/>
      <c r="AC200" s="562"/>
      <c r="AD200" s="562"/>
      <c r="AE200" s="562"/>
      <c r="AF200" s="562"/>
      <c r="AG200" s="562"/>
      <c r="AH200" s="562"/>
      <c r="AI200" s="562"/>
      <c r="AJ200" s="562"/>
      <c r="AK200" s="562"/>
      <c r="AL200" s="562"/>
      <c r="AM200" s="562"/>
      <c r="AN200" s="562"/>
      <c r="AO200" s="562"/>
      <c r="AP200" s="562"/>
    </row>
    <row r="202" spans="1:42" ht="15" customHeight="1" x14ac:dyDescent="0.2">
      <c r="B202" s="562"/>
      <c r="C202" s="562"/>
      <c r="D202" s="562"/>
      <c r="E202" s="562"/>
      <c r="F202" s="562"/>
      <c r="G202" s="562"/>
      <c r="H202" s="562"/>
      <c r="I202" s="562"/>
      <c r="J202" s="562"/>
      <c r="M202" s="648"/>
      <c r="N202" s="562"/>
      <c r="O202" s="562"/>
      <c r="P202" s="562"/>
      <c r="Q202" s="562"/>
      <c r="R202" s="562"/>
      <c r="S202" s="562"/>
      <c r="T202" s="562"/>
      <c r="U202" s="562"/>
      <c r="V202" s="562"/>
      <c r="W202" s="562"/>
      <c r="X202" s="562"/>
      <c r="Y202" s="562"/>
      <c r="Z202" s="562"/>
      <c r="AA202" s="562"/>
      <c r="AB202" s="562"/>
      <c r="AC202" s="562"/>
      <c r="AD202" s="562"/>
      <c r="AE202" s="562"/>
      <c r="AF202" s="562"/>
      <c r="AG202" s="562"/>
      <c r="AH202" s="562"/>
      <c r="AI202" s="562"/>
      <c r="AJ202" s="562"/>
      <c r="AK202" s="562"/>
      <c r="AL202" s="562"/>
      <c r="AM202" s="562"/>
      <c r="AN202" s="562"/>
      <c r="AO202" s="562"/>
      <c r="AP202" s="562"/>
    </row>
    <row r="203" spans="1:42" ht="15" customHeight="1" x14ac:dyDescent="0.2">
      <c r="B203" s="562"/>
      <c r="C203" s="562"/>
      <c r="D203" s="562"/>
      <c r="E203" s="562"/>
      <c r="F203" s="562"/>
      <c r="G203" s="562"/>
      <c r="H203" s="562"/>
      <c r="I203" s="562"/>
      <c r="J203" s="562"/>
      <c r="M203" s="648"/>
      <c r="N203" s="562"/>
      <c r="O203" s="562"/>
      <c r="P203" s="562"/>
      <c r="Q203" s="562"/>
      <c r="R203" s="562"/>
      <c r="S203" s="562"/>
      <c r="T203" s="562"/>
      <c r="U203" s="562"/>
      <c r="V203" s="562"/>
      <c r="W203" s="562"/>
      <c r="X203" s="562"/>
      <c r="Y203" s="562"/>
      <c r="Z203" s="562"/>
      <c r="AA203" s="562"/>
      <c r="AB203" s="562"/>
      <c r="AC203" s="562"/>
      <c r="AD203" s="562"/>
      <c r="AE203" s="562"/>
      <c r="AF203" s="562"/>
      <c r="AG203" s="562"/>
      <c r="AH203" s="562"/>
      <c r="AI203" s="562"/>
      <c r="AJ203" s="562"/>
      <c r="AK203" s="562"/>
      <c r="AL203" s="562"/>
      <c r="AM203" s="562"/>
      <c r="AN203" s="562"/>
      <c r="AO203" s="562"/>
      <c r="AP203" s="562"/>
    </row>
    <row r="205" spans="1:42" ht="15" customHeight="1" x14ac:dyDescent="0.2">
      <c r="B205" s="562"/>
      <c r="C205" s="562"/>
      <c r="D205" s="562"/>
      <c r="E205" s="562"/>
      <c r="F205" s="562"/>
      <c r="G205" s="562"/>
      <c r="H205" s="562"/>
      <c r="I205" s="562"/>
      <c r="J205" s="562"/>
      <c r="M205" s="648"/>
      <c r="N205" s="562"/>
      <c r="O205" s="562"/>
      <c r="P205" s="562"/>
      <c r="Q205" s="562"/>
      <c r="R205" s="562"/>
      <c r="S205" s="562"/>
      <c r="T205" s="562"/>
      <c r="U205" s="562"/>
      <c r="V205" s="562"/>
      <c r="W205" s="562"/>
      <c r="X205" s="562"/>
      <c r="Y205" s="562"/>
      <c r="Z205" s="562"/>
      <c r="AA205" s="562"/>
      <c r="AB205" s="562"/>
      <c r="AC205" s="562"/>
      <c r="AD205" s="562"/>
      <c r="AE205" s="562"/>
      <c r="AF205" s="562"/>
      <c r="AG205" s="562"/>
      <c r="AH205" s="562"/>
      <c r="AI205" s="562"/>
      <c r="AJ205" s="562"/>
      <c r="AK205" s="562"/>
      <c r="AL205" s="562"/>
      <c r="AM205" s="562"/>
      <c r="AN205" s="562"/>
      <c r="AO205" s="562"/>
      <c r="AP205" s="562"/>
    </row>
    <row r="207" spans="1:42" s="218" customFormat="1" x14ac:dyDescent="0.2">
      <c r="A207" s="13"/>
      <c r="B207" s="562"/>
      <c r="C207" s="562"/>
      <c r="D207" s="562"/>
      <c r="E207" s="562"/>
      <c r="F207" s="562"/>
      <c r="G207" s="562"/>
      <c r="H207" s="562"/>
      <c r="I207" s="562"/>
      <c r="J207" s="562"/>
      <c r="K207" s="42"/>
      <c r="L207" s="42"/>
      <c r="M207" s="648"/>
      <c r="N207" s="562"/>
      <c r="O207" s="562"/>
      <c r="P207" s="562"/>
      <c r="Q207" s="562"/>
      <c r="R207" s="562"/>
      <c r="S207" s="562"/>
      <c r="T207" s="562"/>
      <c r="U207" s="562"/>
      <c r="V207" s="562"/>
      <c r="W207" s="562"/>
      <c r="X207" s="562"/>
      <c r="Y207" s="562"/>
      <c r="Z207" s="562"/>
      <c r="AA207" s="562"/>
      <c r="AB207" s="562"/>
      <c r="AC207" s="562"/>
      <c r="AD207" s="562"/>
      <c r="AE207" s="562"/>
      <c r="AF207" s="562"/>
      <c r="AG207" s="562"/>
      <c r="AH207" s="562"/>
      <c r="AI207" s="562"/>
      <c r="AJ207" s="562"/>
      <c r="AK207" s="562"/>
      <c r="AL207" s="562"/>
      <c r="AM207" s="562"/>
      <c r="AN207" s="562"/>
      <c r="AO207" s="562"/>
      <c r="AP207" s="562"/>
    </row>
    <row r="208" spans="1:42" ht="15" customHeight="1" x14ac:dyDescent="0.2">
      <c r="B208" s="562"/>
      <c r="C208" s="562"/>
      <c r="D208" s="562"/>
      <c r="E208" s="562"/>
      <c r="F208" s="562"/>
      <c r="G208" s="562"/>
      <c r="H208" s="562"/>
      <c r="I208" s="562"/>
      <c r="J208" s="562"/>
      <c r="M208" s="648"/>
      <c r="N208" s="562"/>
      <c r="O208" s="562"/>
      <c r="P208" s="562"/>
      <c r="Q208" s="562"/>
      <c r="R208" s="562"/>
      <c r="S208" s="562"/>
      <c r="T208" s="562"/>
      <c r="U208" s="562"/>
      <c r="V208" s="562"/>
      <c r="W208" s="562"/>
      <c r="X208" s="562"/>
      <c r="Y208" s="562"/>
      <c r="Z208" s="562"/>
      <c r="AA208" s="562"/>
      <c r="AB208" s="562"/>
      <c r="AC208" s="562"/>
      <c r="AD208" s="562"/>
      <c r="AE208" s="562"/>
      <c r="AF208" s="562"/>
      <c r="AG208" s="562"/>
      <c r="AH208" s="562"/>
      <c r="AI208" s="562"/>
      <c r="AJ208" s="562"/>
      <c r="AK208" s="562"/>
      <c r="AL208" s="562"/>
      <c r="AM208" s="562"/>
      <c r="AN208" s="562"/>
      <c r="AO208" s="562"/>
      <c r="AP208" s="562"/>
    </row>
    <row r="211" ht="15.75" customHeight="1" x14ac:dyDescent="0.2"/>
    <row r="214" ht="15" customHeight="1" x14ac:dyDescent="0.2"/>
    <row r="218" ht="15" customHeight="1" x14ac:dyDescent="0.2"/>
    <row r="221" ht="15.75" customHeight="1" x14ac:dyDescent="0.2"/>
    <row r="224" ht="15.75" customHeight="1" x14ac:dyDescent="0.2"/>
    <row r="229" ht="15.75" customHeight="1" x14ac:dyDescent="0.2"/>
    <row r="232" ht="15.75" customHeight="1" x14ac:dyDescent="0.2"/>
    <row r="234" ht="15.75" customHeight="1" x14ac:dyDescent="0.2"/>
  </sheetData>
  <sheetProtection algorithmName="SHA-512" hashValue="KOdLfXr+g1k0YuLjO1NePkzcXwmuxaUlqzV2z224z+EI4MB5tyPZts7H9h8p94mBiphnKs0q98vFkUOC6mfFog==" saltValue="DPkdokmNR5Xp7VvCHEHrog==" spinCount="100000" sheet="1" objects="1" scenarios="1" selectLockedCells="1"/>
  <mergeCells count="43">
    <mergeCell ref="O4:O5"/>
    <mergeCell ref="O6:O7"/>
    <mergeCell ref="G27:I27"/>
    <mergeCell ref="K27:M27"/>
    <mergeCell ref="D9:J11"/>
    <mergeCell ref="D12:J12"/>
    <mergeCell ref="K29:K30"/>
    <mergeCell ref="L29:L30"/>
    <mergeCell ref="M29:M30"/>
    <mergeCell ref="A1:A7"/>
    <mergeCell ref="B1:J1"/>
    <mergeCell ref="K1:N5"/>
    <mergeCell ref="B2:J2"/>
    <mergeCell ref="B3:J3"/>
    <mergeCell ref="B4:J4"/>
    <mergeCell ref="B5:J5"/>
    <mergeCell ref="N6:N7"/>
    <mergeCell ref="K6:K7"/>
    <mergeCell ref="D6:J7"/>
    <mergeCell ref="G29:G30"/>
    <mergeCell ref="H29:H30"/>
    <mergeCell ref="I29:I30"/>
    <mergeCell ref="D67:F67"/>
    <mergeCell ref="D68:F68"/>
    <mergeCell ref="D69:F69"/>
    <mergeCell ref="D70:F70"/>
    <mergeCell ref="D59:F59"/>
    <mergeCell ref="L59:L60"/>
    <mergeCell ref="M59:M60"/>
    <mergeCell ref="D30:F30"/>
    <mergeCell ref="D13:J16"/>
    <mergeCell ref="D17:J18"/>
    <mergeCell ref="D19:J24"/>
    <mergeCell ref="D27:F27"/>
    <mergeCell ref="G59:G60"/>
    <mergeCell ref="H59:H60"/>
    <mergeCell ref="I59:I60"/>
    <mergeCell ref="K59:K60"/>
    <mergeCell ref="D53:F53"/>
    <mergeCell ref="D54:F54"/>
    <mergeCell ref="D55:F55"/>
    <mergeCell ref="D56:F56"/>
    <mergeCell ref="D57:F57"/>
  </mergeCells>
  <conditionalFormatting sqref="O2">
    <cfRule type="expression" dxfId="2279" priority="243">
      <formula>$X$3</formula>
    </cfRule>
  </conditionalFormatting>
  <conditionalFormatting sqref="O3">
    <cfRule type="expression" dxfId="2278" priority="244">
      <formula>$Z$3</formula>
    </cfRule>
  </conditionalFormatting>
  <conditionalFormatting sqref="O1">
    <cfRule type="expression" dxfId="2277" priority="64">
      <formula>startError</formula>
    </cfRule>
  </conditionalFormatting>
  <conditionalFormatting sqref="B1:H1">
    <cfRule type="expression" dxfId="2276" priority="56">
      <formula>$X$1="Gold"</formula>
    </cfRule>
    <cfRule type="expression" dxfId="2275" priority="57">
      <formula>$X$1="Silver"</formula>
    </cfRule>
    <cfRule type="expression" dxfId="2274" priority="58">
      <formula>$X$1="Bronze"</formula>
    </cfRule>
    <cfRule type="expression" dxfId="2273" priority="59">
      <formula>$X$1="Emerald"</formula>
    </cfRule>
  </conditionalFormatting>
  <conditionalFormatting sqref="G32">
    <cfRule type="expression" dxfId="2272" priority="10116">
      <formula>AND(OR(LEN($G32)&gt;0,LEN($H32)&gt;0,LEN($I32)&gt;0),LEN(G32)=0)</formula>
    </cfRule>
  </conditionalFormatting>
  <conditionalFormatting sqref="H32">
    <cfRule type="expression" dxfId="2271" priority="24">
      <formula>AND(OR(LEN($G32)&gt;0,LEN($H32)&gt;0,LEN($I32)&gt;0),LEN(H32)=0)</formula>
    </cfRule>
  </conditionalFormatting>
  <conditionalFormatting sqref="I32">
    <cfRule type="expression" dxfId="2270" priority="23">
      <formula>AND(OR(LEN($G32)&gt;0,LEN($H32)&gt;0,LEN($I32)&gt;0),LEN(I32)=0)</formula>
    </cfRule>
  </conditionalFormatting>
  <conditionalFormatting sqref="G33">
    <cfRule type="expression" dxfId="2269" priority="22">
      <formula>AND(OR(LEN($G33)&gt;0,LEN($H33)&gt;0,LEN($I33)&gt;0),LEN(G33)=0)</formula>
    </cfRule>
  </conditionalFormatting>
  <conditionalFormatting sqref="H33">
    <cfRule type="expression" dxfId="2268" priority="21">
      <formula>AND(OR(LEN($G33)&gt;0,LEN($H33)&gt;0,LEN($I33)&gt;0),LEN(H33)=0)</formula>
    </cfRule>
  </conditionalFormatting>
  <conditionalFormatting sqref="I33">
    <cfRule type="expression" dxfId="2267" priority="20">
      <formula>AND(OR(LEN($G33)&gt;0,LEN($H33)&gt;0,LEN($I33)&gt;0),LEN(I33)=0)</formula>
    </cfRule>
  </conditionalFormatting>
  <conditionalFormatting sqref="G35:G39">
    <cfRule type="expression" dxfId="2266" priority="19">
      <formula>AND(OR(LEN($G35)&gt;0,LEN($H35)&gt;0,LEN($I35)&gt;0),LEN(G35)=0)</formula>
    </cfRule>
  </conditionalFormatting>
  <conditionalFormatting sqref="H35:H39">
    <cfRule type="expression" dxfId="2265" priority="18">
      <formula>AND(OR(LEN($G35)&gt;0,LEN($H35)&gt;0,LEN($I35)&gt;0),LEN(H35)=0)</formula>
    </cfRule>
  </conditionalFormatting>
  <conditionalFormatting sqref="I35:I39">
    <cfRule type="expression" dxfId="2264" priority="17">
      <formula>AND(OR(LEN($G35)&gt;0,LEN($H35)&gt;0,LEN($I35)&gt;0),LEN(I35)=0)</formula>
    </cfRule>
  </conditionalFormatting>
  <conditionalFormatting sqref="G41:G45">
    <cfRule type="expression" dxfId="2263" priority="16">
      <formula>AND(OR(LEN($G41)&gt;0,LEN($H41)&gt;0,LEN($I41)&gt;0),LEN(G41)=0)</formula>
    </cfRule>
  </conditionalFormatting>
  <conditionalFormatting sqref="H41:H45">
    <cfRule type="expression" dxfId="2262" priority="15">
      <formula>AND(OR(LEN($G41)&gt;0,LEN($H41)&gt;0,LEN($I41)&gt;0),LEN(H41)=0)</formula>
    </cfRule>
  </conditionalFormatting>
  <conditionalFormatting sqref="I41:I45">
    <cfRule type="expression" dxfId="2261" priority="14">
      <formula>AND(OR(LEN($G41)&gt;0,LEN($H41)&gt;0,LEN($I41)&gt;0),LEN(I41)=0)</formula>
    </cfRule>
  </conditionalFormatting>
  <conditionalFormatting sqref="G47:G51">
    <cfRule type="expression" dxfId="2260" priority="13">
      <formula>AND(OR(LEN($G47)&gt;0,LEN($H47)&gt;0,LEN($I47)&gt;0),LEN(G47)=0)</formula>
    </cfRule>
  </conditionalFormatting>
  <conditionalFormatting sqref="H47:H51">
    <cfRule type="expression" dxfId="2259" priority="12">
      <formula>AND(OR(LEN($G47)&gt;0,LEN($H47)&gt;0,LEN($I47)&gt;0),LEN(H47)=0)</formula>
    </cfRule>
  </conditionalFormatting>
  <conditionalFormatting sqref="I47:I51">
    <cfRule type="expression" dxfId="2258" priority="11">
      <formula>AND(OR(LEN($G47)&gt;0,LEN($H47)&gt;0,LEN($I47)&gt;0),LEN(I47)=0)</formula>
    </cfRule>
  </conditionalFormatting>
  <conditionalFormatting sqref="G53:G57">
    <cfRule type="expression" dxfId="2257" priority="10">
      <formula>AND(OR(LEN($G53)&gt;0,LEN($H53)&gt;0,LEN($I53)&gt;0),LEN(G53)=0)</formula>
    </cfRule>
  </conditionalFormatting>
  <conditionalFormatting sqref="H53:H57">
    <cfRule type="expression" dxfId="2256" priority="9">
      <formula>AND(OR(LEN($G53)&gt;0,LEN($H53)&gt;0,LEN($I53)&gt;0),LEN(H53)=0)</formula>
    </cfRule>
  </conditionalFormatting>
  <conditionalFormatting sqref="I53:I57">
    <cfRule type="expression" dxfId="2255" priority="8">
      <formula>AND(OR(LEN($G53)&gt;0,LEN($H53)&gt;0,LEN($I53)&gt;0),LEN(I53)=0)</formula>
    </cfRule>
  </conditionalFormatting>
  <conditionalFormatting sqref="G62:G65">
    <cfRule type="expression" dxfId="2254" priority="7">
      <formula>AND(OR(LEN($G62)&gt;0,LEN($H62)&gt;0,LEN($I62)&gt;0),LEN(G62)=0)</formula>
    </cfRule>
  </conditionalFormatting>
  <conditionalFormatting sqref="H62:H65">
    <cfRule type="expression" dxfId="2253" priority="6">
      <formula>AND(OR(LEN($G62)&gt;0,LEN($H62)&gt;0,LEN($I62)&gt;0),LEN(H62)=0)</formula>
    </cfRule>
  </conditionalFormatting>
  <conditionalFormatting sqref="I62:I65">
    <cfRule type="expression" dxfId="2252" priority="5">
      <formula>AND(OR(LEN($G62)&gt;0,LEN($H62)&gt;0,LEN($I62)&gt;0),LEN(I62)=0)</formula>
    </cfRule>
  </conditionalFormatting>
  <conditionalFormatting sqref="G67:G70">
    <cfRule type="expression" dxfId="2251" priority="4">
      <formula>AND(OR(LEN($G67)&gt;0,LEN($H67)&gt;0,LEN($I67)&gt;0),LEN(G67)=0)</formula>
    </cfRule>
  </conditionalFormatting>
  <conditionalFormatting sqref="H67:H70">
    <cfRule type="expression" dxfId="2250" priority="3">
      <formula>AND(OR(LEN($G67)&gt;0,LEN($H67)&gt;0,LEN($I67)&gt;0),LEN(H67)=0)</formula>
    </cfRule>
  </conditionalFormatting>
  <conditionalFormatting sqref="I67:I70">
    <cfRule type="expression" dxfId="2249" priority="2">
      <formula>AND(OR(LEN($G67)&gt;0,LEN($H67)&gt;0,LEN($I67)&gt;0),LEN(I67)=0)</formula>
    </cfRule>
  </conditionalFormatting>
  <conditionalFormatting sqref="K32:M33 K35:M39 K41:M45 K47:M51 K53:M57 K62:M65 K67:M70">
    <cfRule type="expression" dxfId="2248" priority="1">
      <formula>AND(OR(LEN($K32)&gt;0,LEN($L32)&gt;0,LEN($M32)&gt;0),LEN(K32)=0)</formula>
    </cfRule>
  </conditionalFormatting>
  <dataValidations count="1">
    <dataValidation type="decimal" allowBlank="1" showInputMessage="1" showErrorMessage="1" sqref="I32:I33 I35:I39 I41:I45 I47:I51 I53:I57 M53:M57 M47:M51 M41:M45 M35:M39 M32:M33 I62:I65 I67:I70 M62:M65 M67:M70" xr:uid="{D5CF5E36-1A55-4040-A9C2-5AD21AA8FF5F}">
      <formula1>0</formula1>
      <formula2>1000000</formula2>
    </dataValidation>
  </dataValidations>
  <hyperlinks>
    <hyperlink ref="O77" location="'Ch9'!A1" display="CLICK TO PROCEED TO CHAPTER 9 &gt;&gt;" xr:uid="{00000000-0004-0000-0600-000000000000}"/>
    <hyperlink ref="D12" location="'Table 305.3.5'!A1" display="See Table Table 305.3.5" xr:uid="{00000000-0004-0000-0600-000001000000}"/>
    <hyperlink ref="D12:J12" location="'Table 305.3.6'!A1" display="See Table Table 305.3.6" xr:uid="{00000000-0004-0000-0600-000002000000}"/>
  </hyperlinks>
  <pageMargins left="0.7" right="0.7" top="0.75" bottom="0.75" header="0.3" footer="0.3"/>
  <pageSetup scale="44"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292"/>
  <sheetViews>
    <sheetView showGridLines="0" topLeftCell="H1" zoomScaleNormal="100" workbookViewId="0">
      <pane ySplit="7" topLeftCell="A8" activePane="bottomLeft" state="frozen"/>
      <selection activeCell="E7" sqref="E7:F7"/>
      <selection pane="bottomLeft" activeCell="W12" sqref="W12"/>
    </sheetView>
  </sheetViews>
  <sheetFormatPr baseColWidth="10" defaultColWidth="9.16406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47" customWidth="1"/>
    <col min="10" max="11" width="3.83203125" style="47" customWidth="1"/>
    <col min="12" max="12" width="71.6640625" style="47" customWidth="1"/>
    <col min="13" max="13" width="13.5" style="42" customWidth="1"/>
    <col min="14" max="14" width="7.6640625" style="47" hidden="1" customWidth="1"/>
    <col min="15" max="15" width="7.6640625" style="47" customWidth="1"/>
    <col min="16" max="21" width="8.83203125" style="47" hidden="1" customWidth="1"/>
    <col min="22" max="22" width="3" style="47" hidden="1" customWidth="1"/>
    <col min="23" max="23" width="21.5" style="47" customWidth="1"/>
    <col min="24" max="24" width="69" style="47" customWidth="1"/>
    <col min="25" max="25" width="34.83203125" style="447" hidden="1" customWidth="1"/>
    <col min="26" max="26" width="34.83203125" style="47" hidden="1" customWidth="1"/>
    <col min="27" max="27" width="9.1640625" style="448" hidden="1" customWidth="1"/>
    <col min="28" max="37" width="9.1640625" style="47" hidden="1" customWidth="1"/>
    <col min="38" max="38" width="16.5" style="47" hidden="1" customWidth="1"/>
    <col min="39" max="39" width="2.1640625" style="47" hidden="1" customWidth="1"/>
    <col min="40" max="40" width="14.33203125" style="47" hidden="1" customWidth="1"/>
    <col min="41" max="41" width="2.1640625" style="47" hidden="1" customWidth="1"/>
    <col min="42" max="42" width="14.33203125" style="47" hidden="1" customWidth="1"/>
    <col min="43" max="43" width="2.1640625" style="47" hidden="1" customWidth="1"/>
    <col min="44" max="44" width="14.1640625" style="47" hidden="1" customWidth="1"/>
    <col min="45" max="45" width="2.1640625" style="47" hidden="1" customWidth="1"/>
    <col min="46" max="61" width="9.1640625" style="47" hidden="1" customWidth="1"/>
    <col min="62" max="16384" width="9.1640625" style="47"/>
  </cols>
  <sheetData>
    <row r="1" spans="1:61" x14ac:dyDescent="0.2">
      <c r="H1" s="805" t="s">
        <v>2149</v>
      </c>
      <c r="I1" s="768" t="str">
        <f ca="1">IF(OR(AG3,AI3),"Errors on page, no Level reached","Total Chapter Points: "&amp;AG2)</f>
        <v>Errors on page, no Level reached</v>
      </c>
      <c r="J1" s="768"/>
      <c r="K1" s="768"/>
      <c r="L1" s="768"/>
      <c r="M1" s="806"/>
      <c r="N1" s="806"/>
      <c r="O1" s="806"/>
      <c r="P1" s="806"/>
      <c r="Q1" s="806"/>
      <c r="R1" s="806"/>
      <c r="S1" s="806"/>
      <c r="T1" s="806"/>
      <c r="U1" s="806"/>
      <c r="V1" s="806"/>
      <c r="W1" s="806"/>
      <c r="X1" s="337" t="s">
        <v>2150</v>
      </c>
      <c r="Y1" s="562"/>
      <c r="Z1" s="562"/>
      <c r="AA1" s="562"/>
      <c r="AB1" s="562"/>
      <c r="AC1" s="562"/>
      <c r="AD1" s="562"/>
      <c r="AE1" s="562"/>
      <c r="AF1" s="594" t="s">
        <v>2973</v>
      </c>
      <c r="AG1" s="562" t="str">
        <f ca="1">IF(OR(AG3,AI3),"None",Ch9Level)</f>
        <v>None</v>
      </c>
      <c r="AH1" s="562"/>
      <c r="AI1" s="562"/>
      <c r="AJ1" s="562"/>
      <c r="AK1" s="562"/>
      <c r="AL1" s="562"/>
      <c r="AM1" s="562"/>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x14ac:dyDescent="0.2">
      <c r="H2" s="805"/>
      <c r="I2" s="769" t="str">
        <f ca="1">IF(OR(AG3,AI3),"Errors on page, no Level reached","Total Project Points: "&amp;Dpoints)</f>
        <v>Errors on page, no Level reached</v>
      </c>
      <c r="J2" s="769"/>
      <c r="K2" s="769"/>
      <c r="L2" s="769"/>
      <c r="M2" s="806"/>
      <c r="N2" s="806"/>
      <c r="O2" s="806"/>
      <c r="P2" s="806"/>
      <c r="Q2" s="806"/>
      <c r="R2" s="806"/>
      <c r="S2" s="806"/>
      <c r="T2" s="806"/>
      <c r="U2" s="806"/>
      <c r="V2" s="806"/>
      <c r="W2" s="806"/>
      <c r="X2" s="337" t="s">
        <v>2152</v>
      </c>
      <c r="Y2" s="562"/>
      <c r="Z2" s="562"/>
      <c r="AA2" s="562"/>
      <c r="AB2" s="562"/>
      <c r="AC2" s="562"/>
      <c r="AD2" s="562"/>
      <c r="AE2" s="562"/>
      <c r="AF2" s="594" t="s">
        <v>2974</v>
      </c>
      <c r="AG2" s="562">
        <f ca="1">INDIRECT(AF2)</f>
        <v>0</v>
      </c>
      <c r="AH2" s="562" t="s">
        <v>2975</v>
      </c>
      <c r="AI2" s="562" t="e">
        <f ca="1">INDIRECT(AH2)</f>
        <v>#REF!</v>
      </c>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H3" s="805"/>
      <c r="I3" s="769" t="str">
        <f ca="1">IF(OR(AG3,AI3),"Errors on page, no Level reached","Total Project Level: "&amp;Dlevel)</f>
        <v>Errors on page, no Level reached</v>
      </c>
      <c r="J3" s="769"/>
      <c r="K3" s="769"/>
      <c r="L3" s="769"/>
      <c r="M3" s="806"/>
      <c r="N3" s="806"/>
      <c r="O3" s="806"/>
      <c r="P3" s="806"/>
      <c r="Q3" s="806"/>
      <c r="R3" s="806"/>
      <c r="S3" s="806"/>
      <c r="T3" s="806"/>
      <c r="U3" s="806"/>
      <c r="V3" s="806"/>
      <c r="W3" s="806"/>
      <c r="X3" s="337" t="s">
        <v>2154</v>
      </c>
      <c r="Y3" s="562"/>
      <c r="Z3" s="562"/>
      <c r="AA3" s="562"/>
      <c r="AB3" s="562"/>
      <c r="AC3" s="562"/>
      <c r="AD3" s="562"/>
      <c r="AE3" s="562"/>
      <c r="AF3" s="594" t="s">
        <v>2976</v>
      </c>
      <c r="AG3" s="562" t="b">
        <f>OR(AE:AE)</f>
        <v>1</v>
      </c>
      <c r="AH3" s="594" t="s">
        <v>2977</v>
      </c>
      <c r="AI3" s="562" t="b">
        <f ca="1">OR(AD:AD)</f>
        <v>0</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x14ac:dyDescent="0.2">
      <c r="H4" s="805"/>
      <c r="I4" s="778"/>
      <c r="J4" s="779"/>
      <c r="K4" s="779"/>
      <c r="L4" s="780"/>
      <c r="M4" s="806"/>
      <c r="N4" s="806"/>
      <c r="O4" s="806"/>
      <c r="P4" s="806"/>
      <c r="Q4" s="806"/>
      <c r="R4" s="806"/>
      <c r="S4" s="806"/>
      <c r="T4" s="806"/>
      <c r="U4" s="806"/>
      <c r="V4" s="806"/>
      <c r="W4" s="806"/>
      <c r="X4" s="715" t="s">
        <v>46</v>
      </c>
      <c r="Y4" s="562"/>
      <c r="Z4" s="56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x14ac:dyDescent="0.2">
      <c r="H5" s="805"/>
      <c r="I5" s="781" t="str">
        <f>"Revision Date:  "&amp;TEXT('Info &amp; Intro'!E7,"m/d/yyyy")</f>
        <v>Revision Date:  11/30/2020</v>
      </c>
      <c r="J5" s="782"/>
      <c r="K5" s="782"/>
      <c r="L5" s="783"/>
      <c r="M5" s="806"/>
      <c r="N5" s="806"/>
      <c r="O5" s="806"/>
      <c r="P5" s="806"/>
      <c r="Q5" s="806"/>
      <c r="R5" s="806"/>
      <c r="S5" s="806"/>
      <c r="T5" s="806"/>
      <c r="U5" s="806"/>
      <c r="V5" s="806"/>
      <c r="W5" s="806"/>
      <c r="X5" s="715"/>
      <c r="Y5" s="562"/>
      <c r="Z5" s="56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x14ac:dyDescent="0.2">
      <c r="H6" s="805"/>
      <c r="I6" s="788" t="s">
        <v>2157</v>
      </c>
      <c r="J6" s="789"/>
      <c r="K6" s="790"/>
      <c r="L6" s="784" t="s">
        <v>2978</v>
      </c>
      <c r="M6" s="784" t="s">
        <v>2159</v>
      </c>
      <c r="N6" s="784"/>
      <c r="O6" s="23" t="s">
        <v>2160</v>
      </c>
      <c r="P6" s="784" t="s">
        <v>2161</v>
      </c>
      <c r="Q6" s="784" t="s">
        <v>2162</v>
      </c>
      <c r="R6" s="784" t="s">
        <v>2163</v>
      </c>
      <c r="S6" s="784" t="s">
        <v>2164</v>
      </c>
      <c r="T6" s="784" t="s">
        <v>2165</v>
      </c>
      <c r="U6" s="784" t="s">
        <v>2166</v>
      </c>
      <c r="V6" s="784"/>
      <c r="W6" s="784" t="s">
        <v>2167</v>
      </c>
      <c r="X6" s="770" t="s">
        <v>2168</v>
      </c>
      <c r="Y6" s="562"/>
      <c r="Z6" s="562"/>
      <c r="AA6" s="562"/>
      <c r="AB6" s="562"/>
      <c r="AC6" s="588" t="s">
        <v>2169</v>
      </c>
      <c r="AD6" s="588" t="s">
        <v>2165</v>
      </c>
      <c r="AE6" s="588" t="s">
        <v>2170</v>
      </c>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x14ac:dyDescent="0.2">
      <c r="H7" s="805"/>
      <c r="I7" s="788"/>
      <c r="J7" s="789"/>
      <c r="K7" s="790"/>
      <c r="L7" s="785"/>
      <c r="M7" s="785"/>
      <c r="N7" s="785"/>
      <c r="O7" s="23" t="s">
        <v>2171</v>
      </c>
      <c r="P7" s="785"/>
      <c r="Q7" s="785"/>
      <c r="R7" s="785"/>
      <c r="S7" s="785"/>
      <c r="T7" s="785"/>
      <c r="U7" s="785"/>
      <c r="V7" s="785"/>
      <c r="W7" s="785"/>
      <c r="X7" s="771"/>
      <c r="Y7" s="562"/>
      <c r="Z7" s="562"/>
      <c r="AA7" s="562"/>
      <c r="AB7" s="562"/>
      <c r="AC7" s="588" t="s">
        <v>2169</v>
      </c>
      <c r="AD7" s="588" t="s">
        <v>2165</v>
      </c>
      <c r="AE7" s="588" t="s">
        <v>2170</v>
      </c>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s="439" customFormat="1" hidden="1" x14ac:dyDescent="0.2">
      <c r="A8" s="13"/>
      <c r="B8" s="13"/>
      <c r="C8" s="13"/>
      <c r="D8" s="13"/>
      <c r="E8" s="13"/>
      <c r="F8" s="13"/>
      <c r="G8" s="13"/>
      <c r="H8" s="13"/>
      <c r="I8" s="604"/>
      <c r="J8" s="604"/>
      <c r="K8" s="604"/>
      <c r="L8" s="602"/>
      <c r="M8" s="602"/>
      <c r="N8" s="602"/>
      <c r="O8" s="23"/>
      <c r="P8" s="602"/>
      <c r="Q8" s="602"/>
      <c r="R8" s="602"/>
      <c r="S8" s="602"/>
      <c r="T8" s="602"/>
      <c r="U8" s="602"/>
      <c r="V8" s="602"/>
      <c r="W8" s="602"/>
      <c r="X8" s="604"/>
      <c r="Y8" s="562"/>
      <c r="Z8" s="562"/>
      <c r="AA8" s="562"/>
      <c r="AB8" s="562"/>
      <c r="AC8" s="588"/>
      <c r="AD8" s="588"/>
      <c r="AE8" s="588"/>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ht="19" x14ac:dyDescent="0.25">
      <c r="A9" s="13" t="s">
        <v>48</v>
      </c>
      <c r="B9" s="13" t="s">
        <v>48</v>
      </c>
      <c r="C9" s="13" t="s">
        <v>48</v>
      </c>
      <c r="D9" s="13" t="s">
        <v>48</v>
      </c>
      <c r="E9" s="13" t="s">
        <v>48</v>
      </c>
      <c r="F9" s="13" t="s">
        <v>48</v>
      </c>
      <c r="G9" s="13" t="s">
        <v>48</v>
      </c>
      <c r="H9" s="443"/>
      <c r="I9" s="15" t="s">
        <v>2979</v>
      </c>
      <c r="J9" s="15"/>
      <c r="K9" s="15"/>
      <c r="L9" s="16"/>
      <c r="M9" s="17"/>
      <c r="N9" s="562" t="s">
        <v>48</v>
      </c>
      <c r="O9" s="17"/>
      <c r="P9" s="562" t="s">
        <v>48</v>
      </c>
      <c r="Q9" s="562" t="s">
        <v>48</v>
      </c>
      <c r="R9" s="562" t="s">
        <v>48</v>
      </c>
      <c r="S9" s="562" t="s">
        <v>48</v>
      </c>
      <c r="T9" s="562" t="s">
        <v>48</v>
      </c>
      <c r="U9" s="562" t="s">
        <v>48</v>
      </c>
      <c r="V9" s="562" t="s">
        <v>48</v>
      </c>
      <c r="W9" s="16"/>
      <c r="X9" s="16"/>
      <c r="Y9" s="586" t="s">
        <v>48</v>
      </c>
      <c r="Z9" s="586" t="s">
        <v>48</v>
      </c>
      <c r="AA9" s="586" t="s">
        <v>48</v>
      </c>
      <c r="AB9" s="586" t="s">
        <v>48</v>
      </c>
      <c r="AC9" s="586" t="s">
        <v>48</v>
      </c>
      <c r="AD9" s="586" t="s">
        <v>48</v>
      </c>
      <c r="AE9" s="586" t="s">
        <v>48</v>
      </c>
      <c r="AF9" s="586" t="s">
        <v>48</v>
      </c>
      <c r="AG9" s="586" t="s">
        <v>48</v>
      </c>
      <c r="AH9" s="586" t="s">
        <v>48</v>
      </c>
      <c r="AI9" s="586" t="s">
        <v>48</v>
      </c>
      <c r="AJ9" s="586" t="s">
        <v>48</v>
      </c>
      <c r="AK9" s="586" t="s">
        <v>48</v>
      </c>
      <c r="AL9" s="586" t="s">
        <v>48</v>
      </c>
      <c r="AM9" s="586" t="s">
        <v>48</v>
      </c>
      <c r="AN9" s="586" t="s">
        <v>48</v>
      </c>
      <c r="AO9" s="586" t="s">
        <v>48</v>
      </c>
      <c r="AP9" s="586" t="s">
        <v>48</v>
      </c>
      <c r="AQ9" s="586" t="s">
        <v>48</v>
      </c>
      <c r="AR9" s="586" t="s">
        <v>48</v>
      </c>
      <c r="AS9" s="586" t="s">
        <v>48</v>
      </c>
      <c r="AT9" s="586" t="s">
        <v>48</v>
      </c>
      <c r="AU9" s="586" t="s">
        <v>48</v>
      </c>
      <c r="AV9" s="586" t="s">
        <v>48</v>
      </c>
      <c r="AW9" s="586" t="s">
        <v>48</v>
      </c>
      <c r="AX9" s="586" t="s">
        <v>48</v>
      </c>
      <c r="AY9" s="586" t="s">
        <v>48</v>
      </c>
      <c r="AZ9" s="586" t="s">
        <v>48</v>
      </c>
      <c r="BA9" s="586" t="s">
        <v>48</v>
      </c>
      <c r="BB9" s="586" t="s">
        <v>48</v>
      </c>
      <c r="BC9" s="586" t="s">
        <v>48</v>
      </c>
      <c r="BD9" s="586" t="s">
        <v>48</v>
      </c>
      <c r="BE9" s="586" t="s">
        <v>48</v>
      </c>
      <c r="BF9" s="586" t="s">
        <v>48</v>
      </c>
      <c r="BG9" s="586" t="s">
        <v>48</v>
      </c>
      <c r="BH9" s="586" t="s">
        <v>48</v>
      </c>
      <c r="BI9" s="586" t="s">
        <v>48</v>
      </c>
    </row>
    <row r="10" spans="1:61" x14ac:dyDescent="0.2">
      <c r="B10" s="358" t="s">
        <v>2980</v>
      </c>
      <c r="C10" s="14"/>
      <c r="D10" s="14"/>
      <c r="E10" s="14"/>
      <c r="F10" s="14"/>
      <c r="G10" s="14"/>
      <c r="H10" s="441"/>
      <c r="I10" s="49" t="s">
        <v>2981</v>
      </c>
      <c r="J10" s="3"/>
      <c r="K10" s="3"/>
      <c r="L10" s="654" t="s">
        <v>2982</v>
      </c>
      <c r="M10" s="450"/>
      <c r="N10" s="562"/>
      <c r="O10" s="616"/>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x14ac:dyDescent="0.2">
      <c r="B11" s="358">
        <v>901.1</v>
      </c>
      <c r="C11" s="14"/>
      <c r="D11" s="14"/>
      <c r="E11" s="14"/>
      <c r="F11" s="14"/>
      <c r="G11" s="14"/>
      <c r="H11" s="441"/>
      <c r="I11" s="184" t="s">
        <v>2983</v>
      </c>
      <c r="J11" s="98"/>
      <c r="K11" s="98"/>
      <c r="L11" s="640" t="s">
        <v>2984</v>
      </c>
      <c r="M11" s="341"/>
      <c r="N11" s="64"/>
      <c r="O11" s="610"/>
      <c r="P11" s="64"/>
      <c r="Q11" s="64"/>
      <c r="R11" s="64"/>
      <c r="S11" s="64"/>
      <c r="T11" s="64"/>
      <c r="U11" s="64"/>
      <c r="V11" s="64"/>
      <c r="W11" s="64"/>
      <c r="X11" s="64"/>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94" t="str">
        <f>'Overview (Design)'!A8</f>
        <v>Builder Name:</v>
      </c>
      <c r="AY11" s="562" t="str">
        <f>'Overview (Design)'!G8</f>
        <v>AAA Green Builders</v>
      </c>
      <c r="AZ11" s="562"/>
      <c r="BA11" s="562"/>
      <c r="BB11" s="562"/>
      <c r="BC11" s="562"/>
      <c r="BD11" s="562"/>
      <c r="BE11" s="562"/>
      <c r="BF11" s="562"/>
      <c r="BG11" s="562"/>
      <c r="BH11" s="562"/>
      <c r="BI11" s="562"/>
    </row>
    <row r="12" spans="1:61" x14ac:dyDescent="0.2">
      <c r="B12" s="358" t="s">
        <v>2985</v>
      </c>
      <c r="C12" s="14"/>
      <c r="D12" s="14"/>
      <c r="E12" s="14"/>
      <c r="F12" s="14"/>
      <c r="G12" s="14"/>
      <c r="H12" s="441"/>
      <c r="I12" s="184" t="s">
        <v>2986</v>
      </c>
      <c r="J12" s="98"/>
      <c r="K12" s="98"/>
      <c r="L12" s="820" t="s">
        <v>2987</v>
      </c>
      <c r="M12" s="800">
        <v>5</v>
      </c>
      <c r="N12" s="98"/>
      <c r="O12" s="793">
        <f>M12*S12*W12</f>
        <v>0</v>
      </c>
      <c r="P12" s="64" t="b">
        <v>1</v>
      </c>
      <c r="Q12" s="64" t="b">
        <v>1</v>
      </c>
      <c r="R12" s="64" t="b">
        <v>0</v>
      </c>
      <c r="S12" s="64" t="b">
        <v>1</v>
      </c>
      <c r="T12" s="64" t="b">
        <v>0</v>
      </c>
      <c r="U12" s="64"/>
      <c r="V12" s="64"/>
      <c r="W12" s="219"/>
      <c r="X12" s="798"/>
      <c r="Y12" s="562"/>
      <c r="Z12" s="562"/>
      <c r="AA12" s="562"/>
      <c r="AB12" s="562"/>
      <c r="AC12" s="562" t="b">
        <f>OR(AD12:AE12)</f>
        <v>0</v>
      </c>
      <c r="AD12" s="562" t="b">
        <f>T12</f>
        <v>0</v>
      </c>
      <c r="AE12" s="562" t="b">
        <f>AND(R12,NOT(W12))</f>
        <v>0</v>
      </c>
      <c r="AF12" s="562"/>
      <c r="AG12" s="562"/>
      <c r="AH12" s="562"/>
      <c r="AI12" s="562"/>
      <c r="AJ12" s="562"/>
      <c r="AK12" s="562"/>
      <c r="AL12" s="190" t="str">
        <f>SUBSTITUTE(SUBSTITUTE(SUBSTITUTE("dpa"&amp;$B12&amp;$C12&amp;$D12&amp;$E12&amp;$F12,".","_"),"(","_"),")","")</f>
        <v>dpa901_1_1</v>
      </c>
      <c r="AM12" s="190">
        <f>M12</f>
        <v>5</v>
      </c>
      <c r="AN12" s="190" t="str">
        <f>SUBSTITUTE(SUBSTITUTE(SUBSTITUTE("dpc"&amp;$B12&amp;$C12&amp;$D12&amp;$E12&amp;$F12,".","_"),"(","_"),")","")</f>
        <v>dpc901_1_1</v>
      </c>
      <c r="AO12" s="190">
        <f>O12</f>
        <v>0</v>
      </c>
      <c r="AP12" s="190" t="str">
        <f>SUBSTITUTE(SUBSTITUTE(SUBSTITUTE("dch"&amp;$B12&amp;$C12&amp;$D12&amp;$E12&amp;$F12,".","_"),"(","_"),")","")</f>
        <v>dch901_1_1</v>
      </c>
      <c r="AQ12" s="190">
        <f>W12</f>
        <v>0</v>
      </c>
      <c r="AR12" s="190" t="str">
        <f>SUBSTITUTE(SUBSTITUTE(SUBSTITUTE("dnt"&amp;$B12&amp;$C12&amp;$D12&amp;$E12&amp;$F12,".","_"),"(","_"),")","")</f>
        <v>dnt901_1_1</v>
      </c>
      <c r="AS12" s="190">
        <f>X12</f>
        <v>0</v>
      </c>
      <c r="AT12" s="562"/>
      <c r="AU12" s="562"/>
      <c r="AV12" s="562"/>
      <c r="AW12" s="562"/>
      <c r="AX12" s="594" t="str">
        <f>'Overview (Design)'!A9</f>
        <v>Physical Address of Home:</v>
      </c>
      <c r="AY12" s="562" t="str">
        <f>'Overview (Design)'!G9</f>
        <v>6666 Oak St.</v>
      </c>
      <c r="AZ12" s="562"/>
      <c r="BA12" s="562"/>
      <c r="BB12" s="562"/>
      <c r="BC12" s="562"/>
      <c r="BD12" s="562"/>
      <c r="BE12" s="562"/>
      <c r="BF12" s="562"/>
      <c r="BG12" s="562"/>
      <c r="BH12" s="562"/>
      <c r="BI12" s="562"/>
    </row>
    <row r="13" spans="1:61" x14ac:dyDescent="0.2">
      <c r="B13" s="358" t="s">
        <v>2985</v>
      </c>
      <c r="C13" s="14"/>
      <c r="D13" s="14"/>
      <c r="E13" s="14"/>
      <c r="F13" s="14"/>
      <c r="G13" s="14"/>
      <c r="H13" s="441"/>
      <c r="I13" s="253"/>
      <c r="J13" s="98"/>
      <c r="K13" s="98"/>
      <c r="L13" s="820"/>
      <c r="M13" s="800"/>
      <c r="N13" s="98"/>
      <c r="O13" s="793"/>
      <c r="P13" s="64"/>
      <c r="Q13" s="64"/>
      <c r="R13" s="64"/>
      <c r="S13" s="64"/>
      <c r="T13" s="64"/>
      <c r="U13" s="64"/>
      <c r="V13" s="64"/>
      <c r="W13" s="64"/>
      <c r="X13" s="798"/>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94" t="str">
        <f>'Overview (Design)'!A10</f>
        <v>Community/Lot #:</v>
      </c>
      <c r="AY13" s="562">
        <f>'Overview (Design)'!G10</f>
        <v>0</v>
      </c>
      <c r="AZ13" s="562"/>
      <c r="BA13" s="562"/>
      <c r="BB13" s="562"/>
      <c r="BC13" s="562"/>
      <c r="BD13" s="562"/>
      <c r="BE13" s="562"/>
      <c r="BF13" s="562"/>
      <c r="BG13" s="562"/>
      <c r="BH13" s="562"/>
      <c r="BI13" s="562"/>
    </row>
    <row r="14" spans="1:61" x14ac:dyDescent="0.2">
      <c r="B14" s="358" t="s">
        <v>2985</v>
      </c>
      <c r="C14" s="14"/>
      <c r="D14" s="14"/>
      <c r="E14" s="14"/>
      <c r="F14" s="14"/>
      <c r="G14" s="14"/>
      <c r="H14" s="441"/>
      <c r="I14" s="253"/>
      <c r="J14" s="98"/>
      <c r="K14" s="98"/>
      <c r="L14" s="820"/>
      <c r="M14" s="800"/>
      <c r="N14" s="98"/>
      <c r="O14" s="793"/>
      <c r="P14" s="64"/>
      <c r="Q14" s="64"/>
      <c r="R14" s="64"/>
      <c r="S14" s="64"/>
      <c r="T14" s="64"/>
      <c r="U14" s="64"/>
      <c r="V14" s="64"/>
      <c r="W14" s="64"/>
      <c r="X14" s="798"/>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94" t="str">
        <f>'Overview (Design)'!A11</f>
        <v>City:</v>
      </c>
      <c r="AY14" s="562" t="str">
        <f>'Overview (Design)'!G11</f>
        <v>Raleigh</v>
      </c>
      <c r="AZ14" s="562"/>
      <c r="BA14" s="562"/>
      <c r="BB14" s="562"/>
      <c r="BC14" s="562"/>
      <c r="BD14" s="562"/>
      <c r="BE14" s="562"/>
      <c r="BF14" s="562"/>
      <c r="BG14" s="562"/>
      <c r="BH14" s="562"/>
      <c r="BI14" s="562"/>
    </row>
    <row r="15" spans="1:61" x14ac:dyDescent="0.2">
      <c r="B15" s="358" t="s">
        <v>2985</v>
      </c>
      <c r="C15" s="14"/>
      <c r="D15" s="14"/>
      <c r="E15" s="14"/>
      <c r="F15" s="14"/>
      <c r="G15" s="14"/>
      <c r="H15" s="441"/>
      <c r="I15" s="253"/>
      <c r="J15" s="98"/>
      <c r="K15" s="98"/>
      <c r="L15" s="820"/>
      <c r="M15" s="800"/>
      <c r="N15" s="98"/>
      <c r="O15" s="793"/>
      <c r="P15" s="64"/>
      <c r="Q15" s="64"/>
      <c r="R15" s="64"/>
      <c r="S15" s="64"/>
      <c r="T15" s="64"/>
      <c r="U15" s="64"/>
      <c r="V15" s="64"/>
      <c r="W15" s="64"/>
      <c r="X15" s="798"/>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94" t="str">
        <f>'Overview (Design)'!A12</f>
        <v>State:</v>
      </c>
      <c r="AY15" s="562" t="str">
        <f>'Overview (Design)'!G12</f>
        <v>North Carolina</v>
      </c>
      <c r="AZ15" s="562"/>
      <c r="BA15" s="562"/>
      <c r="BB15" s="562"/>
      <c r="BC15" s="562" t="str">
        <f>'Overview (Design)'!K12</f>
        <v>State</v>
      </c>
      <c r="BD15" s="562" t="str">
        <f>'Overview (Design)'!L12</f>
        <v>County</v>
      </c>
      <c r="BE15" s="562" t="str">
        <f>'Overview (Design)'!M12</f>
        <v>Radon</v>
      </c>
      <c r="BF15" s="562" t="str">
        <f>'Overview (Design)'!N12</f>
        <v>Climate</v>
      </c>
      <c r="BG15" s="562" t="str">
        <f>'Overview (Design)'!O12</f>
        <v>Moist</v>
      </c>
      <c r="BH15" s="562" t="str">
        <f>'Overview (Design)'!P12</f>
        <v>WarmHumid</v>
      </c>
      <c r="BI15" s="562" t="str">
        <f>'Overview (Design)'!Q12</f>
        <v>Tropical</v>
      </c>
    </row>
    <row r="16" spans="1:61" x14ac:dyDescent="0.2">
      <c r="B16" s="358" t="s">
        <v>2985</v>
      </c>
      <c r="C16" s="14"/>
      <c r="D16" s="14"/>
      <c r="E16" s="14"/>
      <c r="F16" s="14"/>
      <c r="G16" s="14"/>
      <c r="H16" s="441"/>
      <c r="I16" s="253"/>
      <c r="J16" s="98"/>
      <c r="K16" s="98"/>
      <c r="L16" s="881" t="s">
        <v>2988</v>
      </c>
      <c r="M16" s="800"/>
      <c r="N16" s="98"/>
      <c r="O16" s="793"/>
      <c r="P16" s="64"/>
      <c r="Q16" s="64"/>
      <c r="R16" s="64"/>
      <c r="S16" s="64"/>
      <c r="T16" s="64"/>
      <c r="U16" s="64"/>
      <c r="V16" s="64"/>
      <c r="W16" s="64"/>
      <c r="X16" s="798"/>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94" t="str">
        <f>'Overview (Design)'!A13</f>
        <v>County:</v>
      </c>
      <c r="AY16" s="562">
        <f>'Overview (Design)'!G13</f>
        <v>0</v>
      </c>
      <c r="AZ16" s="562"/>
      <c r="BA16" s="562"/>
      <c r="BB16" s="562"/>
      <c r="BC16" s="562" t="str">
        <f>'Overview (Design)'!K13</f>
        <v>North Carolina</v>
      </c>
      <c r="BD16" s="562" t="str">
        <f>'Overview (Design)'!L13</f>
        <v/>
      </c>
      <c r="BE16" s="562" t="str">
        <f>'Overview (Design)'!M13</f>
        <v>!!</v>
      </c>
      <c r="BF16" s="562" t="str">
        <f>'Overview (Design)'!N13</f>
        <v>!!</v>
      </c>
      <c r="BG16" s="562" t="str">
        <f>'Overview (Design)'!O13</f>
        <v>!!</v>
      </c>
      <c r="BH16" s="562" t="str">
        <f>'Overview (Design)'!P13</f>
        <v>!!</v>
      </c>
      <c r="BI16" s="562" t="str">
        <f>'Overview (Design)'!Q13</f>
        <v>!!</v>
      </c>
    </row>
    <row r="17" spans="1:51" x14ac:dyDescent="0.2">
      <c r="B17" s="358" t="s">
        <v>2985</v>
      </c>
      <c r="C17" s="14"/>
      <c r="D17" s="14"/>
      <c r="E17" s="14"/>
      <c r="F17" s="14"/>
      <c r="G17" s="14"/>
      <c r="H17" s="441"/>
      <c r="I17" s="272"/>
      <c r="J17" s="165"/>
      <c r="K17" s="165"/>
      <c r="L17" s="882"/>
      <c r="M17" s="801"/>
      <c r="N17" s="165"/>
      <c r="O17" s="794"/>
      <c r="P17" s="129"/>
      <c r="Q17" s="129"/>
      <c r="R17" s="129"/>
      <c r="S17" s="129"/>
      <c r="T17" s="129"/>
      <c r="U17" s="129"/>
      <c r="V17" s="129"/>
      <c r="W17" s="129"/>
      <c r="X17" s="798"/>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94" t="str">
        <f>'Overview (Design)'!A14</f>
        <v>Zip:</v>
      </c>
      <c r="AY17" s="562" t="str">
        <f>'Overview (Design)'!G14</f>
        <v>99999</v>
      </c>
    </row>
    <row r="18" spans="1:51" x14ac:dyDescent="0.2">
      <c r="B18" s="358" t="s">
        <v>2989</v>
      </c>
      <c r="C18" s="14"/>
      <c r="D18" s="14"/>
      <c r="E18" s="14"/>
      <c r="F18" s="14"/>
      <c r="G18" s="14"/>
      <c r="H18" s="441"/>
      <c r="I18" s="145" t="s">
        <v>2990</v>
      </c>
      <c r="J18" s="146"/>
      <c r="K18" s="146"/>
      <c r="L18" s="847" t="s">
        <v>2991</v>
      </c>
      <c r="M18" s="824">
        <v>5</v>
      </c>
      <c r="N18" s="146"/>
      <c r="O18" s="815">
        <f>M18*S18*W18</f>
        <v>0</v>
      </c>
      <c r="P18" s="64" t="b">
        <v>1</v>
      </c>
      <c r="Q18" s="64" t="b">
        <v>0</v>
      </c>
      <c r="R18" s="148" t="b">
        <v>0</v>
      </c>
      <c r="S18" s="148" t="b">
        <v>1</v>
      </c>
      <c r="T18" s="148" t="b">
        <v>0</v>
      </c>
      <c r="U18" s="148"/>
      <c r="V18" s="148"/>
      <c r="W18" s="219"/>
      <c r="X18" s="798"/>
      <c r="Y18" s="562"/>
      <c r="Z18" s="562"/>
      <c r="AA18" s="562"/>
      <c r="AB18" s="562"/>
      <c r="AC18" s="562" t="b">
        <f>OR(AD18:AE18)</f>
        <v>0</v>
      </c>
      <c r="AD18" s="562" t="b">
        <f>T18</f>
        <v>0</v>
      </c>
      <c r="AE18" s="562" t="b">
        <f>AND(R18,NOT(W18))</f>
        <v>0</v>
      </c>
      <c r="AF18" s="562"/>
      <c r="AG18" s="562"/>
      <c r="AH18" s="562"/>
      <c r="AI18" s="562"/>
      <c r="AJ18" s="562"/>
      <c r="AK18" s="562"/>
      <c r="AL18" s="190" t="str">
        <f>SUBSTITUTE(SUBSTITUTE(SUBSTITUTE("dpa"&amp;$B18&amp;$C18&amp;$D18&amp;$E18&amp;$F18,".","_"),"(","_"),")","")</f>
        <v>dpa901_1_2</v>
      </c>
      <c r="AM18" s="190">
        <f>M18</f>
        <v>5</v>
      </c>
      <c r="AN18" s="190" t="str">
        <f>SUBSTITUTE(SUBSTITUTE(SUBSTITUTE("dpc"&amp;$B18&amp;$C18&amp;$D18&amp;$E18&amp;$F18,".","_"),"(","_"),")","")</f>
        <v>dpc901_1_2</v>
      </c>
      <c r="AO18" s="190">
        <f>O18</f>
        <v>0</v>
      </c>
      <c r="AP18" s="190" t="str">
        <f>SUBSTITUTE(SUBSTITUTE(SUBSTITUTE("dch"&amp;$B18&amp;$C18&amp;$D18&amp;$E18&amp;$F18,".","_"),"(","_"),")","")</f>
        <v>dch901_1_2</v>
      </c>
      <c r="AQ18" s="190">
        <f>W18</f>
        <v>0</v>
      </c>
      <c r="AR18" s="190" t="str">
        <f>SUBSTITUTE(SUBSTITUTE(SUBSTITUTE("dnt"&amp;$B18&amp;$C18&amp;$D18&amp;$E18&amp;$F18,".","_"),"(","_"),")","")</f>
        <v>dnt901_1_2</v>
      </c>
      <c r="AS18" s="190">
        <f>X18</f>
        <v>0</v>
      </c>
      <c r="AT18" s="562"/>
      <c r="AU18" s="562"/>
      <c r="AV18" s="562"/>
      <c r="AW18" s="562"/>
      <c r="AX18" s="594"/>
      <c r="AY18" s="562"/>
    </row>
    <row r="19" spans="1:51" x14ac:dyDescent="0.2">
      <c r="B19" s="358" t="s">
        <v>2989</v>
      </c>
      <c r="C19" s="14"/>
      <c r="D19" s="14"/>
      <c r="E19" s="14"/>
      <c r="F19" s="14"/>
      <c r="G19" s="14"/>
      <c r="H19" s="441"/>
      <c r="I19" s="253"/>
      <c r="J19" s="98"/>
      <c r="K19" s="98"/>
      <c r="L19" s="820"/>
      <c r="M19" s="800"/>
      <c r="N19" s="98"/>
      <c r="O19" s="793"/>
      <c r="P19" s="64"/>
      <c r="Q19" s="64"/>
      <c r="R19" s="64"/>
      <c r="S19" s="64"/>
      <c r="T19" s="64"/>
      <c r="U19" s="64"/>
      <c r="V19" s="64"/>
      <c r="W19" s="64"/>
      <c r="X19" s="798"/>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94" t="str">
        <f>'Overview (Design)'!A16</f>
        <v>Single-Family or Multifamily:</v>
      </c>
      <c r="AY19" s="562" t="str">
        <f>'Overview (Design)'!G16</f>
        <v>Single-Family</v>
      </c>
    </row>
    <row r="20" spans="1:51" s="224" customFormat="1" x14ac:dyDescent="0.2">
      <c r="A20" s="13"/>
      <c r="B20" s="358" t="s">
        <v>2989</v>
      </c>
      <c r="C20" s="14"/>
      <c r="D20" s="14"/>
      <c r="E20" s="14"/>
      <c r="F20" s="14"/>
      <c r="G20" s="14"/>
      <c r="H20" s="441"/>
      <c r="I20" s="272"/>
      <c r="J20" s="165"/>
      <c r="K20" s="165"/>
      <c r="L20" s="571" t="s">
        <v>2992</v>
      </c>
      <c r="M20" s="611"/>
      <c r="N20" s="165"/>
      <c r="O20" s="608"/>
      <c r="P20" s="129"/>
      <c r="Q20" s="129"/>
      <c r="R20" s="129"/>
      <c r="S20" s="129"/>
      <c r="T20" s="129"/>
      <c r="U20" s="129"/>
      <c r="V20" s="129"/>
      <c r="W20" s="129"/>
      <c r="X20" s="798"/>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94" t="str">
        <f>'Overview (Design)'!A17</f>
        <v>Number of Units:</v>
      </c>
      <c r="AY20" s="562">
        <f>'Overview (Design)'!G17</f>
        <v>0</v>
      </c>
    </row>
    <row r="21" spans="1:51" x14ac:dyDescent="0.2">
      <c r="B21" s="358" t="s">
        <v>2993</v>
      </c>
      <c r="C21" s="14"/>
      <c r="D21" s="14"/>
      <c r="E21" s="14"/>
      <c r="F21" s="14"/>
      <c r="G21" s="14"/>
      <c r="H21" s="441"/>
      <c r="I21" s="40" t="s">
        <v>2994</v>
      </c>
      <c r="J21" s="3"/>
      <c r="K21" s="3"/>
      <c r="L21" s="775" t="s">
        <v>2995</v>
      </c>
      <c r="M21" s="616"/>
      <c r="N21" s="3"/>
      <c r="O21" s="609"/>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94" t="str">
        <f>'Overview (Design)'!A18</f>
        <v>Project Name:</v>
      </c>
      <c r="AY21" s="562">
        <f>'Overview (Design)'!G18</f>
        <v>0</v>
      </c>
    </row>
    <row r="22" spans="1:51" x14ac:dyDescent="0.2">
      <c r="B22" s="358" t="s">
        <v>2993</v>
      </c>
      <c r="C22" s="14"/>
      <c r="D22" s="14"/>
      <c r="E22" s="14"/>
      <c r="F22" s="14"/>
      <c r="G22" s="14"/>
      <c r="H22" s="441"/>
      <c r="I22" s="121"/>
      <c r="J22" s="3"/>
      <c r="K22" s="3"/>
      <c r="L22" s="775"/>
      <c r="M22" s="616"/>
      <c r="N22" s="3"/>
      <c r="O22" s="609"/>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row>
    <row r="23" spans="1:51" x14ac:dyDescent="0.2">
      <c r="B23" s="358" t="s">
        <v>2993</v>
      </c>
      <c r="C23" s="14"/>
      <c r="D23" s="14"/>
      <c r="E23" s="14" t="s">
        <v>2181</v>
      </c>
      <c r="F23" s="14"/>
      <c r="G23" s="14"/>
      <c r="H23" s="441"/>
      <c r="I23" s="121"/>
      <c r="J23" s="20" t="s">
        <v>2181</v>
      </c>
      <c r="K23" s="3"/>
      <c r="L23" s="632" t="s">
        <v>2996</v>
      </c>
      <c r="M23" s="616"/>
      <c r="N23" s="3"/>
      <c r="O23" s="609">
        <f ca="1">IFERROR(INDEX({3,5},MATCH(W23,INDIRECT(U23),0)),0)*S23</f>
        <v>0</v>
      </c>
      <c r="P23" s="64" t="b">
        <v>1</v>
      </c>
      <c r="Q23" s="64" t="b">
        <v>1</v>
      </c>
      <c r="R23" s="562" t="b">
        <v>0</v>
      </c>
      <c r="S23" s="562" t="b">
        <f>OR(AY33=INDEX(ddHeat1,1),AY33=INDEX(ddHeat1,2),AY34=INDEX(ddHeat2,1),AY34=INDEX(ddHeat2,2),AY35=INDEX(ddHeat3,1),AY35=INDEX(ddHeat3,2))</f>
        <v>0</v>
      </c>
      <c r="T23" s="64" t="b">
        <f>AND(NOT(S23),LEN(W23)&gt;0)</f>
        <v>0</v>
      </c>
      <c r="U23" s="64" t="str">
        <f>SUBSTITUTE(SUBSTITUTE(SUBSTITUTE("dd"&amp;B23&amp;C23&amp;D23&amp;E23&amp;F23,".","_"),"(","_"),")","")</f>
        <v>dd901_1_3_1</v>
      </c>
      <c r="V23" s="562"/>
      <c r="W23" s="6"/>
      <c r="X23" s="787"/>
      <c r="Y23" s="562"/>
      <c r="Z23" s="562"/>
      <c r="AA23" s="562"/>
      <c r="AB23" s="562"/>
      <c r="AC23" s="562"/>
      <c r="AD23" s="562"/>
      <c r="AE23" s="562"/>
      <c r="AF23" s="562"/>
      <c r="AG23" s="562"/>
      <c r="AH23" s="562"/>
      <c r="AI23" s="562"/>
      <c r="AJ23" s="562"/>
      <c r="AK23" s="562"/>
      <c r="AL23" s="562"/>
      <c r="AM23" s="562"/>
      <c r="AN23" s="190" t="str">
        <f>SUBSTITUTE(SUBSTITUTE(SUBSTITUTE("dpc"&amp;$B23&amp;$C23&amp;$D23&amp;$E23&amp;$F23,".","_"),"(","_"),")","")</f>
        <v>dpc901_1_3_1</v>
      </c>
      <c r="AO23" s="190">
        <f ca="1">O23</f>
        <v>0</v>
      </c>
      <c r="AP23" s="190" t="str">
        <f>SUBSTITUTE(SUBSTITUTE(SUBSTITUTE("dch"&amp;$B23&amp;$C23&amp;$D23&amp;$E23&amp;$F23,".","_"),"(","_"),")","")</f>
        <v>dch901_1_3_1</v>
      </c>
      <c r="AQ23" s="190">
        <f>W23</f>
        <v>0</v>
      </c>
      <c r="AR23" s="190" t="str">
        <f>SUBSTITUTE(SUBSTITUTE(SUBSTITUTE("dnt"&amp;$B23&amp;$C23&amp;$D23&amp;$E23&amp;$F23,".","_"),"(","_"),")","")</f>
        <v>dnt901_1_3_1</v>
      </c>
      <c r="AS23" s="190">
        <f>X23</f>
        <v>0</v>
      </c>
      <c r="AT23" s="562"/>
      <c r="AU23" s="562"/>
      <c r="AV23" s="562"/>
      <c r="AW23" s="562"/>
      <c r="AX23" s="594" t="str">
        <f>'Overview (Design)'!A20</f>
        <v>Year Built:</v>
      </c>
      <c r="AY23" s="562">
        <f>'Overview (Design)'!G20</f>
        <v>0</v>
      </c>
    </row>
    <row r="24" spans="1:51" x14ac:dyDescent="0.2">
      <c r="B24" s="358" t="s">
        <v>2993</v>
      </c>
      <c r="C24" s="14"/>
      <c r="D24" s="14"/>
      <c r="E24" s="14" t="s">
        <v>2181</v>
      </c>
      <c r="F24" s="48" t="s">
        <v>2196</v>
      </c>
      <c r="G24" s="48"/>
      <c r="H24" s="444"/>
      <c r="I24" s="121"/>
      <c r="J24" s="20"/>
      <c r="K24" s="20" t="s">
        <v>2196</v>
      </c>
      <c r="L24" s="632" t="s">
        <v>2997</v>
      </c>
      <c r="M24" s="616">
        <v>3</v>
      </c>
      <c r="N24" s="3"/>
      <c r="O24" s="609"/>
      <c r="P24" s="562"/>
      <c r="Q24" s="562"/>
      <c r="R24" s="562"/>
      <c r="S24" s="562"/>
      <c r="T24" s="562"/>
      <c r="U24" s="562"/>
      <c r="V24" s="562"/>
      <c r="W24" s="562"/>
      <c r="X24" s="787"/>
      <c r="Y24" s="562"/>
      <c r="Z24" s="562"/>
      <c r="AA24" s="562"/>
      <c r="AB24" s="562"/>
      <c r="AC24" s="562"/>
      <c r="AD24" s="562"/>
      <c r="AE24" s="562"/>
      <c r="AF24" s="562"/>
      <c r="AG24" s="562"/>
      <c r="AH24" s="562"/>
      <c r="AI24" s="562"/>
      <c r="AJ24" s="562"/>
      <c r="AK24" s="562"/>
      <c r="AL24" s="190" t="str">
        <f>SUBSTITUTE(SUBSTITUTE(SUBSTITUTE("dpa"&amp;$B24&amp;$C24&amp;$D24&amp;$E24&amp;$F24,".","_"),"(","_"),")","")</f>
        <v>dpa901_1_3_1_a</v>
      </c>
      <c r="AM24" s="190">
        <f>M24</f>
        <v>3</v>
      </c>
      <c r="AN24" s="562"/>
      <c r="AO24" s="562"/>
      <c r="AP24" s="562"/>
      <c r="AQ24" s="562"/>
      <c r="AR24" s="562"/>
      <c r="AS24" s="562"/>
      <c r="AT24" s="562"/>
      <c r="AU24" s="562"/>
      <c r="AV24" s="562"/>
      <c r="AW24" s="562"/>
      <c r="AX24" s="594" t="str">
        <f>'Overview (Design)'!A21</f>
        <v>Above grade plane finished floor area:</v>
      </c>
      <c r="AY24" s="562">
        <f>'Overview (Design)'!G21</f>
        <v>0</v>
      </c>
    </row>
    <row r="25" spans="1:51" x14ac:dyDescent="0.2">
      <c r="B25" s="358" t="s">
        <v>2993</v>
      </c>
      <c r="C25" s="14"/>
      <c r="D25" s="14"/>
      <c r="E25" s="14" t="s">
        <v>2181</v>
      </c>
      <c r="F25" s="48" t="s">
        <v>2198</v>
      </c>
      <c r="G25" s="48"/>
      <c r="H25" s="444"/>
      <c r="I25" s="121"/>
      <c r="J25" s="159"/>
      <c r="K25" s="159" t="s">
        <v>2198</v>
      </c>
      <c r="L25" s="599" t="s">
        <v>2998</v>
      </c>
      <c r="M25" s="611">
        <v>5</v>
      </c>
      <c r="N25" s="3"/>
      <c r="O25" s="608"/>
      <c r="P25" s="562"/>
      <c r="Q25" s="562"/>
      <c r="R25" s="562"/>
      <c r="S25" s="562"/>
      <c r="T25" s="562"/>
      <c r="U25" s="562"/>
      <c r="V25" s="562"/>
      <c r="W25" s="562"/>
      <c r="X25" s="787"/>
      <c r="Y25" s="562"/>
      <c r="Z25" s="562"/>
      <c r="AA25" s="562"/>
      <c r="AB25" s="562"/>
      <c r="AC25" s="562"/>
      <c r="AD25" s="562"/>
      <c r="AE25" s="562"/>
      <c r="AF25" s="562"/>
      <c r="AG25" s="562"/>
      <c r="AH25" s="562"/>
      <c r="AI25" s="562"/>
      <c r="AJ25" s="562"/>
      <c r="AK25" s="562"/>
      <c r="AL25" s="190" t="str">
        <f>SUBSTITUTE(SUBSTITUTE(SUBSTITUTE("dpa"&amp;$B25&amp;$C25&amp;$D25&amp;$E25&amp;$F25,".","_"),"(","_"),")","")</f>
        <v>dpa901_1_3_1_b</v>
      </c>
      <c r="AM25" s="190">
        <f>M25</f>
        <v>5</v>
      </c>
      <c r="AN25" s="562"/>
      <c r="AO25" s="562"/>
      <c r="AP25" s="562"/>
      <c r="AQ25" s="562"/>
      <c r="AR25" s="562"/>
      <c r="AS25" s="562"/>
      <c r="AT25" s="562"/>
      <c r="AU25" s="562"/>
      <c r="AV25" s="562"/>
      <c r="AW25" s="562"/>
      <c r="AX25" s="594" t="str">
        <f>'Overview (Design)'!A22</f>
        <v>Total conditioned floor area:</v>
      </c>
      <c r="AY25" s="562">
        <f>'Overview (Design)'!G22</f>
        <v>0</v>
      </c>
    </row>
    <row r="26" spans="1:51" x14ac:dyDescent="0.2">
      <c r="B26" s="358" t="s">
        <v>2993</v>
      </c>
      <c r="C26" s="14"/>
      <c r="D26" s="14"/>
      <c r="E26" s="14" t="s">
        <v>2183</v>
      </c>
      <c r="F26" s="48"/>
      <c r="G26" s="48"/>
      <c r="H26" s="444"/>
      <c r="I26" s="253"/>
      <c r="J26" s="134" t="s">
        <v>2183</v>
      </c>
      <c r="K26" s="98"/>
      <c r="L26" s="598" t="s">
        <v>2999</v>
      </c>
      <c r="M26" s="610"/>
      <c r="N26" s="98"/>
      <c r="O26" s="607">
        <f ca="1">IFERROR(INDEX({3,5},MATCH(W26,INDIRECT(U26),0)),0)*S26</f>
        <v>0</v>
      </c>
      <c r="P26" s="64" t="b">
        <v>1</v>
      </c>
      <c r="Q26" s="64" t="b">
        <v>1</v>
      </c>
      <c r="R26" s="64" t="b">
        <v>0</v>
      </c>
      <c r="S26" s="64" t="b">
        <v>1</v>
      </c>
      <c r="T26" s="64" t="b">
        <v>0</v>
      </c>
      <c r="U26" s="64" t="str">
        <f>SUBSTITUTE(SUBSTITUTE(SUBSTITUTE("dd"&amp;B26&amp;C26&amp;D26&amp;E26&amp;F26,".","_"),"(","_"),")","")</f>
        <v>dd901_1_3_2</v>
      </c>
      <c r="V26" s="64"/>
      <c r="W26" s="78"/>
      <c r="X26" s="798"/>
      <c r="Y26" s="562"/>
      <c r="Z26" s="562"/>
      <c r="AA26" s="562"/>
      <c r="AB26" s="562"/>
      <c r="AC26" s="562"/>
      <c r="AD26" s="562"/>
      <c r="AE26" s="562"/>
      <c r="AF26" s="562"/>
      <c r="AG26" s="562"/>
      <c r="AH26" s="562"/>
      <c r="AI26" s="562"/>
      <c r="AJ26" s="562"/>
      <c r="AK26" s="562"/>
      <c r="AL26" s="562"/>
      <c r="AM26" s="562"/>
      <c r="AN26" s="190" t="str">
        <f>SUBSTITUTE(SUBSTITUTE(SUBSTITUTE("dpc"&amp;$B26&amp;$C26&amp;$D26&amp;$E26&amp;$F26,".","_"),"(","_"),")","")</f>
        <v>dpc901_1_3_2</v>
      </c>
      <c r="AO26" s="190">
        <f ca="1">O26</f>
        <v>0</v>
      </c>
      <c r="AP26" s="190" t="str">
        <f>SUBSTITUTE(SUBSTITUTE(SUBSTITUTE("dch"&amp;$B26&amp;$C26&amp;$D26&amp;$E26&amp;$F26,".","_"),"(","_"),")","")</f>
        <v>dch901_1_3_2</v>
      </c>
      <c r="AQ26" s="190">
        <f>W26</f>
        <v>0</v>
      </c>
      <c r="AR26" s="190" t="str">
        <f>SUBSTITUTE(SUBSTITUTE(SUBSTITUTE("dnt"&amp;$B26&amp;$C26&amp;$D26&amp;$E26&amp;$F26,".","_"),"(","_"),")","")</f>
        <v>dnt901_1_3_2</v>
      </c>
      <c r="AS26" s="190">
        <f>X26</f>
        <v>0</v>
      </c>
      <c r="AT26" s="562"/>
      <c r="AU26" s="562"/>
      <c r="AV26" s="562"/>
      <c r="AW26" s="562"/>
      <c r="AX26" s="594" t="str">
        <f>'Overview (Design)'!A23</f>
        <v>Stories above grade:</v>
      </c>
      <c r="AY26" s="562">
        <f>'Overview (Design)'!G23</f>
        <v>0</v>
      </c>
    </row>
    <row r="27" spans="1:51" x14ac:dyDescent="0.2">
      <c r="B27" s="358" t="s">
        <v>2993</v>
      </c>
      <c r="C27" s="14"/>
      <c r="D27" s="14"/>
      <c r="E27" s="14" t="s">
        <v>2183</v>
      </c>
      <c r="F27" s="48" t="s">
        <v>2196</v>
      </c>
      <c r="G27" s="48"/>
      <c r="H27" s="444"/>
      <c r="I27" s="253"/>
      <c r="J27" s="98"/>
      <c r="K27" s="134" t="s">
        <v>2196</v>
      </c>
      <c r="L27" s="598" t="s">
        <v>3000</v>
      </c>
      <c r="M27" s="610">
        <v>3</v>
      </c>
      <c r="N27" s="98"/>
      <c r="O27" s="607"/>
      <c r="P27" s="64"/>
      <c r="Q27" s="64"/>
      <c r="R27" s="64"/>
      <c r="S27" s="64"/>
      <c r="T27" s="64"/>
      <c r="U27" s="64"/>
      <c r="V27" s="64"/>
      <c r="W27" s="64"/>
      <c r="X27" s="798"/>
      <c r="Y27" s="562"/>
      <c r="Z27" s="562"/>
      <c r="AA27" s="562"/>
      <c r="AB27" s="562"/>
      <c r="AC27" s="562"/>
      <c r="AD27" s="562"/>
      <c r="AE27" s="562"/>
      <c r="AF27" s="562"/>
      <c r="AG27" s="562"/>
      <c r="AH27" s="562"/>
      <c r="AI27" s="562"/>
      <c r="AJ27" s="562"/>
      <c r="AK27" s="562"/>
      <c r="AL27" s="190" t="str">
        <f>SUBSTITUTE(SUBSTITUTE(SUBSTITUTE("dpa"&amp;$B27&amp;$C27&amp;$D27&amp;$E27&amp;$F27,".","_"),"(","_"),")","")</f>
        <v>dpa901_1_3_2_a</v>
      </c>
      <c r="AM27" s="190">
        <f>M27</f>
        <v>3</v>
      </c>
      <c r="AN27" s="562"/>
      <c r="AO27" s="562"/>
      <c r="AP27" s="562"/>
      <c r="AQ27" s="562"/>
      <c r="AR27" s="562"/>
      <c r="AS27" s="562"/>
      <c r="AT27" s="562"/>
      <c r="AU27" s="562"/>
      <c r="AV27" s="562"/>
      <c r="AW27" s="562"/>
      <c r="AX27" s="594"/>
      <c r="AY27" s="562"/>
    </row>
    <row r="28" spans="1:51" x14ac:dyDescent="0.2">
      <c r="B28" s="358" t="s">
        <v>2993</v>
      </c>
      <c r="C28" s="14"/>
      <c r="D28" s="14"/>
      <c r="E28" s="14" t="s">
        <v>2183</v>
      </c>
      <c r="F28" s="48" t="s">
        <v>2198</v>
      </c>
      <c r="G28" s="48"/>
      <c r="H28" s="444"/>
      <c r="I28" s="272"/>
      <c r="J28" s="165"/>
      <c r="K28" s="159" t="s">
        <v>2198</v>
      </c>
      <c r="L28" s="599" t="s">
        <v>3001</v>
      </c>
      <c r="M28" s="611">
        <v>5</v>
      </c>
      <c r="N28" s="165"/>
      <c r="O28" s="608"/>
      <c r="P28" s="129"/>
      <c r="Q28" s="129"/>
      <c r="R28" s="129"/>
      <c r="S28" s="129"/>
      <c r="T28" s="129"/>
      <c r="U28" s="129"/>
      <c r="V28" s="129"/>
      <c r="W28" s="129"/>
      <c r="X28" s="798"/>
      <c r="Y28" s="562"/>
      <c r="Z28" s="562"/>
      <c r="AA28" s="562"/>
      <c r="AB28" s="562"/>
      <c r="AC28" s="562"/>
      <c r="AD28" s="562"/>
      <c r="AE28" s="562"/>
      <c r="AF28" s="562"/>
      <c r="AG28" s="562"/>
      <c r="AH28" s="562"/>
      <c r="AI28" s="562"/>
      <c r="AJ28" s="562"/>
      <c r="AK28" s="562"/>
      <c r="AL28" s="190" t="str">
        <f>SUBSTITUTE(SUBSTITUTE(SUBSTITUTE("dpa"&amp;$B28&amp;$C28&amp;$D28&amp;$E28&amp;$F28,".","_"),"(","_"),")","")</f>
        <v>dpa901_1_3_2_b</v>
      </c>
      <c r="AM28" s="190">
        <f>M28</f>
        <v>5</v>
      </c>
      <c r="AN28" s="562"/>
      <c r="AO28" s="562"/>
      <c r="AP28" s="562"/>
      <c r="AQ28" s="562"/>
      <c r="AR28" s="562"/>
      <c r="AS28" s="562"/>
      <c r="AT28" s="562"/>
      <c r="AU28" s="562"/>
      <c r="AV28" s="562"/>
      <c r="AW28" s="562"/>
      <c r="AX28" s="594" t="str">
        <f>'Overview (Design)'!A25</f>
        <v xml:space="preserve">Project Description (optional): </v>
      </c>
      <c r="AY28" s="562">
        <f>'Overview (Design)'!G25</f>
        <v>0</v>
      </c>
    </row>
    <row r="29" spans="1:51" x14ac:dyDescent="0.2">
      <c r="B29" s="358" t="s">
        <v>3002</v>
      </c>
      <c r="C29" s="14"/>
      <c r="D29" s="14"/>
      <c r="E29" s="14"/>
      <c r="F29" s="14"/>
      <c r="G29" s="14"/>
      <c r="H29" s="441"/>
      <c r="I29" s="99" t="s">
        <v>3003</v>
      </c>
      <c r="J29" s="98"/>
      <c r="K29" s="98"/>
      <c r="L29" s="820" t="s">
        <v>3004</v>
      </c>
      <c r="M29" s="838" t="str">
        <f>IF(R29,"Mandatory","N/A")</f>
        <v>Mandatory</v>
      </c>
      <c r="N29" s="98"/>
      <c r="O29" s="607"/>
      <c r="P29" s="64" t="b">
        <v>1</v>
      </c>
      <c r="Q29" s="64" t="b">
        <v>0</v>
      </c>
      <c r="R29" s="64" t="b">
        <f>S29</f>
        <v>1</v>
      </c>
      <c r="S29" s="64" t="b">
        <v>1</v>
      </c>
      <c r="T29" s="64" t="b">
        <v>0</v>
      </c>
      <c r="U29" s="64" t="str">
        <f>SUBSTITUTE(SUBSTITUTE(SUBSTITUTE("dd"&amp;B29&amp;C29&amp;D29&amp;E29&amp;F29,".","_"),"(","_"),")","")</f>
        <v>dd901_1_4</v>
      </c>
      <c r="V29" s="64"/>
      <c r="W29" s="192"/>
      <c r="X29" s="786"/>
      <c r="Y29" s="562"/>
      <c r="Z29" s="562"/>
      <c r="AA29" s="562"/>
      <c r="AB29" s="562"/>
      <c r="AC29" s="562" t="b">
        <f>OR(AD29:AE29)</f>
        <v>1</v>
      </c>
      <c r="AD29" s="562" t="b">
        <f>T29</f>
        <v>0</v>
      </c>
      <c r="AE29" s="562" t="b">
        <f>AND(R29,OR(W29="Not Met",W29=""))</f>
        <v>1</v>
      </c>
      <c r="AF29" s="562"/>
      <c r="AG29" s="562"/>
      <c r="AH29" s="562"/>
      <c r="AI29" s="562"/>
      <c r="AJ29" s="562"/>
      <c r="AK29" s="562"/>
      <c r="AL29" s="190" t="str">
        <f>SUBSTITUTE(SUBSTITUTE(SUBSTITUTE("dpa"&amp;$B29&amp;$C29&amp;$D29&amp;$E29&amp;$F29,".","_"),"(","_"),")","")</f>
        <v>dpa901_1_4</v>
      </c>
      <c r="AM29" s="190" t="str">
        <f>M29</f>
        <v>Mandatory</v>
      </c>
      <c r="AN29" s="562"/>
      <c r="AO29" s="562"/>
      <c r="AP29" s="190" t="str">
        <f>SUBSTITUTE(SUBSTITUTE(SUBSTITUTE("dch"&amp;$B29&amp;$C29&amp;$D29&amp;$E29&amp;$F29,".","_"),"(","_"),")","")</f>
        <v>dch901_1_4</v>
      </c>
      <c r="AQ29" s="190">
        <f>W29</f>
        <v>0</v>
      </c>
      <c r="AR29" s="190" t="str">
        <f>SUBSTITUTE(SUBSTITUTE(SUBSTITUTE("dnt"&amp;$B29&amp;$C29&amp;$D29&amp;$E29&amp;$F29,".","_"),"(","_"),")","")</f>
        <v>dnt901_1_4</v>
      </c>
      <c r="AS29" s="190">
        <f>X29</f>
        <v>0</v>
      </c>
      <c r="AT29" s="562"/>
      <c r="AU29" s="562"/>
      <c r="AV29" s="562"/>
      <c r="AW29" s="562"/>
      <c r="AX29" s="594"/>
      <c r="AY29" s="562"/>
    </row>
    <row r="30" spans="1:51" x14ac:dyDescent="0.2">
      <c r="B30" s="358" t="s">
        <v>3002</v>
      </c>
      <c r="C30" s="14"/>
      <c r="D30" s="14"/>
      <c r="E30" s="14"/>
      <c r="F30" s="14"/>
      <c r="G30" s="14"/>
      <c r="H30" s="441"/>
      <c r="I30" s="253"/>
      <c r="J30" s="98"/>
      <c r="K30" s="98"/>
      <c r="L30" s="820"/>
      <c r="M30" s="838"/>
      <c r="N30" s="98"/>
      <c r="O30" s="607"/>
      <c r="P30" s="64"/>
      <c r="Q30" s="64"/>
      <c r="R30" s="64"/>
      <c r="S30" s="64"/>
      <c r="T30" s="64"/>
      <c r="U30" s="64"/>
      <c r="V30" s="64"/>
      <c r="W30" s="64"/>
      <c r="X30" s="798"/>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94" t="str">
        <f>'Overview (Design)'!A27</f>
        <v>HERS Index (if available):</v>
      </c>
      <c r="AY30" s="562">
        <f>'Overview (Design)'!G27</f>
        <v>0</v>
      </c>
    </row>
    <row r="31" spans="1:51" x14ac:dyDescent="0.2">
      <c r="B31" s="358" t="s">
        <v>3002</v>
      </c>
      <c r="C31" s="14"/>
      <c r="D31" s="14"/>
      <c r="E31" s="14"/>
      <c r="F31" s="14"/>
      <c r="G31" s="14"/>
      <c r="H31" s="441"/>
      <c r="I31" s="253"/>
      <c r="J31" s="98"/>
      <c r="K31" s="98"/>
      <c r="L31" s="820"/>
      <c r="M31" s="838"/>
      <c r="N31" s="98"/>
      <c r="O31" s="607"/>
      <c r="P31" s="64"/>
      <c r="Q31" s="64"/>
      <c r="R31" s="64"/>
      <c r="S31" s="64"/>
      <c r="T31" s="64"/>
      <c r="U31" s="64"/>
      <c r="V31" s="64"/>
      <c r="W31" s="64"/>
      <c r="X31" s="798"/>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94" t="str">
        <f>'Overview (Design)'!A28</f>
        <v>Foundation Type:</v>
      </c>
      <c r="AY31" s="562">
        <f>'Overview (Design)'!G28</f>
        <v>0</v>
      </c>
    </row>
    <row r="32" spans="1:51" x14ac:dyDescent="0.2">
      <c r="B32" s="358" t="s">
        <v>3002</v>
      </c>
      <c r="C32" s="14"/>
      <c r="D32" s="14"/>
      <c r="E32" s="14"/>
      <c r="F32" s="14"/>
      <c r="G32" s="14"/>
      <c r="H32" s="441"/>
      <c r="I32" s="272"/>
      <c r="J32" s="165"/>
      <c r="K32" s="165"/>
      <c r="L32" s="832"/>
      <c r="M32" s="854"/>
      <c r="N32" s="165"/>
      <c r="O32" s="608"/>
      <c r="P32" s="129"/>
      <c r="Q32" s="129"/>
      <c r="R32" s="129"/>
      <c r="S32" s="129"/>
      <c r="T32" s="129"/>
      <c r="U32" s="129"/>
      <c r="V32" s="129"/>
      <c r="W32" s="129"/>
      <c r="X32" s="798"/>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94">
        <f>'Overview (Design)'!A29</f>
        <v>0</v>
      </c>
      <c r="AY32" s="562">
        <f>'Overview (Design)'!G29</f>
        <v>0</v>
      </c>
    </row>
    <row r="33" spans="2:51" x14ac:dyDescent="0.2">
      <c r="B33" s="358" t="s">
        <v>3005</v>
      </c>
      <c r="C33" s="14"/>
      <c r="D33" s="14"/>
      <c r="E33" s="14"/>
      <c r="F33" s="14"/>
      <c r="G33" s="14"/>
      <c r="H33" s="441"/>
      <c r="I33" s="99" t="s">
        <v>3006</v>
      </c>
      <c r="J33" s="98"/>
      <c r="K33" s="98"/>
      <c r="L33" s="820" t="s">
        <v>3007</v>
      </c>
      <c r="M33" s="800">
        <v>7</v>
      </c>
      <c r="N33" s="98"/>
      <c r="O33" s="793">
        <f>M33*S33*W33</f>
        <v>0</v>
      </c>
      <c r="P33" s="64" t="b">
        <v>1</v>
      </c>
      <c r="Q33" s="64" t="b">
        <v>1</v>
      </c>
      <c r="R33" s="64" t="b">
        <v>0</v>
      </c>
      <c r="S33" s="64" t="b">
        <f>NOT(W29="N/A")</f>
        <v>1</v>
      </c>
      <c r="T33" s="64" t="b">
        <f>AND(NOT(S33),W33=TRUE)</f>
        <v>0</v>
      </c>
      <c r="U33" s="64"/>
      <c r="V33" s="64"/>
      <c r="W33" s="91"/>
      <c r="X33" s="786"/>
      <c r="Y33" s="562"/>
      <c r="Z33" s="562"/>
      <c r="AA33" s="562"/>
      <c r="AB33" s="562"/>
      <c r="AC33" s="562" t="b">
        <f>OR(AD33:AE33)</f>
        <v>0</v>
      </c>
      <c r="AD33" s="562" t="b">
        <f>T33</f>
        <v>0</v>
      </c>
      <c r="AE33" s="562" t="b">
        <f>AND(R33,NOT(W33))</f>
        <v>0</v>
      </c>
      <c r="AF33" s="562"/>
      <c r="AG33" s="562"/>
      <c r="AH33" s="562"/>
      <c r="AI33" s="562"/>
      <c r="AJ33" s="562"/>
      <c r="AK33" s="562"/>
      <c r="AL33" s="190" t="str">
        <f>SUBSTITUTE(SUBSTITUTE(SUBSTITUTE("dpa"&amp;$B33&amp;$C33&amp;$D33&amp;$E33&amp;$F33,".","_"),"(","_"),")","")</f>
        <v>dpa901_1_5</v>
      </c>
      <c r="AM33" s="190">
        <f>M33</f>
        <v>7</v>
      </c>
      <c r="AN33" s="190" t="str">
        <f>SUBSTITUTE(SUBSTITUTE(SUBSTITUTE("dpc"&amp;$B33&amp;$C33&amp;$D33&amp;$E33&amp;$F33,".","_"),"(","_"),")","")</f>
        <v>dpc901_1_5</v>
      </c>
      <c r="AO33" s="190">
        <f>O33</f>
        <v>0</v>
      </c>
      <c r="AP33" s="190" t="str">
        <f>SUBSTITUTE(SUBSTITUTE(SUBSTITUTE("dch"&amp;$B33&amp;$C33&amp;$D33&amp;$E33&amp;$F33,".","_"),"(","_"),")","")</f>
        <v>dch901_1_5</v>
      </c>
      <c r="AQ33" s="190">
        <f>W33</f>
        <v>0</v>
      </c>
      <c r="AR33" s="190" t="str">
        <f>SUBSTITUTE(SUBSTITUTE(SUBSTITUTE("dnt"&amp;$B33&amp;$C33&amp;$D33&amp;$E33&amp;$F33,".","_"),"(","_"),")","")</f>
        <v>dnt901_1_5</v>
      </c>
      <c r="AS33" s="190">
        <f>X33</f>
        <v>0</v>
      </c>
      <c r="AT33" s="562"/>
      <c r="AU33" s="562"/>
      <c r="AV33" s="562"/>
      <c r="AW33" s="562"/>
      <c r="AX33" s="594" t="str">
        <f>'Overview (Design)'!A30</f>
        <v>Type of Heating System (main system):</v>
      </c>
      <c r="AY33" s="562">
        <f>'Overview (Design)'!G30</f>
        <v>0</v>
      </c>
    </row>
    <row r="34" spans="2:51" x14ac:dyDescent="0.2">
      <c r="B34" s="358" t="s">
        <v>3005</v>
      </c>
      <c r="C34" s="14"/>
      <c r="D34" s="14"/>
      <c r="E34" s="14"/>
      <c r="F34" s="14"/>
      <c r="G34" s="14"/>
      <c r="H34" s="441"/>
      <c r="I34" s="253"/>
      <c r="J34" s="98"/>
      <c r="K34" s="98"/>
      <c r="L34" s="820"/>
      <c r="M34" s="800"/>
      <c r="N34" s="98"/>
      <c r="O34" s="793"/>
      <c r="P34" s="64"/>
      <c r="Q34" s="64"/>
      <c r="R34" s="64"/>
      <c r="S34" s="64"/>
      <c r="T34" s="64"/>
      <c r="U34" s="64"/>
      <c r="V34" s="64"/>
      <c r="W34" s="64"/>
      <c r="X34" s="798"/>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94" t="str">
        <f>'Overview (Design)'!A31</f>
        <v>Type of Heating System (system 2):</v>
      </c>
      <c r="AY34" s="562">
        <f>'Overview (Design)'!G31</f>
        <v>0</v>
      </c>
    </row>
    <row r="35" spans="2:51" x14ac:dyDescent="0.2">
      <c r="B35" s="358" t="s">
        <v>3005</v>
      </c>
      <c r="C35" s="14"/>
      <c r="D35" s="14"/>
      <c r="E35" s="14"/>
      <c r="F35" s="14"/>
      <c r="G35" s="14"/>
      <c r="H35" s="441"/>
      <c r="I35" s="272"/>
      <c r="J35" s="165"/>
      <c r="K35" s="165"/>
      <c r="L35" s="832"/>
      <c r="M35" s="801"/>
      <c r="N35" s="165"/>
      <c r="O35" s="794"/>
      <c r="P35" s="129"/>
      <c r="Q35" s="129"/>
      <c r="R35" s="129"/>
      <c r="S35" s="129"/>
      <c r="T35" s="129"/>
      <c r="U35" s="129"/>
      <c r="V35" s="129"/>
      <c r="W35" s="129"/>
      <c r="X35" s="798"/>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94" t="str">
        <f>'Overview (Design)'!A32</f>
        <v>Type of Heating System (system 3):</v>
      </c>
      <c r="AY35" s="562">
        <f>'Overview (Design)'!G32</f>
        <v>0</v>
      </c>
    </row>
    <row r="36" spans="2:51" x14ac:dyDescent="0.2">
      <c r="B36" s="358" t="s">
        <v>3008</v>
      </c>
      <c r="C36" s="14"/>
      <c r="D36" s="14"/>
      <c r="E36" s="14"/>
      <c r="F36" s="14"/>
      <c r="G36" s="14"/>
      <c r="H36" s="441"/>
      <c r="I36" s="99" t="s">
        <v>3009</v>
      </c>
      <c r="J36" s="98"/>
      <c r="K36" s="98"/>
      <c r="L36" s="640" t="s">
        <v>3010</v>
      </c>
      <c r="M36" s="610"/>
      <c r="N36" s="98"/>
      <c r="O36" s="607">
        <f ca="1">IFERROR(INDEX({2,5},MATCH(W36,INDIRECT(U36),0)),0)*S36</f>
        <v>0</v>
      </c>
      <c r="P36" s="64" t="b">
        <v>1</v>
      </c>
      <c r="Q36" s="64" t="b">
        <v>1</v>
      </c>
      <c r="R36" s="64" t="b">
        <v>0</v>
      </c>
      <c r="S36" s="64" t="b">
        <f>OR(AY33=INDEX(ddHeat1,3),AY33=INDEX(ddHeat1,5),AY34=INDEX(ddHeat2,3),AY34=INDEX(ddHeat2,5),AY35=INDEX(ddHeat3,3),AY35=INDEX(ddHeat3,5))</f>
        <v>0</v>
      </c>
      <c r="T36" s="64" t="b">
        <f>AND(NOT(S36),LEN(W36)&gt;0)</f>
        <v>0</v>
      </c>
      <c r="U36" s="64" t="str">
        <f>SUBSTITUTE(SUBSTITUTE(SUBSTITUTE("dd"&amp;B36&amp;C36&amp;D36&amp;E36&amp;F36,".","_"),"(","_"),")","")</f>
        <v>dd901_1_6</v>
      </c>
      <c r="V36" s="64"/>
      <c r="W36" s="192"/>
      <c r="X36" s="786"/>
      <c r="Y36" s="562"/>
      <c r="Z36" s="562"/>
      <c r="AA36" s="562"/>
      <c r="AB36" s="562"/>
      <c r="AC36" s="562" t="b">
        <f>OR(AD36:AE36)</f>
        <v>0</v>
      </c>
      <c r="AD36" s="562" t="b">
        <f>T36</f>
        <v>0</v>
      </c>
      <c r="AE36" s="562" t="b">
        <f>AND(R36,OR(W36="Not Met",W36=""))</f>
        <v>0</v>
      </c>
      <c r="AF36" s="562"/>
      <c r="AG36" s="562"/>
      <c r="AH36" s="562"/>
      <c r="AI36" s="562"/>
      <c r="AJ36" s="562"/>
      <c r="AK36" s="562"/>
      <c r="AL36" s="562"/>
      <c r="AM36" s="562"/>
      <c r="AN36" s="190" t="str">
        <f>SUBSTITUTE(SUBSTITUTE(SUBSTITUTE("dpc"&amp;$B36&amp;$C36&amp;$D36&amp;$E36&amp;$F36,".","_"),"(","_"),")","")</f>
        <v>dpc901_1_6</v>
      </c>
      <c r="AO36" s="190">
        <f ca="1">O36</f>
        <v>0</v>
      </c>
      <c r="AP36" s="190" t="str">
        <f>SUBSTITUTE(SUBSTITUTE(SUBSTITUTE("dch"&amp;$B36&amp;$C36&amp;$D36&amp;$E36&amp;$F36,".","_"),"(","_"),")","")</f>
        <v>dch901_1_6</v>
      </c>
      <c r="AQ36" s="190">
        <f>W36</f>
        <v>0</v>
      </c>
      <c r="AR36" s="190" t="str">
        <f>SUBSTITUTE(SUBSTITUTE(SUBSTITUTE("dnt"&amp;$B36&amp;$C36&amp;$D36&amp;$E36&amp;$F36,".","_"),"(","_"),")","")</f>
        <v>dnt901_1_6</v>
      </c>
      <c r="AS36" s="190">
        <f>X36</f>
        <v>0</v>
      </c>
      <c r="AT36" s="562"/>
      <c r="AU36" s="562"/>
      <c r="AV36" s="562"/>
      <c r="AW36" s="562"/>
      <c r="AX36" s="594" t="str">
        <f>'Overview (Design)'!A33</f>
        <v>Heating Fuel:</v>
      </c>
      <c r="AY36" s="562">
        <f>'Overview (Design)'!G33</f>
        <v>0</v>
      </c>
    </row>
    <row r="37" spans="2:51" x14ac:dyDescent="0.2">
      <c r="B37" s="358" t="s">
        <v>3008</v>
      </c>
      <c r="C37" s="14"/>
      <c r="D37" s="14"/>
      <c r="E37" s="14" t="s">
        <v>2181</v>
      </c>
      <c r="F37" s="14"/>
      <c r="G37" s="14"/>
      <c r="H37" s="441"/>
      <c r="I37" s="253"/>
      <c r="J37" s="159" t="s">
        <v>2181</v>
      </c>
      <c r="K37" s="165"/>
      <c r="L37" s="599" t="s">
        <v>3011</v>
      </c>
      <c r="M37" s="611">
        <v>2</v>
      </c>
      <c r="N37" s="98"/>
      <c r="O37" s="607"/>
      <c r="P37" s="64"/>
      <c r="Q37" s="64"/>
      <c r="R37" s="64"/>
      <c r="S37" s="64"/>
      <c r="T37" s="64"/>
      <c r="U37" s="64"/>
      <c r="V37" s="64"/>
      <c r="W37" s="64"/>
      <c r="X37" s="798"/>
      <c r="Y37" s="562"/>
      <c r="Z37" s="562"/>
      <c r="AA37" s="562"/>
      <c r="AB37" s="562"/>
      <c r="AC37" s="562"/>
      <c r="AD37" s="562"/>
      <c r="AE37" s="562"/>
      <c r="AF37" s="562"/>
      <c r="AG37" s="562"/>
      <c r="AH37" s="562"/>
      <c r="AI37" s="562"/>
      <c r="AJ37" s="562"/>
      <c r="AK37" s="562"/>
      <c r="AL37" s="190" t="str">
        <f>SUBSTITUTE(SUBSTITUTE(SUBSTITUTE("dpa"&amp;$B37&amp;$C37&amp;$D37&amp;$E37&amp;$F37,".","_"),"(","_"),")","")</f>
        <v>dpa901_1_6_1</v>
      </c>
      <c r="AM37" s="190">
        <f>M37</f>
        <v>2</v>
      </c>
      <c r="AN37" s="562"/>
      <c r="AO37" s="562"/>
      <c r="AP37" s="562"/>
      <c r="AQ37" s="562"/>
      <c r="AR37" s="562"/>
      <c r="AS37" s="562"/>
      <c r="AT37" s="562"/>
      <c r="AU37" s="562"/>
      <c r="AV37" s="562"/>
      <c r="AW37" s="562"/>
      <c r="AX37" s="594" t="str">
        <f>'Overview (Design)'!A34</f>
        <v>Heating Ducts:</v>
      </c>
      <c r="AY37" s="562">
        <f>'Overview (Design)'!G34</f>
        <v>0</v>
      </c>
    </row>
    <row r="38" spans="2:51" ht="16" thickBot="1" x14ac:dyDescent="0.25">
      <c r="B38" s="358" t="s">
        <v>3008</v>
      </c>
      <c r="C38" s="14"/>
      <c r="D38" s="14"/>
      <c r="E38" s="14" t="s">
        <v>2183</v>
      </c>
      <c r="F38" s="14"/>
      <c r="G38" s="14"/>
      <c r="H38" s="441"/>
      <c r="I38" s="254"/>
      <c r="J38" s="143" t="s">
        <v>2183</v>
      </c>
      <c r="K38" s="185"/>
      <c r="L38" s="626" t="s">
        <v>3012</v>
      </c>
      <c r="M38" s="615">
        <v>5</v>
      </c>
      <c r="N38" s="185"/>
      <c r="O38" s="622"/>
      <c r="P38" s="68"/>
      <c r="Q38" s="68"/>
      <c r="R38" s="68"/>
      <c r="S38" s="68"/>
      <c r="T38" s="68"/>
      <c r="U38" s="68"/>
      <c r="V38" s="68"/>
      <c r="W38" s="68"/>
      <c r="X38" s="799"/>
      <c r="Y38" s="562"/>
      <c r="Z38" s="562"/>
      <c r="AA38" s="562"/>
      <c r="AB38" s="562"/>
      <c r="AC38" s="562"/>
      <c r="AD38" s="562"/>
      <c r="AE38" s="562"/>
      <c r="AF38" s="562"/>
      <c r="AG38" s="562"/>
      <c r="AH38" s="562"/>
      <c r="AI38" s="562"/>
      <c r="AJ38" s="562"/>
      <c r="AK38" s="562"/>
      <c r="AL38" s="190" t="str">
        <f>SUBSTITUTE(SUBSTITUTE(SUBSTITUTE("dpa"&amp;$B38&amp;$C38&amp;$D38&amp;$E38&amp;$F38,".","_"),"(","_"),")","")</f>
        <v>dpa901_1_6_2</v>
      </c>
      <c r="AM38" s="190">
        <f>M38</f>
        <v>5</v>
      </c>
      <c r="AN38" s="562"/>
      <c r="AO38" s="562"/>
      <c r="AP38" s="562"/>
      <c r="AQ38" s="562"/>
      <c r="AR38" s="562"/>
      <c r="AS38" s="562"/>
      <c r="AT38" s="562"/>
      <c r="AU38" s="562"/>
      <c r="AV38" s="562"/>
      <c r="AW38" s="562"/>
      <c r="AX38" s="594" t="str">
        <f>'Overview (Design)'!A35</f>
        <v>Type of Cooling System (main system):</v>
      </c>
      <c r="AY38" s="562">
        <f>'Overview (Design)'!G35</f>
        <v>0</v>
      </c>
    </row>
    <row r="39" spans="2:51" ht="16" thickTop="1" x14ac:dyDescent="0.2">
      <c r="B39" s="358">
        <v>901.2</v>
      </c>
      <c r="C39" s="14"/>
      <c r="D39" s="14"/>
      <c r="E39" s="14"/>
      <c r="F39" s="14"/>
      <c r="G39" s="14"/>
      <c r="H39" s="441"/>
      <c r="I39" s="131" t="s">
        <v>3013</v>
      </c>
      <c r="J39" s="132"/>
      <c r="K39" s="132"/>
      <c r="L39" s="646" t="s">
        <v>3014</v>
      </c>
      <c r="M39" s="625"/>
      <c r="N39" s="132"/>
      <c r="O39" s="623"/>
      <c r="P39" s="74"/>
      <c r="Q39" s="74"/>
      <c r="R39" s="74"/>
      <c r="S39" s="74"/>
      <c r="T39" s="74"/>
      <c r="U39" s="74"/>
      <c r="V39" s="74"/>
      <c r="W39" s="74"/>
      <c r="X39" s="74"/>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94" t="str">
        <f>'Overview (Design)'!A36</f>
        <v>Type of Cooling System (system 2):</v>
      </c>
      <c r="AY39" s="562">
        <f>'Overview (Design)'!G36</f>
        <v>0</v>
      </c>
    </row>
    <row r="40" spans="2:51" x14ac:dyDescent="0.2">
      <c r="B40" s="358" t="s">
        <v>3015</v>
      </c>
      <c r="C40" s="14"/>
      <c r="D40" s="14"/>
      <c r="E40" s="14"/>
      <c r="F40" s="14"/>
      <c r="G40" s="14"/>
      <c r="H40" s="441"/>
      <c r="I40" s="40" t="s">
        <v>3016</v>
      </c>
      <c r="J40" s="3"/>
      <c r="K40" s="3"/>
      <c r="L40" s="775" t="s">
        <v>3017</v>
      </c>
      <c r="M40" s="616"/>
      <c r="N40" s="3"/>
      <c r="O40" s="609"/>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94" t="str">
        <f>'Overview (Design)'!A37</f>
        <v>Type of Cooling System (system 3):</v>
      </c>
      <c r="AY40" s="562">
        <f>'Overview (Design)'!G37</f>
        <v>0</v>
      </c>
    </row>
    <row r="41" spans="2:51" x14ac:dyDescent="0.2">
      <c r="B41" s="358" t="s">
        <v>3015</v>
      </c>
      <c r="C41" s="14"/>
      <c r="D41" s="14"/>
      <c r="E41" s="14"/>
      <c r="F41" s="14"/>
      <c r="G41" s="14"/>
      <c r="H41" s="441"/>
      <c r="I41" s="121"/>
      <c r="J41" s="3"/>
      <c r="K41" s="3"/>
      <c r="L41" s="775"/>
      <c r="M41" s="616"/>
      <c r="N41" s="3"/>
      <c r="O41" s="609"/>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94" t="str">
        <f>'Overview (Design)'!A38</f>
        <v>Cooling Ducts:</v>
      </c>
      <c r="AY41" s="562">
        <f>'Overview (Design)'!G38</f>
        <v>0</v>
      </c>
    </row>
    <row r="42" spans="2:51" x14ac:dyDescent="0.2">
      <c r="B42" s="358" t="s">
        <v>3015</v>
      </c>
      <c r="C42" s="14"/>
      <c r="D42" s="14"/>
      <c r="E42" s="14" t="s">
        <v>2181</v>
      </c>
      <c r="F42" s="14"/>
      <c r="G42" s="14"/>
      <c r="H42" s="441"/>
      <c r="I42" s="121"/>
      <c r="J42" s="134" t="s">
        <v>2181</v>
      </c>
      <c r="K42" s="98"/>
      <c r="L42" s="791" t="s">
        <v>3018</v>
      </c>
      <c r="M42" s="630" t="str">
        <f>IF(R42,"Mandatory","N/A")</f>
        <v>Mandatory</v>
      </c>
      <c r="N42" s="98"/>
      <c r="O42" s="793">
        <f>M43*S42*(W42="Met")</f>
        <v>0</v>
      </c>
      <c r="P42" s="64" t="b">
        <v>1</v>
      </c>
      <c r="Q42" s="64" t="b">
        <v>1</v>
      </c>
      <c r="R42" s="562" t="b">
        <f>S42</f>
        <v>1</v>
      </c>
      <c r="S42" s="562" t="b">
        <f>NOT(W54)</f>
        <v>1</v>
      </c>
      <c r="T42" s="64" t="b">
        <f>AND(NOT(S42),LEN(W42)&gt;0,W42&lt;&gt;"N/A")</f>
        <v>0</v>
      </c>
      <c r="U42" s="64" t="str">
        <f>SUBSTITUTE(SUBSTITUTE(SUBSTITUTE("dd"&amp;B42&amp;C42&amp;D42&amp;E42&amp;F42,".","_"),"(","_"),")","")</f>
        <v>dd901_2_1_1</v>
      </c>
      <c r="V42" s="562"/>
      <c r="W42" s="6"/>
      <c r="X42" s="787"/>
      <c r="Y42" s="562"/>
      <c r="Z42" s="562"/>
      <c r="AA42" s="562"/>
      <c r="AB42" s="562"/>
      <c r="AC42" s="562" t="b">
        <f>OR(AD42:AE42)</f>
        <v>1</v>
      </c>
      <c r="AD42" s="562" t="b">
        <f>T42</f>
        <v>0</v>
      </c>
      <c r="AE42" s="562" t="b">
        <f>AND(R42,OR(W42="Not Met",W42=""))</f>
        <v>1</v>
      </c>
      <c r="AF42" s="562"/>
      <c r="AG42" s="562"/>
      <c r="AH42" s="562"/>
      <c r="AI42" s="562"/>
      <c r="AJ42" s="562"/>
      <c r="AK42" s="562"/>
      <c r="AL42" s="562"/>
      <c r="AM42" s="562"/>
      <c r="AN42" s="190" t="str">
        <f>SUBSTITUTE(SUBSTITUTE(SUBSTITUTE("dpc"&amp;$B42&amp;$C42&amp;$D42&amp;$E42&amp;$F42,".","_"),"(","_"),")","")</f>
        <v>dpc901_2_1_1</v>
      </c>
      <c r="AO42" s="190">
        <f>O42</f>
        <v>0</v>
      </c>
      <c r="AP42" s="190" t="str">
        <f>SUBSTITUTE(SUBSTITUTE(SUBSTITUTE("dch"&amp;$B42&amp;$C42&amp;$D42&amp;$E42&amp;$F42,".","_"),"(","_"),")","")</f>
        <v>dch901_2_1_1</v>
      </c>
      <c r="AQ42" s="190">
        <f>W42</f>
        <v>0</v>
      </c>
      <c r="AR42" s="190" t="str">
        <f>SUBSTITUTE(SUBSTITUTE(SUBSTITUTE("dnt"&amp;$B42&amp;$C42&amp;$D42&amp;$E42&amp;$F42,".","_"),"(","_"),")","")</f>
        <v>dnt901_2_1_1</v>
      </c>
      <c r="AS42" s="190">
        <f>X42</f>
        <v>0</v>
      </c>
      <c r="AT42" s="562"/>
      <c r="AU42" s="562"/>
      <c r="AV42" s="562"/>
      <c r="AW42" s="562"/>
      <c r="AX42" s="594"/>
      <c r="AY42" s="562"/>
    </row>
    <row r="43" spans="2:51" x14ac:dyDescent="0.2">
      <c r="B43" s="358" t="s">
        <v>3015</v>
      </c>
      <c r="C43" s="14"/>
      <c r="D43" s="14"/>
      <c r="E43" s="14" t="s">
        <v>2181</v>
      </c>
      <c r="F43" s="14"/>
      <c r="G43" s="14"/>
      <c r="H43" s="441"/>
      <c r="I43" s="121"/>
      <c r="J43" s="98"/>
      <c r="K43" s="98"/>
      <c r="L43" s="791"/>
      <c r="M43" s="800">
        <v>4</v>
      </c>
      <c r="N43" s="98"/>
      <c r="O43" s="793"/>
      <c r="P43" s="562"/>
      <c r="Q43" s="562"/>
      <c r="R43" s="562"/>
      <c r="S43" s="562"/>
      <c r="T43" s="562"/>
      <c r="U43" s="562"/>
      <c r="V43" s="562"/>
      <c r="W43" s="562"/>
      <c r="X43" s="787"/>
      <c r="Y43" s="562"/>
      <c r="Z43" s="562"/>
      <c r="AA43" s="562"/>
      <c r="AB43" s="562"/>
      <c r="AC43" s="562"/>
      <c r="AD43" s="562"/>
      <c r="AE43" s="562"/>
      <c r="AF43" s="562"/>
      <c r="AG43" s="562"/>
      <c r="AH43" s="562"/>
      <c r="AI43" s="562"/>
      <c r="AJ43" s="562"/>
      <c r="AK43" s="562"/>
      <c r="AL43" s="190" t="str">
        <f>SUBSTITUTE(SUBSTITUTE(SUBSTITUTE("dpa"&amp;$B43&amp;$C43&amp;$D43&amp;$E43&amp;$F43,".","_"),"(","_"),")","")</f>
        <v>dpa901_2_1_1</v>
      </c>
      <c r="AM43" s="190">
        <f>M43</f>
        <v>4</v>
      </c>
      <c r="AN43" s="562"/>
      <c r="AO43" s="562"/>
      <c r="AP43" s="562"/>
      <c r="AQ43" s="562"/>
      <c r="AR43" s="562"/>
      <c r="AS43" s="562"/>
      <c r="AT43" s="562"/>
      <c r="AU43" s="562"/>
      <c r="AV43" s="562"/>
      <c r="AW43" s="562"/>
      <c r="AX43" s="594" t="str">
        <f>'Overview (Design)'!A40</f>
        <v>Maximum window and door SHGC:</v>
      </c>
      <c r="AY43" s="562">
        <f>'Overview (Design)'!G40</f>
        <v>0</v>
      </c>
    </row>
    <row r="44" spans="2:51" x14ac:dyDescent="0.2">
      <c r="B44" s="358" t="s">
        <v>3015</v>
      </c>
      <c r="C44" s="14"/>
      <c r="D44" s="14"/>
      <c r="E44" s="14" t="s">
        <v>2181</v>
      </c>
      <c r="F44" s="14"/>
      <c r="G44" s="14"/>
      <c r="H44" s="441"/>
      <c r="I44" s="121"/>
      <c r="J44" s="165"/>
      <c r="K44" s="165"/>
      <c r="L44" s="792"/>
      <c r="M44" s="801"/>
      <c r="N44" s="165"/>
      <c r="O44" s="794"/>
      <c r="P44" s="562"/>
      <c r="Q44" s="562"/>
      <c r="R44" s="562"/>
      <c r="S44" s="562"/>
      <c r="T44" s="562"/>
      <c r="U44" s="562"/>
      <c r="V44" s="562"/>
      <c r="W44" s="562"/>
      <c r="X44" s="787"/>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94" t="str">
        <f>'Overview (Design)'!A41</f>
        <v>Maximum skylight SHGC:</v>
      </c>
      <c r="AY44" s="562">
        <f>'Overview (Design)'!G41</f>
        <v>0</v>
      </c>
    </row>
    <row r="45" spans="2:51" x14ac:dyDescent="0.2">
      <c r="B45" s="358" t="s">
        <v>3015</v>
      </c>
      <c r="C45" s="14"/>
      <c r="D45" s="14"/>
      <c r="E45" s="14" t="s">
        <v>2183</v>
      </c>
      <c r="F45" s="14"/>
      <c r="G45" s="14"/>
      <c r="H45" s="441"/>
      <c r="I45" s="121"/>
      <c r="J45" s="134" t="s">
        <v>2183</v>
      </c>
      <c r="K45" s="98"/>
      <c r="L45" s="791" t="s">
        <v>3019</v>
      </c>
      <c r="M45" s="630" t="str">
        <f>IF(R45,"Mandatory","N/A")</f>
        <v>Mandatory</v>
      </c>
      <c r="N45" s="98"/>
      <c r="O45" s="793">
        <f>M46*S45*(W45="Met")</f>
        <v>0</v>
      </c>
      <c r="P45" s="64" t="b">
        <v>1</v>
      </c>
      <c r="Q45" s="64" t="b">
        <v>1</v>
      </c>
      <c r="R45" s="562" t="b">
        <f>S45</f>
        <v>1</v>
      </c>
      <c r="S45" s="562" t="b">
        <f>NOT(W54)</f>
        <v>1</v>
      </c>
      <c r="T45" s="64" t="b">
        <f>AND(NOT(S45),LEN(W45)&gt;0,W45&lt;&gt;"N/A")</f>
        <v>0</v>
      </c>
      <c r="U45" s="64" t="str">
        <f>SUBSTITUTE(SUBSTITUTE(SUBSTITUTE("dd"&amp;B45&amp;C45&amp;D45&amp;E45&amp;F45,".","_"),"(","_"),")","")</f>
        <v>dd901_2_1_2</v>
      </c>
      <c r="V45" s="562"/>
      <c r="W45" s="6"/>
      <c r="X45" s="787"/>
      <c r="Y45" s="562"/>
      <c r="Z45" s="562"/>
      <c r="AA45" s="562"/>
      <c r="AB45" s="562"/>
      <c r="AC45" s="562" t="b">
        <f>OR(AD45:AE45)</f>
        <v>1</v>
      </c>
      <c r="AD45" s="562" t="b">
        <f>T45</f>
        <v>0</v>
      </c>
      <c r="AE45" s="562" t="b">
        <f>AND(R45,OR(W45="Not Met",W45=""))</f>
        <v>1</v>
      </c>
      <c r="AF45" s="562"/>
      <c r="AG45" s="562"/>
      <c r="AH45" s="562"/>
      <c r="AI45" s="562"/>
      <c r="AJ45" s="562"/>
      <c r="AK45" s="562"/>
      <c r="AL45" s="562"/>
      <c r="AM45" s="562"/>
      <c r="AN45" s="190" t="str">
        <f>SUBSTITUTE(SUBSTITUTE(SUBSTITUTE("dpc"&amp;$B45&amp;$C45&amp;$D45&amp;$E45&amp;$F45,".","_"),"(","_"),")","")</f>
        <v>dpc901_2_1_2</v>
      </c>
      <c r="AO45" s="190">
        <f>O45</f>
        <v>0</v>
      </c>
      <c r="AP45" s="190" t="str">
        <f>SUBSTITUTE(SUBSTITUTE(SUBSTITUTE("dch"&amp;$B45&amp;$C45&amp;$D45&amp;$E45&amp;$F45,".","_"),"(","_"),")","")</f>
        <v>dch901_2_1_2</v>
      </c>
      <c r="AQ45" s="190">
        <f>W45</f>
        <v>0</v>
      </c>
      <c r="AR45" s="190" t="str">
        <f>SUBSTITUTE(SUBSTITUTE(SUBSTITUTE("dnt"&amp;$B45&amp;$C45&amp;$D45&amp;$E45&amp;$F45,".","_"),"(","_"),")","")</f>
        <v>dnt901_2_1_2</v>
      </c>
      <c r="AS45" s="190">
        <f>X45</f>
        <v>0</v>
      </c>
      <c r="AT45" s="562"/>
      <c r="AU45" s="562"/>
      <c r="AV45" s="562"/>
      <c r="AW45" s="562"/>
      <c r="AX45" s="594" t="str">
        <f>'Overview (Design)'!A42</f>
        <v>Maximum window and door U-value:</v>
      </c>
      <c r="AY45" s="562">
        <f>'Overview (Design)'!G42</f>
        <v>0</v>
      </c>
    </row>
    <row r="46" spans="2:51" x14ac:dyDescent="0.2">
      <c r="B46" s="358" t="s">
        <v>3015</v>
      </c>
      <c r="C46" s="14"/>
      <c r="D46" s="14"/>
      <c r="E46" s="14" t="s">
        <v>2183</v>
      </c>
      <c r="F46" s="14"/>
      <c r="G46" s="14"/>
      <c r="H46" s="441"/>
      <c r="I46" s="121"/>
      <c r="J46" s="159"/>
      <c r="K46" s="165"/>
      <c r="L46" s="792"/>
      <c r="M46" s="611">
        <v>6</v>
      </c>
      <c r="N46" s="165"/>
      <c r="O46" s="794"/>
      <c r="P46" s="562"/>
      <c r="Q46" s="562"/>
      <c r="R46" s="562"/>
      <c r="S46" s="562"/>
      <c r="T46" s="562"/>
      <c r="U46" s="562"/>
      <c r="V46" s="562"/>
      <c r="W46" s="562"/>
      <c r="X46" s="787"/>
      <c r="Y46" s="562"/>
      <c r="Z46" s="562"/>
      <c r="AA46" s="562"/>
      <c r="AB46" s="562"/>
      <c r="AC46" s="562"/>
      <c r="AD46" s="562"/>
      <c r="AE46" s="562"/>
      <c r="AF46" s="562"/>
      <c r="AG46" s="562"/>
      <c r="AH46" s="562"/>
      <c r="AI46" s="562"/>
      <c r="AJ46" s="562"/>
      <c r="AK46" s="562"/>
      <c r="AL46" s="190" t="str">
        <f>SUBSTITUTE(SUBSTITUTE(SUBSTITUTE("dpa"&amp;$B46&amp;$C46&amp;$D46&amp;$E46&amp;$F46,".","_"),"(","_"),")","")</f>
        <v>dpa901_2_1_2</v>
      </c>
      <c r="AM46" s="190">
        <f>M46</f>
        <v>6</v>
      </c>
      <c r="AN46" s="562"/>
      <c r="AO46" s="562"/>
      <c r="AP46" s="562"/>
      <c r="AQ46" s="562"/>
      <c r="AR46" s="562"/>
      <c r="AS46" s="562"/>
      <c r="AT46" s="562"/>
      <c r="AU46" s="562"/>
      <c r="AV46" s="562"/>
      <c r="AW46" s="562"/>
      <c r="AX46" s="594" t="str">
        <f>'Overview (Design)'!A43</f>
        <v>Maximum skylight U-value:</v>
      </c>
      <c r="AY46" s="562">
        <f>'Overview (Design)'!G43</f>
        <v>0</v>
      </c>
    </row>
    <row r="47" spans="2:51" x14ac:dyDescent="0.2">
      <c r="B47" s="358" t="s">
        <v>3015</v>
      </c>
      <c r="C47" s="14"/>
      <c r="D47" s="14"/>
      <c r="E47" s="14" t="s">
        <v>2185</v>
      </c>
      <c r="F47" s="14"/>
      <c r="G47" s="14"/>
      <c r="H47" s="441"/>
      <c r="I47" s="121"/>
      <c r="J47" s="134" t="s">
        <v>2185</v>
      </c>
      <c r="K47" s="98"/>
      <c r="L47" s="791" t="s">
        <v>3020</v>
      </c>
      <c r="M47" s="630" t="str">
        <f>IF(R47,"Mandatory","N/A")</f>
        <v>Mandatory</v>
      </c>
      <c r="N47" s="98"/>
      <c r="O47" s="793">
        <f>M48*S47*(W47="Met")</f>
        <v>0</v>
      </c>
      <c r="P47" s="64" t="b">
        <v>1</v>
      </c>
      <c r="Q47" s="64" t="b">
        <v>1</v>
      </c>
      <c r="R47" s="562" t="b">
        <f>S47</f>
        <v>1</v>
      </c>
      <c r="S47" s="562" t="b">
        <f>NOT(W54)</f>
        <v>1</v>
      </c>
      <c r="T47" s="64" t="b">
        <f>AND(NOT(S47),LEN(W47)&gt;0,W47&lt;&gt;"N/A")</f>
        <v>0</v>
      </c>
      <c r="U47" s="64" t="str">
        <f>SUBSTITUTE(SUBSTITUTE(SUBSTITUTE("dd"&amp;B47&amp;C47&amp;D47&amp;E47&amp;F47,".","_"),"(","_"),")","")</f>
        <v>dd901_2_1_3</v>
      </c>
      <c r="V47" s="562"/>
      <c r="W47" s="6"/>
      <c r="X47" s="787"/>
      <c r="Y47" s="562"/>
      <c r="Z47" s="562"/>
      <c r="AA47" s="562"/>
      <c r="AB47" s="562"/>
      <c r="AC47" s="562" t="b">
        <f>OR(AD47:AE47)</f>
        <v>1</v>
      </c>
      <c r="AD47" s="562" t="b">
        <f>T47</f>
        <v>0</v>
      </c>
      <c r="AE47" s="562" t="b">
        <f>AND(R47,OR(W47="Not Met",W47=""))</f>
        <v>1</v>
      </c>
      <c r="AF47" s="562"/>
      <c r="AG47" s="562"/>
      <c r="AH47" s="562"/>
      <c r="AI47" s="562"/>
      <c r="AJ47" s="562"/>
      <c r="AK47" s="562"/>
      <c r="AL47" s="562"/>
      <c r="AM47" s="562"/>
      <c r="AN47" s="190" t="str">
        <f>SUBSTITUTE(SUBSTITUTE(SUBSTITUTE("dpc"&amp;$B47&amp;$C47&amp;$D47&amp;$E47&amp;$F47,".","_"),"(","_"),")","")</f>
        <v>dpc901_2_1_3</v>
      </c>
      <c r="AO47" s="190">
        <f>O47</f>
        <v>0</v>
      </c>
      <c r="AP47" s="190" t="str">
        <f>SUBSTITUTE(SUBSTITUTE(SUBSTITUTE("dch"&amp;$B47&amp;$C47&amp;$D47&amp;$E47&amp;$F47,".","_"),"(","_"),")","")</f>
        <v>dch901_2_1_3</v>
      </c>
      <c r="AQ47" s="190">
        <f>W47</f>
        <v>0</v>
      </c>
      <c r="AR47" s="190" t="str">
        <f>SUBSTITUTE(SUBSTITUTE(SUBSTITUTE("dnt"&amp;$B47&amp;$C47&amp;$D47&amp;$E47&amp;$F47,".","_"),"(","_"),")","")</f>
        <v>dnt901_2_1_3</v>
      </c>
      <c r="AS47" s="190">
        <f>X47</f>
        <v>0</v>
      </c>
      <c r="AT47" s="562"/>
      <c r="AU47" s="562"/>
      <c r="AV47" s="562"/>
      <c r="AW47" s="562"/>
      <c r="AX47" s="594" t="str">
        <f>'Overview (Design)'!A44</f>
        <v>Renewable Energy:</v>
      </c>
      <c r="AY47" s="562">
        <f>'Overview (Design)'!G44</f>
        <v>0</v>
      </c>
    </row>
    <row r="48" spans="2:51" x14ac:dyDescent="0.2">
      <c r="B48" s="358" t="s">
        <v>3015</v>
      </c>
      <c r="C48" s="14"/>
      <c r="D48" s="14"/>
      <c r="E48" s="14" t="s">
        <v>2185</v>
      </c>
      <c r="F48" s="14"/>
      <c r="G48" s="14"/>
      <c r="H48" s="441"/>
      <c r="I48" s="121"/>
      <c r="J48" s="134"/>
      <c r="K48" s="98"/>
      <c r="L48" s="791"/>
      <c r="M48" s="800">
        <v>6</v>
      </c>
      <c r="N48" s="98"/>
      <c r="O48" s="793"/>
      <c r="P48" s="562"/>
      <c r="Q48" s="562"/>
      <c r="R48" s="562"/>
      <c r="S48" s="562"/>
      <c r="T48" s="562"/>
      <c r="U48" s="562"/>
      <c r="V48" s="562"/>
      <c r="W48" s="562"/>
      <c r="X48" s="787"/>
      <c r="Y48" s="562"/>
      <c r="Z48" s="562"/>
      <c r="AA48" s="562"/>
      <c r="AB48" s="562"/>
      <c r="AC48" s="562"/>
      <c r="AD48" s="562"/>
      <c r="AE48" s="562"/>
      <c r="AF48" s="562"/>
      <c r="AG48" s="562"/>
      <c r="AH48" s="562"/>
      <c r="AI48" s="562"/>
      <c r="AJ48" s="562"/>
      <c r="AK48" s="562"/>
      <c r="AL48" s="190" t="str">
        <f>SUBSTITUTE(SUBSTITUTE(SUBSTITUTE("dpa"&amp;$B48&amp;$C48&amp;$D48&amp;$E48&amp;$F48,".","_"),"(","_"),")","")</f>
        <v>dpa901_2_1_3</v>
      </c>
      <c r="AM48" s="190">
        <f>M48</f>
        <v>6</v>
      </c>
      <c r="AN48" s="562"/>
      <c r="AO48" s="562"/>
      <c r="AP48" s="562"/>
      <c r="AQ48" s="562"/>
      <c r="AR48" s="562"/>
      <c r="AS48" s="562"/>
      <c r="AT48" s="562"/>
      <c r="AU48" s="562"/>
      <c r="AV48" s="562"/>
      <c r="AW48" s="562"/>
      <c r="AX48" s="594" t="str">
        <f>'Overview (Design)'!A45</f>
        <v>Thermal Envelope Insulation:</v>
      </c>
      <c r="AY48" s="562">
        <f>'Overview (Design)'!G45</f>
        <v>0</v>
      </c>
    </row>
    <row r="49" spans="2:51" x14ac:dyDescent="0.2">
      <c r="B49" s="358" t="s">
        <v>3015</v>
      </c>
      <c r="C49" s="14"/>
      <c r="D49" s="14"/>
      <c r="E49" s="14" t="s">
        <v>2185</v>
      </c>
      <c r="F49" s="14"/>
      <c r="G49" s="14"/>
      <c r="H49" s="441"/>
      <c r="I49" s="121"/>
      <c r="J49" s="159"/>
      <c r="K49" s="165"/>
      <c r="L49" s="792"/>
      <c r="M49" s="801"/>
      <c r="N49" s="165"/>
      <c r="O49" s="794"/>
      <c r="P49" s="562"/>
      <c r="Q49" s="562"/>
      <c r="R49" s="562"/>
      <c r="S49" s="562"/>
      <c r="T49" s="562"/>
      <c r="U49" s="562"/>
      <c r="V49" s="562"/>
      <c r="W49" s="562"/>
      <c r="X49" s="787"/>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94" t="str">
        <f>'Overview (Design)'!A46</f>
        <v>Attic Type:</v>
      </c>
      <c r="AY49" s="562">
        <f>'Overview (Design)'!G46</f>
        <v>0</v>
      </c>
    </row>
    <row r="50" spans="2:51" x14ac:dyDescent="0.2">
      <c r="B50" s="358" t="s">
        <v>3015</v>
      </c>
      <c r="C50" s="14"/>
      <c r="D50" s="14"/>
      <c r="E50" s="14" t="s">
        <v>2192</v>
      </c>
      <c r="F50" s="14"/>
      <c r="G50" s="14"/>
      <c r="H50" s="441"/>
      <c r="I50" s="121"/>
      <c r="J50" s="134" t="s">
        <v>2192</v>
      </c>
      <c r="K50" s="98"/>
      <c r="L50" s="776" t="s">
        <v>3021</v>
      </c>
      <c r="M50" s="630" t="str">
        <f>IF(R50,"Mandatory","N/A")</f>
        <v>Mandatory</v>
      </c>
      <c r="N50" s="98"/>
      <c r="O50" s="793">
        <f>M51*S50*(W50="Met")</f>
        <v>0</v>
      </c>
      <c r="P50" s="64" t="b">
        <v>1</v>
      </c>
      <c r="Q50" s="64" t="b">
        <v>1</v>
      </c>
      <c r="R50" s="562" t="b">
        <f>S50</f>
        <v>1</v>
      </c>
      <c r="S50" s="562" t="b">
        <f>NOT(W54)</f>
        <v>1</v>
      </c>
      <c r="T50" s="64" t="b">
        <f>AND(NOT(S50),LEN(W50)&gt;0,W50&lt;&gt;"N/A")</f>
        <v>0</v>
      </c>
      <c r="U50" s="64" t="str">
        <f>SUBSTITUTE(SUBSTITUTE(SUBSTITUTE("dd"&amp;B50&amp;C50&amp;D50&amp;E50&amp;F50,".","_"),"(","_"),")","")</f>
        <v>dd901_2_1_4</v>
      </c>
      <c r="V50" s="562"/>
      <c r="W50" s="6"/>
      <c r="X50" s="787"/>
      <c r="Y50" s="562"/>
      <c r="Z50" s="562"/>
      <c r="AA50" s="562"/>
      <c r="AB50" s="562"/>
      <c r="AC50" s="562" t="b">
        <f>OR(AD50:AE50)</f>
        <v>1</v>
      </c>
      <c r="AD50" s="562" t="b">
        <f>T50</f>
        <v>0</v>
      </c>
      <c r="AE50" s="562" t="b">
        <f>AND(R50,OR(W50="Not Met",W50=""))</f>
        <v>1</v>
      </c>
      <c r="AF50" s="562"/>
      <c r="AG50" s="562"/>
      <c r="AH50" s="562"/>
      <c r="AI50" s="562"/>
      <c r="AJ50" s="562"/>
      <c r="AK50" s="562"/>
      <c r="AL50" s="562"/>
      <c r="AM50" s="562"/>
      <c r="AN50" s="190" t="str">
        <f>SUBSTITUTE(SUBSTITUTE(SUBSTITUTE("dpc"&amp;$B50&amp;$C50&amp;$D50&amp;$E50&amp;$F50,".","_"),"(","_"),")","")</f>
        <v>dpc901_2_1_4</v>
      </c>
      <c r="AO50" s="190">
        <f>O50</f>
        <v>0</v>
      </c>
      <c r="AP50" s="190" t="str">
        <f>SUBSTITUTE(SUBSTITUTE(SUBSTITUTE("dch"&amp;$B50&amp;$C50&amp;$D50&amp;$E50&amp;$F50,".","_"),"(","_"),")","")</f>
        <v>dch901_2_1_4</v>
      </c>
      <c r="AQ50" s="190">
        <f>W50</f>
        <v>0</v>
      </c>
      <c r="AR50" s="190" t="str">
        <f>SUBSTITUTE(SUBSTITUTE(SUBSTITUTE("dnt"&amp;$B50&amp;$C50&amp;$D50&amp;$E50&amp;$F50,".","_"),"(","_"),")","")</f>
        <v>dnt901_2_1_4</v>
      </c>
      <c r="AS50" s="190">
        <f>X50</f>
        <v>0</v>
      </c>
      <c r="AT50" s="562"/>
      <c r="AU50" s="562"/>
      <c r="AV50" s="562"/>
      <c r="AW50" s="562"/>
      <c r="AX50" s="594" t="str">
        <f>'Overview (Design)'!A47</f>
        <v>Attached Garage:</v>
      </c>
      <c r="AY50" s="562">
        <f>'Overview (Design)'!G47</f>
        <v>0</v>
      </c>
    </row>
    <row r="51" spans="2:51" x14ac:dyDescent="0.2">
      <c r="B51" s="358" t="s">
        <v>3015</v>
      </c>
      <c r="C51" s="14"/>
      <c r="D51" s="14"/>
      <c r="E51" s="14" t="s">
        <v>2192</v>
      </c>
      <c r="F51" s="14"/>
      <c r="G51" s="14"/>
      <c r="H51" s="441"/>
      <c r="I51" s="121"/>
      <c r="J51" s="159"/>
      <c r="K51" s="165"/>
      <c r="L51" s="777"/>
      <c r="M51" s="611">
        <v>6</v>
      </c>
      <c r="N51" s="165"/>
      <c r="O51" s="794"/>
      <c r="P51" s="562"/>
      <c r="Q51" s="562"/>
      <c r="R51" s="562"/>
      <c r="S51" s="562"/>
      <c r="T51" s="562"/>
      <c r="U51" s="562"/>
      <c r="V51" s="562"/>
      <c r="W51" s="562"/>
      <c r="X51" s="787"/>
      <c r="Y51" s="562"/>
      <c r="Z51" s="562"/>
      <c r="AA51" s="562"/>
      <c r="AB51" s="562"/>
      <c r="AC51" s="562"/>
      <c r="AD51" s="562"/>
      <c r="AE51" s="562"/>
      <c r="AF51" s="562"/>
      <c r="AG51" s="562"/>
      <c r="AH51" s="562"/>
      <c r="AI51" s="562"/>
      <c r="AJ51" s="562"/>
      <c r="AK51" s="562"/>
      <c r="AL51" s="190" t="str">
        <f>SUBSTITUTE(SUBSTITUTE(SUBSTITUTE("dpa"&amp;$B51&amp;$C51&amp;$D51&amp;$E51&amp;$F51,".","_"),"(","_"),")","")</f>
        <v>dpa901_2_1_4</v>
      </c>
      <c r="AM51" s="190">
        <f>M51</f>
        <v>6</v>
      </c>
      <c r="AN51" s="562"/>
      <c r="AO51" s="562"/>
      <c r="AP51" s="562"/>
      <c r="AQ51" s="562"/>
      <c r="AR51" s="562"/>
      <c r="AS51" s="562"/>
      <c r="AT51" s="562"/>
      <c r="AU51" s="562"/>
      <c r="AV51" s="562"/>
      <c r="AW51" s="562"/>
      <c r="AX51" s="594" t="str">
        <f>'Overview (Design)'!A48</f>
        <v>Recessed Lighting:</v>
      </c>
      <c r="AY51" s="562">
        <f>'Overview (Design)'!G48</f>
        <v>0</v>
      </c>
    </row>
    <row r="52" spans="2:51" x14ac:dyDescent="0.2">
      <c r="B52" s="358" t="s">
        <v>3015</v>
      </c>
      <c r="C52" s="14"/>
      <c r="D52" s="14"/>
      <c r="E52" s="14" t="s">
        <v>2194</v>
      </c>
      <c r="F52" s="14"/>
      <c r="G52" s="14"/>
      <c r="H52" s="441"/>
      <c r="I52" s="253"/>
      <c r="J52" s="134" t="s">
        <v>2194</v>
      </c>
      <c r="K52" s="98"/>
      <c r="L52" s="791" t="s">
        <v>3022</v>
      </c>
      <c r="M52" s="630" t="str">
        <f>IF(R52,"Mandatory","N/A")</f>
        <v>Mandatory</v>
      </c>
      <c r="N52" s="98"/>
      <c r="O52" s="793">
        <f>M53*S52*(W52="Met")</f>
        <v>0</v>
      </c>
      <c r="P52" s="64" t="b">
        <v>1</v>
      </c>
      <c r="Q52" s="64" t="b">
        <v>1</v>
      </c>
      <c r="R52" s="64" t="b">
        <f>S52</f>
        <v>1</v>
      </c>
      <c r="S52" s="64" t="b">
        <f>NOT(W54)</f>
        <v>1</v>
      </c>
      <c r="T52" s="64" t="b">
        <f>AND(NOT(S52),LEN(W52)&gt;0,W52&lt;&gt;"N/A")</f>
        <v>0</v>
      </c>
      <c r="U52" s="64" t="str">
        <f>SUBSTITUTE(SUBSTITUTE(SUBSTITUTE("dd"&amp;B52&amp;C52&amp;D52&amp;E52&amp;F52,".","_"),"(","_"),")","")</f>
        <v>dd901_2_1_5</v>
      </c>
      <c r="V52" s="64"/>
      <c r="W52" s="78"/>
      <c r="X52" s="798"/>
      <c r="Y52" s="562"/>
      <c r="Z52" s="562"/>
      <c r="AA52" s="562"/>
      <c r="AB52" s="562"/>
      <c r="AC52" s="562" t="b">
        <f>OR(AD52:AE52)</f>
        <v>1</v>
      </c>
      <c r="AD52" s="562" t="b">
        <f>T52</f>
        <v>0</v>
      </c>
      <c r="AE52" s="562" t="b">
        <f>AND(R52,OR(W52="Not Met",W52=""))</f>
        <v>1</v>
      </c>
      <c r="AF52" s="562"/>
      <c r="AG52" s="562"/>
      <c r="AH52" s="562"/>
      <c r="AI52" s="562"/>
      <c r="AJ52" s="562"/>
      <c r="AK52" s="562"/>
      <c r="AL52" s="562"/>
      <c r="AM52" s="562"/>
      <c r="AN52" s="190" t="str">
        <f>SUBSTITUTE(SUBSTITUTE(SUBSTITUTE("dpc"&amp;$B52&amp;$C52&amp;$D52&amp;$E52&amp;$F52,".","_"),"(","_"),")","")</f>
        <v>dpc901_2_1_5</v>
      </c>
      <c r="AO52" s="190">
        <f>O52</f>
        <v>0</v>
      </c>
      <c r="AP52" s="190" t="str">
        <f>SUBSTITUTE(SUBSTITUTE(SUBSTITUTE("dch"&amp;$B52&amp;$C52&amp;$D52&amp;$E52&amp;$F52,".","_"),"(","_"),")","")</f>
        <v>dch901_2_1_5</v>
      </c>
      <c r="AQ52" s="190">
        <f>W52</f>
        <v>0</v>
      </c>
      <c r="AR52" s="190" t="str">
        <f>SUBSTITUTE(SUBSTITUTE(SUBSTITUTE("dnt"&amp;$B52&amp;$C52&amp;$D52&amp;$E52&amp;$F52,".","_"),"(","_"),")","")</f>
        <v>dnt901_2_1_5</v>
      </c>
      <c r="AS52" s="190">
        <f>X52</f>
        <v>0</v>
      </c>
      <c r="AT52" s="562"/>
      <c r="AU52" s="562"/>
      <c r="AV52" s="562"/>
      <c r="AW52" s="562"/>
      <c r="AX52" s="594"/>
      <c r="AY52" s="562"/>
    </row>
    <row r="53" spans="2:51" x14ac:dyDescent="0.2">
      <c r="B53" s="358" t="s">
        <v>3015</v>
      </c>
      <c r="C53" s="14"/>
      <c r="D53" s="14"/>
      <c r="E53" s="14" t="s">
        <v>2194</v>
      </c>
      <c r="F53" s="14"/>
      <c r="G53" s="14"/>
      <c r="H53" s="441"/>
      <c r="I53" s="272"/>
      <c r="J53" s="159"/>
      <c r="K53" s="165"/>
      <c r="L53" s="792"/>
      <c r="M53" s="611">
        <v>6</v>
      </c>
      <c r="N53" s="165"/>
      <c r="O53" s="794"/>
      <c r="P53" s="129"/>
      <c r="Q53" s="129"/>
      <c r="R53" s="129"/>
      <c r="S53" s="129"/>
      <c r="T53" s="129"/>
      <c r="U53" s="129"/>
      <c r="V53" s="129"/>
      <c r="W53" s="129"/>
      <c r="X53" s="798"/>
      <c r="Y53" s="562"/>
      <c r="Z53" s="562"/>
      <c r="AA53" s="562"/>
      <c r="AB53" s="562"/>
      <c r="AC53" s="562"/>
      <c r="AD53" s="562"/>
      <c r="AE53" s="562"/>
      <c r="AF53" s="562"/>
      <c r="AG53" s="562"/>
      <c r="AH53" s="562"/>
      <c r="AI53" s="562"/>
      <c r="AJ53" s="562"/>
      <c r="AK53" s="562"/>
      <c r="AL53" s="190" t="str">
        <f>SUBSTITUTE(SUBSTITUTE(SUBSTITUTE("dpa"&amp;$B53&amp;$C53&amp;$D53&amp;$E53&amp;$F53,".","_"),"(","_"),")","")</f>
        <v>dpa901_2_1_5</v>
      </c>
      <c r="AM53" s="190">
        <f>M53</f>
        <v>6</v>
      </c>
      <c r="AN53" s="562"/>
      <c r="AO53" s="562"/>
      <c r="AP53" s="562"/>
      <c r="AQ53" s="562"/>
      <c r="AR53" s="562"/>
      <c r="AS53" s="562"/>
      <c r="AT53" s="562"/>
      <c r="AU53" s="562"/>
      <c r="AV53" s="562"/>
      <c r="AW53" s="562"/>
      <c r="AX53" s="594" t="str">
        <f>'Overview (Design)'!A50</f>
        <v>Special Design Features:</v>
      </c>
      <c r="AY53" s="562">
        <f>'Overview (Design)'!G50</f>
        <v>0</v>
      </c>
    </row>
    <row r="54" spans="2:51" ht="16" thickBot="1" x14ac:dyDescent="0.25">
      <c r="B54" s="358" t="s">
        <v>3023</v>
      </c>
      <c r="C54" s="14"/>
      <c r="D54" s="14"/>
      <c r="E54" s="14"/>
      <c r="F54" s="14"/>
      <c r="G54" s="14"/>
      <c r="H54" s="441"/>
      <c r="I54" s="142" t="s">
        <v>3024</v>
      </c>
      <c r="J54" s="185"/>
      <c r="K54" s="185"/>
      <c r="L54" s="273" t="s">
        <v>3025</v>
      </c>
      <c r="M54" s="615">
        <v>6</v>
      </c>
      <c r="N54" s="185"/>
      <c r="O54" s="622">
        <f>M54*S54*W54</f>
        <v>0</v>
      </c>
      <c r="P54" s="64" t="b">
        <v>1</v>
      </c>
      <c r="Q54" s="64" t="b">
        <v>1</v>
      </c>
      <c r="R54" s="68" t="b">
        <v>0</v>
      </c>
      <c r="S54" s="68" t="b">
        <f>(COUNTIF(W42:W52,"Met"))=0</f>
        <v>1</v>
      </c>
      <c r="T54" s="68" t="b">
        <f>AND(NOT(S54),W54=TRUE)</f>
        <v>0</v>
      </c>
      <c r="U54" s="68"/>
      <c r="V54" s="68"/>
      <c r="W54" s="274"/>
      <c r="X54" s="569"/>
      <c r="Y54" s="562"/>
      <c r="Z54" s="562"/>
      <c r="AA54" s="562"/>
      <c r="AB54" s="562"/>
      <c r="AC54" s="562" t="b">
        <f>OR(AD54:AE54)</f>
        <v>0</v>
      </c>
      <c r="AD54" s="562" t="b">
        <f>T54</f>
        <v>0</v>
      </c>
      <c r="AE54" s="562" t="b">
        <f>AND(R54,NOT(W54))</f>
        <v>0</v>
      </c>
      <c r="AF54" s="562"/>
      <c r="AG54" s="562"/>
      <c r="AH54" s="562"/>
      <c r="AI54" s="562"/>
      <c r="AJ54" s="562"/>
      <c r="AK54" s="562"/>
      <c r="AL54" s="190" t="str">
        <f>SUBSTITUTE(SUBSTITUTE(SUBSTITUTE("dpa"&amp;$B54&amp;$C54&amp;$D54&amp;$E54&amp;$F54,".","_"),"(","_"),")","")</f>
        <v>dpa901_2_2</v>
      </c>
      <c r="AM54" s="190">
        <f>M54</f>
        <v>6</v>
      </c>
      <c r="AN54" s="190" t="str">
        <f>SUBSTITUTE(SUBSTITUTE(SUBSTITUTE("dpc"&amp;$B54&amp;$C54&amp;$D54&amp;$E54&amp;$F54,".","_"),"(","_"),")","")</f>
        <v>dpc901_2_2</v>
      </c>
      <c r="AO54" s="190">
        <f>O54</f>
        <v>0</v>
      </c>
      <c r="AP54" s="190" t="str">
        <f>SUBSTITUTE(SUBSTITUTE(SUBSTITUTE("dch"&amp;$B54&amp;$C54&amp;$D54&amp;$E54&amp;$F54,".","_"),"(","_"),")","")</f>
        <v>dch901_2_2</v>
      </c>
      <c r="AQ54" s="190">
        <f>W54</f>
        <v>0</v>
      </c>
      <c r="AR54" s="190" t="str">
        <f>SUBSTITUTE(SUBSTITUTE(SUBSTITUTE("dnt"&amp;$B54&amp;$C54&amp;$D54&amp;$E54&amp;$F54,".","_"),"(","_"),")","")</f>
        <v>dnt901_2_2</v>
      </c>
      <c r="AS54" s="190">
        <f>X54</f>
        <v>0</v>
      </c>
      <c r="AT54" s="562"/>
      <c r="AU54" s="562"/>
      <c r="AV54" s="562"/>
      <c r="AW54" s="562"/>
      <c r="AX54" s="594" t="str">
        <f>'Overview (Design)'!A51</f>
        <v>Passive Solar:</v>
      </c>
      <c r="AY54" s="562">
        <f>'Overview (Design)'!G51</f>
        <v>0</v>
      </c>
    </row>
    <row r="55" spans="2:51" ht="16" thickTop="1" x14ac:dyDescent="0.2">
      <c r="B55" s="358">
        <v>901.3</v>
      </c>
      <c r="C55" s="14"/>
      <c r="D55" s="14"/>
      <c r="E55" s="14"/>
      <c r="F55" s="14"/>
      <c r="G55" s="14"/>
      <c r="H55" s="441"/>
      <c r="I55" s="40" t="s">
        <v>3026</v>
      </c>
      <c r="J55" s="3"/>
      <c r="K55" s="3"/>
      <c r="L55" s="654" t="s">
        <v>3027</v>
      </c>
      <c r="M55" s="616"/>
      <c r="N55" s="3"/>
      <c r="O55" s="609"/>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94" t="str">
        <f>'Overview (Design)'!A52</f>
        <v>Mass Walls:</v>
      </c>
      <c r="AY55" s="562">
        <f>'Overview (Design)'!G52</f>
        <v>0</v>
      </c>
    </row>
    <row r="56" spans="2:51" x14ac:dyDescent="0.2">
      <c r="B56" s="358">
        <v>901.3</v>
      </c>
      <c r="C56" s="14"/>
      <c r="D56" s="14"/>
      <c r="E56" s="14" t="s">
        <v>2181</v>
      </c>
      <c r="F56" s="14"/>
      <c r="G56" s="14"/>
      <c r="H56" s="441"/>
      <c r="I56" s="121"/>
      <c r="J56" s="20" t="s">
        <v>2181</v>
      </c>
      <c r="K56" s="3"/>
      <c r="L56" s="632" t="s">
        <v>3028</v>
      </c>
      <c r="M56" s="616"/>
      <c r="N56" s="3"/>
      <c r="O56" s="609"/>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94" t="str">
        <f>'Overview (Design)'!A53</f>
        <v>Ductless:</v>
      </c>
      <c r="AY56" s="562">
        <f>'Overview (Design)'!G53</f>
        <v>0</v>
      </c>
    </row>
    <row r="57" spans="2:51" x14ac:dyDescent="0.2">
      <c r="B57" s="358">
        <v>901.3</v>
      </c>
      <c r="C57" s="14"/>
      <c r="D57" s="14"/>
      <c r="E57" s="14" t="s">
        <v>2181</v>
      </c>
      <c r="F57" s="48" t="s">
        <v>2196</v>
      </c>
      <c r="G57" s="48"/>
      <c r="H57" s="444"/>
      <c r="I57" s="121"/>
      <c r="J57" s="3"/>
      <c r="K57" s="134" t="s">
        <v>2196</v>
      </c>
      <c r="L57" s="791" t="s">
        <v>3029</v>
      </c>
      <c r="M57" s="630" t="str">
        <f>IF(R57,"Mandatory","N/A")</f>
        <v>Mandatory</v>
      </c>
      <c r="N57" s="98"/>
      <c r="O57" s="793">
        <f>M58*S57*(W57="Met")</f>
        <v>0</v>
      </c>
      <c r="P57" s="64" t="b">
        <v>0</v>
      </c>
      <c r="Q57" s="64" t="b">
        <v>1</v>
      </c>
      <c r="R57" s="562" t="b">
        <f>S57</f>
        <v>1</v>
      </c>
      <c r="S57" s="562" t="b">
        <f>NOT(OR(W67,W59="N/A"))</f>
        <v>1</v>
      </c>
      <c r="T57" s="64" t="b">
        <f>AND(NOT(S57),LEN(W57)&gt;0)</f>
        <v>0</v>
      </c>
      <c r="U57" s="64" t="str">
        <f>SUBSTITUTE(SUBSTITUTE(SUBSTITUTE("dd"&amp;B57&amp;C57&amp;D57&amp;E57&amp;F57,".","_"),"(","_"),")","")</f>
        <v>dd901,3_1_a</v>
      </c>
      <c r="V57" s="562"/>
      <c r="W57" s="6"/>
      <c r="X57" s="787"/>
      <c r="Y57" s="562"/>
      <c r="Z57" s="562"/>
      <c r="AA57" s="562"/>
      <c r="AB57" s="562"/>
      <c r="AC57" s="562" t="b">
        <f>OR(AD57:AE57)</f>
        <v>1</v>
      </c>
      <c r="AD57" s="562" t="b">
        <f>T57</f>
        <v>0</v>
      </c>
      <c r="AE57" s="562" t="b">
        <f>AND(R57,OR(W57="Not Met",W57=""))</f>
        <v>1</v>
      </c>
      <c r="AF57" s="562"/>
      <c r="AG57" s="562"/>
      <c r="AH57" s="562"/>
      <c r="AI57" s="562"/>
      <c r="AJ57" s="562"/>
      <c r="AK57" s="562"/>
      <c r="AL57" s="562"/>
      <c r="AM57" s="562"/>
      <c r="AN57" s="190" t="str">
        <f>SUBSTITUTE(SUBSTITUTE(SUBSTITUTE("dpc"&amp;$B57&amp;$C57&amp;$D57&amp;$E57&amp;$F57,".","_"),"(","_"),")","")</f>
        <v>dpc901,3_1_a</v>
      </c>
      <c r="AO57" s="190">
        <f>O57</f>
        <v>0</v>
      </c>
      <c r="AP57" s="190" t="str">
        <f>SUBSTITUTE(SUBSTITUTE(SUBSTITUTE("dch"&amp;$B57&amp;$C57&amp;$D57&amp;$E57&amp;$F57,".","_"),"(","_"),")","")</f>
        <v>dch901,3_1_a</v>
      </c>
      <c r="AQ57" s="190">
        <f>W57</f>
        <v>0</v>
      </c>
      <c r="AR57" s="190" t="str">
        <f>SUBSTITUTE(SUBSTITUTE(SUBSTITUTE("dnt"&amp;$B57&amp;$C57&amp;$D57&amp;$E57&amp;$F57,".","_"),"(","_"),")","")</f>
        <v>dnt901,3_1_a</v>
      </c>
      <c r="AS57" s="190">
        <f>X57</f>
        <v>0</v>
      </c>
      <c r="AT57" s="562"/>
      <c r="AU57" s="562"/>
      <c r="AV57" s="562"/>
      <c r="AW57" s="562"/>
      <c r="AX57" s="594" t="str">
        <f>'Overview (Design)'!A54</f>
        <v>Radiant/Hydronic:</v>
      </c>
      <c r="AY57" s="562">
        <f>'Overview (Design)'!G54</f>
        <v>0</v>
      </c>
    </row>
    <row r="58" spans="2:51" x14ac:dyDescent="0.2">
      <c r="B58" s="358">
        <v>901.3</v>
      </c>
      <c r="C58" s="14"/>
      <c r="D58" s="14"/>
      <c r="E58" s="14" t="s">
        <v>2181</v>
      </c>
      <c r="F58" s="48" t="s">
        <v>2196</v>
      </c>
      <c r="G58" s="48"/>
      <c r="H58" s="444"/>
      <c r="I58" s="121"/>
      <c r="J58" s="3"/>
      <c r="K58" s="159"/>
      <c r="L58" s="792"/>
      <c r="M58" s="611">
        <v>2</v>
      </c>
      <c r="N58" s="165"/>
      <c r="O58" s="794"/>
      <c r="P58" s="562"/>
      <c r="Q58" s="562"/>
      <c r="R58" s="562"/>
      <c r="S58" s="562"/>
      <c r="T58" s="562"/>
      <c r="U58" s="562"/>
      <c r="V58" s="562"/>
      <c r="W58" s="562"/>
      <c r="X58" s="787"/>
      <c r="Y58" s="562"/>
      <c r="Z58" s="562"/>
      <c r="AA58" s="562"/>
      <c r="AB58" s="562"/>
      <c r="AC58" s="562"/>
      <c r="AD58" s="562"/>
      <c r="AE58" s="562"/>
      <c r="AF58" s="562"/>
      <c r="AG58" s="562"/>
      <c r="AH58" s="562"/>
      <c r="AI58" s="562"/>
      <c r="AJ58" s="562"/>
      <c r="AK58" s="562"/>
      <c r="AL58" s="190" t="str">
        <f>SUBSTITUTE(SUBSTITUTE(SUBSTITUTE("dpa"&amp;$B58&amp;$C58&amp;$D58&amp;$E58&amp;$F58,".","_"),"(","_"),")","")</f>
        <v>dpa901,3_1_a</v>
      </c>
      <c r="AM58" s="190">
        <f>M58</f>
        <v>2</v>
      </c>
      <c r="AN58" s="562"/>
      <c r="AO58" s="562"/>
      <c r="AP58" s="562"/>
      <c r="AQ58" s="562"/>
      <c r="AR58" s="562"/>
      <c r="AS58" s="562"/>
      <c r="AT58" s="562"/>
      <c r="AU58" s="562"/>
      <c r="AV58" s="562"/>
      <c r="AW58" s="562"/>
      <c r="AX58" s="594" t="str">
        <f>'Overview (Design)'!A55</f>
        <v>Tankless Water Heater:</v>
      </c>
      <c r="AY58" s="562">
        <f>'Overview (Design)'!G55</f>
        <v>0</v>
      </c>
    </row>
    <row r="59" spans="2:51" ht="15" customHeight="1" x14ac:dyDescent="0.2">
      <c r="B59" s="358">
        <v>901.3</v>
      </c>
      <c r="C59" s="14"/>
      <c r="D59" s="14"/>
      <c r="E59" s="14" t="s">
        <v>2181</v>
      </c>
      <c r="F59" s="48" t="s">
        <v>2198</v>
      </c>
      <c r="G59" s="48"/>
      <c r="H59" s="444"/>
      <c r="I59" s="121"/>
      <c r="J59" s="3"/>
      <c r="K59" s="134" t="s">
        <v>2198</v>
      </c>
      <c r="L59" s="791" t="s">
        <v>3030</v>
      </c>
      <c r="M59" s="630" t="str">
        <f>IF(R59,"Mandatory","N/A")</f>
        <v>Mandatory</v>
      </c>
      <c r="N59" s="98"/>
      <c r="O59" s="793">
        <f>M60*S59*(W59="Met")</f>
        <v>0</v>
      </c>
      <c r="P59" s="64" t="b">
        <v>1</v>
      </c>
      <c r="Q59" s="64" t="b">
        <v>0</v>
      </c>
      <c r="R59" s="562" t="b">
        <f>S59</f>
        <v>1</v>
      </c>
      <c r="S59" s="562" t="b">
        <f>NOT(OR(W67,W57="N/A"))</f>
        <v>1</v>
      </c>
      <c r="T59" s="64" t="b">
        <f>AND(NOT(S59),LEN(W59)&gt;0)</f>
        <v>0</v>
      </c>
      <c r="U59" s="64" t="str">
        <f>SUBSTITUTE(SUBSTITUTE(SUBSTITUTE("dd"&amp;B59&amp;C59&amp;D59&amp;E59&amp;F59,".","_"),"(","_"),")","")</f>
        <v>dd901,3_1_b</v>
      </c>
      <c r="V59" s="562"/>
      <c r="W59" s="6"/>
      <c r="X59" s="787"/>
      <c r="Y59" s="562"/>
      <c r="Z59" s="562"/>
      <c r="AA59" s="562"/>
      <c r="AB59" s="562"/>
      <c r="AC59" s="562" t="b">
        <f>OR(AD59:AE59)</f>
        <v>1</v>
      </c>
      <c r="AD59" s="562" t="b">
        <f>T59</f>
        <v>0</v>
      </c>
      <c r="AE59" s="562" t="b">
        <f>AND(R59,OR(W59="Not Met",W59=""))</f>
        <v>1</v>
      </c>
      <c r="AF59" s="562"/>
      <c r="AG59" s="562"/>
      <c r="AH59" s="562"/>
      <c r="AI59" s="562"/>
      <c r="AJ59" s="562"/>
      <c r="AK59" s="562"/>
      <c r="AL59" s="562"/>
      <c r="AM59" s="562"/>
      <c r="AN59" s="190" t="str">
        <f>SUBSTITUTE(SUBSTITUTE(SUBSTITUTE("dpc"&amp;$B59&amp;$C59&amp;$D59&amp;$E59&amp;$F59,".","_"),"(","_"),")","")</f>
        <v>dpc901,3_1_b</v>
      </c>
      <c r="AO59" s="190">
        <f>O59</f>
        <v>0</v>
      </c>
      <c r="AP59" s="190" t="str">
        <f>SUBSTITUTE(SUBSTITUTE(SUBSTITUTE("dch"&amp;$B59&amp;$C59&amp;$D59&amp;$E59&amp;$F59,".","_"),"(","_"),")","")</f>
        <v>dch901,3_1_b</v>
      </c>
      <c r="AQ59" s="190">
        <f>W59</f>
        <v>0</v>
      </c>
      <c r="AR59" s="190" t="str">
        <f>SUBSTITUTE(SUBSTITUTE(SUBSTITUTE("dnt"&amp;$B59&amp;$C59&amp;$D59&amp;$E59&amp;$F59,".","_"),"(","_"),")","")</f>
        <v>dnt901,3_1_b</v>
      </c>
      <c r="AS59" s="190">
        <f>X59</f>
        <v>0</v>
      </c>
      <c r="AT59" s="562"/>
      <c r="AU59" s="562"/>
      <c r="AV59" s="562"/>
      <c r="AW59" s="562"/>
      <c r="AX59" s="594" t="str">
        <f>'Overview (Design)'!A56</f>
        <v>Composting Toilet:</v>
      </c>
      <c r="AY59" s="562">
        <f>'Overview (Design)'!G56</f>
        <v>0</v>
      </c>
    </row>
    <row r="60" spans="2:51" x14ac:dyDescent="0.2">
      <c r="B60" s="358">
        <v>901.3</v>
      </c>
      <c r="C60" s="14"/>
      <c r="D60" s="14"/>
      <c r="E60" s="14" t="s">
        <v>2181</v>
      </c>
      <c r="F60" s="48" t="s">
        <v>2198</v>
      </c>
      <c r="G60" s="48"/>
      <c r="H60" s="444"/>
      <c r="I60" s="121"/>
      <c r="J60" s="3"/>
      <c r="K60" s="165"/>
      <c r="L60" s="792"/>
      <c r="M60" s="611">
        <v>2</v>
      </c>
      <c r="N60" s="165"/>
      <c r="O60" s="794"/>
      <c r="P60" s="562"/>
      <c r="Q60" s="562"/>
      <c r="R60" s="562"/>
      <c r="S60" s="562"/>
      <c r="T60" s="562"/>
      <c r="U60" s="562"/>
      <c r="V60" s="562"/>
      <c r="W60" s="562"/>
      <c r="X60" s="787"/>
      <c r="Y60" s="562"/>
      <c r="Z60" s="562"/>
      <c r="AA60" s="562"/>
      <c r="AB60" s="562"/>
      <c r="AC60" s="562"/>
      <c r="AD60" s="562"/>
      <c r="AE60" s="562"/>
      <c r="AF60" s="562"/>
      <c r="AG60" s="562"/>
      <c r="AH60" s="562"/>
      <c r="AI60" s="562"/>
      <c r="AJ60" s="562"/>
      <c r="AK60" s="562"/>
      <c r="AL60" s="190" t="str">
        <f>SUBSTITUTE(SUBSTITUTE(SUBSTITUTE("dpa"&amp;$B60&amp;$C60&amp;$D60&amp;$E60&amp;$F60,".","_"),"(","_"),")","")</f>
        <v>dpa901,3_1_b</v>
      </c>
      <c r="AM60" s="190">
        <f>M60</f>
        <v>2</v>
      </c>
      <c r="AN60" s="562"/>
      <c r="AO60" s="562"/>
      <c r="AP60" s="562"/>
      <c r="AQ60" s="562"/>
      <c r="AR60" s="562"/>
      <c r="AS60" s="562"/>
      <c r="AT60" s="562"/>
      <c r="AU60" s="562"/>
      <c r="AV60" s="562"/>
      <c r="AW60" s="562"/>
      <c r="AX60" s="594"/>
      <c r="AY60" s="562"/>
    </row>
    <row r="61" spans="2:51" ht="15" customHeight="1" x14ac:dyDescent="0.2">
      <c r="B61" s="358">
        <v>901.3</v>
      </c>
      <c r="C61" s="14"/>
      <c r="D61" s="14"/>
      <c r="E61" s="14" t="s">
        <v>2181</v>
      </c>
      <c r="F61" s="48" t="s">
        <v>2200</v>
      </c>
      <c r="G61" s="48"/>
      <c r="H61" s="444"/>
      <c r="I61" s="121"/>
      <c r="J61" s="98"/>
      <c r="K61" s="134" t="s">
        <v>2200</v>
      </c>
      <c r="L61" s="791" t="s">
        <v>3031</v>
      </c>
      <c r="M61" s="800">
        <v>8</v>
      </c>
      <c r="N61" s="98"/>
      <c r="O61" s="793">
        <f ca="1">M61*S61*W61</f>
        <v>0</v>
      </c>
      <c r="P61" s="64" t="b">
        <v>0</v>
      </c>
      <c r="Q61" s="64" t="b">
        <v>1</v>
      </c>
      <c r="R61" s="562" t="b">
        <v>0</v>
      </c>
      <c r="S61" s="562" t="b">
        <f ca="1">AND(NOT(W67),$AY$19=INDEX(INDIRECT("ddSingleOrMulti"),1))</f>
        <v>1</v>
      </c>
      <c r="T61" s="64" t="b">
        <f ca="1">AND(NOT(S61),W61=TRUE)</f>
        <v>0</v>
      </c>
      <c r="U61" s="562"/>
      <c r="V61" s="562"/>
      <c r="W61" s="18"/>
      <c r="X61" s="787"/>
      <c r="Y61" s="562"/>
      <c r="Z61" s="562"/>
      <c r="AA61" s="562"/>
      <c r="AB61" s="562"/>
      <c r="AC61" s="562" t="b">
        <f ca="1">OR(AD61:AE61)</f>
        <v>0</v>
      </c>
      <c r="AD61" s="562" t="b">
        <f ca="1">T61</f>
        <v>0</v>
      </c>
      <c r="AE61" s="562" t="b">
        <f>AND(R61,NOT(W61))</f>
        <v>0</v>
      </c>
      <c r="AF61" s="562"/>
      <c r="AG61" s="562"/>
      <c r="AH61" s="562"/>
      <c r="AI61" s="562"/>
      <c r="AJ61" s="562"/>
      <c r="AK61" s="562"/>
      <c r="AL61" s="190" t="str">
        <f>SUBSTITUTE(SUBSTITUTE(SUBSTITUTE("dpa"&amp;$B61&amp;$C61&amp;$D61&amp;$E61&amp;$F61,".","_"),"(","_"),")","")</f>
        <v>dpa901,3_1_c</v>
      </c>
      <c r="AM61" s="190">
        <f>M61</f>
        <v>8</v>
      </c>
      <c r="AN61" s="190" t="str">
        <f>SUBSTITUTE(SUBSTITUTE(SUBSTITUTE("dpc"&amp;$B61&amp;$C61&amp;$D61&amp;$E61&amp;$F61,".","_"),"(","_"),")","")</f>
        <v>dpc901,3_1_c</v>
      </c>
      <c r="AO61" s="190">
        <f ca="1">O61</f>
        <v>0</v>
      </c>
      <c r="AP61" s="190" t="str">
        <f>SUBSTITUTE(SUBSTITUTE(SUBSTITUTE("dch"&amp;$B61&amp;$C61&amp;$D61&amp;$E61&amp;$F61,".","_"),"(","_"),")","")</f>
        <v>dch901,3_1_c</v>
      </c>
      <c r="AQ61" s="190">
        <f>W61</f>
        <v>0</v>
      </c>
      <c r="AR61" s="190" t="str">
        <f>SUBSTITUTE(SUBSTITUTE(SUBSTITUTE("dnt"&amp;$B61&amp;$C61&amp;$D61&amp;$E61&amp;$F61,".","_"),"(","_"),")","")</f>
        <v>dnt901,3_1_c</v>
      </c>
      <c r="AS61" s="190">
        <f>X61</f>
        <v>0</v>
      </c>
      <c r="AT61" s="562"/>
      <c r="AU61" s="562"/>
      <c r="AV61" s="562"/>
      <c r="AW61" s="562"/>
      <c r="AX61" s="594" t="str">
        <f>'Overview (Design)'!A58</f>
        <v>Local Energy Code:</v>
      </c>
      <c r="AY61" s="562">
        <f>'Overview (Design)'!G58</f>
        <v>0</v>
      </c>
    </row>
    <row r="62" spans="2:51" x14ac:dyDescent="0.2">
      <c r="B62" s="358">
        <v>901.3</v>
      </c>
      <c r="C62" s="14"/>
      <c r="D62" s="14"/>
      <c r="E62" s="14" t="s">
        <v>2181</v>
      </c>
      <c r="F62" s="48" t="s">
        <v>2200</v>
      </c>
      <c r="G62" s="48"/>
      <c r="H62" s="444"/>
      <c r="I62" s="121"/>
      <c r="J62" s="98"/>
      <c r="K62" s="98"/>
      <c r="L62" s="791"/>
      <c r="M62" s="800"/>
      <c r="N62" s="98"/>
      <c r="O62" s="793"/>
      <c r="P62" s="562"/>
      <c r="Q62" s="562"/>
      <c r="R62" s="562"/>
      <c r="S62" s="562"/>
      <c r="T62" s="562"/>
      <c r="U62" s="562"/>
      <c r="V62" s="562"/>
      <c r="W62" s="562"/>
      <c r="X62" s="787"/>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94" t="str">
        <f>'Overview (Design)'!A59</f>
        <v>Local Building Code:</v>
      </c>
      <c r="AY62" s="562">
        <f>'Overview (Design)'!G59</f>
        <v>0</v>
      </c>
    </row>
    <row r="63" spans="2:51" x14ac:dyDescent="0.2">
      <c r="B63" s="358">
        <v>901.3</v>
      </c>
      <c r="C63" s="14"/>
      <c r="D63" s="14"/>
      <c r="E63" s="14" t="s">
        <v>2181</v>
      </c>
      <c r="F63" s="48" t="s">
        <v>2200</v>
      </c>
      <c r="G63" s="48"/>
      <c r="H63" s="444"/>
      <c r="I63" s="121"/>
      <c r="J63" s="98"/>
      <c r="K63" s="98"/>
      <c r="L63" s="791"/>
      <c r="M63" s="800"/>
      <c r="N63" s="98"/>
      <c r="O63" s="793"/>
      <c r="P63" s="562"/>
      <c r="Q63" s="562"/>
      <c r="R63" s="562"/>
      <c r="S63" s="562"/>
      <c r="T63" s="562"/>
      <c r="U63" s="562"/>
      <c r="V63" s="562"/>
      <c r="W63" s="562"/>
      <c r="X63" s="787"/>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row>
    <row r="64" spans="2:51" ht="15" customHeight="1" x14ac:dyDescent="0.2">
      <c r="B64" s="358">
        <v>901.3</v>
      </c>
      <c r="C64" s="14"/>
      <c r="D64" s="14"/>
      <c r="E64" s="14" t="s">
        <v>2181</v>
      </c>
      <c r="F64" s="48" t="s">
        <v>2200</v>
      </c>
      <c r="G64" s="48"/>
      <c r="H64" s="444"/>
      <c r="I64" s="121"/>
      <c r="J64" s="98"/>
      <c r="K64" s="98"/>
      <c r="L64" s="791"/>
      <c r="M64" s="800"/>
      <c r="N64" s="98"/>
      <c r="O64" s="793"/>
      <c r="P64" s="562"/>
      <c r="Q64" s="562"/>
      <c r="R64" s="562"/>
      <c r="S64" s="562"/>
      <c r="T64" s="562"/>
      <c r="U64" s="562"/>
      <c r="V64" s="562"/>
      <c r="W64" s="562"/>
      <c r="X64" s="787"/>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row>
    <row r="65" spans="1:45" ht="15" customHeight="1" x14ac:dyDescent="0.2">
      <c r="B65" s="358">
        <v>901.3</v>
      </c>
      <c r="C65" s="14"/>
      <c r="D65" s="14"/>
      <c r="E65" s="14" t="s">
        <v>2181</v>
      </c>
      <c r="F65" s="48" t="s">
        <v>2200</v>
      </c>
      <c r="G65" s="48"/>
      <c r="H65" s="444"/>
      <c r="I65" s="121"/>
      <c r="J65" s="98"/>
      <c r="K65" s="98"/>
      <c r="L65" s="791"/>
      <c r="M65" s="800"/>
      <c r="N65" s="98"/>
      <c r="O65" s="793"/>
      <c r="P65" s="562"/>
      <c r="Q65" s="562"/>
      <c r="R65" s="562"/>
      <c r="S65" s="562"/>
      <c r="T65" s="562"/>
      <c r="U65" s="562"/>
      <c r="V65" s="562"/>
      <c r="W65" s="562"/>
      <c r="X65" s="787"/>
      <c r="Y65" s="562"/>
      <c r="Z65" s="562"/>
      <c r="AA65" s="562"/>
      <c r="AB65" s="562"/>
      <c r="AC65" s="562"/>
      <c r="AD65" s="562"/>
      <c r="AE65" s="562"/>
      <c r="AF65" s="562"/>
      <c r="AG65" s="562"/>
      <c r="AH65" s="562"/>
      <c r="AI65" s="562"/>
      <c r="AJ65" s="562"/>
      <c r="AK65" s="562"/>
      <c r="AL65" s="562"/>
      <c r="AM65" s="562"/>
      <c r="AN65" s="562"/>
      <c r="AO65" s="562"/>
      <c r="AP65" s="562"/>
      <c r="AQ65" s="562"/>
      <c r="AR65" s="562"/>
      <c r="AS65" s="562"/>
    </row>
    <row r="66" spans="1:45" ht="15" customHeight="1" x14ac:dyDescent="0.2">
      <c r="B66" s="358">
        <v>901.3</v>
      </c>
      <c r="C66" s="14"/>
      <c r="D66" s="14"/>
      <c r="E66" s="14" t="s">
        <v>2181</v>
      </c>
      <c r="F66" s="48" t="s">
        <v>2200</v>
      </c>
      <c r="G66" s="48"/>
      <c r="H66" s="444"/>
      <c r="I66" s="121"/>
      <c r="J66" s="165"/>
      <c r="K66" s="165"/>
      <c r="L66" s="792"/>
      <c r="M66" s="801"/>
      <c r="N66" s="165"/>
      <c r="O66" s="794"/>
      <c r="P66" s="562"/>
      <c r="Q66" s="562"/>
      <c r="R66" s="562"/>
      <c r="S66" s="562"/>
      <c r="T66" s="562"/>
      <c r="U66" s="562"/>
      <c r="V66" s="562"/>
      <c r="W66" s="562"/>
      <c r="X66" s="787"/>
      <c r="Y66" s="562"/>
      <c r="Z66" s="562"/>
      <c r="AA66" s="562"/>
      <c r="AB66" s="562"/>
      <c r="AC66" s="562"/>
      <c r="AD66" s="562"/>
      <c r="AE66" s="562"/>
      <c r="AF66" s="562"/>
      <c r="AG66" s="562"/>
      <c r="AH66" s="562"/>
      <c r="AI66" s="562"/>
      <c r="AJ66" s="562"/>
      <c r="AK66" s="562"/>
      <c r="AL66" s="562"/>
      <c r="AM66" s="562"/>
      <c r="AN66" s="562"/>
      <c r="AO66" s="562"/>
      <c r="AP66" s="562"/>
      <c r="AQ66" s="562"/>
      <c r="AR66" s="562"/>
      <c r="AS66" s="562"/>
    </row>
    <row r="67" spans="1:45" ht="15" customHeight="1" thickBot="1" x14ac:dyDescent="0.25">
      <c r="B67" s="358">
        <v>901.3</v>
      </c>
      <c r="C67" s="14"/>
      <c r="D67" s="14"/>
      <c r="E67" s="14" t="s">
        <v>2183</v>
      </c>
      <c r="F67" s="48"/>
      <c r="G67" s="48"/>
      <c r="H67" s="444"/>
      <c r="I67" s="254"/>
      <c r="J67" s="143" t="s">
        <v>2183</v>
      </c>
      <c r="K67" s="185"/>
      <c r="L67" s="626" t="s">
        <v>3032</v>
      </c>
      <c r="M67" s="615">
        <v>10</v>
      </c>
      <c r="N67" s="185"/>
      <c r="O67" s="622">
        <f>M67*S67*W67</f>
        <v>0</v>
      </c>
      <c r="P67" s="64" t="b">
        <v>1</v>
      </c>
      <c r="Q67" s="64" t="b">
        <v>1</v>
      </c>
      <c r="R67" s="68" t="b">
        <v>0</v>
      </c>
      <c r="S67" s="68" t="b">
        <f>AND(NOT(W61),W57&lt;&gt;"Met",W59&lt;&gt;"Met")</f>
        <v>1</v>
      </c>
      <c r="T67" s="68" t="b">
        <f>AND(NOT(S67),W67=TRUE)</f>
        <v>0</v>
      </c>
      <c r="U67" s="68"/>
      <c r="V67" s="68"/>
      <c r="W67" s="69"/>
      <c r="X67" s="565"/>
      <c r="Y67" s="562"/>
      <c r="Z67" s="562"/>
      <c r="AA67" s="562"/>
      <c r="AB67" s="562"/>
      <c r="AC67" s="562" t="b">
        <f>OR(AD67:AE67)</f>
        <v>0</v>
      </c>
      <c r="AD67" s="562" t="b">
        <f>T67</f>
        <v>0</v>
      </c>
      <c r="AE67" s="562" t="b">
        <f>AND(R67,NOT(W67))</f>
        <v>0</v>
      </c>
      <c r="AF67" s="562"/>
      <c r="AG67" s="562"/>
      <c r="AH67" s="562"/>
      <c r="AI67" s="562"/>
      <c r="AJ67" s="562"/>
      <c r="AK67" s="562"/>
      <c r="AL67" s="190" t="str">
        <f>SUBSTITUTE(SUBSTITUTE(SUBSTITUTE("dpa"&amp;$B67&amp;$C67&amp;$D67&amp;$E67&amp;$F67,".","_"),"(","_"),")","")</f>
        <v>dpa901,3_2</v>
      </c>
      <c r="AM67" s="190">
        <f>M67</f>
        <v>10</v>
      </c>
      <c r="AN67" s="190" t="str">
        <f>SUBSTITUTE(SUBSTITUTE(SUBSTITUTE("dpc"&amp;$B67&amp;$C67&amp;$D67&amp;$E67&amp;$F67,".","_"),"(","_"),")","")</f>
        <v>dpc901,3_2</v>
      </c>
      <c r="AO67" s="190">
        <f>O67</f>
        <v>0</v>
      </c>
      <c r="AP67" s="190" t="str">
        <f>SUBSTITUTE(SUBSTITUTE(SUBSTITUTE("dch"&amp;$B67&amp;$C67&amp;$D67&amp;$E67&amp;$F67,".","_"),"(","_"),")","")</f>
        <v>dch901,3_2</v>
      </c>
      <c r="AQ67" s="190">
        <f>W67</f>
        <v>0</v>
      </c>
      <c r="AR67" s="190" t="str">
        <f>SUBSTITUTE(SUBSTITUTE(SUBSTITUTE("dnt"&amp;$B67&amp;$C67&amp;$D67&amp;$E67&amp;$F67,".","_"),"(","_"),")","")</f>
        <v>dnt901,3_2</v>
      </c>
      <c r="AS67" s="190">
        <f>X67</f>
        <v>0</v>
      </c>
    </row>
    <row r="68" spans="1:45" ht="16" thickTop="1" x14ac:dyDescent="0.2">
      <c r="B68" s="358">
        <v>901.4</v>
      </c>
      <c r="C68" s="14"/>
      <c r="D68" s="14"/>
      <c r="E68" s="14"/>
      <c r="F68" s="14"/>
      <c r="G68" s="14"/>
      <c r="H68" s="441"/>
      <c r="I68" s="40" t="s">
        <v>3033</v>
      </c>
      <c r="J68" s="3"/>
      <c r="K68" s="3"/>
      <c r="L68" s="817" t="s">
        <v>3034</v>
      </c>
      <c r="M68" s="814" t="s">
        <v>2763</v>
      </c>
      <c r="N68" s="3"/>
      <c r="O68" s="823">
        <f ca="1">MIN(10,(IFERROR(INDEX({2,2,3,4,4},MATCH(W77,INDIRECT(U77),0)),0)+IFERROR(INDEX({2,2,3,4,4},MATCH(W78,INDIRECT(U78),0)),0)+IFERROR(INDEX({2,2,3,4,4},MATCH(W79,INDIRECT(U79),0)),0)+IFERROR(INDEX({2,2,3,4,4},MATCH(W80,INDIRECT(U80),0)),0)))*S77</f>
        <v>0</v>
      </c>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190" t="str">
        <f>SUBSTITUTE(SUBSTITUTE(SUBSTITUTE("dpa"&amp;$B68&amp;$C68&amp;$D68&amp;$E68&amp;$F68,".","_"),"(","_"),")","")</f>
        <v>dpa901,4</v>
      </c>
      <c r="AM68" s="190" t="str">
        <f>M68</f>
        <v>10 Max</v>
      </c>
      <c r="AN68" s="190" t="str">
        <f>SUBSTITUTE(SUBSTITUTE(SUBSTITUTE("dpc"&amp;$B68&amp;$C68&amp;$D68&amp;$E68&amp;$F68,".","_"),"(","_"),")","")</f>
        <v>dpc901,4</v>
      </c>
      <c r="AO68" s="190">
        <f ca="1">O68</f>
        <v>0</v>
      </c>
      <c r="AP68" s="562"/>
      <c r="AQ68" s="562"/>
      <c r="AR68" s="562"/>
      <c r="AS68" s="562"/>
    </row>
    <row r="69" spans="1:45" ht="15" customHeight="1" x14ac:dyDescent="0.2">
      <c r="B69" s="358">
        <v>901.4</v>
      </c>
      <c r="C69" s="14"/>
      <c r="D69" s="14"/>
      <c r="E69" s="14"/>
      <c r="F69" s="14"/>
      <c r="G69" s="14"/>
      <c r="H69" s="441"/>
      <c r="I69" s="121"/>
      <c r="J69" s="3"/>
      <c r="K69" s="3"/>
      <c r="L69" s="817"/>
      <c r="M69" s="814"/>
      <c r="N69" s="3"/>
      <c r="O69" s="795"/>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row>
    <row r="70" spans="1:45" s="496" customFormat="1" ht="15" customHeight="1" x14ac:dyDescent="0.2">
      <c r="A70" s="13"/>
      <c r="B70" s="358">
        <v>901.4</v>
      </c>
      <c r="C70" s="14"/>
      <c r="D70" s="14"/>
      <c r="E70" s="14"/>
      <c r="F70" s="14"/>
      <c r="G70" s="14"/>
      <c r="H70" s="441"/>
      <c r="I70" s="121"/>
      <c r="J70" s="3"/>
      <c r="K70" s="3"/>
      <c r="L70" s="817"/>
      <c r="M70" s="814"/>
      <c r="N70" s="3"/>
      <c r="O70" s="795"/>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row>
    <row r="71" spans="1:45" x14ac:dyDescent="0.2">
      <c r="B71" s="358">
        <v>901.4</v>
      </c>
      <c r="C71" s="14"/>
      <c r="D71" s="14"/>
      <c r="E71" s="14"/>
      <c r="F71" s="14"/>
      <c r="G71" s="14"/>
      <c r="H71" s="441"/>
      <c r="I71" s="121"/>
      <c r="J71" s="3"/>
      <c r="K71" s="3"/>
      <c r="L71" s="817"/>
      <c r="M71" s="814"/>
      <c r="N71" s="3"/>
      <c r="O71" s="795"/>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row>
    <row r="72" spans="1:45" ht="15" customHeight="1" x14ac:dyDescent="0.2">
      <c r="B72" s="358">
        <v>901.4</v>
      </c>
      <c r="C72" s="14"/>
      <c r="D72" s="14"/>
      <c r="E72" s="14" t="s">
        <v>2181</v>
      </c>
      <c r="F72" s="14"/>
      <c r="G72" s="14"/>
      <c r="H72" s="441"/>
      <c r="I72" s="121"/>
      <c r="J72" s="134" t="s">
        <v>2181</v>
      </c>
      <c r="K72" s="98"/>
      <c r="L72" s="791" t="s">
        <v>3035</v>
      </c>
      <c r="M72" s="838" t="str">
        <f>IF(R72,"Mandatory","N/A")</f>
        <v>Mandatory</v>
      </c>
      <c r="N72" s="3"/>
      <c r="O72" s="562"/>
      <c r="P72" s="64" t="b">
        <v>1</v>
      </c>
      <c r="Q72" s="64" t="b">
        <v>0</v>
      </c>
      <c r="R72" s="562" t="b">
        <f>S72</f>
        <v>1</v>
      </c>
      <c r="S72" s="562" t="b">
        <v>1</v>
      </c>
      <c r="T72" s="562" t="b">
        <v>0</v>
      </c>
      <c r="U72" s="64" t="str">
        <f>SUBSTITUTE(SUBSTITUTE(SUBSTITUTE("dd"&amp;B72&amp;C72&amp;D72&amp;E72&amp;F72,".","_"),"(","_"),")","")</f>
        <v>dd901,4_1</v>
      </c>
      <c r="V72" s="562"/>
      <c r="W72" s="6"/>
      <c r="X72" s="787"/>
      <c r="Y72" s="562"/>
      <c r="Z72" s="562"/>
      <c r="AA72" s="562"/>
      <c r="AB72" s="562"/>
      <c r="AC72" s="562" t="b">
        <f>OR(AD72:AE72)</f>
        <v>1</v>
      </c>
      <c r="AD72" s="562" t="b">
        <f>T72</f>
        <v>0</v>
      </c>
      <c r="AE72" s="562" t="b">
        <f>OR(AND(W72="N/A",LEN(X72)=0),AND(R72,OR(W72="Not Met",W72="")))</f>
        <v>1</v>
      </c>
      <c r="AF72" s="562"/>
      <c r="AG72" s="562"/>
      <c r="AH72" s="562"/>
      <c r="AI72" s="562"/>
      <c r="AJ72" s="562"/>
      <c r="AK72" s="562"/>
      <c r="AL72" s="190" t="str">
        <f>SUBSTITUTE(SUBSTITUTE(SUBSTITUTE("dpa"&amp;$B72&amp;$C72&amp;$D72&amp;$E72&amp;$F72,".","_"),"(","_"),")","")</f>
        <v>dpa901,4_1</v>
      </c>
      <c r="AM72" s="190" t="str">
        <f>M72</f>
        <v>Mandatory</v>
      </c>
      <c r="AN72" s="562"/>
      <c r="AO72" s="562"/>
      <c r="AP72" s="190" t="str">
        <f>SUBSTITUTE(SUBSTITUTE(SUBSTITUTE("dch"&amp;$B72&amp;$C72&amp;$D72&amp;$E72&amp;$F72,".","_"),"(","_"),")","")</f>
        <v>dch901,4_1</v>
      </c>
      <c r="AQ72" s="190">
        <f>W72</f>
        <v>0</v>
      </c>
      <c r="AR72" s="190" t="str">
        <f>SUBSTITUTE(SUBSTITUTE(SUBSTITUTE("dnt"&amp;$B72&amp;$C72&amp;$D72&amp;$E72&amp;$F72,".","_"),"(","_"),")","")</f>
        <v>dnt901,4_1</v>
      </c>
      <c r="AS72" s="190">
        <f>X72</f>
        <v>0</v>
      </c>
    </row>
    <row r="73" spans="1:45" x14ac:dyDescent="0.2">
      <c r="B73" s="358">
        <v>901.4</v>
      </c>
      <c r="C73" s="14"/>
      <c r="D73" s="14"/>
      <c r="E73" s="14" t="s">
        <v>2181</v>
      </c>
      <c r="F73" s="14"/>
      <c r="G73" s="14"/>
      <c r="H73" s="441"/>
      <c r="I73" s="121"/>
      <c r="J73" s="98"/>
      <c r="K73" s="98"/>
      <c r="L73" s="791"/>
      <c r="M73" s="838"/>
      <c r="N73" s="3"/>
      <c r="O73" s="609"/>
      <c r="P73" s="562"/>
      <c r="Q73" s="562"/>
      <c r="R73" s="562"/>
      <c r="S73" s="562"/>
      <c r="T73" s="562"/>
      <c r="U73" s="562"/>
      <c r="V73" s="562"/>
      <c r="W73" s="562"/>
      <c r="X73" s="787"/>
      <c r="Y73" s="562"/>
      <c r="Z73" s="562"/>
      <c r="AA73" s="562"/>
      <c r="AB73" s="562"/>
      <c r="AC73" s="562"/>
      <c r="AD73" s="562"/>
      <c r="AE73" s="562"/>
      <c r="AF73" s="562"/>
      <c r="AG73" s="562"/>
      <c r="AH73" s="562"/>
      <c r="AI73" s="562"/>
      <c r="AJ73" s="562"/>
      <c r="AK73" s="562"/>
      <c r="AL73" s="562"/>
      <c r="AM73" s="562"/>
      <c r="AN73" s="562"/>
      <c r="AO73" s="562"/>
      <c r="AP73" s="562"/>
      <c r="AQ73" s="562"/>
      <c r="AR73" s="562"/>
      <c r="AS73" s="562"/>
    </row>
    <row r="74" spans="1:45" x14ac:dyDescent="0.2">
      <c r="B74" s="358">
        <v>901.4</v>
      </c>
      <c r="C74" s="14"/>
      <c r="D74" s="14"/>
      <c r="E74" s="14" t="s">
        <v>2181</v>
      </c>
      <c r="F74" s="14"/>
      <c r="G74" s="14"/>
      <c r="H74" s="441"/>
      <c r="I74" s="121"/>
      <c r="J74" s="98"/>
      <c r="K74" s="98"/>
      <c r="L74" s="791"/>
      <c r="M74" s="838"/>
      <c r="N74" s="3"/>
      <c r="O74" s="609"/>
      <c r="P74" s="562"/>
      <c r="Q74" s="562"/>
      <c r="R74" s="562"/>
      <c r="S74" s="562"/>
      <c r="T74" s="562"/>
      <c r="U74" s="562"/>
      <c r="V74" s="562"/>
      <c r="W74" s="562"/>
      <c r="X74" s="787"/>
      <c r="Y74" s="562"/>
      <c r="Z74" s="562"/>
      <c r="AA74" s="562"/>
      <c r="AB74" s="562"/>
      <c r="AC74" s="562"/>
      <c r="AD74" s="562"/>
      <c r="AE74" s="562"/>
      <c r="AF74" s="562"/>
      <c r="AG74" s="562"/>
      <c r="AH74" s="562"/>
      <c r="AI74" s="562"/>
      <c r="AJ74" s="562"/>
      <c r="AK74" s="562"/>
      <c r="AL74" s="562"/>
      <c r="AM74" s="562"/>
      <c r="AN74" s="562"/>
      <c r="AO74" s="562"/>
      <c r="AP74" s="562"/>
      <c r="AQ74" s="562"/>
      <c r="AR74" s="562"/>
      <c r="AS74" s="562"/>
    </row>
    <row r="75" spans="1:45" s="338" customFormat="1" x14ac:dyDescent="0.2">
      <c r="A75" s="13"/>
      <c r="B75" s="358">
        <v>901.4</v>
      </c>
      <c r="C75" s="14"/>
      <c r="D75" s="14"/>
      <c r="E75" s="14" t="s">
        <v>2181</v>
      </c>
      <c r="F75" s="14"/>
      <c r="G75" s="14"/>
      <c r="H75" s="441"/>
      <c r="I75" s="121"/>
      <c r="J75" s="98"/>
      <c r="K75" s="98"/>
      <c r="L75" s="791"/>
      <c r="M75" s="838"/>
      <c r="N75" s="3"/>
      <c r="O75" s="609"/>
      <c r="P75" s="562"/>
      <c r="Q75" s="562"/>
      <c r="R75" s="562"/>
      <c r="S75" s="562"/>
      <c r="T75" s="562"/>
      <c r="U75" s="562"/>
      <c r="V75" s="562"/>
      <c r="W75" s="562"/>
      <c r="X75" s="787"/>
      <c r="Y75" s="562"/>
      <c r="Z75" s="562"/>
      <c r="AA75" s="562"/>
      <c r="AB75" s="562"/>
      <c r="AC75" s="562"/>
      <c r="AD75" s="562"/>
      <c r="AE75" s="562"/>
      <c r="AF75" s="562"/>
      <c r="AG75" s="562"/>
      <c r="AH75" s="562"/>
      <c r="AI75" s="562"/>
      <c r="AJ75" s="562"/>
      <c r="AK75" s="562"/>
      <c r="AL75" s="562"/>
      <c r="AM75" s="562"/>
      <c r="AN75" s="562"/>
      <c r="AO75" s="562"/>
      <c r="AP75" s="562"/>
      <c r="AQ75" s="562"/>
      <c r="AR75" s="562"/>
      <c r="AS75" s="562"/>
    </row>
    <row r="76" spans="1:45" x14ac:dyDescent="0.2">
      <c r="B76" s="358">
        <v>901.4</v>
      </c>
      <c r="C76" s="14"/>
      <c r="D76" s="14"/>
      <c r="E76" s="14" t="s">
        <v>2181</v>
      </c>
      <c r="F76" s="14"/>
      <c r="G76" s="14"/>
      <c r="H76" s="441"/>
      <c r="I76" s="121"/>
      <c r="J76" s="165"/>
      <c r="K76" s="165"/>
      <c r="L76" s="571" t="s">
        <v>3036</v>
      </c>
      <c r="M76" s="854"/>
      <c r="N76" s="3"/>
      <c r="O76" s="609"/>
      <c r="P76" s="562"/>
      <c r="Q76" s="562"/>
      <c r="R76" s="562"/>
      <c r="S76" s="562"/>
      <c r="T76" s="562"/>
      <c r="U76" s="562"/>
      <c r="V76" s="562"/>
      <c r="W76" s="562"/>
      <c r="X76" s="787"/>
      <c r="Y76" s="562"/>
      <c r="Z76" s="562"/>
      <c r="AA76" s="562"/>
      <c r="AB76" s="562"/>
      <c r="AC76" s="562"/>
      <c r="AD76" s="562"/>
      <c r="AE76" s="562"/>
      <c r="AF76" s="562"/>
      <c r="AG76" s="562"/>
      <c r="AH76" s="562"/>
      <c r="AI76" s="562"/>
      <c r="AJ76" s="562"/>
      <c r="AK76" s="562"/>
      <c r="AL76" s="562"/>
      <c r="AM76" s="562"/>
      <c r="AN76" s="562"/>
      <c r="AO76" s="562"/>
      <c r="AP76" s="562"/>
      <c r="AQ76" s="562"/>
      <c r="AR76" s="562"/>
      <c r="AS76" s="562"/>
    </row>
    <row r="77" spans="1:45" s="223" customFormat="1" x14ac:dyDescent="0.2">
      <c r="A77" s="13"/>
      <c r="B77" s="358">
        <v>901.4</v>
      </c>
      <c r="C77" s="14"/>
      <c r="D77" s="14"/>
      <c r="E77" s="14"/>
      <c r="F77" s="48" t="s">
        <v>2196</v>
      </c>
      <c r="G77" s="48"/>
      <c r="H77" s="444"/>
      <c r="I77" s="253"/>
      <c r="J77" s="98"/>
      <c r="K77" s="98"/>
      <c r="L77" s="598" t="s">
        <v>3037</v>
      </c>
      <c r="M77" s="339"/>
      <c r="N77" s="98"/>
      <c r="O77" s="607"/>
      <c r="P77" s="64" t="b">
        <v>1</v>
      </c>
      <c r="Q77" s="64" t="b">
        <v>1</v>
      </c>
      <c r="R77" s="64" t="b">
        <v>0</v>
      </c>
      <c r="S77" s="64" t="b">
        <v>1</v>
      </c>
      <c r="T77" s="64" t="b">
        <v>0</v>
      </c>
      <c r="U77" s="64" t="str">
        <f>SUBSTITUTE(SUBSTITUTE(SUBSTITUTE("dd"&amp;B77&amp;C77&amp;D77&amp;E77&amp;F77,".","_"),"(","_"),")","")</f>
        <v>dd901,4_a</v>
      </c>
      <c r="V77" s="64"/>
      <c r="W77" s="78"/>
      <c r="X77" s="798"/>
      <c r="Y77" s="562"/>
      <c r="Z77" s="562"/>
      <c r="AA77" s="562"/>
      <c r="AB77" s="562"/>
      <c r="AC77" s="562" t="b">
        <f>OR(AD77:AE77)</f>
        <v>0</v>
      </c>
      <c r="AD77" s="562" t="b">
        <f>T77</f>
        <v>0</v>
      </c>
      <c r="AE77" s="562" t="b">
        <f>AND(R77,OR(W77="Not Met",W77=""))</f>
        <v>0</v>
      </c>
      <c r="AF77" s="562"/>
      <c r="AG77" s="562"/>
      <c r="AH77" s="562"/>
      <c r="AI77" s="562"/>
      <c r="AJ77" s="562"/>
      <c r="AK77" s="562"/>
      <c r="AL77" s="562"/>
      <c r="AM77" s="562"/>
      <c r="AN77" s="562"/>
      <c r="AO77" s="562"/>
      <c r="AP77" s="190" t="str">
        <f t="shared" ref="AP77:AP80" si="0">SUBSTITUTE(SUBSTITUTE(SUBSTITUTE("dch"&amp;$B77&amp;$C77&amp;$D77&amp;$E77&amp;$F77,".","_"),"(","_"),")","")</f>
        <v>dch901,4_a</v>
      </c>
      <c r="AQ77" s="190">
        <f>W77</f>
        <v>0</v>
      </c>
      <c r="AR77" s="190" t="str">
        <f>SUBSTITUTE(SUBSTITUTE(SUBSTITUTE("dnt"&amp;$B77&amp;$C77&amp;$D77&amp;$E77&amp;$F77,".","_"),"(","_"),")","")</f>
        <v>dnt901,4_a</v>
      </c>
      <c r="AS77" s="190">
        <f>X77</f>
        <v>0</v>
      </c>
    </row>
    <row r="78" spans="1:45" s="223" customFormat="1" x14ac:dyDescent="0.2">
      <c r="A78" s="13"/>
      <c r="B78" s="358">
        <v>901.4</v>
      </c>
      <c r="C78" s="14"/>
      <c r="D78" s="14"/>
      <c r="E78" s="14"/>
      <c r="F78" s="48" t="s">
        <v>2198</v>
      </c>
      <c r="G78" s="48"/>
      <c r="H78" s="444"/>
      <c r="I78" s="253"/>
      <c r="J78" s="98"/>
      <c r="K78" s="98"/>
      <c r="L78" s="598" t="s">
        <v>3038</v>
      </c>
      <c r="M78" s="339"/>
      <c r="N78" s="98"/>
      <c r="O78" s="607"/>
      <c r="P78" s="64" t="b">
        <v>1</v>
      </c>
      <c r="Q78" s="64" t="b">
        <v>1</v>
      </c>
      <c r="R78" s="64" t="b">
        <v>0</v>
      </c>
      <c r="S78" s="64" t="b">
        <v>1</v>
      </c>
      <c r="T78" s="64" t="b">
        <v>0</v>
      </c>
      <c r="U78" s="64" t="str">
        <f>SUBSTITUTE(SUBSTITUTE(SUBSTITUTE("dd"&amp;B78&amp;C78&amp;D78&amp;E78&amp;F78,".","_"),"(","_"),")","")</f>
        <v>dd901,4_b</v>
      </c>
      <c r="V78" s="64"/>
      <c r="W78" s="78"/>
      <c r="X78" s="798"/>
      <c r="Y78" s="562"/>
      <c r="Z78" s="562"/>
      <c r="AA78" s="562"/>
      <c r="AB78" s="562"/>
      <c r="AC78" s="562" t="b">
        <f>OR(AD78:AE78)</f>
        <v>0</v>
      </c>
      <c r="AD78" s="562" t="b">
        <f>T78</f>
        <v>0</v>
      </c>
      <c r="AE78" s="562" t="b">
        <f>AND(R78,OR(W78="Not Met",W78=""))</f>
        <v>0</v>
      </c>
      <c r="AF78" s="562"/>
      <c r="AG78" s="562"/>
      <c r="AH78" s="562"/>
      <c r="AI78" s="562"/>
      <c r="AJ78" s="562"/>
      <c r="AK78" s="562"/>
      <c r="AL78" s="562"/>
      <c r="AM78" s="562"/>
      <c r="AN78" s="562"/>
      <c r="AO78" s="562"/>
      <c r="AP78" s="190" t="str">
        <f t="shared" si="0"/>
        <v>dch901,4_b</v>
      </c>
      <c r="AQ78" s="190">
        <f>W78</f>
        <v>0</v>
      </c>
      <c r="AR78" s="562"/>
      <c r="AS78" s="562"/>
    </row>
    <row r="79" spans="1:45" s="223" customFormat="1" x14ac:dyDescent="0.2">
      <c r="A79" s="13"/>
      <c r="B79" s="358">
        <v>901.4</v>
      </c>
      <c r="C79" s="14"/>
      <c r="D79" s="14"/>
      <c r="E79" s="14"/>
      <c r="F79" s="48" t="s">
        <v>2200</v>
      </c>
      <c r="G79" s="48"/>
      <c r="H79" s="444"/>
      <c r="I79" s="253"/>
      <c r="J79" s="98"/>
      <c r="K79" s="98"/>
      <c r="L79" s="598" t="s">
        <v>3039</v>
      </c>
      <c r="M79" s="339"/>
      <c r="N79" s="98"/>
      <c r="O79" s="607"/>
      <c r="P79" s="64" t="b">
        <v>1</v>
      </c>
      <c r="Q79" s="64" t="b">
        <v>1</v>
      </c>
      <c r="R79" s="64" t="b">
        <v>0</v>
      </c>
      <c r="S79" s="64" t="b">
        <v>1</v>
      </c>
      <c r="T79" s="64" t="b">
        <v>0</v>
      </c>
      <c r="U79" s="64" t="str">
        <f>SUBSTITUTE(SUBSTITUTE(SUBSTITUTE("dd"&amp;B79&amp;C79&amp;D79&amp;E79&amp;F79,".","_"),"(","_"),")","")</f>
        <v>dd901,4_c</v>
      </c>
      <c r="V79" s="64"/>
      <c r="W79" s="78"/>
      <c r="X79" s="798"/>
      <c r="Y79" s="562"/>
      <c r="Z79" s="562"/>
      <c r="AA79" s="562"/>
      <c r="AB79" s="562"/>
      <c r="AC79" s="562" t="b">
        <f>OR(AD79:AE79)</f>
        <v>0</v>
      </c>
      <c r="AD79" s="562" t="b">
        <f>T79</f>
        <v>0</v>
      </c>
      <c r="AE79" s="562" t="b">
        <f>AND(R79,OR(W79="Not Met",W79=""))</f>
        <v>0</v>
      </c>
      <c r="AF79" s="562"/>
      <c r="AG79" s="562"/>
      <c r="AH79" s="562"/>
      <c r="AI79" s="562"/>
      <c r="AJ79" s="562"/>
      <c r="AK79" s="562"/>
      <c r="AL79" s="562"/>
      <c r="AM79" s="562"/>
      <c r="AN79" s="562"/>
      <c r="AO79" s="562"/>
      <c r="AP79" s="190" t="str">
        <f t="shared" si="0"/>
        <v>dch901,4_c</v>
      </c>
      <c r="AQ79" s="190">
        <f>W79</f>
        <v>0</v>
      </c>
      <c r="AR79" s="562"/>
      <c r="AS79" s="562"/>
    </row>
    <row r="80" spans="1:45" s="223" customFormat="1" x14ac:dyDescent="0.2">
      <c r="A80" s="13"/>
      <c r="B80" s="358">
        <v>901.4</v>
      </c>
      <c r="C80" s="14"/>
      <c r="D80" s="14"/>
      <c r="E80" s="14"/>
      <c r="F80" s="48" t="s">
        <v>2247</v>
      </c>
      <c r="G80" s="48"/>
      <c r="H80" s="444"/>
      <c r="I80" s="253"/>
      <c r="J80" s="98"/>
      <c r="K80" s="98"/>
      <c r="L80" s="598" t="s">
        <v>3040</v>
      </c>
      <c r="M80" s="339"/>
      <c r="N80" s="98"/>
      <c r="O80" s="607"/>
      <c r="P80" s="64" t="b">
        <v>1</v>
      </c>
      <c r="Q80" s="64" t="b">
        <v>1</v>
      </c>
      <c r="R80" s="64" t="b">
        <v>0</v>
      </c>
      <c r="S80" s="64" t="b">
        <v>1</v>
      </c>
      <c r="T80" s="64" t="b">
        <v>0</v>
      </c>
      <c r="U80" s="64" t="str">
        <f>SUBSTITUTE(SUBSTITUTE(SUBSTITUTE("dd"&amp;B80&amp;C80&amp;D80&amp;E80&amp;F80,".","_"),"(","_"),")","")</f>
        <v>dd901,4_d</v>
      </c>
      <c r="V80" s="64"/>
      <c r="W80" s="78"/>
      <c r="X80" s="798"/>
      <c r="Y80" s="562"/>
      <c r="Z80" s="562"/>
      <c r="AA80" s="562"/>
      <c r="AB80" s="562"/>
      <c r="AC80" s="562" t="b">
        <f>OR(AD80:AE80)</f>
        <v>0</v>
      </c>
      <c r="AD80" s="562" t="b">
        <f>T80</f>
        <v>0</v>
      </c>
      <c r="AE80" s="562" t="b">
        <f>AND(R80,OR(W80="Not Met",W80=""))</f>
        <v>0</v>
      </c>
      <c r="AF80" s="562"/>
      <c r="AG80" s="562"/>
      <c r="AH80" s="562"/>
      <c r="AI80" s="562"/>
      <c r="AJ80" s="562"/>
      <c r="AK80" s="562"/>
      <c r="AL80" s="562"/>
      <c r="AM80" s="562"/>
      <c r="AN80" s="562"/>
      <c r="AO80" s="562"/>
      <c r="AP80" s="190" t="str">
        <f t="shared" si="0"/>
        <v>dch901,4_d</v>
      </c>
      <c r="AQ80" s="190">
        <f>W80</f>
        <v>0</v>
      </c>
      <c r="AR80" s="562"/>
      <c r="AS80" s="562"/>
    </row>
    <row r="81" spans="2:45" x14ac:dyDescent="0.2">
      <c r="B81" s="358">
        <v>901.4</v>
      </c>
      <c r="C81" s="14"/>
      <c r="D81" s="14"/>
      <c r="E81" s="14" t="s">
        <v>2183</v>
      </c>
      <c r="F81" s="14"/>
      <c r="G81" s="14"/>
      <c r="H81" s="441"/>
      <c r="I81" s="253"/>
      <c r="J81" s="134" t="s">
        <v>2183</v>
      </c>
      <c r="K81" s="98"/>
      <c r="L81" s="791" t="s">
        <v>3041</v>
      </c>
      <c r="M81" s="800">
        <v>2</v>
      </c>
      <c r="N81" s="98"/>
      <c r="O81" s="607"/>
      <c r="P81" s="64"/>
      <c r="Q81" s="64"/>
      <c r="R81" s="64"/>
      <c r="S81" s="64"/>
      <c r="T81" s="64"/>
      <c r="U81" s="64"/>
      <c r="V81" s="64"/>
      <c r="W81" s="64"/>
      <c r="X81" s="798"/>
      <c r="Y81" s="562"/>
      <c r="Z81" s="562"/>
      <c r="AA81" s="562"/>
      <c r="AB81" s="562"/>
      <c r="AC81" s="562"/>
      <c r="AD81" s="562"/>
      <c r="AE81" s="562"/>
      <c r="AF81" s="562"/>
      <c r="AG81" s="562"/>
      <c r="AH81" s="562"/>
      <c r="AI81" s="562"/>
      <c r="AJ81" s="562"/>
      <c r="AK81" s="562"/>
      <c r="AL81" s="190" t="str">
        <f>SUBSTITUTE(SUBSTITUTE(SUBSTITUTE("dpa"&amp;$B81&amp;$C81&amp;$D81&amp;$E81&amp;$F81,".","_"),"(","_"),")","")</f>
        <v>dpa901,4_2</v>
      </c>
      <c r="AM81" s="190">
        <f>M81</f>
        <v>2</v>
      </c>
      <c r="AN81" s="562"/>
      <c r="AO81" s="562"/>
      <c r="AP81" s="562"/>
      <c r="AQ81" s="562"/>
      <c r="AR81" s="562"/>
      <c r="AS81" s="562"/>
    </row>
    <row r="82" spans="2:45" x14ac:dyDescent="0.2">
      <c r="B82" s="358">
        <v>901.4</v>
      </c>
      <c r="C82" s="14"/>
      <c r="D82" s="14"/>
      <c r="E82" s="14" t="s">
        <v>2183</v>
      </c>
      <c r="F82" s="14"/>
      <c r="G82" s="14"/>
      <c r="H82" s="441"/>
      <c r="I82" s="253"/>
      <c r="J82" s="165"/>
      <c r="K82" s="165"/>
      <c r="L82" s="792"/>
      <c r="M82" s="801"/>
      <c r="N82" s="98"/>
      <c r="O82" s="607"/>
      <c r="P82" s="64"/>
      <c r="Q82" s="64"/>
      <c r="R82" s="64"/>
      <c r="S82" s="64"/>
      <c r="T82" s="64"/>
      <c r="U82" s="64"/>
      <c r="V82" s="64"/>
      <c r="W82" s="64"/>
      <c r="X82" s="798"/>
      <c r="Y82" s="562"/>
      <c r="Z82" s="562"/>
      <c r="AA82" s="562"/>
      <c r="AB82" s="562"/>
      <c r="AC82" s="562"/>
      <c r="AD82" s="562"/>
      <c r="AE82" s="562"/>
      <c r="AF82" s="562"/>
      <c r="AG82" s="562"/>
      <c r="AH82" s="562"/>
      <c r="AI82" s="562"/>
      <c r="AJ82" s="562"/>
      <c r="AK82" s="562"/>
      <c r="AL82" s="562"/>
      <c r="AM82" s="562"/>
      <c r="AN82" s="562"/>
      <c r="AO82" s="562"/>
      <c r="AP82" s="562"/>
      <c r="AQ82" s="562"/>
      <c r="AR82" s="562"/>
      <c r="AS82" s="562"/>
    </row>
    <row r="83" spans="2:45" x14ac:dyDescent="0.2">
      <c r="B83" s="358">
        <v>901.4</v>
      </c>
      <c r="C83" s="14"/>
      <c r="D83" s="14"/>
      <c r="E83" s="14" t="s">
        <v>2185</v>
      </c>
      <c r="F83" s="14"/>
      <c r="G83" s="14"/>
      <c r="H83" s="441"/>
      <c r="I83" s="253"/>
      <c r="J83" s="159" t="s">
        <v>2185</v>
      </c>
      <c r="K83" s="165"/>
      <c r="L83" s="599" t="s">
        <v>3042</v>
      </c>
      <c r="M83" s="611">
        <v>2</v>
      </c>
      <c r="N83" s="98"/>
      <c r="O83" s="607"/>
      <c r="P83" s="64"/>
      <c r="Q83" s="64"/>
      <c r="R83" s="64"/>
      <c r="S83" s="64"/>
      <c r="T83" s="64"/>
      <c r="U83" s="64"/>
      <c r="V83" s="64"/>
      <c r="W83" s="64"/>
      <c r="X83" s="798"/>
      <c r="Y83" s="562"/>
      <c r="Z83" s="562"/>
      <c r="AA83" s="562"/>
      <c r="AB83" s="562"/>
      <c r="AC83" s="562"/>
      <c r="AD83" s="562"/>
      <c r="AE83" s="562"/>
      <c r="AF83" s="562"/>
      <c r="AG83" s="562"/>
      <c r="AH83" s="562"/>
      <c r="AI83" s="562"/>
      <c r="AJ83" s="562"/>
      <c r="AK83" s="562"/>
      <c r="AL83" s="190" t="str">
        <f>SUBSTITUTE(SUBSTITUTE(SUBSTITUTE("dpa"&amp;$B83&amp;$C83&amp;$D83&amp;$E83&amp;$F83,".","_"),"(","_"),")","")</f>
        <v>dpa901,4_3</v>
      </c>
      <c r="AM83" s="190">
        <f>M83</f>
        <v>2</v>
      </c>
      <c r="AN83" s="562"/>
      <c r="AO83" s="562"/>
      <c r="AP83" s="562"/>
      <c r="AQ83" s="562"/>
      <c r="AR83" s="562"/>
      <c r="AS83" s="562"/>
    </row>
    <row r="84" spans="2:45" x14ac:dyDescent="0.2">
      <c r="B84" s="358">
        <v>901.4</v>
      </c>
      <c r="C84" s="14"/>
      <c r="D84" s="14"/>
      <c r="E84" s="14" t="s">
        <v>2192</v>
      </c>
      <c r="F84" s="14"/>
      <c r="G84" s="14"/>
      <c r="H84" s="441"/>
      <c r="I84" s="253"/>
      <c r="J84" s="159" t="s">
        <v>2192</v>
      </c>
      <c r="K84" s="165"/>
      <c r="L84" s="599" t="s">
        <v>3043</v>
      </c>
      <c r="M84" s="611">
        <v>3</v>
      </c>
      <c r="N84" s="98"/>
      <c r="O84" s="607"/>
      <c r="P84" s="64"/>
      <c r="Q84" s="64"/>
      <c r="R84" s="64"/>
      <c r="S84" s="64"/>
      <c r="T84" s="64"/>
      <c r="U84" s="64"/>
      <c r="V84" s="64"/>
      <c r="W84" s="64"/>
      <c r="X84" s="798"/>
      <c r="Y84" s="562"/>
      <c r="Z84" s="562"/>
      <c r="AA84" s="562"/>
      <c r="AB84" s="562"/>
      <c r="AC84" s="562"/>
      <c r="AD84" s="562"/>
      <c r="AE84" s="562"/>
      <c r="AF84" s="562"/>
      <c r="AG84" s="562"/>
      <c r="AH84" s="562"/>
      <c r="AI84" s="562"/>
      <c r="AJ84" s="562"/>
      <c r="AK84" s="562"/>
      <c r="AL84" s="190" t="str">
        <f>SUBSTITUTE(SUBSTITUTE(SUBSTITUTE("dpa"&amp;$B84&amp;$C84&amp;$D84&amp;$E84&amp;$F84,".","_"),"(","_"),")","")</f>
        <v>dpa901,4_4</v>
      </c>
      <c r="AM84" s="190">
        <f>M84</f>
        <v>3</v>
      </c>
      <c r="AN84" s="562"/>
      <c r="AO84" s="562"/>
      <c r="AP84" s="562"/>
      <c r="AQ84" s="562"/>
      <c r="AR84" s="562"/>
      <c r="AS84" s="562"/>
    </row>
    <row r="85" spans="2:45" x14ac:dyDescent="0.2">
      <c r="B85" s="358">
        <v>901.4</v>
      </c>
      <c r="C85" s="14"/>
      <c r="D85" s="14"/>
      <c r="E85" s="14" t="s">
        <v>2194</v>
      </c>
      <c r="F85" s="14"/>
      <c r="G85" s="14"/>
      <c r="H85" s="441"/>
      <c r="I85" s="253"/>
      <c r="J85" s="134" t="s">
        <v>2194</v>
      </c>
      <c r="K85" s="98"/>
      <c r="L85" s="791" t="s">
        <v>3044</v>
      </c>
      <c r="M85" s="800">
        <v>4</v>
      </c>
      <c r="N85" s="98"/>
      <c r="O85" s="607"/>
      <c r="P85" s="64"/>
      <c r="Q85" s="64"/>
      <c r="R85" s="64"/>
      <c r="S85" s="64"/>
      <c r="T85" s="64"/>
      <c r="U85" s="64"/>
      <c r="V85" s="64"/>
      <c r="W85" s="64"/>
      <c r="X85" s="798"/>
      <c r="Y85" s="562"/>
      <c r="Z85" s="562"/>
      <c r="AA85" s="562"/>
      <c r="AB85" s="562"/>
      <c r="AC85" s="562"/>
      <c r="AD85" s="562"/>
      <c r="AE85" s="562"/>
      <c r="AF85" s="562"/>
      <c r="AG85" s="562"/>
      <c r="AH85" s="562"/>
      <c r="AI85" s="562"/>
      <c r="AJ85" s="562"/>
      <c r="AK85" s="562"/>
      <c r="AL85" s="190" t="str">
        <f>SUBSTITUTE(SUBSTITUTE(SUBSTITUTE("dpa"&amp;$B85&amp;$C85&amp;$D85&amp;$E85&amp;$F85,".","_"),"(","_"),")","")</f>
        <v>dpa901,4_5</v>
      </c>
      <c r="AM85" s="190">
        <f>M85</f>
        <v>4</v>
      </c>
      <c r="AN85" s="562"/>
      <c r="AO85" s="562"/>
      <c r="AP85" s="562"/>
      <c r="AQ85" s="562"/>
      <c r="AR85" s="562"/>
      <c r="AS85" s="562"/>
    </row>
    <row r="86" spans="2:45" x14ac:dyDescent="0.2">
      <c r="B86" s="358">
        <v>901.4</v>
      </c>
      <c r="C86" s="14"/>
      <c r="D86" s="14"/>
      <c r="E86" s="14" t="s">
        <v>2194</v>
      </c>
      <c r="F86" s="14"/>
      <c r="G86" s="14"/>
      <c r="H86" s="441"/>
      <c r="I86" s="253"/>
      <c r="J86" s="159"/>
      <c r="K86" s="165"/>
      <c r="L86" s="792"/>
      <c r="M86" s="801"/>
      <c r="N86" s="98"/>
      <c r="O86" s="607"/>
      <c r="P86" s="64"/>
      <c r="Q86" s="64"/>
      <c r="R86" s="64"/>
      <c r="S86" s="64"/>
      <c r="T86" s="64"/>
      <c r="U86" s="64"/>
      <c r="V86" s="64"/>
      <c r="W86" s="64"/>
      <c r="X86" s="798"/>
      <c r="Y86" s="562"/>
      <c r="Z86" s="562"/>
      <c r="AA86" s="562"/>
      <c r="AB86" s="562"/>
      <c r="AC86" s="562"/>
      <c r="AD86" s="562"/>
      <c r="AE86" s="562"/>
      <c r="AF86" s="562"/>
      <c r="AG86" s="562"/>
      <c r="AH86" s="562"/>
      <c r="AI86" s="562"/>
      <c r="AJ86" s="562"/>
      <c r="AK86" s="562"/>
      <c r="AL86" s="562"/>
      <c r="AM86" s="562"/>
      <c r="AN86" s="562"/>
      <c r="AO86" s="562"/>
      <c r="AP86" s="562"/>
      <c r="AQ86" s="562"/>
      <c r="AR86" s="562"/>
      <c r="AS86" s="562"/>
    </row>
    <row r="87" spans="2:45" ht="16" thickBot="1" x14ac:dyDescent="0.25">
      <c r="B87" s="358">
        <v>901.4</v>
      </c>
      <c r="C87" s="14"/>
      <c r="D87" s="14"/>
      <c r="E87" s="14" t="s">
        <v>2221</v>
      </c>
      <c r="F87" s="14"/>
      <c r="G87" s="14"/>
      <c r="H87" s="441"/>
      <c r="I87" s="254"/>
      <c r="J87" s="143" t="s">
        <v>2221</v>
      </c>
      <c r="K87" s="185"/>
      <c r="L87" s="626" t="s">
        <v>3045</v>
      </c>
      <c r="M87" s="615">
        <v>4</v>
      </c>
      <c r="N87" s="185"/>
      <c r="O87" s="622"/>
      <c r="P87" s="68"/>
      <c r="Q87" s="68"/>
      <c r="R87" s="68"/>
      <c r="S87" s="68"/>
      <c r="T87" s="68"/>
      <c r="U87" s="68"/>
      <c r="V87" s="68"/>
      <c r="W87" s="68"/>
      <c r="X87" s="799"/>
      <c r="Y87" s="562"/>
      <c r="Z87" s="562"/>
      <c r="AA87" s="562"/>
      <c r="AB87" s="562"/>
      <c r="AC87" s="562"/>
      <c r="AD87" s="562"/>
      <c r="AE87" s="562"/>
      <c r="AF87" s="562"/>
      <c r="AG87" s="562"/>
      <c r="AH87" s="562"/>
      <c r="AI87" s="562"/>
      <c r="AJ87" s="562"/>
      <c r="AK87" s="562"/>
      <c r="AL87" s="190" t="str">
        <f>SUBSTITUTE(SUBSTITUTE(SUBSTITUTE("dpa"&amp;$B87&amp;$C87&amp;$D87&amp;$E87&amp;$F87,".","_"),"(","_"),")","")</f>
        <v>dpa901,4_6</v>
      </c>
      <c r="AM87" s="190">
        <f>M87</f>
        <v>4</v>
      </c>
      <c r="AN87" s="562"/>
      <c r="AO87" s="562"/>
      <c r="AP87" s="562"/>
      <c r="AQ87" s="562"/>
      <c r="AR87" s="562"/>
      <c r="AS87" s="562"/>
    </row>
    <row r="88" spans="2:45" ht="16" thickTop="1" x14ac:dyDescent="0.2">
      <c r="B88" s="358">
        <v>901.5</v>
      </c>
      <c r="C88" s="14"/>
      <c r="D88" s="14"/>
      <c r="E88" s="14"/>
      <c r="F88" s="14"/>
      <c r="G88" s="14"/>
      <c r="H88" s="441"/>
      <c r="I88" s="40" t="s">
        <v>3046</v>
      </c>
      <c r="J88" s="3"/>
      <c r="K88" s="3"/>
      <c r="L88" s="775" t="s">
        <v>3047</v>
      </c>
      <c r="M88" s="616"/>
      <c r="N88" s="3"/>
      <c r="O88" s="609"/>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row>
    <row r="89" spans="2:45" x14ac:dyDescent="0.2">
      <c r="B89" s="358">
        <v>901.5</v>
      </c>
      <c r="C89" s="14"/>
      <c r="D89" s="14"/>
      <c r="E89" s="14"/>
      <c r="F89" s="14"/>
      <c r="G89" s="14"/>
      <c r="H89" s="441"/>
      <c r="I89" s="121"/>
      <c r="J89" s="3"/>
      <c r="K89" s="3"/>
      <c r="L89" s="775"/>
      <c r="M89" s="616"/>
      <c r="N89" s="3"/>
      <c r="O89" s="609"/>
      <c r="P89" s="562"/>
      <c r="Q89" s="562"/>
      <c r="R89" s="562"/>
      <c r="S89" s="562"/>
      <c r="T89" s="562"/>
      <c r="U89" s="562"/>
      <c r="V89" s="562"/>
      <c r="W89" s="562"/>
      <c r="X89" s="562"/>
      <c r="Y89" s="562"/>
      <c r="Z89" s="562"/>
      <c r="AA89" s="562"/>
      <c r="AB89" s="562"/>
      <c r="AC89" s="562"/>
      <c r="AD89" s="562"/>
      <c r="AE89" s="562"/>
      <c r="AF89" s="562"/>
      <c r="AG89" s="562"/>
      <c r="AH89" s="562"/>
      <c r="AI89" s="562"/>
      <c r="AJ89" s="562"/>
      <c r="AK89" s="562"/>
      <c r="AL89" s="562"/>
      <c r="AM89" s="562"/>
      <c r="AN89" s="562"/>
      <c r="AO89" s="562"/>
      <c r="AP89" s="562"/>
      <c r="AQ89" s="562"/>
      <c r="AR89" s="562"/>
      <c r="AS89" s="562"/>
    </row>
    <row r="90" spans="2:45" x14ac:dyDescent="0.2">
      <c r="B90" s="358">
        <v>901.5</v>
      </c>
      <c r="C90" s="14"/>
      <c r="D90" s="14"/>
      <c r="E90" s="14"/>
      <c r="F90" s="14"/>
      <c r="G90" s="14"/>
      <c r="H90" s="441"/>
      <c r="I90" s="121"/>
      <c r="J90" s="3"/>
      <c r="K90" s="3"/>
      <c r="L90" s="635" t="s">
        <v>3048</v>
      </c>
      <c r="M90" s="616"/>
      <c r="N90" s="3"/>
      <c r="O90" s="609"/>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row>
    <row r="91" spans="2:45" x14ac:dyDescent="0.2">
      <c r="B91" s="358">
        <v>901.5</v>
      </c>
      <c r="C91" s="14"/>
      <c r="D91" s="14"/>
      <c r="E91" s="14" t="s">
        <v>2181</v>
      </c>
      <c r="F91" s="14"/>
      <c r="G91" s="14"/>
      <c r="H91" s="441"/>
      <c r="I91" s="121"/>
      <c r="J91" s="134" t="s">
        <v>2181</v>
      </c>
      <c r="K91" s="98"/>
      <c r="L91" s="791" t="s">
        <v>3049</v>
      </c>
      <c r="M91" s="800">
        <v>5</v>
      </c>
      <c r="N91" s="3"/>
      <c r="O91" s="793">
        <f>M91*S91*W91</f>
        <v>0</v>
      </c>
      <c r="P91" s="64" t="b">
        <v>0</v>
      </c>
      <c r="Q91" s="64" t="b">
        <v>1</v>
      </c>
      <c r="R91" s="562" t="b">
        <v>0</v>
      </c>
      <c r="S91" s="562" t="b">
        <v>1</v>
      </c>
      <c r="T91" s="562" t="b">
        <v>0</v>
      </c>
      <c r="U91" s="562"/>
      <c r="V91" s="562"/>
      <c r="W91" s="18"/>
      <c r="X91" s="787"/>
      <c r="Y91" s="562"/>
      <c r="Z91" s="562"/>
      <c r="AA91" s="562"/>
      <c r="AB91" s="562"/>
      <c r="AC91" s="562" t="b">
        <f>OR(AD91:AE91)</f>
        <v>0</v>
      </c>
      <c r="AD91" s="562" t="b">
        <f>T91</f>
        <v>0</v>
      </c>
      <c r="AE91" s="562" t="b">
        <f>AND(R91,NOT(W91))</f>
        <v>0</v>
      </c>
      <c r="AF91" s="562"/>
      <c r="AG91" s="562"/>
      <c r="AH91" s="562"/>
      <c r="AI91" s="562"/>
      <c r="AJ91" s="562"/>
      <c r="AK91" s="562"/>
      <c r="AL91" s="190" t="str">
        <f>SUBSTITUTE(SUBSTITUTE(SUBSTITUTE("dpa"&amp;$B91&amp;$C91&amp;$D91&amp;$E91&amp;$F91,".","_"),"(","_"),")","")</f>
        <v>dpa901,5_1</v>
      </c>
      <c r="AM91" s="190">
        <f>M91</f>
        <v>5</v>
      </c>
      <c r="AN91" s="190" t="str">
        <f>SUBSTITUTE(SUBSTITUTE(SUBSTITUTE("dpc"&amp;$B91&amp;$C91&amp;$D91&amp;$E91&amp;$F91,".","_"),"(","_"),")","")</f>
        <v>dpc901,5_1</v>
      </c>
      <c r="AO91" s="190">
        <f>O91</f>
        <v>0</v>
      </c>
      <c r="AP91" s="190" t="str">
        <f>SUBSTITUTE(SUBSTITUTE(SUBSTITUTE("dch"&amp;$B91&amp;$C91&amp;$D91&amp;$E91&amp;$F91,".","_"),"(","_"),")","")</f>
        <v>dch901,5_1</v>
      </c>
      <c r="AQ91" s="190">
        <f>W91</f>
        <v>0</v>
      </c>
      <c r="AR91" s="190" t="str">
        <f>SUBSTITUTE(SUBSTITUTE(SUBSTITUTE("dnt"&amp;$B91&amp;$C91&amp;$D91&amp;$E91&amp;$F91,".","_"),"(","_"),")","")</f>
        <v>dnt901,5_1</v>
      </c>
      <c r="AS91" s="190">
        <f>X91</f>
        <v>0</v>
      </c>
    </row>
    <row r="92" spans="2:45" x14ac:dyDescent="0.2">
      <c r="B92" s="358">
        <v>901.5</v>
      </c>
      <c r="C92" s="14"/>
      <c r="D92" s="14"/>
      <c r="E92" s="14" t="s">
        <v>2181</v>
      </c>
      <c r="F92" s="14"/>
      <c r="G92" s="14"/>
      <c r="H92" s="441"/>
      <c r="I92" s="121"/>
      <c r="J92" s="165"/>
      <c r="K92" s="165"/>
      <c r="L92" s="792"/>
      <c r="M92" s="801"/>
      <c r="N92" s="3"/>
      <c r="O92" s="794"/>
      <c r="P92" s="562"/>
      <c r="Q92" s="562"/>
      <c r="R92" s="562"/>
      <c r="S92" s="562"/>
      <c r="T92" s="562"/>
      <c r="U92" s="562"/>
      <c r="V92" s="562"/>
      <c r="W92" s="562"/>
      <c r="X92" s="787"/>
      <c r="Y92" s="562"/>
      <c r="Z92" s="562"/>
      <c r="AA92" s="562"/>
      <c r="AB92" s="562"/>
      <c r="AC92" s="562"/>
      <c r="AD92" s="562"/>
      <c r="AE92" s="562"/>
      <c r="AF92" s="562"/>
      <c r="AG92" s="562"/>
      <c r="AH92" s="562"/>
      <c r="AI92" s="562"/>
      <c r="AJ92" s="562"/>
      <c r="AK92" s="562"/>
      <c r="AL92" s="562"/>
      <c r="AM92" s="562"/>
      <c r="AN92" s="562"/>
      <c r="AO92" s="562"/>
      <c r="AP92" s="562"/>
      <c r="AQ92" s="562"/>
      <c r="AR92" s="562"/>
      <c r="AS92" s="562"/>
    </row>
    <row r="93" spans="2:45" x14ac:dyDescent="0.2">
      <c r="B93" s="358">
        <v>901.5</v>
      </c>
      <c r="C93" s="14"/>
      <c r="D93" s="14"/>
      <c r="E93" s="14" t="s">
        <v>2183</v>
      </c>
      <c r="F93" s="14"/>
      <c r="G93" s="14"/>
      <c r="H93" s="441"/>
      <c r="I93" s="253"/>
      <c r="J93" s="134" t="s">
        <v>2183</v>
      </c>
      <c r="K93" s="98"/>
      <c r="L93" s="791" t="s">
        <v>3050</v>
      </c>
      <c r="M93" s="800">
        <v>3</v>
      </c>
      <c r="N93" s="98"/>
      <c r="O93" s="793">
        <f>M93*S93*W93</f>
        <v>0</v>
      </c>
      <c r="P93" s="64" t="b">
        <v>0</v>
      </c>
      <c r="Q93" s="64" t="b">
        <v>1</v>
      </c>
      <c r="R93" s="64" t="b">
        <v>0</v>
      </c>
      <c r="S93" s="64" t="b">
        <v>1</v>
      </c>
      <c r="T93" s="64" t="b">
        <v>0</v>
      </c>
      <c r="U93" s="64"/>
      <c r="V93" s="64"/>
      <c r="W93" s="219"/>
      <c r="X93" s="798"/>
      <c r="Y93" s="562"/>
      <c r="Z93" s="562"/>
      <c r="AA93" s="562"/>
      <c r="AB93" s="562"/>
      <c r="AC93" s="562" t="b">
        <f>OR(AD93:AE93)</f>
        <v>0</v>
      </c>
      <c r="AD93" s="562" t="b">
        <f>T93</f>
        <v>0</v>
      </c>
      <c r="AE93" s="562" t="b">
        <f>AND(R93,NOT(W93))</f>
        <v>0</v>
      </c>
      <c r="AF93" s="562"/>
      <c r="AG93" s="562"/>
      <c r="AH93" s="562"/>
      <c r="AI93" s="562"/>
      <c r="AJ93" s="562"/>
      <c r="AK93" s="562"/>
      <c r="AL93" s="190" t="str">
        <f>SUBSTITUTE(SUBSTITUTE(SUBSTITUTE("dpa"&amp;$B93&amp;$C93&amp;$D93&amp;$E93&amp;$F93,".","_"),"(","_"),")","")</f>
        <v>dpa901,5_2</v>
      </c>
      <c r="AM93" s="190">
        <f>M93</f>
        <v>3</v>
      </c>
      <c r="AN93" s="190" t="str">
        <f>SUBSTITUTE(SUBSTITUTE(SUBSTITUTE("dpc"&amp;$B93&amp;$C93&amp;$D93&amp;$E93&amp;$F93,".","_"),"(","_"),")","")</f>
        <v>dpc901,5_2</v>
      </c>
      <c r="AO93" s="190">
        <f>O93</f>
        <v>0</v>
      </c>
      <c r="AP93" s="190" t="str">
        <f>SUBSTITUTE(SUBSTITUTE(SUBSTITUTE("dch"&amp;$B93&amp;$C93&amp;$D93&amp;$E93&amp;$F93,".","_"),"(","_"),")","")</f>
        <v>dch901,5_2</v>
      </c>
      <c r="AQ93" s="190">
        <f>W93</f>
        <v>0</v>
      </c>
      <c r="AR93" s="190" t="str">
        <f>SUBSTITUTE(SUBSTITUTE(SUBSTITUTE("dnt"&amp;$B93&amp;$C93&amp;$D93&amp;$E93&amp;$F93,".","_"),"(","_"),")","")</f>
        <v>dnt901,5_2</v>
      </c>
      <c r="AS93" s="190">
        <f>X93</f>
        <v>0</v>
      </c>
    </row>
    <row r="94" spans="2:45" x14ac:dyDescent="0.2">
      <c r="B94" s="358">
        <v>901.5</v>
      </c>
      <c r="C94" s="14"/>
      <c r="D94" s="14"/>
      <c r="E94" s="14" t="s">
        <v>2183</v>
      </c>
      <c r="F94" s="14"/>
      <c r="G94" s="14"/>
      <c r="H94" s="441"/>
      <c r="I94" s="253"/>
      <c r="J94" s="98"/>
      <c r="K94" s="98"/>
      <c r="L94" s="791"/>
      <c r="M94" s="800"/>
      <c r="N94" s="98"/>
      <c r="O94" s="793"/>
      <c r="P94" s="64"/>
      <c r="Q94" s="64"/>
      <c r="R94" s="64"/>
      <c r="S94" s="64"/>
      <c r="T94" s="64"/>
      <c r="U94" s="64"/>
      <c r="V94" s="64"/>
      <c r="W94" s="64"/>
      <c r="X94" s="798"/>
      <c r="Y94" s="562"/>
      <c r="Z94" s="562"/>
      <c r="AA94" s="562"/>
      <c r="AB94" s="562"/>
      <c r="AC94" s="562"/>
      <c r="AD94" s="562"/>
      <c r="AE94" s="562"/>
      <c r="AF94" s="562"/>
      <c r="AG94" s="562"/>
      <c r="AH94" s="562"/>
      <c r="AI94" s="562"/>
      <c r="AJ94" s="562"/>
      <c r="AK94" s="562"/>
      <c r="AL94" s="562"/>
      <c r="AM94" s="562"/>
      <c r="AN94" s="562"/>
      <c r="AO94" s="562"/>
      <c r="AP94" s="562"/>
      <c r="AQ94" s="562"/>
      <c r="AR94" s="562"/>
      <c r="AS94" s="562"/>
    </row>
    <row r="95" spans="2:45" ht="16" thickBot="1" x14ac:dyDescent="0.25">
      <c r="B95" s="358">
        <v>901.5</v>
      </c>
      <c r="C95" s="14"/>
      <c r="D95" s="14"/>
      <c r="E95" s="14"/>
      <c r="F95" s="14"/>
      <c r="G95" s="14"/>
      <c r="H95" s="441"/>
      <c r="I95" s="254"/>
      <c r="J95" s="185"/>
      <c r="K95" s="185"/>
      <c r="L95" s="818"/>
      <c r="M95" s="813"/>
      <c r="N95" s="185"/>
      <c r="O95" s="821"/>
      <c r="P95" s="68"/>
      <c r="Q95" s="68"/>
      <c r="R95" s="68"/>
      <c r="S95" s="68"/>
      <c r="T95" s="68"/>
      <c r="U95" s="68"/>
      <c r="V95" s="68"/>
      <c r="W95" s="68"/>
      <c r="X95" s="799"/>
      <c r="Y95" s="562"/>
      <c r="Z95" s="562"/>
      <c r="AA95" s="562"/>
      <c r="AB95" s="562"/>
      <c r="AC95" s="562"/>
      <c r="AD95" s="562"/>
      <c r="AE95" s="562"/>
      <c r="AF95" s="562"/>
      <c r="AG95" s="562"/>
      <c r="AH95" s="562"/>
      <c r="AI95" s="562"/>
      <c r="AJ95" s="562"/>
      <c r="AK95" s="562"/>
      <c r="AL95" s="562"/>
      <c r="AM95" s="562"/>
      <c r="AN95" s="562"/>
      <c r="AO95" s="562"/>
      <c r="AP95" s="562"/>
      <c r="AQ95" s="562"/>
      <c r="AR95" s="562"/>
      <c r="AS95" s="562"/>
    </row>
    <row r="96" spans="2:45" ht="16" thickTop="1" x14ac:dyDescent="0.2">
      <c r="B96" s="358">
        <v>901.6</v>
      </c>
      <c r="C96" s="14"/>
      <c r="D96" s="14"/>
      <c r="E96" s="14"/>
      <c r="F96" s="14"/>
      <c r="G96" s="14"/>
      <c r="H96" s="441"/>
      <c r="I96" s="131" t="s">
        <v>3051</v>
      </c>
      <c r="J96" s="132"/>
      <c r="K96" s="132"/>
      <c r="L96" s="819" t="s">
        <v>3052</v>
      </c>
      <c r="M96" s="843" t="str">
        <f>IF(R96,"Mandatory","N/A")</f>
        <v>Mandatory</v>
      </c>
      <c r="N96" s="132"/>
      <c r="O96" s="623"/>
      <c r="P96" s="64" t="b">
        <v>0</v>
      </c>
      <c r="Q96" s="64" t="b">
        <v>1</v>
      </c>
      <c r="R96" s="74" t="b">
        <f>S96</f>
        <v>1</v>
      </c>
      <c r="S96" s="74" t="b">
        <v>1</v>
      </c>
      <c r="T96" s="74" t="b">
        <v>0</v>
      </c>
      <c r="U96" s="74"/>
      <c r="V96" s="74"/>
      <c r="W96" s="221"/>
      <c r="X96" s="802"/>
      <c r="Y96" s="562"/>
      <c r="Z96" s="562"/>
      <c r="AA96" s="562"/>
      <c r="AB96" s="562"/>
      <c r="AC96" s="562" t="b">
        <f>OR(AD96:AE96)</f>
        <v>1</v>
      </c>
      <c r="AD96" s="562" t="b">
        <f>T96</f>
        <v>0</v>
      </c>
      <c r="AE96" s="562" t="b">
        <f>AND(R96,NOT(W96))</f>
        <v>1</v>
      </c>
      <c r="AF96" s="562"/>
      <c r="AG96" s="562"/>
      <c r="AH96" s="562"/>
      <c r="AI96" s="562"/>
      <c r="AJ96" s="562"/>
      <c r="AK96" s="562"/>
      <c r="AL96" s="190" t="str">
        <f>SUBSTITUTE(SUBSTITUTE(SUBSTITUTE("dpa"&amp;$B96&amp;$C96&amp;$D96&amp;$E96&amp;$F96,".","_"),"(","_"),")","")</f>
        <v>dpa901,6</v>
      </c>
      <c r="AM96" s="190" t="str">
        <f>M96</f>
        <v>Mandatory</v>
      </c>
      <c r="AN96" s="562"/>
      <c r="AO96" s="562"/>
      <c r="AP96" s="190" t="str">
        <f>SUBSTITUTE(SUBSTITUTE(SUBSTITUTE("dch"&amp;$B96&amp;$C96&amp;$D96&amp;$E96&amp;$F96,".","_"),"(","_"),")","")</f>
        <v>dch901,6</v>
      </c>
      <c r="AQ96" s="190">
        <f>W96</f>
        <v>0</v>
      </c>
      <c r="AR96" s="190" t="str">
        <f>SUBSTITUTE(SUBSTITUTE(SUBSTITUTE("dnt"&amp;$B96&amp;$C96&amp;$D96&amp;$E96&amp;$F96,".","_"),"(","_"),")","")</f>
        <v>dnt901,6</v>
      </c>
      <c r="AS96" s="190">
        <f>X96</f>
        <v>0</v>
      </c>
    </row>
    <row r="97" spans="2:45" ht="16" thickBot="1" x14ac:dyDescent="0.25">
      <c r="B97" s="358">
        <v>901.6</v>
      </c>
      <c r="C97" s="14"/>
      <c r="D97" s="14"/>
      <c r="E97" s="14"/>
      <c r="F97" s="14"/>
      <c r="G97" s="14"/>
      <c r="H97" s="441"/>
      <c r="I97" s="254"/>
      <c r="J97" s="185"/>
      <c r="K97" s="185"/>
      <c r="L97" s="822"/>
      <c r="M97" s="844"/>
      <c r="N97" s="185"/>
      <c r="O97" s="622"/>
      <c r="P97" s="68"/>
      <c r="Q97" s="68"/>
      <c r="R97" s="68"/>
      <c r="S97" s="68"/>
      <c r="T97" s="68"/>
      <c r="U97" s="68"/>
      <c r="V97" s="68"/>
      <c r="W97" s="68"/>
      <c r="X97" s="799"/>
      <c r="Y97" s="562"/>
      <c r="Z97" s="562"/>
      <c r="AA97" s="562"/>
      <c r="AB97" s="562"/>
      <c r="AC97" s="562"/>
      <c r="AD97" s="562"/>
      <c r="AE97" s="562"/>
      <c r="AF97" s="562"/>
      <c r="AG97" s="562"/>
      <c r="AH97" s="562"/>
      <c r="AI97" s="562"/>
      <c r="AJ97" s="562"/>
      <c r="AK97" s="562"/>
      <c r="AL97" s="562"/>
      <c r="AM97" s="562"/>
      <c r="AN97" s="562"/>
      <c r="AO97" s="562"/>
      <c r="AP97" s="562"/>
      <c r="AQ97" s="562"/>
      <c r="AR97" s="562"/>
      <c r="AS97" s="562"/>
    </row>
    <row r="98" spans="2:45" ht="16" thickTop="1" x14ac:dyDescent="0.2">
      <c r="B98" s="358">
        <v>901.7</v>
      </c>
      <c r="C98" s="14"/>
      <c r="D98" s="14"/>
      <c r="E98" s="14"/>
      <c r="F98" s="14"/>
      <c r="G98" s="14"/>
      <c r="H98" s="441"/>
      <c r="I98" s="40" t="s">
        <v>3053</v>
      </c>
      <c r="J98" s="3"/>
      <c r="K98" s="3"/>
      <c r="L98" s="775" t="s">
        <v>3054</v>
      </c>
      <c r="M98" s="863" t="s">
        <v>3055</v>
      </c>
      <c r="N98" s="3"/>
      <c r="O98" s="795">
        <f>MIN(8,ROUNDDOWN(W105/0.1,0)+ROUNDDOWN(W116/0.1,0)+ROUNDDOWN(W117*1.33/0.1,0))</f>
        <v>0</v>
      </c>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190" t="str">
        <f>SUBSTITUTE(SUBSTITUTE(SUBSTITUTE("dpa"&amp;$B98&amp;$C98&amp;$D98&amp;$E98&amp;$F98,".","_"),"(","_"),")","")</f>
        <v>dpa901,7</v>
      </c>
      <c r="AM98" s="190" t="str">
        <f>M98</f>
        <v>1
8 Max</v>
      </c>
      <c r="AN98" s="190" t="str">
        <f>SUBSTITUTE(SUBSTITUTE(SUBSTITUTE("dpc"&amp;$B98&amp;$C98&amp;$D98&amp;$E98&amp;$F98,".","_"),"(","_"),")","")</f>
        <v>dpc901,7</v>
      </c>
      <c r="AO98" s="190">
        <f>O98</f>
        <v>0</v>
      </c>
      <c r="AP98" s="562"/>
      <c r="AQ98" s="562"/>
      <c r="AR98" s="562"/>
      <c r="AS98" s="562"/>
    </row>
    <row r="99" spans="2:45" x14ac:dyDescent="0.2">
      <c r="B99" s="358">
        <v>901.7</v>
      </c>
      <c r="C99" s="14"/>
      <c r="D99" s="14"/>
      <c r="E99" s="14"/>
      <c r="F99" s="14"/>
      <c r="G99" s="14"/>
      <c r="H99" s="441"/>
      <c r="I99" s="121"/>
      <c r="J99" s="3"/>
      <c r="K99" s="3"/>
      <c r="L99" s="775"/>
      <c r="M99" s="863"/>
      <c r="N99" s="3"/>
      <c r="O99" s="795"/>
      <c r="P99" s="562"/>
      <c r="Q99" s="562"/>
      <c r="R99" s="562"/>
      <c r="S99" s="562"/>
      <c r="T99" s="562"/>
      <c r="U99" s="562"/>
      <c r="V99" s="562"/>
      <c r="W99" s="562"/>
      <c r="X99" s="562"/>
      <c r="Y99" s="562"/>
      <c r="Z99" s="562"/>
      <c r="AA99" s="562"/>
      <c r="AB99" s="562"/>
      <c r="AC99" s="562"/>
      <c r="AD99" s="562"/>
      <c r="AE99" s="562"/>
      <c r="AF99" s="562"/>
      <c r="AG99" s="562"/>
      <c r="AH99" s="562"/>
      <c r="AI99" s="562"/>
      <c r="AJ99" s="562"/>
      <c r="AK99" s="562"/>
      <c r="AL99" s="562"/>
      <c r="AM99" s="562"/>
      <c r="AN99" s="562"/>
      <c r="AO99" s="562"/>
      <c r="AP99" s="562"/>
      <c r="AQ99" s="562"/>
      <c r="AR99" s="562"/>
      <c r="AS99" s="562"/>
    </row>
    <row r="100" spans="2:45" x14ac:dyDescent="0.2">
      <c r="B100" s="358">
        <v>901.7</v>
      </c>
      <c r="C100" s="14"/>
      <c r="D100" s="14"/>
      <c r="E100" s="14"/>
      <c r="F100" s="14"/>
      <c r="G100" s="14"/>
      <c r="H100" s="441"/>
      <c r="I100" s="121"/>
      <c r="J100" s="3"/>
      <c r="K100" s="3"/>
      <c r="L100" s="775"/>
      <c r="M100" s="863"/>
      <c r="N100" s="3"/>
      <c r="O100" s="795"/>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row>
    <row r="101" spans="2:45" x14ac:dyDescent="0.2">
      <c r="B101" s="358">
        <v>901.7</v>
      </c>
      <c r="C101" s="14"/>
      <c r="D101" s="14"/>
      <c r="E101" s="14"/>
      <c r="F101" s="14"/>
      <c r="G101" s="14"/>
      <c r="H101" s="441"/>
      <c r="I101" s="121"/>
      <c r="J101" s="3"/>
      <c r="K101" s="3"/>
      <c r="L101" s="775"/>
      <c r="M101" s="863"/>
      <c r="N101" s="3"/>
      <c r="O101" s="795"/>
      <c r="P101" s="562"/>
      <c r="Q101" s="562"/>
      <c r="R101" s="562"/>
      <c r="S101" s="562"/>
      <c r="T101" s="562"/>
      <c r="U101" s="562"/>
      <c r="V101" s="562"/>
      <c r="W101" s="562"/>
      <c r="X101" s="562"/>
      <c r="Y101" s="562"/>
      <c r="Z101" s="562"/>
      <c r="AA101" s="562"/>
      <c r="AB101" s="562"/>
      <c r="AC101" s="562"/>
      <c r="AD101" s="562"/>
      <c r="AE101" s="562"/>
      <c r="AF101" s="562"/>
      <c r="AG101" s="562"/>
      <c r="AH101" s="562"/>
      <c r="AI101" s="562"/>
      <c r="AJ101" s="562"/>
      <c r="AK101" s="562"/>
      <c r="AL101" s="562"/>
      <c r="AM101" s="562"/>
      <c r="AN101" s="562"/>
      <c r="AO101" s="562"/>
      <c r="AP101" s="562"/>
      <c r="AQ101" s="562"/>
      <c r="AR101" s="562"/>
      <c r="AS101" s="562"/>
    </row>
    <row r="102" spans="2:45" x14ac:dyDescent="0.2">
      <c r="B102" s="358">
        <v>901.7</v>
      </c>
      <c r="C102" s="14"/>
      <c r="D102" s="14"/>
      <c r="E102" s="14"/>
      <c r="F102" s="14"/>
      <c r="G102" s="14"/>
      <c r="H102" s="441"/>
      <c r="I102" s="121"/>
      <c r="J102" s="3"/>
      <c r="K102" s="3"/>
      <c r="L102" s="775"/>
      <c r="M102" s="863"/>
      <c r="N102" s="3"/>
      <c r="O102" s="795"/>
      <c r="P102" s="562"/>
      <c r="Q102" s="562"/>
      <c r="R102" s="562"/>
      <c r="S102" s="562"/>
      <c r="T102" s="562"/>
      <c r="U102" s="562"/>
      <c r="V102" s="562"/>
      <c r="W102" s="562"/>
      <c r="X102" s="562"/>
      <c r="Y102" s="562"/>
      <c r="Z102" s="562"/>
      <c r="AA102" s="562"/>
      <c r="AB102" s="562"/>
      <c r="AC102" s="562"/>
      <c r="AD102" s="562"/>
      <c r="AE102" s="562"/>
      <c r="AF102" s="562"/>
      <c r="AG102" s="562"/>
      <c r="AH102" s="562"/>
      <c r="AI102" s="562"/>
      <c r="AJ102" s="562"/>
      <c r="AK102" s="562"/>
      <c r="AL102" s="562"/>
      <c r="AM102" s="562"/>
      <c r="AN102" s="562"/>
      <c r="AO102" s="562"/>
      <c r="AP102" s="562"/>
      <c r="AQ102" s="562"/>
      <c r="AR102" s="562"/>
      <c r="AS102" s="562"/>
    </row>
    <row r="103" spans="2:45" x14ac:dyDescent="0.2">
      <c r="B103" s="358">
        <v>901.7</v>
      </c>
      <c r="C103" s="14"/>
      <c r="D103" s="14"/>
      <c r="E103" s="14"/>
      <c r="F103" s="14"/>
      <c r="G103" s="14"/>
      <c r="H103" s="441"/>
      <c r="I103" s="121"/>
      <c r="J103" s="3"/>
      <c r="K103" s="3"/>
      <c r="L103" s="851" t="s">
        <v>3056</v>
      </c>
      <c r="M103" s="863"/>
      <c r="N103" s="3"/>
      <c r="O103" s="795"/>
      <c r="P103" s="562"/>
      <c r="Q103" s="562"/>
      <c r="R103" s="562"/>
      <c r="S103" s="562"/>
      <c r="T103" s="562"/>
      <c r="U103" s="562"/>
      <c r="V103" s="562"/>
      <c r="W103" s="562"/>
      <c r="X103" s="562"/>
      <c r="Y103" s="562"/>
      <c r="Z103" s="562"/>
      <c r="AA103" s="562"/>
      <c r="AB103" s="562"/>
      <c r="AC103" s="562"/>
      <c r="AD103" s="562"/>
      <c r="AE103" s="562"/>
      <c r="AF103" s="562"/>
      <c r="AG103" s="562"/>
      <c r="AH103" s="562"/>
      <c r="AI103" s="562"/>
      <c r="AJ103" s="562"/>
      <c r="AK103" s="562"/>
      <c r="AL103" s="562"/>
      <c r="AM103" s="562"/>
      <c r="AN103" s="562"/>
      <c r="AO103" s="562"/>
      <c r="AP103" s="562"/>
      <c r="AQ103" s="562"/>
      <c r="AR103" s="562"/>
      <c r="AS103" s="562"/>
    </row>
    <row r="104" spans="2:45" x14ac:dyDescent="0.2">
      <c r="B104" s="358">
        <v>901.7</v>
      </c>
      <c r="C104" s="14"/>
      <c r="D104" s="14"/>
      <c r="E104" s="14"/>
      <c r="F104" s="14"/>
      <c r="G104" s="14"/>
      <c r="H104" s="441"/>
      <c r="I104" s="121"/>
      <c r="J104" s="3"/>
      <c r="K104" s="3"/>
      <c r="L104" s="851"/>
      <c r="M104" s="863"/>
      <c r="N104" s="3"/>
      <c r="O104" s="795"/>
      <c r="P104" s="562"/>
      <c r="Q104" s="562"/>
      <c r="R104" s="562"/>
      <c r="S104" s="562"/>
      <c r="T104" s="562"/>
      <c r="U104" s="562"/>
      <c r="V104" s="562"/>
      <c r="W104" s="562" t="s">
        <v>3057</v>
      </c>
      <c r="X104" s="562"/>
      <c r="Y104" s="562"/>
      <c r="Z104" s="562"/>
      <c r="AA104" s="562"/>
      <c r="AB104" s="562"/>
      <c r="AC104" s="562"/>
      <c r="AD104" s="562"/>
      <c r="AE104" s="562"/>
      <c r="AF104" s="562"/>
      <c r="AG104" s="562"/>
      <c r="AH104" s="562"/>
      <c r="AI104" s="562"/>
      <c r="AJ104" s="562"/>
      <c r="AK104" s="562"/>
      <c r="AL104" s="562"/>
      <c r="AM104" s="562"/>
      <c r="AN104" s="562"/>
      <c r="AO104" s="562"/>
      <c r="AP104" s="562"/>
      <c r="AQ104" s="562"/>
      <c r="AR104" s="562"/>
      <c r="AS104" s="562"/>
    </row>
    <row r="105" spans="2:45" x14ac:dyDescent="0.2">
      <c r="B105" s="358">
        <v>901.7</v>
      </c>
      <c r="C105" s="14"/>
      <c r="D105" s="14"/>
      <c r="E105" s="14" t="s">
        <v>2181</v>
      </c>
      <c r="F105" s="48"/>
      <c r="G105" s="48"/>
      <c r="H105" s="444"/>
      <c r="I105" s="121"/>
      <c r="J105" s="20" t="s">
        <v>2181</v>
      </c>
      <c r="K105" s="3"/>
      <c r="L105" s="817" t="s">
        <v>3058</v>
      </c>
      <c r="M105" s="616"/>
      <c r="N105" s="3"/>
      <c r="O105" s="609"/>
      <c r="P105" s="64" t="b">
        <v>0</v>
      </c>
      <c r="Q105" s="64" t="b">
        <v>1</v>
      </c>
      <c r="R105" s="562" t="b">
        <v>0</v>
      </c>
      <c r="S105" s="562" t="b">
        <v>1</v>
      </c>
      <c r="T105" s="562" t="b">
        <f>SUM(W105,W116,W117)&gt;1</f>
        <v>0</v>
      </c>
      <c r="U105" s="562"/>
      <c r="V105" s="562"/>
      <c r="W105" s="228"/>
      <c r="X105" s="787"/>
      <c r="Y105" s="562"/>
      <c r="Z105" s="562"/>
      <c r="AA105" s="562"/>
      <c r="AB105" s="562"/>
      <c r="AC105" s="562" t="b">
        <f>OR(AD105:AE105)</f>
        <v>0</v>
      </c>
      <c r="AD105" s="562" t="b">
        <f>T105</f>
        <v>0</v>
      </c>
      <c r="AE105" s="562" t="b">
        <f>AND(R105,OR(W105="Not Met",W105=""))</f>
        <v>0</v>
      </c>
      <c r="AF105" s="562"/>
      <c r="AG105" s="562"/>
      <c r="AH105" s="562"/>
      <c r="AI105" s="562"/>
      <c r="AJ105" s="562"/>
      <c r="AK105" s="562"/>
      <c r="AL105" s="562"/>
      <c r="AM105" s="562"/>
      <c r="AN105" s="562"/>
      <c r="AO105" s="562"/>
      <c r="AP105" s="190" t="str">
        <f>SUBSTITUTE(SUBSTITUTE(SUBSTITUTE("dch"&amp;$B105&amp;$C105&amp;$D105&amp;$E105&amp;$F105,".","_"),"(","_"),")","")</f>
        <v>dch901,7_1</v>
      </c>
      <c r="AQ105" s="190">
        <f>W105</f>
        <v>0</v>
      </c>
      <c r="AR105" s="190" t="str">
        <f>SUBSTITUTE(SUBSTITUTE(SUBSTITUTE("dnt"&amp;$B105&amp;$C105&amp;$D105&amp;$E105&amp;$F105,".","_"),"(","_"),")","")</f>
        <v>dnt901,7_1</v>
      </c>
      <c r="AS105" s="190">
        <f>X105</f>
        <v>0</v>
      </c>
    </row>
    <row r="106" spans="2:45" x14ac:dyDescent="0.2">
      <c r="B106" s="358">
        <v>901.7</v>
      </c>
      <c r="C106" s="14"/>
      <c r="D106" s="14"/>
      <c r="E106" s="14" t="s">
        <v>2181</v>
      </c>
      <c r="F106" s="48"/>
      <c r="G106" s="48"/>
      <c r="H106" s="444"/>
      <c r="I106" s="121"/>
      <c r="J106" s="3"/>
      <c r="K106" s="3"/>
      <c r="L106" s="817"/>
      <c r="M106" s="616"/>
      <c r="N106" s="3"/>
      <c r="O106" s="609"/>
      <c r="P106" s="562"/>
      <c r="Q106" s="562"/>
      <c r="R106" s="562"/>
      <c r="S106" s="562"/>
      <c r="T106" s="562"/>
      <c r="U106" s="562"/>
      <c r="V106" s="562"/>
      <c r="W106" s="562"/>
      <c r="X106" s="787"/>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row>
    <row r="107" spans="2:45" x14ac:dyDescent="0.2">
      <c r="B107" s="358">
        <v>901.7</v>
      </c>
      <c r="C107" s="14"/>
      <c r="D107" s="14"/>
      <c r="E107" s="14" t="s">
        <v>2181</v>
      </c>
      <c r="F107" s="48"/>
      <c r="G107" s="48"/>
      <c r="H107" s="444"/>
      <c r="I107" s="121"/>
      <c r="J107" s="3"/>
      <c r="K107" s="3"/>
      <c r="L107" s="817"/>
      <c r="M107" s="616"/>
      <c r="N107" s="3"/>
      <c r="O107" s="609"/>
      <c r="P107" s="562"/>
      <c r="Q107" s="562"/>
      <c r="R107" s="562"/>
      <c r="S107" s="562"/>
      <c r="T107" s="562"/>
      <c r="U107" s="562"/>
      <c r="V107" s="562"/>
      <c r="W107" s="562"/>
      <c r="X107" s="787"/>
      <c r="Y107" s="562"/>
      <c r="Z107" s="562"/>
      <c r="AA107" s="562"/>
      <c r="AB107" s="562"/>
      <c r="AC107" s="562"/>
      <c r="AD107" s="562"/>
      <c r="AE107" s="562"/>
      <c r="AF107" s="562"/>
      <c r="AG107" s="562"/>
      <c r="AH107" s="562"/>
      <c r="AI107" s="562"/>
      <c r="AJ107" s="562"/>
      <c r="AK107" s="562"/>
      <c r="AL107" s="562"/>
      <c r="AM107" s="562"/>
      <c r="AN107" s="562"/>
      <c r="AO107" s="562"/>
      <c r="AP107" s="562"/>
      <c r="AQ107" s="562"/>
      <c r="AR107" s="562"/>
      <c r="AS107" s="562"/>
    </row>
    <row r="108" spans="2:45" x14ac:dyDescent="0.2">
      <c r="B108" s="358">
        <v>901.7</v>
      </c>
      <c r="C108" s="14"/>
      <c r="D108" s="14"/>
      <c r="E108" s="14" t="s">
        <v>2181</v>
      </c>
      <c r="F108" s="48"/>
      <c r="G108" s="48"/>
      <c r="H108" s="444"/>
      <c r="I108" s="121"/>
      <c r="J108" s="3"/>
      <c r="K108" s="3"/>
      <c r="L108" s="817"/>
      <c r="M108" s="616"/>
      <c r="N108" s="3"/>
      <c r="O108" s="609"/>
      <c r="P108" s="562"/>
      <c r="Q108" s="562"/>
      <c r="R108" s="562"/>
      <c r="S108" s="562"/>
      <c r="T108" s="562"/>
      <c r="U108" s="562"/>
      <c r="V108" s="562"/>
      <c r="W108" s="562"/>
      <c r="X108" s="787"/>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row>
    <row r="109" spans="2:45" x14ac:dyDescent="0.2">
      <c r="B109" s="358">
        <v>901.7</v>
      </c>
      <c r="C109" s="14"/>
      <c r="D109" s="14"/>
      <c r="E109" s="14" t="s">
        <v>2181</v>
      </c>
      <c r="F109" s="48" t="s">
        <v>2196</v>
      </c>
      <c r="G109" s="48"/>
      <c r="H109" s="444"/>
      <c r="I109" s="121"/>
      <c r="J109" s="3"/>
      <c r="K109" s="20" t="s">
        <v>2196</v>
      </c>
      <c r="L109" s="632" t="s">
        <v>3059</v>
      </c>
      <c r="M109" s="616"/>
      <c r="N109" s="3"/>
      <c r="O109" s="609"/>
      <c r="P109" s="562"/>
      <c r="Q109" s="562"/>
      <c r="R109" s="562"/>
      <c r="S109" s="562"/>
      <c r="T109" s="562"/>
      <c r="U109" s="562"/>
      <c r="V109" s="562"/>
      <c r="W109" s="562"/>
      <c r="X109" s="787"/>
      <c r="Y109" s="562"/>
      <c r="Z109" s="562"/>
      <c r="AA109" s="562"/>
      <c r="AB109" s="562"/>
      <c r="AC109" s="562"/>
      <c r="AD109" s="562"/>
      <c r="AE109" s="562"/>
      <c r="AF109" s="562"/>
      <c r="AG109" s="562"/>
      <c r="AH109" s="562"/>
      <c r="AI109" s="562"/>
      <c r="AJ109" s="562"/>
      <c r="AK109" s="562"/>
      <c r="AL109" s="562"/>
      <c r="AM109" s="562"/>
      <c r="AN109" s="562"/>
      <c r="AO109" s="562"/>
      <c r="AP109" s="562"/>
      <c r="AQ109" s="562"/>
      <c r="AR109" s="562"/>
      <c r="AS109" s="562"/>
    </row>
    <row r="110" spans="2:45" x14ac:dyDescent="0.2">
      <c r="B110" s="358">
        <v>901.7</v>
      </c>
      <c r="C110" s="14"/>
      <c r="D110" s="14"/>
      <c r="E110" s="14" t="s">
        <v>2181</v>
      </c>
      <c r="F110" s="48" t="s">
        <v>2198</v>
      </c>
      <c r="G110" s="48"/>
      <c r="H110" s="444"/>
      <c r="I110" s="121"/>
      <c r="J110" s="3"/>
      <c r="K110" s="20" t="s">
        <v>2198</v>
      </c>
      <c r="L110" s="632" t="s">
        <v>3060</v>
      </c>
      <c r="M110" s="616"/>
      <c r="N110" s="3"/>
      <c r="O110" s="609"/>
      <c r="P110" s="562"/>
      <c r="Q110" s="562"/>
      <c r="R110" s="562"/>
      <c r="S110" s="562"/>
      <c r="T110" s="562"/>
      <c r="U110" s="562"/>
      <c r="V110" s="562"/>
      <c r="W110" s="562"/>
      <c r="X110" s="787"/>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row>
    <row r="111" spans="2:45" x14ac:dyDescent="0.2">
      <c r="B111" s="358">
        <v>901.7</v>
      </c>
      <c r="C111" s="14"/>
      <c r="D111" s="14"/>
      <c r="E111" s="14" t="s">
        <v>2181</v>
      </c>
      <c r="F111" s="48" t="s">
        <v>2200</v>
      </c>
      <c r="G111" s="48"/>
      <c r="H111" s="444"/>
      <c r="I111" s="121"/>
      <c r="J111" s="3"/>
      <c r="K111" s="20" t="s">
        <v>2200</v>
      </c>
      <c r="L111" s="632" t="s">
        <v>3061</v>
      </c>
      <c r="M111" s="616"/>
      <c r="N111" s="3"/>
      <c r="O111" s="609"/>
      <c r="P111" s="562"/>
      <c r="Q111" s="562"/>
      <c r="R111" s="562"/>
      <c r="S111" s="562"/>
      <c r="T111" s="562"/>
      <c r="U111" s="562"/>
      <c r="V111" s="562"/>
      <c r="W111" s="562"/>
      <c r="X111" s="787"/>
      <c r="Y111" s="562"/>
      <c r="Z111" s="562"/>
      <c r="AA111" s="562"/>
      <c r="AB111" s="562"/>
      <c r="AC111" s="562"/>
      <c r="AD111" s="562"/>
      <c r="AE111" s="562"/>
      <c r="AF111" s="562"/>
      <c r="AG111" s="562"/>
      <c r="AH111" s="562"/>
      <c r="AI111" s="562"/>
      <c r="AJ111" s="562"/>
      <c r="AK111" s="562"/>
      <c r="AL111" s="562"/>
      <c r="AM111" s="562"/>
      <c r="AN111" s="562"/>
      <c r="AO111" s="562"/>
      <c r="AP111" s="562"/>
      <c r="AQ111" s="562"/>
      <c r="AR111" s="562"/>
      <c r="AS111" s="562"/>
    </row>
    <row r="112" spans="2:45" x14ac:dyDescent="0.2">
      <c r="B112" s="358">
        <v>901.7</v>
      </c>
      <c r="C112" s="14"/>
      <c r="D112" s="14"/>
      <c r="E112" s="14" t="s">
        <v>2181</v>
      </c>
      <c r="F112" s="48" t="s">
        <v>2247</v>
      </c>
      <c r="G112" s="48"/>
      <c r="H112" s="444"/>
      <c r="I112" s="121"/>
      <c r="J112" s="3"/>
      <c r="K112" s="20" t="s">
        <v>2247</v>
      </c>
      <c r="L112" s="632" t="s">
        <v>3062</v>
      </c>
      <c r="M112" s="616"/>
      <c r="N112" s="3"/>
      <c r="O112" s="609"/>
      <c r="P112" s="562"/>
      <c r="Q112" s="562"/>
      <c r="R112" s="562"/>
      <c r="S112" s="562"/>
      <c r="T112" s="562"/>
      <c r="U112" s="562"/>
      <c r="V112" s="562"/>
      <c r="W112" s="562"/>
      <c r="X112" s="787"/>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row>
    <row r="113" spans="1:45" x14ac:dyDescent="0.2">
      <c r="B113" s="358">
        <v>901.7</v>
      </c>
      <c r="C113" s="14"/>
      <c r="D113" s="14"/>
      <c r="E113" s="14" t="s">
        <v>2181</v>
      </c>
      <c r="F113" s="48" t="s">
        <v>2444</v>
      </c>
      <c r="G113" s="48"/>
      <c r="H113" s="444"/>
      <c r="I113" s="121"/>
      <c r="J113" s="3"/>
      <c r="K113" s="20" t="s">
        <v>2444</v>
      </c>
      <c r="L113" s="632" t="s">
        <v>3063</v>
      </c>
      <c r="M113" s="616"/>
      <c r="N113" s="3"/>
      <c r="O113" s="609"/>
      <c r="P113" s="562"/>
      <c r="Q113" s="562"/>
      <c r="R113" s="562"/>
      <c r="S113" s="562"/>
      <c r="T113" s="562"/>
      <c r="U113" s="562"/>
      <c r="V113" s="562"/>
      <c r="W113" s="562"/>
      <c r="X113" s="787"/>
      <c r="Y113" s="562"/>
      <c r="Z113" s="562"/>
      <c r="AA113" s="562"/>
      <c r="AB113" s="562"/>
      <c r="AC113" s="562"/>
      <c r="AD113" s="562"/>
      <c r="AE113" s="562"/>
      <c r="AF113" s="562"/>
      <c r="AG113" s="562"/>
      <c r="AH113" s="562"/>
      <c r="AI113" s="562"/>
      <c r="AJ113" s="562"/>
      <c r="AK113" s="562"/>
      <c r="AL113" s="562"/>
      <c r="AM113" s="562"/>
      <c r="AN113" s="562"/>
      <c r="AO113" s="562"/>
      <c r="AP113" s="562"/>
      <c r="AQ113" s="562"/>
      <c r="AR113" s="562"/>
      <c r="AS113" s="562"/>
    </row>
    <row r="114" spans="1:45" s="496" customFormat="1" x14ac:dyDescent="0.2">
      <c r="A114" s="13"/>
      <c r="B114" s="358">
        <v>901.7</v>
      </c>
      <c r="C114" s="14"/>
      <c r="D114" s="14"/>
      <c r="E114" s="14" t="s">
        <v>2181</v>
      </c>
      <c r="F114" s="48" t="s">
        <v>2540</v>
      </c>
      <c r="G114" s="48"/>
      <c r="H114" s="444"/>
      <c r="I114" s="121"/>
      <c r="J114" s="98"/>
      <c r="K114" s="134" t="s">
        <v>2540</v>
      </c>
      <c r="L114" s="598" t="s">
        <v>3064</v>
      </c>
      <c r="M114" s="616"/>
      <c r="N114" s="3"/>
      <c r="O114" s="609"/>
      <c r="P114" s="562"/>
      <c r="Q114" s="562"/>
      <c r="R114" s="562"/>
      <c r="S114" s="562"/>
      <c r="T114" s="562"/>
      <c r="U114" s="562"/>
      <c r="V114" s="562"/>
      <c r="W114" s="562"/>
      <c r="X114" s="787"/>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row>
    <row r="115" spans="1:45" x14ac:dyDescent="0.2">
      <c r="B115" s="358">
        <v>901.7</v>
      </c>
      <c r="C115" s="14"/>
      <c r="D115" s="14"/>
      <c r="E115" s="14" t="s">
        <v>2181</v>
      </c>
      <c r="F115" s="48" t="s">
        <v>2540</v>
      </c>
      <c r="G115" s="48"/>
      <c r="H115" s="444"/>
      <c r="I115" s="121"/>
      <c r="J115" s="165"/>
      <c r="K115" s="159" t="s">
        <v>2542</v>
      </c>
      <c r="L115" s="599" t="s">
        <v>3065</v>
      </c>
      <c r="M115" s="616"/>
      <c r="N115" s="3"/>
      <c r="O115" s="609"/>
      <c r="P115" s="562"/>
      <c r="Q115" s="562"/>
      <c r="R115" s="562"/>
      <c r="S115" s="562"/>
      <c r="T115" s="562"/>
      <c r="U115" s="562"/>
      <c r="V115" s="562"/>
      <c r="W115" s="562" t="s">
        <v>3066</v>
      </c>
      <c r="X115" s="787"/>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row>
    <row r="116" spans="1:45" s="223" customFormat="1" x14ac:dyDescent="0.2">
      <c r="A116" s="13"/>
      <c r="B116" s="358">
        <v>901.7</v>
      </c>
      <c r="C116" s="14"/>
      <c r="D116" s="14"/>
      <c r="E116" s="14" t="s">
        <v>2183</v>
      </c>
      <c r="F116" s="48"/>
      <c r="G116" s="48"/>
      <c r="H116" s="444"/>
      <c r="I116" s="253"/>
      <c r="J116" s="159" t="s">
        <v>2183</v>
      </c>
      <c r="K116" s="165"/>
      <c r="L116" s="599" t="s">
        <v>3067</v>
      </c>
      <c r="M116" s="610"/>
      <c r="N116" s="98"/>
      <c r="O116" s="607"/>
      <c r="P116" s="64" t="b">
        <v>0</v>
      </c>
      <c r="Q116" s="64" t="b">
        <v>1</v>
      </c>
      <c r="R116" s="64" t="b">
        <v>0</v>
      </c>
      <c r="S116" s="64" t="b">
        <v>1</v>
      </c>
      <c r="T116" s="64" t="b">
        <f>SUM(W105,W116,W117)&gt;1</f>
        <v>0</v>
      </c>
      <c r="U116" s="64"/>
      <c r="V116" s="64"/>
      <c r="W116" s="228"/>
      <c r="X116" s="798"/>
      <c r="Y116" s="562"/>
      <c r="Z116" s="562"/>
      <c r="AA116" s="562"/>
      <c r="AB116" s="562"/>
      <c r="AC116" s="562" t="b">
        <f>OR(AD116:AE116)</f>
        <v>0</v>
      </c>
      <c r="AD116" s="562" t="b">
        <f>T116</f>
        <v>0</v>
      </c>
      <c r="AE116" s="562" t="b">
        <f>AND(R116,OR(W116="Not Met",W116=""))</f>
        <v>0</v>
      </c>
      <c r="AF116" s="562"/>
      <c r="AG116" s="562"/>
      <c r="AH116" s="562"/>
      <c r="AI116" s="562"/>
      <c r="AJ116" s="562"/>
      <c r="AK116" s="562"/>
      <c r="AL116" s="562"/>
      <c r="AM116" s="562"/>
      <c r="AN116" s="562"/>
      <c r="AO116" s="562"/>
      <c r="AP116" s="190" t="str">
        <f t="shared" ref="AP116:AP117" si="1">SUBSTITUTE(SUBSTITUTE(SUBSTITUTE("dch"&amp;$B116&amp;$C116&amp;$D116&amp;$E116&amp;$F116,".","_"),"(","_"),")","")</f>
        <v>dch901,7_2</v>
      </c>
      <c r="AQ116" s="190">
        <f>W116</f>
        <v>0</v>
      </c>
      <c r="AR116" s="190" t="str">
        <f>SUBSTITUTE(SUBSTITUTE(SUBSTITUTE("dnt"&amp;$B116&amp;$C116&amp;$D116&amp;$E116&amp;$F116,".","_"),"(","_"),")","")</f>
        <v>dnt901,7_2</v>
      </c>
      <c r="AS116" s="190">
        <f>X116</f>
        <v>0</v>
      </c>
    </row>
    <row r="117" spans="1:45" x14ac:dyDescent="0.2">
      <c r="B117" s="358">
        <v>901.7</v>
      </c>
      <c r="C117" s="14"/>
      <c r="D117" s="14"/>
      <c r="E117" s="14" t="s">
        <v>2185</v>
      </c>
      <c r="F117" s="48"/>
      <c r="G117" s="48"/>
      <c r="H117" s="444"/>
      <c r="I117" s="253"/>
      <c r="J117" s="134" t="s">
        <v>2185</v>
      </c>
      <c r="K117" s="98"/>
      <c r="L117" s="598" t="s">
        <v>3068</v>
      </c>
      <c r="M117" s="610"/>
      <c r="N117" s="98"/>
      <c r="O117" s="607"/>
      <c r="P117" s="64" t="b">
        <v>0</v>
      </c>
      <c r="Q117" s="64" t="b">
        <v>1</v>
      </c>
      <c r="R117" s="64" t="b">
        <v>0</v>
      </c>
      <c r="S117" s="64" t="b">
        <v>1</v>
      </c>
      <c r="T117" s="64" t="b">
        <f>SUM(W105,W116,W117)&gt;1</f>
        <v>0</v>
      </c>
      <c r="U117" s="64"/>
      <c r="V117" s="64"/>
      <c r="W117" s="228"/>
      <c r="X117" s="798"/>
      <c r="Y117" s="562"/>
      <c r="Z117" s="562"/>
      <c r="AA117" s="562"/>
      <c r="AB117" s="562"/>
      <c r="AC117" s="562" t="b">
        <f>OR(AD117:AE117)</f>
        <v>0</v>
      </c>
      <c r="AD117" s="562" t="b">
        <f>T117</f>
        <v>0</v>
      </c>
      <c r="AE117" s="562" t="b">
        <f>AND(R117,OR(W117="Not Met",W117=""))</f>
        <v>0</v>
      </c>
      <c r="AF117" s="562"/>
      <c r="AG117" s="562"/>
      <c r="AH117" s="562"/>
      <c r="AI117" s="562"/>
      <c r="AJ117" s="562"/>
      <c r="AK117" s="562"/>
      <c r="AL117" s="562"/>
      <c r="AM117" s="562"/>
      <c r="AN117" s="562"/>
      <c r="AO117" s="562"/>
      <c r="AP117" s="190" t="str">
        <f t="shared" si="1"/>
        <v>dch901,7_3</v>
      </c>
      <c r="AQ117" s="190">
        <f>W117</f>
        <v>0</v>
      </c>
      <c r="AR117" s="562"/>
      <c r="AS117" s="562"/>
    </row>
    <row r="118" spans="1:45" x14ac:dyDescent="0.2">
      <c r="B118" s="358">
        <v>901.7</v>
      </c>
      <c r="C118" s="14"/>
      <c r="D118" s="14"/>
      <c r="E118" s="14" t="s">
        <v>2183</v>
      </c>
      <c r="F118" s="14"/>
      <c r="G118" s="14"/>
      <c r="H118" s="441"/>
      <c r="I118" s="253"/>
      <c r="J118" s="98"/>
      <c r="K118" s="98"/>
      <c r="L118" s="846" t="s">
        <v>3069</v>
      </c>
      <c r="M118" s="610"/>
      <c r="N118" s="98"/>
      <c r="O118" s="607"/>
      <c r="P118" s="64"/>
      <c r="Q118" s="64"/>
      <c r="R118" s="64"/>
      <c r="S118" s="64"/>
      <c r="T118" s="64"/>
      <c r="U118" s="64"/>
      <c r="V118" s="64"/>
      <c r="W118" s="64"/>
      <c r="X118" s="798"/>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row>
    <row r="119" spans="1:45" ht="16" thickBot="1" x14ac:dyDescent="0.25">
      <c r="B119" s="358">
        <v>901.7</v>
      </c>
      <c r="C119" s="14"/>
      <c r="D119" s="14"/>
      <c r="E119" s="14" t="s">
        <v>2183</v>
      </c>
      <c r="F119" s="14"/>
      <c r="G119" s="14"/>
      <c r="H119" s="441"/>
      <c r="I119" s="254"/>
      <c r="J119" s="185"/>
      <c r="K119" s="185"/>
      <c r="L119" s="860"/>
      <c r="M119" s="615"/>
      <c r="N119" s="185"/>
      <c r="O119" s="622"/>
      <c r="P119" s="68"/>
      <c r="Q119" s="68"/>
      <c r="R119" s="68"/>
      <c r="S119" s="68"/>
      <c r="T119" s="68"/>
      <c r="U119" s="68"/>
      <c r="V119" s="68"/>
      <c r="W119" s="68"/>
      <c r="X119" s="799"/>
      <c r="Y119" s="562"/>
      <c r="Z119" s="562"/>
      <c r="AA119" s="562"/>
      <c r="AB119" s="562"/>
      <c r="AC119" s="562"/>
      <c r="AD119" s="562"/>
      <c r="AE119" s="562"/>
      <c r="AF119" s="562"/>
      <c r="AG119" s="562"/>
      <c r="AH119" s="562"/>
      <c r="AI119" s="562"/>
      <c r="AJ119" s="562"/>
      <c r="AK119" s="562"/>
      <c r="AL119" s="562"/>
      <c r="AM119" s="562"/>
      <c r="AN119" s="562"/>
      <c r="AO119" s="562"/>
      <c r="AP119" s="562"/>
      <c r="AQ119" s="562"/>
      <c r="AR119" s="562"/>
      <c r="AS119" s="562"/>
    </row>
    <row r="120" spans="1:45" ht="16" thickTop="1" x14ac:dyDescent="0.2">
      <c r="B120" s="358">
        <v>901.8</v>
      </c>
      <c r="C120" s="14"/>
      <c r="D120" s="14"/>
      <c r="E120" s="14"/>
      <c r="F120" s="14"/>
      <c r="G120" s="14"/>
      <c r="H120" s="441"/>
      <c r="I120" s="131" t="s">
        <v>3070</v>
      </c>
      <c r="J120" s="132"/>
      <c r="K120" s="132"/>
      <c r="L120" s="819" t="s">
        <v>3071</v>
      </c>
      <c r="M120" s="827">
        <v>4</v>
      </c>
      <c r="N120" s="132"/>
      <c r="O120" s="823">
        <f>M120*S120*W120</f>
        <v>0</v>
      </c>
      <c r="P120" s="64" t="b">
        <v>0</v>
      </c>
      <c r="Q120" s="64" t="b">
        <v>1</v>
      </c>
      <c r="R120" s="74" t="b">
        <v>0</v>
      </c>
      <c r="S120" s="74" t="b">
        <v>1</v>
      </c>
      <c r="T120" s="74" t="b">
        <v>0</v>
      </c>
      <c r="U120" s="74"/>
      <c r="V120" s="74"/>
      <c r="W120" s="221"/>
      <c r="X120" s="802"/>
      <c r="Y120" s="562"/>
      <c r="Z120" s="562"/>
      <c r="AA120" s="562"/>
      <c r="AB120" s="562"/>
      <c r="AC120" s="562" t="b">
        <f>OR(AD120:AE120)</f>
        <v>0</v>
      </c>
      <c r="AD120" s="562" t="b">
        <f>T120</f>
        <v>0</v>
      </c>
      <c r="AE120" s="562" t="b">
        <f>AND(R120,NOT(W120))</f>
        <v>0</v>
      </c>
      <c r="AF120" s="562"/>
      <c r="AG120" s="562"/>
      <c r="AH120" s="562"/>
      <c r="AI120" s="562"/>
      <c r="AJ120" s="562"/>
      <c r="AK120" s="562"/>
      <c r="AL120" s="190" t="str">
        <f>SUBSTITUTE(SUBSTITUTE(SUBSTITUTE("dpa"&amp;$B120&amp;$C120&amp;$D120&amp;$E120&amp;$F120,".","_"),"(","_"),")","")</f>
        <v>dpa901,8</v>
      </c>
      <c r="AM120" s="190">
        <f>M120</f>
        <v>4</v>
      </c>
      <c r="AN120" s="190" t="str">
        <f>SUBSTITUTE(SUBSTITUTE(SUBSTITUTE("dpc"&amp;$B120&amp;$C120&amp;$D120&amp;$E120&amp;$F120,".","_"),"(","_"),")","")</f>
        <v>dpc901,8</v>
      </c>
      <c r="AO120" s="190">
        <f>O120</f>
        <v>0</v>
      </c>
      <c r="AP120" s="190" t="str">
        <f>SUBSTITUTE(SUBSTITUTE(SUBSTITUTE("dch"&amp;$B120&amp;$C120&amp;$D120&amp;$E120&amp;$F120,".","_"),"(","_"),")","")</f>
        <v>dch901,8</v>
      </c>
      <c r="AQ120" s="190">
        <f>W120</f>
        <v>0</v>
      </c>
      <c r="AR120" s="190" t="str">
        <f>SUBSTITUTE(SUBSTITUTE(SUBSTITUTE("dnt"&amp;$B120&amp;$C120&amp;$D120&amp;$E120&amp;$F120,".","_"),"(","_"),")","")</f>
        <v>dnt901,8</v>
      </c>
      <c r="AS120" s="190">
        <f>X120</f>
        <v>0</v>
      </c>
    </row>
    <row r="121" spans="1:45" x14ac:dyDescent="0.2">
      <c r="B121" s="358">
        <v>901.8</v>
      </c>
      <c r="C121" s="14"/>
      <c r="D121" s="14"/>
      <c r="E121" s="14"/>
      <c r="F121" s="14"/>
      <c r="G121" s="14"/>
      <c r="H121" s="441"/>
      <c r="I121" s="253"/>
      <c r="J121" s="98"/>
      <c r="K121" s="98"/>
      <c r="L121" s="820"/>
      <c r="M121" s="800"/>
      <c r="N121" s="98"/>
      <c r="O121" s="793"/>
      <c r="P121" s="64"/>
      <c r="Q121" s="64"/>
      <c r="R121" s="64"/>
      <c r="S121" s="64"/>
      <c r="T121" s="64"/>
      <c r="U121" s="64"/>
      <c r="V121" s="64"/>
      <c r="W121" s="64"/>
      <c r="X121" s="798"/>
      <c r="Y121" s="562"/>
      <c r="Z121" s="562"/>
      <c r="AA121" s="562"/>
      <c r="AB121" s="562"/>
      <c r="AC121" s="562"/>
      <c r="AD121" s="562"/>
      <c r="AE121" s="562"/>
      <c r="AF121" s="562"/>
      <c r="AG121" s="562"/>
      <c r="AH121" s="562"/>
      <c r="AI121" s="562"/>
      <c r="AJ121" s="562"/>
      <c r="AK121" s="562"/>
      <c r="AL121" s="562"/>
      <c r="AM121" s="562"/>
      <c r="AN121" s="562"/>
      <c r="AO121" s="562"/>
      <c r="AP121" s="562"/>
      <c r="AQ121" s="562"/>
      <c r="AR121" s="562"/>
      <c r="AS121" s="562"/>
    </row>
    <row r="122" spans="1:45" x14ac:dyDescent="0.2">
      <c r="B122" s="358">
        <v>901.8</v>
      </c>
      <c r="C122" s="14"/>
      <c r="D122" s="14"/>
      <c r="E122" s="14"/>
      <c r="F122" s="14"/>
      <c r="G122" s="14"/>
      <c r="H122" s="441"/>
      <c r="I122" s="253"/>
      <c r="J122" s="98"/>
      <c r="K122" s="98"/>
      <c r="L122" s="820"/>
      <c r="M122" s="800"/>
      <c r="N122" s="98"/>
      <c r="O122" s="793"/>
      <c r="P122" s="64"/>
      <c r="Q122" s="64"/>
      <c r="R122" s="64"/>
      <c r="S122" s="64"/>
      <c r="T122" s="64"/>
      <c r="U122" s="64"/>
      <c r="V122" s="64"/>
      <c r="W122" s="64"/>
      <c r="X122" s="798"/>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row>
    <row r="123" spans="1:45" x14ac:dyDescent="0.2">
      <c r="B123" s="358">
        <v>901.8</v>
      </c>
      <c r="C123" s="14"/>
      <c r="D123" s="14"/>
      <c r="E123" s="14"/>
      <c r="F123" s="14"/>
      <c r="G123" s="14"/>
      <c r="H123" s="441"/>
      <c r="I123" s="253"/>
      <c r="J123" s="98"/>
      <c r="K123" s="98"/>
      <c r="L123" s="820"/>
      <c r="M123" s="800"/>
      <c r="N123" s="98"/>
      <c r="O123" s="793"/>
      <c r="P123" s="64"/>
      <c r="Q123" s="64"/>
      <c r="R123" s="64"/>
      <c r="S123" s="64"/>
      <c r="T123" s="64"/>
      <c r="U123" s="64"/>
      <c r="V123" s="64"/>
      <c r="W123" s="64"/>
      <c r="X123" s="798"/>
      <c r="Y123" s="562"/>
      <c r="Z123" s="562"/>
      <c r="AA123" s="562"/>
      <c r="AB123" s="562"/>
      <c r="AC123" s="562"/>
      <c r="AD123" s="562"/>
      <c r="AE123" s="562"/>
      <c r="AF123" s="562"/>
      <c r="AG123" s="562"/>
      <c r="AH123" s="562"/>
      <c r="AI123" s="562"/>
      <c r="AJ123" s="562"/>
      <c r="AK123" s="562"/>
      <c r="AL123" s="562"/>
      <c r="AM123" s="562"/>
      <c r="AN123" s="562"/>
      <c r="AO123" s="562"/>
      <c r="AP123" s="562"/>
      <c r="AQ123" s="562"/>
      <c r="AR123" s="562"/>
      <c r="AS123" s="562"/>
    </row>
    <row r="124" spans="1:45" x14ac:dyDescent="0.2">
      <c r="B124" s="358">
        <v>901.8</v>
      </c>
      <c r="C124" s="14"/>
      <c r="D124" s="14"/>
      <c r="E124" s="14"/>
      <c r="F124" s="14"/>
      <c r="G124" s="14"/>
      <c r="H124" s="441"/>
      <c r="I124" s="253"/>
      <c r="J124" s="98"/>
      <c r="K124" s="98"/>
      <c r="L124" s="820"/>
      <c r="M124" s="800"/>
      <c r="N124" s="98"/>
      <c r="O124" s="793"/>
      <c r="P124" s="64"/>
      <c r="Q124" s="64"/>
      <c r="R124" s="64"/>
      <c r="S124" s="64"/>
      <c r="T124" s="64"/>
      <c r="U124" s="64"/>
      <c r="V124" s="64"/>
      <c r="W124" s="64"/>
      <c r="X124" s="798"/>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row>
    <row r="125" spans="1:45" ht="16" thickBot="1" x14ac:dyDescent="0.25">
      <c r="B125" s="358">
        <v>901.8</v>
      </c>
      <c r="C125" s="14"/>
      <c r="D125" s="14"/>
      <c r="E125" s="14"/>
      <c r="F125" s="14"/>
      <c r="G125" s="14"/>
      <c r="H125" s="441"/>
      <c r="I125" s="254"/>
      <c r="J125" s="185"/>
      <c r="K125" s="185"/>
      <c r="L125" s="822"/>
      <c r="M125" s="813"/>
      <c r="N125" s="185"/>
      <c r="O125" s="821"/>
      <c r="P125" s="68"/>
      <c r="Q125" s="68"/>
      <c r="R125" s="68"/>
      <c r="S125" s="68"/>
      <c r="T125" s="68"/>
      <c r="U125" s="68"/>
      <c r="V125" s="68"/>
      <c r="W125" s="68"/>
      <c r="X125" s="799"/>
      <c r="Y125" s="562"/>
      <c r="Z125" s="562"/>
      <c r="AA125" s="562"/>
      <c r="AB125" s="562"/>
      <c r="AC125" s="562"/>
      <c r="AD125" s="562"/>
      <c r="AE125" s="562"/>
      <c r="AF125" s="562"/>
      <c r="AG125" s="562"/>
      <c r="AH125" s="562"/>
      <c r="AI125" s="562"/>
      <c r="AJ125" s="562"/>
      <c r="AK125" s="562"/>
      <c r="AL125" s="562"/>
      <c r="AM125" s="562"/>
      <c r="AN125" s="562"/>
      <c r="AO125" s="562"/>
      <c r="AP125" s="562"/>
      <c r="AQ125" s="562"/>
      <c r="AR125" s="562"/>
      <c r="AS125" s="562"/>
    </row>
    <row r="126" spans="1:45" ht="16" thickTop="1" x14ac:dyDescent="0.2">
      <c r="B126" s="358">
        <v>901.9</v>
      </c>
      <c r="C126" s="14"/>
      <c r="D126" s="14"/>
      <c r="E126" s="14"/>
      <c r="F126" s="14"/>
      <c r="G126" s="14"/>
      <c r="H126" s="441"/>
      <c r="I126" s="131" t="s">
        <v>3072</v>
      </c>
      <c r="J126" s="132"/>
      <c r="K126" s="132"/>
      <c r="L126" s="819" t="s">
        <v>3073</v>
      </c>
      <c r="M126" s="625"/>
      <c r="N126" s="132"/>
      <c r="O126" s="623"/>
      <c r="P126" s="74"/>
      <c r="Q126" s="74"/>
      <c r="R126" s="74"/>
      <c r="S126" s="74"/>
      <c r="T126" s="74"/>
      <c r="U126" s="74"/>
      <c r="V126" s="74"/>
      <c r="W126" s="74"/>
      <c r="X126" s="787"/>
      <c r="Y126" s="562"/>
      <c r="Z126" s="562"/>
      <c r="AA126" s="562"/>
      <c r="AB126" s="562"/>
      <c r="AC126" s="562"/>
      <c r="AD126" s="562"/>
      <c r="AE126" s="562"/>
      <c r="AF126" s="562"/>
      <c r="AG126" s="562"/>
      <c r="AH126" s="562"/>
      <c r="AI126" s="562"/>
      <c r="AJ126" s="562"/>
      <c r="AK126" s="562"/>
      <c r="AL126" s="562"/>
      <c r="AM126" s="562"/>
      <c r="AN126" s="562"/>
      <c r="AO126" s="562"/>
      <c r="AP126" s="562"/>
      <c r="AQ126" s="562"/>
      <c r="AR126" s="190" t="str">
        <f>SUBSTITUTE(SUBSTITUTE(SUBSTITUTE("dnt"&amp;$B126&amp;$C126&amp;$D126&amp;$E126&amp;$F126,".","_"),"(","_"),")","")</f>
        <v>dnt901,9</v>
      </c>
      <c r="AS126" s="190">
        <f>X126</f>
        <v>0</v>
      </c>
    </row>
    <row r="127" spans="1:45" x14ac:dyDescent="0.2">
      <c r="B127" s="358">
        <v>901.9</v>
      </c>
      <c r="C127" s="14"/>
      <c r="D127" s="14"/>
      <c r="E127" s="14"/>
      <c r="F127" s="14"/>
      <c r="G127" s="14"/>
      <c r="H127" s="441"/>
      <c r="I127" s="253"/>
      <c r="J127" s="98"/>
      <c r="K127" s="98"/>
      <c r="L127" s="820"/>
      <c r="M127" s="610"/>
      <c r="N127" s="98"/>
      <c r="O127" s="607"/>
      <c r="P127" s="64"/>
      <c r="Q127" s="64"/>
      <c r="R127" s="64"/>
      <c r="S127" s="64"/>
      <c r="T127" s="64"/>
      <c r="U127" s="64"/>
      <c r="V127" s="64"/>
      <c r="W127" s="64"/>
      <c r="X127" s="787"/>
      <c r="Y127" s="562"/>
      <c r="Z127" s="562"/>
      <c r="AA127" s="562"/>
      <c r="AB127" s="562"/>
      <c r="AC127" s="562"/>
      <c r="AD127" s="562"/>
      <c r="AE127" s="562"/>
      <c r="AF127" s="562"/>
      <c r="AG127" s="562"/>
      <c r="AH127" s="562"/>
      <c r="AI127" s="562"/>
      <c r="AJ127" s="562"/>
      <c r="AK127" s="562"/>
      <c r="AL127" s="562"/>
      <c r="AM127" s="562"/>
      <c r="AN127" s="562"/>
      <c r="AO127" s="562"/>
      <c r="AP127" s="562"/>
      <c r="AQ127" s="562"/>
      <c r="AR127" s="562"/>
      <c r="AS127" s="562"/>
    </row>
    <row r="128" spans="1:45" s="496" customFormat="1" x14ac:dyDescent="0.2">
      <c r="A128" s="13"/>
      <c r="B128" s="358">
        <v>901.9</v>
      </c>
      <c r="C128" s="14"/>
      <c r="D128" s="14"/>
      <c r="E128" s="14"/>
      <c r="F128" s="14"/>
      <c r="G128" s="14"/>
      <c r="H128" s="441"/>
      <c r="I128" s="253"/>
      <c r="J128" s="98"/>
      <c r="K128" s="98"/>
      <c r="L128" s="820"/>
      <c r="M128" s="610"/>
      <c r="N128" s="98"/>
      <c r="O128" s="607"/>
      <c r="P128" s="64"/>
      <c r="Q128" s="64"/>
      <c r="R128" s="64"/>
      <c r="S128" s="64"/>
      <c r="T128" s="64"/>
      <c r="U128" s="64"/>
      <c r="V128" s="64"/>
      <c r="W128" s="64"/>
      <c r="X128" s="787"/>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row>
    <row r="129" spans="1:45" x14ac:dyDescent="0.2">
      <c r="B129" s="358">
        <v>901.9</v>
      </c>
      <c r="C129" s="14"/>
      <c r="D129" s="14"/>
      <c r="E129" s="14"/>
      <c r="F129" s="14"/>
      <c r="G129" s="14"/>
      <c r="H129" s="441"/>
      <c r="I129" s="253"/>
      <c r="J129" s="98"/>
      <c r="K129" s="98"/>
      <c r="L129" s="820"/>
      <c r="M129" s="610"/>
      <c r="N129" s="98"/>
      <c r="O129" s="607"/>
      <c r="P129" s="64"/>
      <c r="Q129" s="64"/>
      <c r="R129" s="64"/>
      <c r="S129" s="64"/>
      <c r="T129" s="64"/>
      <c r="U129" s="64"/>
      <c r="V129" s="64"/>
      <c r="W129" s="64"/>
      <c r="X129" s="787"/>
      <c r="Y129" s="562"/>
      <c r="Z129" s="562"/>
      <c r="AA129" s="562"/>
      <c r="AB129" s="562"/>
      <c r="AC129" s="562"/>
      <c r="AD129" s="562"/>
      <c r="AE129" s="562"/>
      <c r="AF129" s="562"/>
      <c r="AG129" s="562"/>
      <c r="AH129" s="562"/>
      <c r="AI129" s="562"/>
      <c r="AJ129" s="562"/>
      <c r="AK129" s="562"/>
      <c r="AL129" s="562"/>
      <c r="AM129" s="562"/>
      <c r="AN129" s="562"/>
      <c r="AO129" s="562"/>
      <c r="AP129" s="562"/>
      <c r="AQ129" s="562"/>
      <c r="AR129" s="562"/>
      <c r="AS129" s="562"/>
    </row>
    <row r="130" spans="1:45" x14ac:dyDescent="0.2">
      <c r="B130" s="358" t="s">
        <v>3074</v>
      </c>
      <c r="C130" s="14"/>
      <c r="D130" s="14"/>
      <c r="E130" s="14"/>
      <c r="F130" s="14"/>
      <c r="G130" s="14"/>
      <c r="H130" s="441"/>
      <c r="I130" s="40" t="s">
        <v>3075</v>
      </c>
      <c r="J130" s="3"/>
      <c r="K130" s="3"/>
      <c r="L130" s="775" t="s">
        <v>3076</v>
      </c>
      <c r="M130" s="814">
        <v>5</v>
      </c>
      <c r="N130" s="3"/>
      <c r="O130" s="795">
        <f>M130*S132*IFERROR(OR(W132,W134,W135),0)</f>
        <v>0</v>
      </c>
      <c r="P130" s="562"/>
      <c r="Q130" s="562"/>
      <c r="R130" s="562"/>
      <c r="S130" s="562"/>
      <c r="T130" s="562"/>
      <c r="U130" s="562"/>
      <c r="V130" s="562"/>
      <c r="W130" s="562"/>
      <c r="X130" s="562"/>
      <c r="Y130" s="562"/>
      <c r="Z130" s="562"/>
      <c r="AA130" s="562"/>
      <c r="AB130" s="562"/>
      <c r="AC130" s="562"/>
      <c r="AD130" s="562"/>
      <c r="AE130" s="562"/>
      <c r="AF130" s="562"/>
      <c r="AG130" s="562"/>
      <c r="AH130" s="562"/>
      <c r="AI130" s="562"/>
      <c r="AJ130" s="562"/>
      <c r="AK130" s="562"/>
      <c r="AL130" s="190" t="str">
        <f>SUBSTITUTE(SUBSTITUTE(SUBSTITUTE("dpa"&amp;$B130&amp;$C130&amp;$D130&amp;$E130&amp;$F130,".","_"),"(","_"),")","")</f>
        <v>dpa901_9_1</v>
      </c>
      <c r="AM130" s="190">
        <f>M130</f>
        <v>5</v>
      </c>
      <c r="AN130" s="190" t="str">
        <f>SUBSTITUTE(SUBSTITUTE(SUBSTITUTE("dpc"&amp;$B130&amp;$C130&amp;$D130&amp;$E130&amp;$F130,".","_"),"(","_"),")","")</f>
        <v>dpc901_9_1</v>
      </c>
      <c r="AO130" s="190">
        <f>O130</f>
        <v>0</v>
      </c>
      <c r="AP130" s="562"/>
      <c r="AQ130" s="562"/>
      <c r="AR130" s="562"/>
      <c r="AS130" s="562"/>
    </row>
    <row r="131" spans="1:45" x14ac:dyDescent="0.2">
      <c r="B131" s="358" t="s">
        <v>3074</v>
      </c>
      <c r="C131" s="14"/>
      <c r="D131" s="14"/>
      <c r="E131" s="14"/>
      <c r="F131" s="14"/>
      <c r="G131" s="14"/>
      <c r="H131" s="441"/>
      <c r="I131" s="121"/>
      <c r="J131" s="3"/>
      <c r="K131" s="3"/>
      <c r="L131" s="775"/>
      <c r="M131" s="814"/>
      <c r="N131" s="3"/>
      <c r="O131" s="795"/>
      <c r="P131" s="562"/>
      <c r="Q131" s="562"/>
      <c r="R131" s="562"/>
      <c r="S131" s="562"/>
      <c r="T131" s="562"/>
      <c r="U131" s="562"/>
      <c r="V131" s="562"/>
      <c r="W131" s="562"/>
      <c r="X131" s="562"/>
      <c r="Y131" s="562"/>
      <c r="Z131" s="562"/>
      <c r="AA131" s="562"/>
      <c r="AB131" s="562"/>
      <c r="AC131" s="562"/>
      <c r="AD131" s="562"/>
      <c r="AE131" s="562"/>
      <c r="AF131" s="562"/>
      <c r="AG131" s="562"/>
      <c r="AH131" s="562"/>
      <c r="AI131" s="562"/>
      <c r="AJ131" s="562"/>
      <c r="AK131" s="562"/>
      <c r="AL131" s="562"/>
      <c r="AM131" s="562"/>
      <c r="AN131" s="562"/>
      <c r="AO131" s="562"/>
      <c r="AP131" s="562"/>
      <c r="AQ131" s="562"/>
      <c r="AR131" s="562"/>
      <c r="AS131" s="562"/>
    </row>
    <row r="132" spans="1:45" x14ac:dyDescent="0.2">
      <c r="B132" s="358" t="s">
        <v>3074</v>
      </c>
      <c r="C132" s="14"/>
      <c r="D132" s="14"/>
      <c r="E132" s="14" t="s">
        <v>2181</v>
      </c>
      <c r="F132" s="14"/>
      <c r="G132" s="14"/>
      <c r="H132" s="441"/>
      <c r="I132" s="121"/>
      <c r="J132" s="134" t="s">
        <v>2181</v>
      </c>
      <c r="K132" s="98"/>
      <c r="L132" s="791" t="s">
        <v>3077</v>
      </c>
      <c r="M132" s="616"/>
      <c r="N132" s="3"/>
      <c r="O132" s="609"/>
      <c r="P132" s="64" t="b">
        <v>0</v>
      </c>
      <c r="Q132" s="64" t="b">
        <v>1</v>
      </c>
      <c r="R132" s="562" t="b">
        <v>0</v>
      </c>
      <c r="S132" s="562" t="b">
        <f>NOT(W142)</f>
        <v>1</v>
      </c>
      <c r="T132" s="64" t="b">
        <f>AND(NOT(S132),W132=TRUE)</f>
        <v>0</v>
      </c>
      <c r="U132" s="562"/>
      <c r="V132" s="562"/>
      <c r="W132" s="18"/>
      <c r="X132" s="787"/>
      <c r="Y132" s="562"/>
      <c r="Z132" s="562"/>
      <c r="AA132" s="562"/>
      <c r="AB132" s="562"/>
      <c r="AC132" s="562" t="b">
        <f>OR(AD132:AE132)</f>
        <v>0</v>
      </c>
      <c r="AD132" s="562" t="b">
        <f>T132</f>
        <v>0</v>
      </c>
      <c r="AE132" s="562" t="b">
        <f>AND(R132,NOT(W132))</f>
        <v>0</v>
      </c>
      <c r="AF132" s="562"/>
      <c r="AG132" s="562"/>
      <c r="AH132" s="562"/>
      <c r="AI132" s="562"/>
      <c r="AJ132" s="562"/>
      <c r="AK132" s="562"/>
      <c r="AL132" s="562"/>
      <c r="AM132" s="562"/>
      <c r="AN132" s="562"/>
      <c r="AO132" s="562"/>
      <c r="AP132" s="190" t="str">
        <f>SUBSTITUTE(SUBSTITUTE(SUBSTITUTE("dch"&amp;$B132&amp;$C132&amp;$D132&amp;$E132&amp;$F132,".","_"),"(","_"),")","")</f>
        <v>dch901_9_1_1</v>
      </c>
      <c r="AQ132" s="190">
        <f>W132</f>
        <v>0</v>
      </c>
      <c r="AR132" s="190" t="str">
        <f>SUBSTITUTE(SUBSTITUTE(SUBSTITUTE("dnt"&amp;$B132&amp;$C132&amp;$D132&amp;$E132&amp;$F132,".","_"),"(","_"),")","")</f>
        <v>dnt901_9_1_1</v>
      </c>
      <c r="AS132" s="190">
        <f>X132</f>
        <v>0</v>
      </c>
    </row>
    <row r="133" spans="1:45" x14ac:dyDescent="0.2">
      <c r="B133" s="358" t="s">
        <v>3074</v>
      </c>
      <c r="C133" s="14"/>
      <c r="D133" s="14"/>
      <c r="E133" s="14" t="s">
        <v>2181</v>
      </c>
      <c r="F133" s="14"/>
      <c r="G133" s="14"/>
      <c r="H133" s="441"/>
      <c r="I133" s="121"/>
      <c r="J133" s="165"/>
      <c r="K133" s="165"/>
      <c r="L133" s="792"/>
      <c r="M133" s="616"/>
      <c r="N133" s="3"/>
      <c r="O133" s="609"/>
      <c r="P133" s="562"/>
      <c r="Q133" s="562"/>
      <c r="R133" s="562"/>
      <c r="S133" s="562"/>
      <c r="T133" s="562"/>
      <c r="U133" s="562"/>
      <c r="V133" s="562"/>
      <c r="W133" s="562"/>
      <c r="X133" s="787"/>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row>
    <row r="134" spans="1:45" x14ac:dyDescent="0.2">
      <c r="B134" s="358" t="s">
        <v>3074</v>
      </c>
      <c r="C134" s="14"/>
      <c r="D134" s="14"/>
      <c r="E134" s="14" t="s">
        <v>2183</v>
      </c>
      <c r="F134" s="14"/>
      <c r="G134" s="14"/>
      <c r="H134" s="441"/>
      <c r="I134" s="121"/>
      <c r="J134" s="159" t="s">
        <v>2183</v>
      </c>
      <c r="K134" s="165"/>
      <c r="L134" s="599" t="s">
        <v>3078</v>
      </c>
      <c r="M134" s="616"/>
      <c r="N134" s="3"/>
      <c r="O134" s="609"/>
      <c r="P134" s="64" t="b">
        <v>0</v>
      </c>
      <c r="Q134" s="64" t="b">
        <v>1</v>
      </c>
      <c r="R134" s="562" t="b">
        <v>0</v>
      </c>
      <c r="S134" s="562" t="b">
        <f>NOT(W142)</f>
        <v>1</v>
      </c>
      <c r="T134" s="64" t="b">
        <f>AND(NOT(S134),W134=TRUE)</f>
        <v>0</v>
      </c>
      <c r="U134" s="562"/>
      <c r="V134" s="562"/>
      <c r="W134" s="18"/>
      <c r="X134" s="563"/>
      <c r="Y134" s="562"/>
      <c r="Z134" s="562"/>
      <c r="AA134" s="562"/>
      <c r="AB134" s="562"/>
      <c r="AC134" s="562" t="b">
        <f>OR(AD134:AE134)</f>
        <v>0</v>
      </c>
      <c r="AD134" s="562" t="b">
        <f>T134</f>
        <v>0</v>
      </c>
      <c r="AE134" s="562" t="b">
        <f>AND(R134,NOT(W134))</f>
        <v>0</v>
      </c>
      <c r="AF134" s="562"/>
      <c r="AG134" s="562"/>
      <c r="AH134" s="562"/>
      <c r="AI134" s="562"/>
      <c r="AJ134" s="562"/>
      <c r="AK134" s="562"/>
      <c r="AL134" s="562"/>
      <c r="AM134" s="562"/>
      <c r="AN134" s="562"/>
      <c r="AO134" s="562"/>
      <c r="AP134" s="190" t="str">
        <f t="shared" ref="AP134:AP135" si="2">SUBSTITUTE(SUBSTITUTE(SUBSTITUTE("dch"&amp;$B134&amp;$C134&amp;$D134&amp;$E134&amp;$F134,".","_"),"(","_"),")","")</f>
        <v>dch901_9_1_2</v>
      </c>
      <c r="AQ134" s="190">
        <f>W134</f>
        <v>0</v>
      </c>
      <c r="AR134" s="190" t="str">
        <f t="shared" ref="AR134:AR135" si="3">SUBSTITUTE(SUBSTITUTE(SUBSTITUTE("dnt"&amp;$B134&amp;$C134&amp;$D134&amp;$E134&amp;$F134,".","_"),"(","_"),")","")</f>
        <v>dnt901_9_1_2</v>
      </c>
      <c r="AS134" s="190">
        <f>X134</f>
        <v>0</v>
      </c>
    </row>
    <row r="135" spans="1:45" x14ac:dyDescent="0.2">
      <c r="B135" s="358" t="s">
        <v>3074</v>
      </c>
      <c r="C135" s="14"/>
      <c r="D135" s="14"/>
      <c r="E135" s="14" t="s">
        <v>2185</v>
      </c>
      <c r="F135" s="14"/>
      <c r="G135" s="14"/>
      <c r="H135" s="441"/>
      <c r="I135" s="253"/>
      <c r="J135" s="134" t="s">
        <v>2185</v>
      </c>
      <c r="K135" s="98"/>
      <c r="L135" s="598" t="s">
        <v>3079</v>
      </c>
      <c r="M135" s="610"/>
      <c r="N135" s="98"/>
      <c r="O135" s="607"/>
      <c r="P135" s="64" t="b">
        <v>0</v>
      </c>
      <c r="Q135" s="64" t="b">
        <v>1</v>
      </c>
      <c r="R135" s="64" t="b">
        <v>0</v>
      </c>
      <c r="S135" s="64" t="b">
        <f>NOT(W142)</f>
        <v>1</v>
      </c>
      <c r="T135" s="64" t="b">
        <f>AND(NOT(S135),W135=TRUE)</f>
        <v>0</v>
      </c>
      <c r="U135" s="64"/>
      <c r="V135" s="64"/>
      <c r="W135" s="219"/>
      <c r="X135" s="798"/>
      <c r="Y135" s="562"/>
      <c r="Z135" s="562"/>
      <c r="AA135" s="562"/>
      <c r="AB135" s="562"/>
      <c r="AC135" s="562" t="b">
        <f>OR(AD135:AE135)</f>
        <v>0</v>
      </c>
      <c r="AD135" s="562" t="b">
        <f>T135</f>
        <v>0</v>
      </c>
      <c r="AE135" s="562" t="b">
        <f>AND(R135,NOT(W135))</f>
        <v>0</v>
      </c>
      <c r="AF135" s="562"/>
      <c r="AG135" s="562"/>
      <c r="AH135" s="562"/>
      <c r="AI135" s="562"/>
      <c r="AJ135" s="562"/>
      <c r="AK135" s="562"/>
      <c r="AL135" s="562"/>
      <c r="AM135" s="562"/>
      <c r="AN135" s="562"/>
      <c r="AO135" s="562"/>
      <c r="AP135" s="190" t="str">
        <f t="shared" si="2"/>
        <v>dch901_9_1_3</v>
      </c>
      <c r="AQ135" s="190">
        <f>W135</f>
        <v>0</v>
      </c>
      <c r="AR135" s="190" t="str">
        <f t="shared" si="3"/>
        <v>dnt901_9_1_3</v>
      </c>
      <c r="AS135" s="190">
        <f>X135</f>
        <v>0</v>
      </c>
    </row>
    <row r="136" spans="1:45" x14ac:dyDescent="0.2">
      <c r="B136" s="358" t="s">
        <v>3074</v>
      </c>
      <c r="C136" s="14"/>
      <c r="D136" s="14"/>
      <c r="E136" s="14" t="s">
        <v>2185</v>
      </c>
      <c r="H136" s="443"/>
      <c r="I136" s="129"/>
      <c r="J136" s="129"/>
      <c r="K136" s="129"/>
      <c r="L136" s="275" t="s">
        <v>3080</v>
      </c>
      <c r="M136" s="165"/>
      <c r="N136" s="165"/>
      <c r="O136" s="165"/>
      <c r="P136" s="129"/>
      <c r="Q136" s="129"/>
      <c r="R136" s="129"/>
      <c r="S136" s="129"/>
      <c r="T136" s="129"/>
      <c r="U136" s="129"/>
      <c r="V136" s="129"/>
      <c r="W136" s="129"/>
      <c r="X136" s="798"/>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row>
    <row r="137" spans="1:45" x14ac:dyDescent="0.2">
      <c r="B137" s="358" t="s">
        <v>3081</v>
      </c>
      <c r="C137" s="14"/>
      <c r="D137" s="14"/>
      <c r="E137" s="14"/>
      <c r="F137" s="14"/>
      <c r="G137" s="14"/>
      <c r="H137" s="441"/>
      <c r="I137" s="145" t="s">
        <v>3082</v>
      </c>
      <c r="J137" s="146"/>
      <c r="K137" s="146"/>
      <c r="L137" s="847" t="s">
        <v>3083</v>
      </c>
      <c r="M137" s="824">
        <v>1</v>
      </c>
      <c r="N137" s="146"/>
      <c r="O137" s="815">
        <f>M137*S137*W137</f>
        <v>0</v>
      </c>
      <c r="P137" s="64" t="b">
        <v>0</v>
      </c>
      <c r="Q137" s="64" t="b">
        <v>1</v>
      </c>
      <c r="R137" s="148" t="b">
        <v>0</v>
      </c>
      <c r="S137" s="148" t="b">
        <f>IFERROR(OR(AND(W132,W134,W135),W142),FALSE)</f>
        <v>0</v>
      </c>
      <c r="T137" s="148" t="b">
        <f>AND(NOT(S137),W137=TRUE)</f>
        <v>0</v>
      </c>
      <c r="U137" s="148"/>
      <c r="V137" s="148"/>
      <c r="W137" s="219"/>
      <c r="X137" s="798"/>
      <c r="Y137" s="562"/>
      <c r="Z137" s="562"/>
      <c r="AA137" s="562"/>
      <c r="AB137" s="562"/>
      <c r="AC137" s="562" t="b">
        <f>OR(AD137:AE137)</f>
        <v>0</v>
      </c>
      <c r="AD137" s="562" t="b">
        <f>T137</f>
        <v>0</v>
      </c>
      <c r="AE137" s="562" t="b">
        <f>AND(R137,NOT(W137))</f>
        <v>0</v>
      </c>
      <c r="AF137" s="562"/>
      <c r="AG137" s="562"/>
      <c r="AH137" s="562"/>
      <c r="AI137" s="562"/>
      <c r="AJ137" s="562"/>
      <c r="AK137" s="562"/>
      <c r="AL137" s="190" t="str">
        <f>SUBSTITUTE(SUBSTITUTE(SUBSTITUTE("dpa"&amp;$B137&amp;$C137&amp;$D137&amp;$E137&amp;$F137,".","_"),"(","_"),")","")</f>
        <v>dpa901_9_2</v>
      </c>
      <c r="AM137" s="190">
        <f>M137</f>
        <v>1</v>
      </c>
      <c r="AN137" s="190" t="str">
        <f>SUBSTITUTE(SUBSTITUTE(SUBSTITUTE("dpc"&amp;$B137&amp;$C137&amp;$D137&amp;$E137&amp;$F137,".","_"),"(","_"),")","")</f>
        <v>dpc901_9_2</v>
      </c>
      <c r="AO137" s="190">
        <f>O137</f>
        <v>0</v>
      </c>
      <c r="AP137" s="190" t="str">
        <f>SUBSTITUTE(SUBSTITUTE(SUBSTITUTE("dch"&amp;$B137&amp;$C137&amp;$D137&amp;$E137&amp;$F137,".","_"),"(","_"),")","")</f>
        <v>dch901_9_2</v>
      </c>
      <c r="AQ137" s="190">
        <f>W137</f>
        <v>0</v>
      </c>
      <c r="AR137" s="190" t="str">
        <f>SUBSTITUTE(SUBSTITUTE(SUBSTITUTE("dnt"&amp;$B137&amp;$C137&amp;$D137&amp;$E137&amp;$F137,".","_"),"(","_"),")","")</f>
        <v>dnt901_9_2</v>
      </c>
      <c r="AS137" s="190">
        <f>X137</f>
        <v>0</v>
      </c>
    </row>
    <row r="138" spans="1:45" customFormat="1" x14ac:dyDescent="0.2">
      <c r="A138" s="13"/>
      <c r="B138" s="358" t="s">
        <v>3081</v>
      </c>
      <c r="C138" s="14"/>
      <c r="D138" s="14"/>
      <c r="E138" s="14"/>
      <c r="F138" s="14"/>
      <c r="G138" s="14"/>
      <c r="H138" s="441"/>
      <c r="I138" s="253"/>
      <c r="J138" s="98"/>
      <c r="K138" s="98"/>
      <c r="L138" s="820"/>
      <c r="M138" s="800"/>
      <c r="N138" s="98"/>
      <c r="O138" s="793"/>
      <c r="P138" s="64"/>
      <c r="Q138" s="64"/>
      <c r="R138" s="64"/>
      <c r="S138" s="64"/>
      <c r="T138" s="64"/>
      <c r="U138" s="64"/>
      <c r="V138" s="64"/>
      <c r="W138" s="64"/>
      <c r="X138" s="798"/>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row>
    <row r="139" spans="1:45" x14ac:dyDescent="0.2">
      <c r="B139" s="358" t="s">
        <v>3081</v>
      </c>
      <c r="C139" s="14"/>
      <c r="D139" s="14"/>
      <c r="E139" s="14"/>
      <c r="F139" s="14"/>
      <c r="G139" s="14"/>
      <c r="H139" s="441"/>
      <c r="I139" s="253"/>
      <c r="J139" s="98"/>
      <c r="K139" s="98"/>
      <c r="L139" s="881" t="s">
        <v>3084</v>
      </c>
      <c r="M139" s="800"/>
      <c r="N139" s="98"/>
      <c r="O139" s="793"/>
      <c r="P139" s="64"/>
      <c r="Q139" s="64"/>
      <c r="R139" s="64"/>
      <c r="S139" s="64"/>
      <c r="T139" s="64"/>
      <c r="U139" s="64"/>
      <c r="V139" s="64"/>
      <c r="W139" s="64"/>
      <c r="X139" s="798"/>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row>
    <row r="140" spans="1:45" x14ac:dyDescent="0.2">
      <c r="B140" s="358" t="s">
        <v>3081</v>
      </c>
      <c r="C140" s="14"/>
      <c r="D140" s="14"/>
      <c r="E140" s="14"/>
      <c r="F140" s="14"/>
      <c r="G140" s="14"/>
      <c r="H140" s="441"/>
      <c r="I140" s="253"/>
      <c r="J140" s="98"/>
      <c r="K140" s="98"/>
      <c r="L140" s="881"/>
      <c r="M140" s="800"/>
      <c r="N140" s="98"/>
      <c r="O140" s="793"/>
      <c r="P140" s="64"/>
      <c r="Q140" s="64"/>
      <c r="R140" s="64"/>
      <c r="S140" s="64"/>
      <c r="T140" s="64"/>
      <c r="U140" s="64"/>
      <c r="V140" s="64"/>
      <c r="W140" s="64"/>
      <c r="X140" s="798"/>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row>
    <row r="141" spans="1:45" x14ac:dyDescent="0.2">
      <c r="B141" s="358" t="s">
        <v>3081</v>
      </c>
      <c r="C141" s="14"/>
      <c r="D141" s="14"/>
      <c r="E141" s="14"/>
      <c r="F141" s="14"/>
      <c r="G141" s="14"/>
      <c r="H141" s="441"/>
      <c r="I141" s="272"/>
      <c r="J141" s="165"/>
      <c r="K141" s="165"/>
      <c r="L141" s="275" t="s">
        <v>3085</v>
      </c>
      <c r="M141" s="611"/>
      <c r="N141" s="165"/>
      <c r="O141" s="608"/>
      <c r="P141" s="129"/>
      <c r="Q141" s="129"/>
      <c r="R141" s="129"/>
      <c r="S141" s="129"/>
      <c r="T141" s="129"/>
      <c r="U141" s="129"/>
      <c r="V141" s="129"/>
      <c r="W141" s="129"/>
      <c r="X141" s="798"/>
      <c r="Y141" s="562"/>
      <c r="Z141" s="562"/>
      <c r="AA141" s="562"/>
      <c r="AB141" s="562"/>
      <c r="AC141" s="562"/>
      <c r="AD141" s="562"/>
      <c r="AE141" s="562"/>
      <c r="AF141" s="562"/>
      <c r="AG141" s="562"/>
      <c r="AH141" s="562"/>
      <c r="AI141" s="562"/>
      <c r="AJ141" s="562"/>
      <c r="AK141" s="562"/>
      <c r="AL141" s="562"/>
      <c r="AM141" s="562"/>
      <c r="AN141" s="562"/>
      <c r="AO141" s="562"/>
      <c r="AP141" s="562"/>
      <c r="AQ141" s="562"/>
      <c r="AR141" s="562"/>
      <c r="AS141" s="562"/>
    </row>
    <row r="142" spans="1:45" x14ac:dyDescent="0.2">
      <c r="B142" s="358" t="s">
        <v>3086</v>
      </c>
      <c r="C142" s="14"/>
      <c r="D142" s="14"/>
      <c r="E142" s="14"/>
      <c r="F142" s="14"/>
      <c r="G142" s="14"/>
      <c r="H142" s="441"/>
      <c r="I142" s="99" t="s">
        <v>3087</v>
      </c>
      <c r="J142" s="98"/>
      <c r="K142" s="98"/>
      <c r="L142" s="820" t="s">
        <v>3088</v>
      </c>
      <c r="M142" s="800">
        <v>8</v>
      </c>
      <c r="N142" s="98"/>
      <c r="O142" s="793">
        <f>M142*S142*W142</f>
        <v>0</v>
      </c>
      <c r="P142" s="64" t="b">
        <v>0</v>
      </c>
      <c r="Q142" s="64" t="b">
        <v>1</v>
      </c>
      <c r="R142" s="64" t="b">
        <v>0</v>
      </c>
      <c r="S142" s="64" t="b">
        <f>AND(NOT(W132),NOT(W134),NOT(W135))</f>
        <v>1</v>
      </c>
      <c r="T142" s="64" t="b">
        <f>AND(NOT(S142),W142=TRUE)</f>
        <v>0</v>
      </c>
      <c r="U142" s="64"/>
      <c r="V142" s="64"/>
      <c r="W142" s="91"/>
      <c r="X142" s="786"/>
      <c r="Y142" s="562"/>
      <c r="Z142" s="562"/>
      <c r="AA142" s="562"/>
      <c r="AB142" s="562"/>
      <c r="AC142" s="562" t="b">
        <f>OR(AD142:AE142)</f>
        <v>0</v>
      </c>
      <c r="AD142" s="562" t="b">
        <f>T142</f>
        <v>0</v>
      </c>
      <c r="AE142" s="562" t="b">
        <f>AND(R142,NOT(W142))</f>
        <v>0</v>
      </c>
      <c r="AF142" s="562"/>
      <c r="AG142" s="562"/>
      <c r="AH142" s="562"/>
      <c r="AI142" s="562"/>
      <c r="AJ142" s="562"/>
      <c r="AK142" s="562"/>
      <c r="AL142" s="190" t="str">
        <f>SUBSTITUTE(SUBSTITUTE(SUBSTITUTE("dpa"&amp;$B142&amp;$C142&amp;$D142&amp;$E142&amp;$F142,".","_"),"(","_"),")","")</f>
        <v>dpa901_9_3</v>
      </c>
      <c r="AM142" s="190">
        <f>M142</f>
        <v>8</v>
      </c>
      <c r="AN142" s="190" t="str">
        <f>SUBSTITUTE(SUBSTITUTE(SUBSTITUTE("dpc"&amp;$B142&amp;$C142&amp;$D142&amp;$E142&amp;$F142,".","_"),"(","_"),")","")</f>
        <v>dpc901_9_3</v>
      </c>
      <c r="AO142" s="190">
        <f>O142</f>
        <v>0</v>
      </c>
      <c r="AP142" s="190" t="str">
        <f>SUBSTITUTE(SUBSTITUTE(SUBSTITUTE("dch"&amp;$B142&amp;$C142&amp;$D142&amp;$E142&amp;$F142,".","_"),"(","_"),")","")</f>
        <v>dch901_9_3</v>
      </c>
      <c r="AQ142" s="190">
        <f>W142</f>
        <v>0</v>
      </c>
      <c r="AR142" s="190" t="str">
        <f>SUBSTITUTE(SUBSTITUTE(SUBSTITUTE("dnt"&amp;$B142&amp;$C142&amp;$D142&amp;$E142&amp;$F142,".","_"),"(","_"),")","")</f>
        <v>dnt901_9_3</v>
      </c>
      <c r="AS142" s="190">
        <f>X142</f>
        <v>0</v>
      </c>
    </row>
    <row r="143" spans="1:45" s="226" customFormat="1" x14ac:dyDescent="0.2">
      <c r="A143" s="13"/>
      <c r="B143" s="358" t="s">
        <v>3086</v>
      </c>
      <c r="C143" s="14"/>
      <c r="D143" s="14"/>
      <c r="E143" s="14"/>
      <c r="F143" s="14"/>
      <c r="G143" s="14"/>
      <c r="H143" s="441"/>
      <c r="I143" s="253"/>
      <c r="J143" s="98"/>
      <c r="K143" s="98"/>
      <c r="L143" s="820"/>
      <c r="M143" s="800"/>
      <c r="N143" s="98"/>
      <c r="O143" s="793"/>
      <c r="P143" s="64"/>
      <c r="Q143" s="64"/>
      <c r="R143" s="64"/>
      <c r="S143" s="64"/>
      <c r="T143" s="64"/>
      <c r="U143" s="64"/>
      <c r="V143" s="64"/>
      <c r="W143" s="64"/>
      <c r="X143" s="798"/>
      <c r="Y143" s="562"/>
      <c r="Z143" s="562"/>
      <c r="AA143" s="562"/>
      <c r="AB143" s="562"/>
      <c r="AC143" s="562"/>
      <c r="AD143" s="562"/>
      <c r="AE143" s="562"/>
      <c r="AF143" s="562"/>
      <c r="AG143" s="562"/>
      <c r="AH143" s="562"/>
      <c r="AI143" s="562"/>
      <c r="AJ143" s="562"/>
      <c r="AK143" s="562"/>
      <c r="AL143" s="562"/>
      <c r="AM143" s="562"/>
      <c r="AN143" s="562"/>
      <c r="AO143" s="562"/>
      <c r="AP143" s="562"/>
      <c r="AQ143" s="562"/>
      <c r="AR143" s="562"/>
      <c r="AS143" s="562"/>
    </row>
    <row r="144" spans="1:45" x14ac:dyDescent="0.2">
      <c r="B144" s="358" t="s">
        <v>3086</v>
      </c>
      <c r="C144" s="14"/>
      <c r="D144" s="14"/>
      <c r="E144" s="14"/>
      <c r="F144" s="14"/>
      <c r="G144" s="14"/>
      <c r="H144" s="441"/>
      <c r="I144" s="253"/>
      <c r="J144" s="98"/>
      <c r="K144" s="98"/>
      <c r="L144" s="820"/>
      <c r="M144" s="800"/>
      <c r="N144" s="98"/>
      <c r="O144" s="793"/>
      <c r="P144" s="64"/>
      <c r="Q144" s="64"/>
      <c r="R144" s="64"/>
      <c r="S144" s="64"/>
      <c r="T144" s="64"/>
      <c r="U144" s="64"/>
      <c r="V144" s="64"/>
      <c r="W144" s="64"/>
      <c r="X144" s="798"/>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row>
    <row r="145" spans="1:45" x14ac:dyDescent="0.2">
      <c r="B145" s="358" t="s">
        <v>3086</v>
      </c>
      <c r="C145" s="14"/>
      <c r="D145" s="14"/>
      <c r="E145" s="14"/>
      <c r="F145" s="14"/>
      <c r="G145" s="14"/>
      <c r="H145" s="441"/>
      <c r="I145" s="253"/>
      <c r="J145" s="98"/>
      <c r="K145" s="98"/>
      <c r="L145" s="820"/>
      <c r="M145" s="800"/>
      <c r="N145" s="98"/>
      <c r="O145" s="793"/>
      <c r="P145" s="64"/>
      <c r="Q145" s="64"/>
      <c r="R145" s="64"/>
      <c r="S145" s="64"/>
      <c r="T145" s="64"/>
      <c r="U145" s="64"/>
      <c r="V145" s="64"/>
      <c r="W145" s="64"/>
      <c r="X145" s="798"/>
      <c r="Y145" s="562"/>
      <c r="Z145" s="562"/>
      <c r="AA145" s="562"/>
      <c r="AB145" s="562"/>
      <c r="AC145" s="562"/>
      <c r="AD145" s="562"/>
      <c r="AE145" s="562"/>
      <c r="AF145" s="562"/>
      <c r="AG145" s="562"/>
      <c r="AH145" s="562"/>
      <c r="AI145" s="562"/>
      <c r="AJ145" s="562"/>
      <c r="AK145" s="562"/>
      <c r="AL145" s="562"/>
      <c r="AM145" s="562"/>
      <c r="AN145" s="562"/>
      <c r="AO145" s="562"/>
      <c r="AP145" s="562"/>
      <c r="AQ145" s="562"/>
      <c r="AR145" s="562"/>
      <c r="AS145" s="562"/>
    </row>
    <row r="146" spans="1:45" x14ac:dyDescent="0.2">
      <c r="B146" s="358" t="s">
        <v>3086</v>
      </c>
      <c r="C146" s="14"/>
      <c r="D146" s="14"/>
      <c r="E146" s="14"/>
      <c r="F146" s="14"/>
      <c r="G146" s="14"/>
      <c r="H146" s="441"/>
      <c r="I146" s="253"/>
      <c r="J146" s="98"/>
      <c r="K146" s="98"/>
      <c r="L146" s="820"/>
      <c r="M146" s="800"/>
      <c r="N146" s="98"/>
      <c r="O146" s="793"/>
      <c r="P146" s="64"/>
      <c r="Q146" s="64"/>
      <c r="R146" s="64"/>
      <c r="S146" s="64"/>
      <c r="T146" s="64"/>
      <c r="U146" s="64"/>
      <c r="V146" s="64"/>
      <c r="W146" s="64"/>
      <c r="X146" s="798"/>
      <c r="Y146" s="562"/>
      <c r="Z146" s="562"/>
      <c r="AA146" s="562"/>
      <c r="AB146" s="562"/>
      <c r="AC146" s="562"/>
      <c r="AD146" s="562"/>
      <c r="AE146" s="562"/>
      <c r="AF146" s="562"/>
      <c r="AG146" s="562"/>
      <c r="AH146" s="562"/>
      <c r="AI146" s="562"/>
      <c r="AJ146" s="562"/>
      <c r="AK146" s="562"/>
      <c r="AL146" s="562"/>
      <c r="AM146" s="562"/>
      <c r="AN146" s="562"/>
      <c r="AO146" s="562"/>
      <c r="AP146" s="562"/>
      <c r="AQ146" s="562"/>
      <c r="AR146" s="562"/>
      <c r="AS146" s="562"/>
    </row>
    <row r="147" spans="1:45" x14ac:dyDescent="0.2">
      <c r="B147" s="358" t="s">
        <v>3086</v>
      </c>
      <c r="C147" s="14"/>
      <c r="D147" s="14"/>
      <c r="E147" s="14"/>
      <c r="F147" s="14"/>
      <c r="G147" s="14"/>
      <c r="H147" s="441"/>
      <c r="I147" s="253"/>
      <c r="J147" s="98"/>
      <c r="K147" s="98"/>
      <c r="L147" s="820"/>
      <c r="M147" s="800"/>
      <c r="N147" s="98"/>
      <c r="O147" s="793"/>
      <c r="P147" s="64"/>
      <c r="Q147" s="64"/>
      <c r="R147" s="64"/>
      <c r="S147" s="64"/>
      <c r="T147" s="64"/>
      <c r="U147" s="64"/>
      <c r="V147" s="64"/>
      <c r="W147" s="64"/>
      <c r="X147" s="825"/>
      <c r="Y147" s="562"/>
      <c r="Z147" s="562"/>
      <c r="AA147" s="562"/>
      <c r="AB147" s="562"/>
      <c r="AC147" s="562"/>
      <c r="AD147" s="562"/>
      <c r="AE147" s="562"/>
      <c r="AF147" s="562"/>
      <c r="AG147" s="562"/>
      <c r="AH147" s="562"/>
      <c r="AI147" s="562"/>
      <c r="AJ147" s="562"/>
      <c r="AK147" s="562"/>
      <c r="AL147" s="562"/>
      <c r="AM147" s="562"/>
      <c r="AN147" s="562"/>
      <c r="AO147" s="562"/>
      <c r="AP147" s="562"/>
      <c r="AQ147" s="562"/>
      <c r="AR147" s="562"/>
      <c r="AS147" s="562"/>
    </row>
    <row r="148" spans="1:45" s="497" customFormat="1" x14ac:dyDescent="0.2">
      <c r="A148" s="13"/>
      <c r="B148" s="358" t="s">
        <v>3089</v>
      </c>
      <c r="C148" s="14"/>
      <c r="D148" s="14"/>
      <c r="E148" s="14"/>
      <c r="F148" s="14"/>
      <c r="G148" s="14"/>
      <c r="H148" s="441"/>
      <c r="I148" s="145" t="s">
        <v>3090</v>
      </c>
      <c r="J148" s="146"/>
      <c r="K148" s="146"/>
      <c r="L148" s="847" t="s">
        <v>3091</v>
      </c>
      <c r="M148" s="867" t="str">
        <f>IF(R148,"Mandatory","N/A")</f>
        <v>Mandatory</v>
      </c>
      <c r="N148" s="146"/>
      <c r="O148" s="617"/>
      <c r="P148" s="148" t="b">
        <v>0</v>
      </c>
      <c r="Q148" s="148" t="b">
        <v>1</v>
      </c>
      <c r="R148" s="148" t="b">
        <f>S148</f>
        <v>1</v>
      </c>
      <c r="S148" s="148" t="b">
        <v>1</v>
      </c>
      <c r="T148" s="148" t="b">
        <f>AND(W148="Met",NOT(W142),NOT(W132),NOT(W134),NOT(W135))</f>
        <v>0</v>
      </c>
      <c r="U148" s="148" t="str">
        <f>SUBSTITUTE(SUBSTITUTE(SUBSTITUTE("dd"&amp;B148&amp;C148&amp;D148&amp;E148&amp;F148,".","_"),"(","_"),")","")</f>
        <v>dd901_9_4</v>
      </c>
      <c r="V148" s="148"/>
      <c r="W148" s="6"/>
      <c r="X148" s="798"/>
      <c r="Y148" s="562"/>
      <c r="Z148" s="562"/>
      <c r="AA148" s="562"/>
      <c r="AB148" s="562"/>
      <c r="AC148" s="492" t="b">
        <f>OR(AD148:AE148)</f>
        <v>1</v>
      </c>
      <c r="AD148" s="492" t="b">
        <f>T148</f>
        <v>0</v>
      </c>
      <c r="AE148" s="492" t="b">
        <f>AND(R148,OR(LEN(W148)=0,W148="Not Met"))</f>
        <v>1</v>
      </c>
      <c r="AF148" s="562"/>
      <c r="AG148" s="562"/>
      <c r="AH148" s="562"/>
      <c r="AI148" s="562"/>
      <c r="AJ148" s="562"/>
      <c r="AK148" s="562"/>
      <c r="AL148" s="493" t="str">
        <f>SUBSTITUTE(SUBSTITUTE(SUBSTITUTE("dpa"&amp;$B148&amp;$C148&amp;$D148&amp;$E148&amp;$F148,".","_"),"(","_"),")","")</f>
        <v>dpa901_9_4</v>
      </c>
      <c r="AM148" s="493" t="str">
        <f>M148</f>
        <v>Mandatory</v>
      </c>
      <c r="AN148" s="562"/>
      <c r="AO148" s="562"/>
      <c r="AP148" s="493" t="str">
        <f>SUBSTITUTE(SUBSTITUTE(SUBSTITUTE("dch"&amp;$B148&amp;$C148&amp;$D148&amp;$E148&amp;$F148,".","_"),"(","_"),")","")</f>
        <v>dch901_9_4</v>
      </c>
      <c r="AQ148" s="493">
        <f>W148</f>
        <v>0</v>
      </c>
      <c r="AR148" s="493" t="str">
        <f>SUBSTITUTE(SUBSTITUTE(SUBSTITUTE("dnt"&amp;$B148&amp;$C148&amp;$D148&amp;$E148&amp;$F148,".","_"),"(","_"),")","")</f>
        <v>dnt901_9_4</v>
      </c>
      <c r="AS148" s="493">
        <f>X148</f>
        <v>0</v>
      </c>
    </row>
    <row r="149" spans="1:45" s="498" customFormat="1" x14ac:dyDescent="0.2">
      <c r="A149" s="13"/>
      <c r="B149" s="358" t="s">
        <v>3089</v>
      </c>
      <c r="C149" s="14"/>
      <c r="D149" s="14"/>
      <c r="E149" s="14"/>
      <c r="F149" s="14"/>
      <c r="G149" s="14"/>
      <c r="H149" s="441"/>
      <c r="I149" s="99"/>
      <c r="J149" s="98"/>
      <c r="K149" s="98"/>
      <c r="L149" s="820"/>
      <c r="M149" s="838"/>
      <c r="N149" s="98"/>
      <c r="O149" s="607"/>
      <c r="P149" s="64"/>
      <c r="Q149" s="64"/>
      <c r="R149" s="64"/>
      <c r="S149" s="64"/>
      <c r="T149" s="64"/>
      <c r="U149" s="64"/>
      <c r="V149" s="64"/>
      <c r="W149" s="64"/>
      <c r="X149" s="798"/>
      <c r="Y149" s="562"/>
      <c r="Z149" s="562"/>
      <c r="AA149" s="562"/>
      <c r="AB149" s="562"/>
      <c r="AC149" s="562"/>
      <c r="AD149" s="562"/>
      <c r="AE149" s="562"/>
      <c r="AF149" s="562"/>
      <c r="AG149" s="562"/>
      <c r="AH149" s="562"/>
      <c r="AI149" s="562"/>
      <c r="AJ149" s="562"/>
      <c r="AK149" s="562"/>
      <c r="AL149" s="562"/>
      <c r="AM149" s="562"/>
      <c r="AN149" s="562"/>
      <c r="AO149" s="562"/>
      <c r="AP149" s="562"/>
      <c r="AQ149" s="562"/>
      <c r="AR149" s="562"/>
      <c r="AS149" s="562"/>
    </row>
    <row r="150" spans="1:45" s="497" customFormat="1" ht="16" thickBot="1" x14ac:dyDescent="0.25">
      <c r="A150" s="13"/>
      <c r="B150" s="358" t="s">
        <v>3089</v>
      </c>
      <c r="C150" s="14"/>
      <c r="D150" s="14"/>
      <c r="E150" s="14"/>
      <c r="F150" s="14"/>
      <c r="G150" s="14"/>
      <c r="H150" s="441"/>
      <c r="I150" s="254"/>
      <c r="J150" s="185"/>
      <c r="K150" s="185"/>
      <c r="L150" s="822"/>
      <c r="M150" s="844"/>
      <c r="N150" s="185"/>
      <c r="O150" s="622"/>
      <c r="P150" s="68"/>
      <c r="Q150" s="68"/>
      <c r="R150" s="68"/>
      <c r="S150" s="68"/>
      <c r="T150" s="68"/>
      <c r="U150" s="68"/>
      <c r="V150" s="68"/>
      <c r="W150" s="68"/>
      <c r="X150" s="798"/>
      <c r="Y150" s="562"/>
      <c r="Z150" s="562"/>
      <c r="AA150" s="562"/>
      <c r="AB150" s="562"/>
      <c r="AC150" s="562"/>
      <c r="AD150" s="562"/>
      <c r="AE150" s="562"/>
      <c r="AF150" s="562"/>
      <c r="AG150" s="562"/>
      <c r="AH150" s="562"/>
      <c r="AI150" s="562"/>
      <c r="AJ150" s="562"/>
      <c r="AK150" s="562"/>
      <c r="AL150" s="562"/>
      <c r="AM150" s="562"/>
      <c r="AN150" s="562"/>
      <c r="AO150" s="562"/>
      <c r="AP150" s="562"/>
      <c r="AQ150" s="562"/>
      <c r="AR150" s="562"/>
      <c r="AS150" s="562"/>
    </row>
    <row r="151" spans="1:45" ht="16" thickTop="1" x14ac:dyDescent="0.2">
      <c r="B151" s="437" t="s">
        <v>3092</v>
      </c>
      <c r="C151" s="14"/>
      <c r="D151" s="14"/>
      <c r="E151" s="14"/>
      <c r="F151" s="14"/>
      <c r="G151" s="14"/>
      <c r="H151" s="441"/>
      <c r="I151" s="174" t="s">
        <v>3093</v>
      </c>
      <c r="J151" s="3"/>
      <c r="K151" s="3"/>
      <c r="L151" s="775" t="s">
        <v>3094</v>
      </c>
      <c r="M151" s="616"/>
      <c r="N151" s="3"/>
      <c r="O151" s="795">
        <f>IF(W161=TRUE,5,IF(W160=TRUE,5,IF(W155=TRUE,8,0)))*S155</f>
        <v>0</v>
      </c>
      <c r="P151" s="562"/>
      <c r="Q151" s="562"/>
      <c r="R151" s="562"/>
      <c r="S151" s="562"/>
      <c r="T151" s="562"/>
      <c r="U151" s="562"/>
      <c r="V151" s="562"/>
      <c r="W151" s="562"/>
      <c r="X151" s="562"/>
      <c r="Y151" s="562"/>
      <c r="Z151" s="562"/>
      <c r="AA151" s="562"/>
      <c r="AB151" s="562"/>
      <c r="AC151" s="562"/>
      <c r="AD151" s="562"/>
      <c r="AE151" s="562"/>
      <c r="AF151" s="562"/>
      <c r="AG151" s="562"/>
      <c r="AH151" s="562"/>
      <c r="AI151" s="562"/>
      <c r="AJ151" s="562"/>
      <c r="AK151" s="562"/>
      <c r="AL151" s="562"/>
      <c r="AM151" s="562"/>
      <c r="AN151" s="190" t="str">
        <f>SUBSTITUTE(SUBSTITUTE(SUBSTITUTE("dpc"&amp;$B151&amp;$C151&amp;$D151&amp;$E151&amp;$F151,".","_"),"(","_"),")","")</f>
        <v>dpc901_10</v>
      </c>
      <c r="AO151" s="190">
        <f>O151</f>
        <v>0</v>
      </c>
      <c r="AP151" s="562"/>
      <c r="AQ151" s="562"/>
      <c r="AR151" s="562"/>
      <c r="AS151" s="562"/>
    </row>
    <row r="152" spans="1:45" x14ac:dyDescent="0.2">
      <c r="B152" s="437" t="s">
        <v>3092</v>
      </c>
      <c r="C152" s="14"/>
      <c r="D152" s="14"/>
      <c r="E152" s="14"/>
      <c r="F152" s="14"/>
      <c r="G152" s="14"/>
      <c r="H152" s="441"/>
      <c r="I152" s="121"/>
      <c r="J152" s="3"/>
      <c r="K152" s="3"/>
      <c r="L152" s="775"/>
      <c r="M152" s="616"/>
      <c r="N152" s="3"/>
      <c r="O152" s="795"/>
      <c r="P152" s="562"/>
      <c r="Q152" s="562"/>
      <c r="R152" s="562"/>
      <c r="S152" s="562"/>
      <c r="T152" s="562"/>
      <c r="U152" s="562"/>
      <c r="V152" s="562"/>
      <c r="W152" s="562"/>
      <c r="X152" s="562"/>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row>
    <row r="153" spans="1:45" s="497" customFormat="1" x14ac:dyDescent="0.2">
      <c r="A153" s="13"/>
      <c r="B153" s="437" t="s">
        <v>3092</v>
      </c>
      <c r="C153" s="14"/>
      <c r="D153" s="14"/>
      <c r="E153" s="14"/>
      <c r="F153" s="14"/>
      <c r="G153" s="14"/>
      <c r="H153" s="441"/>
      <c r="I153" s="121"/>
      <c r="J153" s="3"/>
      <c r="K153" s="3"/>
      <c r="L153" s="775"/>
      <c r="M153" s="616"/>
      <c r="N153" s="3"/>
      <c r="O153" s="795"/>
      <c r="P153" s="562"/>
      <c r="Q153" s="562"/>
      <c r="R153" s="562"/>
      <c r="S153" s="562"/>
      <c r="T153" s="562"/>
      <c r="U153" s="562"/>
      <c r="V153" s="562"/>
      <c r="W153" s="562"/>
      <c r="X153" s="562"/>
      <c r="Y153" s="562"/>
      <c r="Z153" s="562"/>
      <c r="AA153" s="562"/>
      <c r="AB153" s="562"/>
      <c r="AC153" s="562"/>
      <c r="AD153" s="562"/>
      <c r="AE153" s="562"/>
      <c r="AF153" s="562"/>
      <c r="AG153" s="562"/>
      <c r="AH153" s="562"/>
      <c r="AI153" s="562"/>
      <c r="AJ153" s="562"/>
      <c r="AK153" s="562"/>
      <c r="AL153" s="562"/>
      <c r="AM153" s="562"/>
      <c r="AN153" s="562"/>
      <c r="AO153" s="562"/>
      <c r="AP153" s="562"/>
      <c r="AQ153" s="562"/>
      <c r="AR153" s="562"/>
      <c r="AS153" s="562"/>
    </row>
    <row r="154" spans="1:45" x14ac:dyDescent="0.2">
      <c r="B154" s="437" t="s">
        <v>3092</v>
      </c>
      <c r="C154" s="14"/>
      <c r="D154" s="14"/>
      <c r="E154" s="14"/>
      <c r="F154" s="14"/>
      <c r="G154" s="14"/>
      <c r="H154" s="441"/>
      <c r="I154" s="121"/>
      <c r="J154" s="3"/>
      <c r="K154" s="3"/>
      <c r="L154" s="775"/>
      <c r="M154" s="616"/>
      <c r="N154" s="3"/>
      <c r="O154" s="795"/>
      <c r="P154" s="562"/>
      <c r="Q154" s="562"/>
      <c r="R154" s="562"/>
      <c r="S154" s="562"/>
      <c r="T154" s="562"/>
      <c r="U154" s="562"/>
      <c r="V154" s="562"/>
      <c r="W154" s="562"/>
      <c r="X154" s="562"/>
      <c r="Y154" s="562"/>
      <c r="Z154" s="562"/>
      <c r="AA154" s="562"/>
      <c r="AB154" s="562"/>
      <c r="AC154" s="562"/>
      <c r="AD154" s="562"/>
      <c r="AE154" s="562"/>
      <c r="AF154" s="562"/>
      <c r="AG154" s="562"/>
      <c r="AH154" s="562"/>
      <c r="AI154" s="562"/>
      <c r="AJ154" s="562"/>
      <c r="AK154" s="562"/>
      <c r="AL154" s="562"/>
      <c r="AM154" s="562"/>
      <c r="AN154" s="562"/>
      <c r="AO154" s="562"/>
      <c r="AP154" s="562"/>
      <c r="AQ154" s="562"/>
      <c r="AR154" s="562"/>
      <c r="AS154" s="562"/>
    </row>
    <row r="155" spans="1:45" x14ac:dyDescent="0.2">
      <c r="B155" s="437" t="s">
        <v>3092</v>
      </c>
      <c r="C155" s="14"/>
      <c r="D155" s="14"/>
      <c r="E155" s="14" t="s">
        <v>2181</v>
      </c>
      <c r="F155" s="14"/>
      <c r="G155" s="14"/>
      <c r="H155" s="441"/>
      <c r="I155" s="121"/>
      <c r="J155" s="134" t="s">
        <v>2181</v>
      </c>
      <c r="K155" s="98"/>
      <c r="L155" s="791" t="s">
        <v>3095</v>
      </c>
      <c r="M155" s="800">
        <v>8</v>
      </c>
      <c r="N155" s="3"/>
      <c r="O155" s="609"/>
      <c r="P155" s="64" t="b">
        <v>0</v>
      </c>
      <c r="Q155" s="64" t="b">
        <v>1</v>
      </c>
      <c r="R155" s="562" t="b">
        <v>0</v>
      </c>
      <c r="S155" s="562" t="b">
        <v>1</v>
      </c>
      <c r="T155" s="562" t="b">
        <v>0</v>
      </c>
      <c r="U155" s="562"/>
      <c r="V155" s="562"/>
      <c r="W155" s="18"/>
      <c r="X155" s="787"/>
      <c r="Y155" s="562"/>
      <c r="Z155" s="562"/>
      <c r="AA155" s="562"/>
      <c r="AB155" s="562"/>
      <c r="AC155" s="562" t="b">
        <f>OR(AD155:AE155)</f>
        <v>0</v>
      </c>
      <c r="AD155" s="562" t="b">
        <f>T155</f>
        <v>0</v>
      </c>
      <c r="AE155" s="562" t="b">
        <f>AND(R155,NOT(W155))</f>
        <v>0</v>
      </c>
      <c r="AF155" s="562"/>
      <c r="AG155" s="562"/>
      <c r="AH155" s="562"/>
      <c r="AI155" s="562"/>
      <c r="AJ155" s="562"/>
      <c r="AK155" s="562"/>
      <c r="AL155" s="190" t="str">
        <f>SUBSTITUTE(SUBSTITUTE(SUBSTITUTE("dpa"&amp;$B155&amp;$C155&amp;$D155&amp;$E155&amp;$F155,".","_"),"(","_"),")","")</f>
        <v>dpa901_10_1</v>
      </c>
      <c r="AM155" s="190">
        <f>M155</f>
        <v>8</v>
      </c>
      <c r="AN155" s="562"/>
      <c r="AO155" s="562"/>
      <c r="AP155" s="190" t="str">
        <f>SUBSTITUTE(SUBSTITUTE(SUBSTITUTE("dch"&amp;$B155&amp;$C155&amp;$D155&amp;$E155&amp;$F155,".","_"),"(","_"),")","")</f>
        <v>dch901_10_1</v>
      </c>
      <c r="AQ155" s="190">
        <f>W155</f>
        <v>0</v>
      </c>
      <c r="AR155" s="190" t="str">
        <f>SUBSTITUTE(SUBSTITUTE(SUBSTITUTE("dnt"&amp;$B155&amp;$C155&amp;$D155&amp;$E155&amp;$F155,".","_"),"(","_"),")","")</f>
        <v>dnt901_10_1</v>
      </c>
      <c r="AS155" s="190">
        <f>X155</f>
        <v>0</v>
      </c>
    </row>
    <row r="156" spans="1:45" x14ac:dyDescent="0.2">
      <c r="B156" s="437" t="s">
        <v>3092</v>
      </c>
      <c r="C156" s="14"/>
      <c r="D156" s="14"/>
      <c r="E156" s="14" t="s">
        <v>2181</v>
      </c>
      <c r="F156" s="14"/>
      <c r="G156" s="14"/>
      <c r="H156" s="441"/>
      <c r="I156" s="121"/>
      <c r="J156" s="98"/>
      <c r="K156" s="98"/>
      <c r="L156" s="791"/>
      <c r="M156" s="800"/>
      <c r="N156" s="3"/>
      <c r="O156" s="609"/>
      <c r="P156" s="562"/>
      <c r="Q156" s="562"/>
      <c r="R156" s="562"/>
      <c r="S156" s="562"/>
      <c r="T156" s="562"/>
      <c r="U156" s="562"/>
      <c r="V156" s="562"/>
      <c r="W156" s="562"/>
      <c r="X156" s="787"/>
      <c r="Y156" s="562"/>
      <c r="Z156" s="562"/>
      <c r="AA156" s="562"/>
      <c r="AB156" s="562"/>
      <c r="AC156" s="562"/>
      <c r="AD156" s="562"/>
      <c r="AE156" s="562"/>
      <c r="AF156" s="562"/>
      <c r="AG156" s="562"/>
      <c r="AH156" s="562"/>
      <c r="AI156" s="562"/>
      <c r="AJ156" s="562"/>
      <c r="AK156" s="562"/>
      <c r="AL156" s="562"/>
      <c r="AM156" s="562"/>
      <c r="AN156" s="562"/>
      <c r="AO156" s="562"/>
      <c r="AP156" s="562"/>
      <c r="AQ156" s="562"/>
      <c r="AR156" s="562"/>
      <c r="AS156" s="562"/>
    </row>
    <row r="157" spans="1:45" x14ac:dyDescent="0.2">
      <c r="B157" s="437" t="s">
        <v>3092</v>
      </c>
      <c r="C157" s="14"/>
      <c r="D157" s="14"/>
      <c r="E157" s="14" t="s">
        <v>2181</v>
      </c>
      <c r="F157" s="14"/>
      <c r="G157" s="14"/>
      <c r="H157" s="441"/>
      <c r="I157" s="121"/>
      <c r="J157" s="98"/>
      <c r="K157" s="98"/>
      <c r="L157" s="791"/>
      <c r="M157" s="800"/>
      <c r="N157" s="3"/>
      <c r="O157" s="609"/>
      <c r="P157" s="562"/>
      <c r="Q157" s="562"/>
      <c r="R157" s="562"/>
      <c r="S157" s="562"/>
      <c r="T157" s="562"/>
      <c r="U157" s="562"/>
      <c r="V157" s="562"/>
      <c r="W157" s="562"/>
      <c r="X157" s="787"/>
      <c r="Y157" s="562"/>
      <c r="Z157" s="562"/>
      <c r="AA157" s="562"/>
      <c r="AB157" s="562"/>
      <c r="AC157" s="562"/>
      <c r="AD157" s="562"/>
      <c r="AE157" s="562"/>
      <c r="AF157" s="562"/>
      <c r="AG157" s="562"/>
      <c r="AH157" s="562"/>
      <c r="AI157" s="562"/>
      <c r="AJ157" s="562"/>
      <c r="AK157" s="562"/>
      <c r="AL157" s="562"/>
      <c r="AM157" s="562"/>
      <c r="AN157" s="562"/>
      <c r="AO157" s="562"/>
      <c r="AP157" s="562"/>
      <c r="AQ157" s="562"/>
      <c r="AR157" s="562"/>
      <c r="AS157" s="562"/>
    </row>
    <row r="158" spans="1:45" x14ac:dyDescent="0.2">
      <c r="B158" s="437" t="s">
        <v>3092</v>
      </c>
      <c r="C158" s="14"/>
      <c r="D158" s="14"/>
      <c r="E158" s="14" t="s">
        <v>2181</v>
      </c>
      <c r="F158" s="14"/>
      <c r="G158" s="14"/>
      <c r="H158" s="441"/>
      <c r="I158" s="121"/>
      <c r="J158" s="98"/>
      <c r="K158" s="98"/>
      <c r="L158" s="791"/>
      <c r="M158" s="800"/>
      <c r="N158" s="3"/>
      <c r="O158" s="609"/>
      <c r="P158" s="562"/>
      <c r="Q158" s="562"/>
      <c r="R158" s="562"/>
      <c r="S158" s="562"/>
      <c r="T158" s="562"/>
      <c r="U158" s="562"/>
      <c r="V158" s="562"/>
      <c r="W158" s="562"/>
      <c r="X158" s="787"/>
      <c r="Y158" s="562"/>
      <c r="Z158" s="562"/>
      <c r="AA158" s="562"/>
      <c r="AB158" s="562"/>
      <c r="AC158" s="562"/>
      <c r="AD158" s="562"/>
      <c r="AE158" s="562"/>
      <c r="AF158" s="562"/>
      <c r="AG158" s="562"/>
      <c r="AH158" s="562"/>
      <c r="AI158" s="562"/>
      <c r="AJ158" s="562"/>
      <c r="AK158" s="562"/>
      <c r="AL158" s="562"/>
      <c r="AM158" s="562"/>
      <c r="AN158" s="562"/>
      <c r="AO158" s="562"/>
      <c r="AP158" s="562"/>
      <c r="AQ158" s="562"/>
      <c r="AR158" s="562"/>
      <c r="AS158" s="562"/>
    </row>
    <row r="159" spans="1:45" x14ac:dyDescent="0.2">
      <c r="B159" s="437" t="s">
        <v>3092</v>
      </c>
      <c r="C159" s="14"/>
      <c r="D159" s="14"/>
      <c r="E159" s="14" t="s">
        <v>2181</v>
      </c>
      <c r="F159" s="14"/>
      <c r="G159" s="14"/>
      <c r="H159" s="441"/>
      <c r="I159" s="121"/>
      <c r="J159" s="165"/>
      <c r="K159" s="165"/>
      <c r="L159" s="792"/>
      <c r="M159" s="801"/>
      <c r="N159" s="3"/>
      <c r="O159" s="609"/>
      <c r="P159" s="562"/>
      <c r="Q159" s="562"/>
      <c r="R159" s="562"/>
      <c r="S159" s="562"/>
      <c r="T159" s="562"/>
      <c r="U159" s="562"/>
      <c r="V159" s="562"/>
      <c r="W159" s="562"/>
      <c r="X159" s="787"/>
      <c r="Y159" s="562"/>
      <c r="Z159" s="562"/>
      <c r="AA159" s="562"/>
      <c r="AB159" s="562"/>
      <c r="AC159" s="562"/>
      <c r="AD159" s="562"/>
      <c r="AE159" s="562"/>
      <c r="AF159" s="562"/>
      <c r="AG159" s="562"/>
      <c r="AH159" s="562"/>
      <c r="AI159" s="562"/>
      <c r="AJ159" s="562"/>
      <c r="AK159" s="562"/>
      <c r="AL159" s="562"/>
      <c r="AM159" s="562"/>
      <c r="AN159" s="562"/>
      <c r="AO159" s="562"/>
      <c r="AP159" s="562"/>
      <c r="AQ159" s="562"/>
      <c r="AR159" s="562"/>
      <c r="AS159" s="562"/>
    </row>
    <row r="160" spans="1:45" x14ac:dyDescent="0.2">
      <c r="B160" s="437" t="s">
        <v>3092</v>
      </c>
      <c r="C160" s="14"/>
      <c r="D160" s="14"/>
      <c r="E160" s="14" t="s">
        <v>2183</v>
      </c>
      <c r="F160" s="14"/>
      <c r="G160" s="14"/>
      <c r="H160" s="441"/>
      <c r="I160" s="121"/>
      <c r="J160" s="159" t="s">
        <v>2183</v>
      </c>
      <c r="K160" s="165"/>
      <c r="L160" s="599" t="s">
        <v>3096</v>
      </c>
      <c r="M160" s="611">
        <v>5</v>
      </c>
      <c r="N160" s="3"/>
      <c r="O160" s="609"/>
      <c r="P160" s="64" t="b">
        <v>0</v>
      </c>
      <c r="Q160" s="64" t="b">
        <v>1</v>
      </c>
      <c r="R160" s="562" t="b">
        <v>0</v>
      </c>
      <c r="S160" s="562" t="b">
        <v>1</v>
      </c>
      <c r="T160" s="562" t="b">
        <v>0</v>
      </c>
      <c r="U160" s="562"/>
      <c r="V160" s="562"/>
      <c r="W160" s="18"/>
      <c r="X160" s="563"/>
      <c r="Y160" s="562"/>
      <c r="Z160" s="562"/>
      <c r="AA160" s="562"/>
      <c r="AB160" s="562"/>
      <c r="AC160" s="562" t="b">
        <f>OR(AD160:AE160)</f>
        <v>0</v>
      </c>
      <c r="AD160" s="562" t="b">
        <f>T160</f>
        <v>0</v>
      </c>
      <c r="AE160" s="562" t="b">
        <f>AND(R160,NOT(W160))</f>
        <v>0</v>
      </c>
      <c r="AF160" s="562"/>
      <c r="AG160" s="562"/>
      <c r="AH160" s="562"/>
      <c r="AI160" s="562"/>
      <c r="AJ160" s="562"/>
      <c r="AK160" s="562"/>
      <c r="AL160" s="190" t="str">
        <f>SUBSTITUTE(SUBSTITUTE(SUBSTITUTE("dpa"&amp;$B160&amp;$C160&amp;$D160&amp;$E160&amp;$F160,".","_"),"(","_"),")","")</f>
        <v>dpa901_10_2</v>
      </c>
      <c r="AM160" s="190">
        <f>M160</f>
        <v>5</v>
      </c>
      <c r="AN160" s="562"/>
      <c r="AO160" s="562"/>
      <c r="AP160" s="190" t="str">
        <f t="shared" ref="AP160:AP161" si="4">SUBSTITUTE(SUBSTITUTE(SUBSTITUTE("dch"&amp;$B160&amp;$C160&amp;$D160&amp;$E160&amp;$F160,".","_"),"(","_"),")","")</f>
        <v>dch901_10_2</v>
      </c>
      <c r="AQ160" s="190">
        <f>W160</f>
        <v>0</v>
      </c>
      <c r="AR160" s="190" t="str">
        <f>SUBSTITUTE(SUBSTITUTE(SUBSTITUTE("dnt"&amp;$B160&amp;$C160&amp;$D160&amp;$E160&amp;$F160,".","_"),"(","_"),")","")</f>
        <v>dnt901_10_2</v>
      </c>
      <c r="AS160" s="190">
        <f>X160</f>
        <v>0</v>
      </c>
    </row>
    <row r="161" spans="1:45" x14ac:dyDescent="0.2">
      <c r="B161" s="437" t="s">
        <v>3092</v>
      </c>
      <c r="C161" s="14"/>
      <c r="D161" s="14"/>
      <c r="E161" s="14" t="s">
        <v>2185</v>
      </c>
      <c r="F161" s="14"/>
      <c r="G161" s="14"/>
      <c r="H161" s="441"/>
      <c r="I161" s="253"/>
      <c r="J161" s="134" t="s">
        <v>2185</v>
      </c>
      <c r="K161" s="98"/>
      <c r="L161" s="791" t="s">
        <v>3097</v>
      </c>
      <c r="M161" s="800">
        <v>5</v>
      </c>
      <c r="N161" s="98"/>
      <c r="O161" s="607"/>
      <c r="P161" s="64" t="b">
        <v>0</v>
      </c>
      <c r="Q161" s="64" t="b">
        <v>1</v>
      </c>
      <c r="R161" s="64" t="b">
        <v>0</v>
      </c>
      <c r="S161" s="64" t="b">
        <v>1</v>
      </c>
      <c r="T161" s="64" t="b">
        <v>0</v>
      </c>
      <c r="U161" s="64"/>
      <c r="V161" s="64"/>
      <c r="W161" s="219"/>
      <c r="X161" s="798"/>
      <c r="Y161" s="562"/>
      <c r="Z161" s="562"/>
      <c r="AA161" s="562"/>
      <c r="AB161" s="562"/>
      <c r="AC161" s="562" t="b">
        <f>OR(AD161:AE161)</f>
        <v>0</v>
      </c>
      <c r="AD161" s="562" t="b">
        <f>T161</f>
        <v>0</v>
      </c>
      <c r="AE161" s="562" t="b">
        <f>AND(R161,NOT(W161))</f>
        <v>0</v>
      </c>
      <c r="AF161" s="562"/>
      <c r="AG161" s="562"/>
      <c r="AH161" s="562"/>
      <c r="AI161" s="562"/>
      <c r="AJ161" s="562"/>
      <c r="AK161" s="562"/>
      <c r="AL161" s="190" t="str">
        <f>SUBSTITUTE(SUBSTITUTE(SUBSTITUTE("dpa"&amp;$B161&amp;$C161&amp;$D161&amp;$E161&amp;$F161,".","_"),"(","_"),")","")</f>
        <v>dpa901_10_3</v>
      </c>
      <c r="AM161" s="190">
        <f>M161</f>
        <v>5</v>
      </c>
      <c r="AN161" s="562"/>
      <c r="AO161" s="562"/>
      <c r="AP161" s="190" t="str">
        <f t="shared" si="4"/>
        <v>dch901_10_3</v>
      </c>
      <c r="AQ161" s="190">
        <f>W161</f>
        <v>0</v>
      </c>
      <c r="AR161" s="190" t="str">
        <f>SUBSTITUTE(SUBSTITUTE(SUBSTITUTE("dnt"&amp;$B161&amp;$C161&amp;$D161&amp;$E161&amp;$F161,".","_"),"(","_"),")","")</f>
        <v>dnt901_10_3</v>
      </c>
      <c r="AS161" s="190">
        <f>X161</f>
        <v>0</v>
      </c>
    </row>
    <row r="162" spans="1:45" x14ac:dyDescent="0.2">
      <c r="B162" s="437" t="s">
        <v>3092</v>
      </c>
      <c r="C162" s="14"/>
      <c r="D162" s="14"/>
      <c r="E162" s="14" t="s">
        <v>2185</v>
      </c>
      <c r="F162" s="14"/>
      <c r="G162" s="14"/>
      <c r="H162" s="441"/>
      <c r="I162" s="253"/>
      <c r="J162" s="98"/>
      <c r="K162" s="98"/>
      <c r="L162" s="791"/>
      <c r="M162" s="800"/>
      <c r="N162" s="98"/>
      <c r="O162" s="607"/>
      <c r="P162" s="64"/>
      <c r="Q162" s="64"/>
      <c r="R162" s="64"/>
      <c r="S162" s="64"/>
      <c r="T162" s="64"/>
      <c r="U162" s="64"/>
      <c r="V162" s="64"/>
      <c r="W162" s="64"/>
      <c r="X162" s="798"/>
      <c r="Y162" s="562"/>
      <c r="Z162" s="562"/>
      <c r="AA162" s="562"/>
      <c r="AB162" s="562"/>
      <c r="AC162" s="562"/>
      <c r="AD162" s="562"/>
      <c r="AE162" s="562"/>
      <c r="AF162" s="562"/>
      <c r="AG162" s="562"/>
      <c r="AH162" s="562"/>
      <c r="AI162" s="562"/>
      <c r="AJ162" s="562"/>
      <c r="AK162" s="562"/>
      <c r="AL162" s="562"/>
      <c r="AM162" s="562"/>
      <c r="AN162" s="562"/>
      <c r="AO162" s="562"/>
      <c r="AP162" s="562"/>
      <c r="AQ162" s="562"/>
      <c r="AR162" s="562"/>
      <c r="AS162" s="562"/>
    </row>
    <row r="163" spans="1:45" x14ac:dyDescent="0.2">
      <c r="B163" s="437" t="s">
        <v>3092</v>
      </c>
      <c r="C163" s="14"/>
      <c r="D163" s="14"/>
      <c r="E163" s="14" t="s">
        <v>2185</v>
      </c>
      <c r="F163" s="14"/>
      <c r="G163" s="14"/>
      <c r="H163" s="441"/>
      <c r="I163" s="253"/>
      <c r="J163" s="98"/>
      <c r="K163" s="98"/>
      <c r="L163" s="791"/>
      <c r="M163" s="800"/>
      <c r="N163" s="98"/>
      <c r="O163" s="607"/>
      <c r="P163" s="64"/>
      <c r="Q163" s="64"/>
      <c r="R163" s="64"/>
      <c r="S163" s="64"/>
      <c r="T163" s="64"/>
      <c r="U163" s="64"/>
      <c r="V163" s="64"/>
      <c r="W163" s="64"/>
      <c r="X163" s="798"/>
      <c r="Y163" s="562"/>
      <c r="Z163" s="562"/>
      <c r="AA163" s="562"/>
      <c r="AB163" s="562"/>
      <c r="AC163" s="562"/>
      <c r="AD163" s="562"/>
      <c r="AE163" s="562"/>
      <c r="AF163" s="562"/>
      <c r="AG163" s="562"/>
      <c r="AH163" s="562"/>
      <c r="AI163" s="562"/>
      <c r="AJ163" s="562"/>
      <c r="AK163" s="562"/>
      <c r="AL163" s="562"/>
      <c r="AM163" s="562"/>
      <c r="AN163" s="562"/>
      <c r="AO163" s="562"/>
      <c r="AP163" s="562"/>
      <c r="AQ163" s="562"/>
      <c r="AR163" s="562"/>
      <c r="AS163" s="562"/>
    </row>
    <row r="164" spans="1:45" ht="16" thickBot="1" x14ac:dyDescent="0.25">
      <c r="B164" s="437" t="s">
        <v>3092</v>
      </c>
      <c r="C164" s="14"/>
      <c r="D164" s="14"/>
      <c r="E164" s="14" t="s">
        <v>2185</v>
      </c>
      <c r="F164" s="14"/>
      <c r="G164" s="14"/>
      <c r="H164" s="441"/>
      <c r="I164" s="254"/>
      <c r="J164" s="185"/>
      <c r="K164" s="185"/>
      <c r="L164" s="255" t="s">
        <v>3098</v>
      </c>
      <c r="M164" s="615"/>
      <c r="N164" s="185"/>
      <c r="O164" s="622"/>
      <c r="P164" s="68"/>
      <c r="Q164" s="68"/>
      <c r="R164" s="68"/>
      <c r="S164" s="68"/>
      <c r="T164" s="68"/>
      <c r="U164" s="68"/>
      <c r="V164" s="68"/>
      <c r="W164" s="68"/>
      <c r="X164" s="799"/>
      <c r="Y164" s="562"/>
      <c r="Z164" s="562"/>
      <c r="AA164" s="562"/>
      <c r="AB164" s="562"/>
      <c r="AC164" s="562"/>
      <c r="AD164" s="562"/>
      <c r="AE164" s="562"/>
      <c r="AF164" s="562"/>
      <c r="AG164" s="562"/>
      <c r="AH164" s="562"/>
      <c r="AI164" s="562"/>
      <c r="AJ164" s="562"/>
      <c r="AK164" s="562"/>
      <c r="AL164" s="562"/>
      <c r="AM164" s="562"/>
      <c r="AN164" s="562"/>
      <c r="AO164" s="562"/>
      <c r="AP164" s="562"/>
      <c r="AQ164" s="562"/>
      <c r="AR164" s="562"/>
      <c r="AS164" s="562"/>
    </row>
    <row r="165" spans="1:45" ht="16" thickTop="1" x14ac:dyDescent="0.2">
      <c r="B165" s="358">
        <v>901.11</v>
      </c>
      <c r="C165" s="14"/>
      <c r="D165" s="14"/>
      <c r="E165" s="14"/>
      <c r="F165" s="14"/>
      <c r="G165" s="14"/>
      <c r="H165" s="441"/>
      <c r="I165" s="131" t="s">
        <v>3099</v>
      </c>
      <c r="J165" s="132"/>
      <c r="K165" s="132"/>
      <c r="L165" s="819" t="s">
        <v>3100</v>
      </c>
      <c r="M165" s="827">
        <v>4</v>
      </c>
      <c r="N165" s="132"/>
      <c r="O165" s="823">
        <f>M165*S165*W165</f>
        <v>0</v>
      </c>
      <c r="P165" s="64" t="b">
        <v>1</v>
      </c>
      <c r="Q165" s="64" t="b">
        <v>1</v>
      </c>
      <c r="R165" s="74" t="b">
        <v>0</v>
      </c>
      <c r="S165" s="74" t="b">
        <v>1</v>
      </c>
      <c r="T165" s="74" t="b">
        <v>0</v>
      </c>
      <c r="U165" s="74"/>
      <c r="V165" s="74"/>
      <c r="W165" s="221"/>
      <c r="X165" s="802"/>
      <c r="Y165" s="562"/>
      <c r="Z165" s="562"/>
      <c r="AA165" s="562"/>
      <c r="AB165" s="562"/>
      <c r="AC165" s="562" t="b">
        <f>OR(AD165:AE165)</f>
        <v>0</v>
      </c>
      <c r="AD165" s="562" t="b">
        <f>T165</f>
        <v>0</v>
      </c>
      <c r="AE165" s="562" t="b">
        <f>AND(R165,NOT(W165))</f>
        <v>0</v>
      </c>
      <c r="AF165" s="562"/>
      <c r="AG165" s="562"/>
      <c r="AH165" s="562"/>
      <c r="AI165" s="562"/>
      <c r="AJ165" s="562"/>
      <c r="AK165" s="562"/>
      <c r="AL165" s="190" t="str">
        <f>SUBSTITUTE(SUBSTITUTE(SUBSTITUTE("dpa"&amp;$B165&amp;$C165&amp;$D165&amp;$E165&amp;$F165,".","_"),"(","_"),")","")</f>
        <v>dpa901,11</v>
      </c>
      <c r="AM165" s="190">
        <f>M165</f>
        <v>4</v>
      </c>
      <c r="AN165" s="190" t="str">
        <f>SUBSTITUTE(SUBSTITUTE(SUBSTITUTE("dpc"&amp;$B165&amp;$C165&amp;$D165&amp;$E165&amp;$F165,".","_"),"(","_"),")","")</f>
        <v>dpc901,11</v>
      </c>
      <c r="AO165" s="190">
        <f>O165</f>
        <v>0</v>
      </c>
      <c r="AP165" s="190" t="str">
        <f>SUBSTITUTE(SUBSTITUTE(SUBSTITUTE("dch"&amp;$B165&amp;$C165&amp;$D165&amp;$E165&amp;$F165,".","_"),"(","_"),")","")</f>
        <v>dch901,11</v>
      </c>
      <c r="AQ165" s="190">
        <f>W165</f>
        <v>0</v>
      </c>
      <c r="AR165" s="190" t="str">
        <f>SUBSTITUTE(SUBSTITUTE(SUBSTITUTE("dnt"&amp;$B165&amp;$C165&amp;$D165&amp;$E165&amp;$F165,".","_"),"(","_"),")","")</f>
        <v>dnt901,11</v>
      </c>
      <c r="AS165" s="190">
        <f>X165</f>
        <v>0</v>
      </c>
    </row>
    <row r="166" spans="1:45" s="226" customFormat="1" x14ac:dyDescent="0.2">
      <c r="A166" s="13"/>
      <c r="B166" s="358">
        <v>901.11</v>
      </c>
      <c r="C166" s="14"/>
      <c r="D166" s="14"/>
      <c r="E166" s="14"/>
      <c r="F166" s="14"/>
      <c r="G166" s="14"/>
      <c r="H166" s="441"/>
      <c r="I166" s="253"/>
      <c r="J166" s="98"/>
      <c r="K166" s="98"/>
      <c r="L166" s="820"/>
      <c r="M166" s="800"/>
      <c r="N166" s="98"/>
      <c r="O166" s="793"/>
      <c r="P166" s="64"/>
      <c r="Q166" s="64"/>
      <c r="R166" s="64"/>
      <c r="S166" s="64"/>
      <c r="T166" s="64"/>
      <c r="U166" s="64"/>
      <c r="V166" s="64"/>
      <c r="W166" s="64"/>
      <c r="X166" s="798"/>
      <c r="Y166" s="562"/>
      <c r="Z166" s="562"/>
      <c r="AA166" s="562"/>
      <c r="AB166" s="562"/>
      <c r="AC166" s="562"/>
      <c r="AD166" s="562"/>
      <c r="AE166" s="562"/>
      <c r="AF166" s="562"/>
      <c r="AG166" s="562"/>
      <c r="AH166" s="562"/>
      <c r="AI166" s="562"/>
      <c r="AJ166" s="562"/>
      <c r="AK166" s="562"/>
      <c r="AL166" s="562"/>
      <c r="AM166" s="562"/>
      <c r="AN166" s="562"/>
      <c r="AO166" s="562"/>
      <c r="AP166" s="562"/>
      <c r="AQ166" s="562"/>
      <c r="AR166" s="562"/>
      <c r="AS166" s="562"/>
    </row>
    <row r="167" spans="1:45" x14ac:dyDescent="0.2">
      <c r="B167" s="358">
        <v>901.11</v>
      </c>
      <c r="C167" s="14"/>
      <c r="D167" s="14"/>
      <c r="E167" s="14"/>
      <c r="F167" s="14"/>
      <c r="G167" s="14"/>
      <c r="H167" s="441"/>
      <c r="I167" s="253"/>
      <c r="J167" s="98"/>
      <c r="K167" s="98"/>
      <c r="L167" s="820"/>
      <c r="M167" s="800"/>
      <c r="N167" s="98"/>
      <c r="O167" s="793"/>
      <c r="P167" s="64"/>
      <c r="Q167" s="64"/>
      <c r="R167" s="64"/>
      <c r="S167" s="64"/>
      <c r="T167" s="64"/>
      <c r="U167" s="64"/>
      <c r="V167" s="64"/>
      <c r="W167" s="64"/>
      <c r="X167" s="798"/>
      <c r="Y167" s="562"/>
      <c r="Z167" s="562"/>
      <c r="AA167" s="562"/>
      <c r="AB167" s="562"/>
      <c r="AC167" s="562"/>
      <c r="AD167" s="562"/>
      <c r="AE167" s="562"/>
      <c r="AF167" s="562"/>
      <c r="AG167" s="562"/>
      <c r="AH167" s="562"/>
      <c r="AI167" s="562"/>
      <c r="AJ167" s="562"/>
      <c r="AK167" s="562"/>
      <c r="AL167" s="562"/>
      <c r="AM167" s="562"/>
      <c r="AN167" s="562"/>
      <c r="AO167" s="562"/>
      <c r="AP167" s="562"/>
      <c r="AQ167" s="562"/>
      <c r="AR167" s="562"/>
      <c r="AS167" s="562"/>
    </row>
    <row r="168" spans="1:45" x14ac:dyDescent="0.2">
      <c r="B168" s="358">
        <v>901.11</v>
      </c>
      <c r="C168" s="14"/>
      <c r="D168" s="14"/>
      <c r="E168" s="14"/>
      <c r="F168" s="14"/>
      <c r="G168" s="14"/>
      <c r="H168" s="441"/>
      <c r="I168" s="253"/>
      <c r="J168" s="98"/>
      <c r="K168" s="98"/>
      <c r="L168" s="820"/>
      <c r="M168" s="800"/>
      <c r="N168" s="98"/>
      <c r="O168" s="793"/>
      <c r="P168" s="64"/>
      <c r="Q168" s="64"/>
      <c r="R168" s="64"/>
      <c r="S168" s="64"/>
      <c r="T168" s="64"/>
      <c r="U168" s="64"/>
      <c r="V168" s="64"/>
      <c r="W168" s="64"/>
      <c r="X168" s="798"/>
      <c r="Y168" s="562"/>
      <c r="Z168" s="562"/>
      <c r="AA168" s="562"/>
      <c r="AB168" s="562"/>
      <c r="AC168" s="562"/>
      <c r="AD168" s="562"/>
      <c r="AE168" s="562"/>
      <c r="AF168" s="562"/>
      <c r="AG168" s="562"/>
      <c r="AH168" s="562"/>
      <c r="AI168" s="562"/>
      <c r="AJ168" s="562"/>
      <c r="AK168" s="562"/>
      <c r="AL168" s="562"/>
      <c r="AM168" s="562"/>
      <c r="AN168" s="562"/>
      <c r="AO168" s="562"/>
      <c r="AP168" s="562"/>
      <c r="AQ168" s="562"/>
      <c r="AR168" s="562"/>
      <c r="AS168" s="562"/>
    </row>
    <row r="169" spans="1:45" ht="16" thickBot="1" x14ac:dyDescent="0.25">
      <c r="B169" s="358">
        <v>901.11</v>
      </c>
      <c r="C169" s="14"/>
      <c r="D169" s="14"/>
      <c r="E169" s="14"/>
      <c r="F169" s="14"/>
      <c r="G169" s="14"/>
      <c r="H169" s="441"/>
      <c r="I169" s="254"/>
      <c r="J169" s="185"/>
      <c r="K169" s="185"/>
      <c r="L169" s="822"/>
      <c r="M169" s="813"/>
      <c r="N169" s="185"/>
      <c r="O169" s="821"/>
      <c r="P169" s="68"/>
      <c r="Q169" s="68"/>
      <c r="R169" s="68"/>
      <c r="S169" s="68"/>
      <c r="T169" s="68"/>
      <c r="U169" s="68"/>
      <c r="V169" s="68"/>
      <c r="W169" s="68"/>
      <c r="X169" s="799"/>
      <c r="Y169" s="562"/>
      <c r="Z169" s="562"/>
      <c r="AA169" s="562"/>
      <c r="AB169" s="562"/>
      <c r="AC169" s="562"/>
      <c r="AD169" s="562"/>
      <c r="AE169" s="562"/>
      <c r="AF169" s="562"/>
      <c r="AG169" s="562"/>
      <c r="AH169" s="562"/>
      <c r="AI169" s="562"/>
      <c r="AJ169" s="562"/>
      <c r="AK169" s="562"/>
      <c r="AL169" s="562"/>
      <c r="AM169" s="562"/>
      <c r="AN169" s="562"/>
      <c r="AO169" s="562"/>
      <c r="AP169" s="562"/>
      <c r="AQ169" s="562"/>
      <c r="AR169" s="562"/>
      <c r="AS169" s="562"/>
    </row>
    <row r="170" spans="1:45" ht="16" thickTop="1" x14ac:dyDescent="0.2">
      <c r="B170" s="358">
        <v>901.12</v>
      </c>
      <c r="C170" s="14"/>
      <c r="D170" s="14"/>
      <c r="E170" s="14"/>
      <c r="F170" s="14"/>
      <c r="G170" s="14"/>
      <c r="H170" s="441"/>
      <c r="I170" s="131" t="s">
        <v>3101</v>
      </c>
      <c r="J170" s="132"/>
      <c r="K170" s="132"/>
      <c r="L170" s="819" t="s">
        <v>3102</v>
      </c>
      <c r="M170" s="843" t="str">
        <f>IF(R170,"Mandatory","N/A")</f>
        <v>Mandatory</v>
      </c>
      <c r="N170" s="132"/>
      <c r="O170" s="623"/>
      <c r="P170" s="64" t="b">
        <v>0</v>
      </c>
      <c r="Q170" s="64" t="b">
        <v>1</v>
      </c>
      <c r="R170" s="74" t="b">
        <f>S170</f>
        <v>1</v>
      </c>
      <c r="S170" s="74" t="b">
        <v>1</v>
      </c>
      <c r="T170" s="74" t="b">
        <v>0</v>
      </c>
      <c r="U170" s="74" t="str">
        <f>SUBSTITUTE(SUBSTITUTE(SUBSTITUTE("dd"&amp;B170&amp;C170&amp;D170&amp;E170&amp;F170,".","_"),"(","_"),")","")</f>
        <v>dd901,12</v>
      </c>
      <c r="V170" s="74"/>
      <c r="W170" s="6"/>
      <c r="X170" s="802"/>
      <c r="Y170" s="562"/>
      <c r="Z170" s="562"/>
      <c r="AA170" s="562"/>
      <c r="AB170" s="562"/>
      <c r="AC170" s="562" t="b">
        <f>OR(AD170:AE170)</f>
        <v>1</v>
      </c>
      <c r="AD170" s="562" t="b">
        <f>T170</f>
        <v>0</v>
      </c>
      <c r="AE170" s="562" t="b">
        <f>AND(R170,OR(LEN(W170)=0,W170="Not Met"))</f>
        <v>1</v>
      </c>
      <c r="AF170" s="562"/>
      <c r="AG170" s="562"/>
      <c r="AH170" s="562"/>
      <c r="AI170" s="562"/>
      <c r="AJ170" s="562"/>
      <c r="AK170" s="562"/>
      <c r="AL170" s="190" t="str">
        <f>SUBSTITUTE(SUBSTITUTE(SUBSTITUTE("dpa"&amp;$B170&amp;$C170&amp;$D170&amp;$E170&amp;$F170,".","_"),"(","_"),")","")</f>
        <v>dpa901,12</v>
      </c>
      <c r="AM170" s="190" t="str">
        <f>M170</f>
        <v>Mandatory</v>
      </c>
      <c r="AN170" s="562"/>
      <c r="AO170" s="562"/>
      <c r="AP170" s="190" t="str">
        <f>SUBSTITUTE(SUBSTITUTE(SUBSTITUTE("dch"&amp;$B170&amp;$C170&amp;$D170&amp;$E170&amp;$F170,".","_"),"(","_"),")","")</f>
        <v>dch901,12</v>
      </c>
      <c r="AQ170" s="190">
        <f>W170</f>
        <v>0</v>
      </c>
      <c r="AR170" s="190" t="str">
        <f>SUBSTITUTE(SUBSTITUTE(SUBSTITUTE("dnt"&amp;$B170&amp;$C170&amp;$D170&amp;$E170&amp;$F170,".","_"),"(","_"),")","")</f>
        <v>dnt901,12</v>
      </c>
      <c r="AS170" s="190">
        <f>X170</f>
        <v>0</v>
      </c>
    </row>
    <row r="171" spans="1:45" ht="16" thickBot="1" x14ac:dyDescent="0.25">
      <c r="B171" s="358">
        <v>901.12</v>
      </c>
      <c r="C171" s="14"/>
      <c r="D171" s="14"/>
      <c r="E171" s="14"/>
      <c r="F171" s="14"/>
      <c r="G171" s="14"/>
      <c r="H171" s="441"/>
      <c r="I171" s="254"/>
      <c r="J171" s="185"/>
      <c r="K171" s="185"/>
      <c r="L171" s="822"/>
      <c r="M171" s="844"/>
      <c r="N171" s="185"/>
      <c r="O171" s="622"/>
      <c r="P171" s="68"/>
      <c r="Q171" s="68"/>
      <c r="R171" s="68"/>
      <c r="S171" s="68"/>
      <c r="T171" s="68"/>
      <c r="U171" s="68"/>
      <c r="V171" s="68"/>
      <c r="W171" s="68"/>
      <c r="X171" s="799"/>
      <c r="Y171" s="562"/>
      <c r="Z171" s="562"/>
      <c r="AA171" s="562"/>
      <c r="AB171" s="562"/>
      <c r="AC171" s="562"/>
      <c r="AD171" s="562"/>
      <c r="AE171" s="562"/>
      <c r="AF171" s="562"/>
      <c r="AG171" s="562"/>
      <c r="AH171" s="562"/>
      <c r="AI171" s="562"/>
      <c r="AJ171" s="562"/>
      <c r="AK171" s="562"/>
      <c r="AL171" s="562"/>
      <c r="AM171" s="562"/>
      <c r="AN171" s="562"/>
      <c r="AO171" s="562"/>
      <c r="AP171" s="562"/>
      <c r="AQ171" s="562"/>
      <c r="AR171" s="562"/>
      <c r="AS171" s="562"/>
    </row>
    <row r="172" spans="1:45" ht="16" thickTop="1" x14ac:dyDescent="0.2">
      <c r="B172" s="358">
        <v>901.13</v>
      </c>
      <c r="C172" s="14"/>
      <c r="D172" s="14"/>
      <c r="E172" s="14"/>
      <c r="F172" s="14"/>
      <c r="G172" s="14"/>
      <c r="H172" s="441"/>
      <c r="I172" s="131" t="s">
        <v>3103</v>
      </c>
      <c r="J172" s="132"/>
      <c r="K172" s="132"/>
      <c r="L172" s="819" t="s">
        <v>3104</v>
      </c>
      <c r="M172" s="625"/>
      <c r="N172" s="132"/>
      <c r="O172" s="823">
        <f ca="1">MIN(1,M174*S174*W174+M175*S175*W175)</f>
        <v>0</v>
      </c>
      <c r="P172" s="74"/>
      <c r="Q172" s="74"/>
      <c r="R172" s="74"/>
      <c r="S172" s="74"/>
      <c r="T172" s="74"/>
      <c r="U172" s="74"/>
      <c r="V172" s="74"/>
      <c r="W172" s="74"/>
      <c r="X172" s="802"/>
      <c r="Y172" s="562"/>
      <c r="Z172" s="562"/>
      <c r="AA172" s="562"/>
      <c r="AB172" s="562"/>
      <c r="AC172" s="562"/>
      <c r="AD172" s="562"/>
      <c r="AE172" s="562"/>
      <c r="AF172" s="562"/>
      <c r="AG172" s="562"/>
      <c r="AH172" s="562"/>
      <c r="AI172" s="562"/>
      <c r="AJ172" s="562"/>
      <c r="AK172" s="562"/>
      <c r="AL172" s="562"/>
      <c r="AM172" s="562"/>
      <c r="AN172" s="190" t="str">
        <f>SUBSTITUTE(SUBSTITUTE(SUBSTITUTE("dpc"&amp;$B172&amp;$C172&amp;$D172&amp;$E172&amp;$F172,".","_"),"(","_"),")","")</f>
        <v>dpc901,13</v>
      </c>
      <c r="AO172" s="190">
        <f ca="1">O172</f>
        <v>0</v>
      </c>
      <c r="AP172" s="562"/>
      <c r="AQ172" s="562"/>
      <c r="AR172" s="190" t="str">
        <f>SUBSTITUTE(SUBSTITUTE(SUBSTITUTE("dnt"&amp;$B172&amp;$C172&amp;$D172&amp;$E172&amp;$F172,".","_"),"(","_"),")","")</f>
        <v>dnt901,13</v>
      </c>
      <c r="AS172" s="190">
        <f>X172</f>
        <v>0</v>
      </c>
    </row>
    <row r="173" spans="1:45" ht="15" customHeight="1" x14ac:dyDescent="0.2">
      <c r="B173" s="358">
        <v>901.13</v>
      </c>
      <c r="C173" s="14"/>
      <c r="D173" s="14"/>
      <c r="E173" s="14"/>
      <c r="F173" s="14"/>
      <c r="G173" s="14"/>
      <c r="H173" s="441"/>
      <c r="I173" s="253"/>
      <c r="J173" s="98"/>
      <c r="K173" s="98"/>
      <c r="L173" s="820"/>
      <c r="M173" s="610"/>
      <c r="N173" s="98"/>
      <c r="O173" s="793"/>
      <c r="P173" s="64"/>
      <c r="Q173" s="64"/>
      <c r="R173" s="64"/>
      <c r="S173" s="64"/>
      <c r="T173" s="64"/>
      <c r="U173" s="64"/>
      <c r="V173" s="64"/>
      <c r="W173" s="64"/>
      <c r="X173" s="798"/>
      <c r="Y173" s="562"/>
      <c r="Z173" s="562"/>
      <c r="AA173" s="562"/>
      <c r="AB173" s="562"/>
      <c r="AC173" s="562"/>
      <c r="AD173" s="562"/>
      <c r="AE173" s="562"/>
      <c r="AF173" s="562"/>
      <c r="AG173" s="562"/>
      <c r="AH173" s="562"/>
      <c r="AI173" s="562"/>
      <c r="AJ173" s="562"/>
      <c r="AK173" s="562"/>
      <c r="AL173" s="562"/>
      <c r="AM173" s="562"/>
      <c r="AN173" s="562"/>
      <c r="AO173" s="562"/>
      <c r="AP173" s="562"/>
      <c r="AQ173" s="562"/>
      <c r="AR173" s="562"/>
      <c r="AS173" s="562"/>
    </row>
    <row r="174" spans="1:45" ht="15" customHeight="1" x14ac:dyDescent="0.2">
      <c r="B174" s="358">
        <v>901.13</v>
      </c>
      <c r="C174" s="14"/>
      <c r="D174" s="14"/>
      <c r="E174" s="14" t="s">
        <v>2181</v>
      </c>
      <c r="F174" s="14"/>
      <c r="G174" s="14"/>
      <c r="H174" s="441"/>
      <c r="I174" s="253"/>
      <c r="J174" s="159" t="s">
        <v>2181</v>
      </c>
      <c r="K174" s="165"/>
      <c r="L174" s="599" t="s">
        <v>3105</v>
      </c>
      <c r="M174" s="611">
        <v>1</v>
      </c>
      <c r="N174" s="98"/>
      <c r="O174" s="607"/>
      <c r="P174" s="64" t="b">
        <v>0</v>
      </c>
      <c r="Q174" s="64" t="b">
        <v>1</v>
      </c>
      <c r="R174" s="64" t="b">
        <v>0</v>
      </c>
      <c r="S174" s="562" t="b">
        <f ca="1">$AY$19=INDEX(INDIRECT("ddSingleOrMulti"),2)</f>
        <v>0</v>
      </c>
      <c r="T174" s="64" t="b">
        <f ca="1">AND(NOT(S174),W174=TRUE)</f>
        <v>0</v>
      </c>
      <c r="U174" s="64"/>
      <c r="V174" s="64"/>
      <c r="W174" s="219"/>
      <c r="X174" s="798"/>
      <c r="Y174" s="562"/>
      <c r="Z174" s="562"/>
      <c r="AA174" s="562"/>
      <c r="AB174" s="562"/>
      <c r="AC174" s="562" t="b">
        <f ca="1">OR(AD174:AE174)</f>
        <v>0</v>
      </c>
      <c r="AD174" s="562" t="b">
        <f ca="1">T174</f>
        <v>0</v>
      </c>
      <c r="AE174" s="562" t="b">
        <f>AND(R174,NOT(W174))</f>
        <v>0</v>
      </c>
      <c r="AF174" s="562"/>
      <c r="AG174" s="562"/>
      <c r="AH174" s="562"/>
      <c r="AI174" s="562"/>
      <c r="AJ174" s="562"/>
      <c r="AK174" s="562"/>
      <c r="AL174" s="190" t="str">
        <f>SUBSTITUTE(SUBSTITUTE(SUBSTITUTE("dpa"&amp;$B174&amp;$C174&amp;$D174&amp;$E174&amp;$F174,".","_"),"(","_"),")","")</f>
        <v>dpa901,13_1</v>
      </c>
      <c r="AM174" s="190">
        <f>M174</f>
        <v>1</v>
      </c>
      <c r="AN174" s="562"/>
      <c r="AO174" s="562"/>
      <c r="AP174" s="190" t="str">
        <f t="shared" ref="AP174:AP175" si="5">SUBSTITUTE(SUBSTITUTE(SUBSTITUTE("dch"&amp;$B174&amp;$C174&amp;$D174&amp;$E174&amp;$F174,".","_"),"(","_"),")","")</f>
        <v>dch901,13_1</v>
      </c>
      <c r="AQ174" s="190">
        <f>W174</f>
        <v>0</v>
      </c>
      <c r="AR174" s="562"/>
      <c r="AS174" s="562"/>
    </row>
    <row r="175" spans="1:45" ht="15" customHeight="1" thickBot="1" x14ac:dyDescent="0.25">
      <c r="B175" s="358">
        <v>901.13</v>
      </c>
      <c r="C175" s="14"/>
      <c r="D175" s="14"/>
      <c r="E175" s="14" t="s">
        <v>2183</v>
      </c>
      <c r="F175" s="14"/>
      <c r="G175" s="14"/>
      <c r="H175" s="441"/>
      <c r="I175" s="254"/>
      <c r="J175" s="143" t="s">
        <v>2183</v>
      </c>
      <c r="K175" s="185"/>
      <c r="L175" s="626" t="s">
        <v>3106</v>
      </c>
      <c r="M175" s="615">
        <v>1</v>
      </c>
      <c r="N175" s="185"/>
      <c r="O175" s="622"/>
      <c r="P175" s="64" t="b">
        <v>0</v>
      </c>
      <c r="Q175" s="64" t="b">
        <v>1</v>
      </c>
      <c r="R175" s="68" t="b">
        <v>0</v>
      </c>
      <c r="S175" s="562" t="b">
        <f ca="1">$AY$19=INDEX(INDIRECT("ddSingleOrMulti"),2)</f>
        <v>0</v>
      </c>
      <c r="T175" s="64" t="b">
        <f ca="1">AND(NOT(S175),W175=TRUE)</f>
        <v>0</v>
      </c>
      <c r="U175" s="68"/>
      <c r="V175" s="68"/>
      <c r="W175" s="69"/>
      <c r="X175" s="799"/>
      <c r="Y175" s="562"/>
      <c r="Z175" s="562"/>
      <c r="AA175" s="562"/>
      <c r="AB175" s="562"/>
      <c r="AC175" s="562" t="b">
        <f ca="1">OR(AD175:AE175)</f>
        <v>0</v>
      </c>
      <c r="AD175" s="562" t="b">
        <f ca="1">T175</f>
        <v>0</v>
      </c>
      <c r="AE175" s="562" t="b">
        <f>AND(R175,NOT(W175))</f>
        <v>0</v>
      </c>
      <c r="AF175" s="562"/>
      <c r="AG175" s="562"/>
      <c r="AH175" s="562"/>
      <c r="AI175" s="562"/>
      <c r="AJ175" s="562"/>
      <c r="AK175" s="562"/>
      <c r="AL175" s="190" t="str">
        <f>SUBSTITUTE(SUBSTITUTE(SUBSTITUTE("dpa"&amp;$B175&amp;$C175&amp;$D175&amp;$E175&amp;$F175,".","_"),"(","_"),")","")</f>
        <v>dpa901,13_2</v>
      </c>
      <c r="AM175" s="190">
        <f>M175</f>
        <v>1</v>
      </c>
      <c r="AN175" s="562"/>
      <c r="AO175" s="562"/>
      <c r="AP175" s="190" t="str">
        <f t="shared" si="5"/>
        <v>dch901,13_2</v>
      </c>
      <c r="AQ175" s="190">
        <f>W175</f>
        <v>0</v>
      </c>
      <c r="AR175" s="562"/>
      <c r="AS175" s="562"/>
    </row>
    <row r="176" spans="1:45" ht="15" customHeight="1" thickTop="1" x14ac:dyDescent="0.2">
      <c r="B176" s="358">
        <v>901.14</v>
      </c>
      <c r="C176" s="14"/>
      <c r="D176" s="14"/>
      <c r="E176" s="14"/>
      <c r="F176" s="14"/>
      <c r="G176" s="14"/>
      <c r="H176" s="441"/>
      <c r="I176" s="40" t="s">
        <v>3107</v>
      </c>
      <c r="J176" s="3"/>
      <c r="K176" s="3"/>
      <c r="L176" s="775" t="s">
        <v>3108</v>
      </c>
      <c r="M176" s="616"/>
      <c r="N176" s="3"/>
      <c r="O176" s="609"/>
      <c r="P176" s="562"/>
      <c r="Q176" s="562"/>
      <c r="R176" s="562"/>
      <c r="S176" s="562"/>
      <c r="T176" s="562"/>
      <c r="U176" s="562"/>
      <c r="V176" s="562"/>
      <c r="W176" s="562"/>
      <c r="X176" s="562"/>
      <c r="Y176" s="562"/>
      <c r="Z176" s="562"/>
      <c r="AA176" s="562"/>
      <c r="AB176" s="562"/>
      <c r="AC176" s="562"/>
      <c r="AD176" s="562"/>
      <c r="AE176" s="562"/>
      <c r="AF176" s="562"/>
      <c r="AG176" s="562"/>
      <c r="AH176" s="562"/>
      <c r="AI176" s="562"/>
      <c r="AJ176" s="562"/>
      <c r="AK176" s="562"/>
      <c r="AL176" s="562"/>
      <c r="AM176" s="562"/>
      <c r="AN176" s="562"/>
      <c r="AO176" s="562"/>
      <c r="AP176" s="562"/>
      <c r="AQ176" s="562"/>
      <c r="AR176" s="562"/>
      <c r="AS176" s="562"/>
    </row>
    <row r="177" spans="1:45" ht="15" customHeight="1" x14ac:dyDescent="0.2">
      <c r="B177" s="358">
        <v>901.14</v>
      </c>
      <c r="C177" s="14"/>
      <c r="D177" s="14"/>
      <c r="E177" s="14"/>
      <c r="F177" s="14"/>
      <c r="G177" s="14"/>
      <c r="H177" s="441"/>
      <c r="I177" s="121"/>
      <c r="J177" s="3"/>
      <c r="K177" s="3"/>
      <c r="L177" s="775"/>
      <c r="M177" s="616"/>
      <c r="N177" s="3"/>
      <c r="O177" s="609"/>
      <c r="P177" s="562"/>
      <c r="Q177" s="562"/>
      <c r="R177" s="562"/>
      <c r="S177" s="562"/>
      <c r="T177" s="562"/>
      <c r="U177" s="562"/>
      <c r="V177" s="562"/>
      <c r="W177" s="562"/>
      <c r="X177" s="562"/>
      <c r="Y177" s="562"/>
      <c r="Z177" s="562"/>
      <c r="AA177" s="562"/>
      <c r="AB177" s="562"/>
      <c r="AC177" s="562"/>
      <c r="AD177" s="562"/>
      <c r="AE177" s="562"/>
      <c r="AF177" s="562"/>
      <c r="AG177" s="562"/>
      <c r="AH177" s="562"/>
      <c r="AI177" s="562"/>
      <c r="AJ177" s="562"/>
      <c r="AK177" s="562"/>
      <c r="AL177" s="562"/>
      <c r="AM177" s="562"/>
      <c r="AN177" s="562"/>
      <c r="AO177" s="562"/>
      <c r="AP177" s="562"/>
      <c r="AQ177" s="562"/>
      <c r="AR177" s="562"/>
      <c r="AS177" s="562"/>
    </row>
    <row r="178" spans="1:45" x14ac:dyDescent="0.2">
      <c r="B178" s="358">
        <v>901.14</v>
      </c>
      <c r="C178" s="14"/>
      <c r="D178" s="14"/>
      <c r="E178" s="14" t="s">
        <v>2181</v>
      </c>
      <c r="F178" s="14"/>
      <c r="G178" s="14"/>
      <c r="H178" s="441"/>
      <c r="I178" s="121"/>
      <c r="J178" s="134" t="s">
        <v>2181</v>
      </c>
      <c r="K178" s="98"/>
      <c r="L178" s="791" t="s">
        <v>3109</v>
      </c>
      <c r="M178" s="800">
        <v>1</v>
      </c>
      <c r="N178" s="3"/>
      <c r="O178" s="793">
        <f ca="1">M178*S178*W178</f>
        <v>0</v>
      </c>
      <c r="P178" s="64" t="b">
        <v>0</v>
      </c>
      <c r="Q178" s="64" t="b">
        <v>1</v>
      </c>
      <c r="R178" s="562" t="b">
        <v>0</v>
      </c>
      <c r="S178" s="562" t="b">
        <f ca="1">$AY$19=INDEX(INDIRECT("ddSingleOrMulti"),2)</f>
        <v>0</v>
      </c>
      <c r="T178" s="64" t="b">
        <f ca="1">AND(NOT(S178),W178=TRUE)</f>
        <v>0</v>
      </c>
      <c r="U178" s="562"/>
      <c r="V178" s="562"/>
      <c r="W178" s="18"/>
      <c r="X178" s="787"/>
      <c r="Y178" s="562"/>
      <c r="Z178" s="562"/>
      <c r="AA178" s="562"/>
      <c r="AB178" s="562"/>
      <c r="AC178" s="562" t="b">
        <f ca="1">OR(AD178:AE178)</f>
        <v>0</v>
      </c>
      <c r="AD178" s="562" t="b">
        <f ca="1">T178</f>
        <v>0</v>
      </c>
      <c r="AE178" s="562" t="b">
        <f>AND(R178,NOT(W178))</f>
        <v>0</v>
      </c>
      <c r="AF178" s="562"/>
      <c r="AG178" s="562"/>
      <c r="AH178" s="562"/>
      <c r="AI178" s="562"/>
      <c r="AJ178" s="562"/>
      <c r="AK178" s="562"/>
      <c r="AL178" s="190" t="str">
        <f>SUBSTITUTE(SUBSTITUTE(SUBSTITUTE("dpa"&amp;$B178&amp;$C178&amp;$D178&amp;$E178&amp;$F178,".","_"),"(","_"),")","")</f>
        <v>dpa901,14_1</v>
      </c>
      <c r="AM178" s="190">
        <f>M178</f>
        <v>1</v>
      </c>
      <c r="AN178" s="190" t="str">
        <f>SUBSTITUTE(SUBSTITUTE(SUBSTITUTE("dpc"&amp;$B178&amp;$C178&amp;$D178&amp;$E178&amp;$F178,".","_"),"(","_"),")","")</f>
        <v>dpc901,14_1</v>
      </c>
      <c r="AO178" s="190">
        <f ca="1">O178</f>
        <v>0</v>
      </c>
      <c r="AP178" s="190" t="str">
        <f>SUBSTITUTE(SUBSTITUTE(SUBSTITUTE("dch"&amp;$B178&amp;$C178&amp;$D178&amp;$E178&amp;$F178,".","_"),"(","_"),")","")</f>
        <v>dch901,14_1</v>
      </c>
      <c r="AQ178" s="190">
        <f>W178</f>
        <v>0</v>
      </c>
      <c r="AR178" s="190" t="str">
        <f>SUBSTITUTE(SUBSTITUTE(SUBSTITUTE("dnt"&amp;$B178&amp;$C178&amp;$D178&amp;$E178&amp;$F178,".","_"),"(","_"),")","")</f>
        <v>dnt901,14_1</v>
      </c>
      <c r="AS178" s="190">
        <f>X178</f>
        <v>0</v>
      </c>
    </row>
    <row r="179" spans="1:45" x14ac:dyDescent="0.2">
      <c r="B179" s="358">
        <v>901.14</v>
      </c>
      <c r="C179" s="14"/>
      <c r="D179" s="14"/>
      <c r="E179" s="14" t="s">
        <v>2181</v>
      </c>
      <c r="F179" s="14"/>
      <c r="G179" s="14"/>
      <c r="H179" s="441"/>
      <c r="I179" s="121"/>
      <c r="J179" s="165"/>
      <c r="K179" s="165"/>
      <c r="L179" s="792"/>
      <c r="M179" s="801"/>
      <c r="N179" s="3"/>
      <c r="O179" s="794"/>
      <c r="P179" s="562"/>
      <c r="Q179" s="562"/>
      <c r="R179" s="562"/>
      <c r="S179" s="562"/>
      <c r="T179" s="562"/>
      <c r="U179" s="562"/>
      <c r="V179" s="562"/>
      <c r="W179" s="562"/>
      <c r="X179" s="787"/>
      <c r="Y179" s="562"/>
      <c r="Z179" s="562"/>
      <c r="AA179" s="562"/>
      <c r="AB179" s="562"/>
      <c r="AC179" s="562"/>
      <c r="AD179" s="562"/>
      <c r="AE179" s="562"/>
      <c r="AF179" s="562"/>
      <c r="AG179" s="562"/>
      <c r="AH179" s="562"/>
      <c r="AI179" s="562"/>
      <c r="AJ179" s="562"/>
      <c r="AK179" s="562"/>
      <c r="AL179" s="562"/>
      <c r="AM179" s="562"/>
      <c r="AN179" s="562"/>
      <c r="AO179" s="562"/>
      <c r="AP179" s="562"/>
      <c r="AQ179" s="562"/>
      <c r="AR179" s="562"/>
      <c r="AS179" s="562"/>
    </row>
    <row r="180" spans="1:45" x14ac:dyDescent="0.2">
      <c r="B180" s="358">
        <v>901.14</v>
      </c>
      <c r="C180" s="14"/>
      <c r="D180" s="14"/>
      <c r="E180" s="14" t="s">
        <v>2183</v>
      </c>
      <c r="F180" s="14"/>
      <c r="G180" s="14"/>
      <c r="H180" s="441"/>
      <c r="I180" s="121"/>
      <c r="J180" s="20" t="s">
        <v>2183</v>
      </c>
      <c r="K180" s="3"/>
      <c r="L180" s="817" t="s">
        <v>3110</v>
      </c>
      <c r="M180" s="814">
        <v>1</v>
      </c>
      <c r="N180" s="3"/>
      <c r="O180" s="795">
        <f ca="1">M180*S180*W180</f>
        <v>0</v>
      </c>
      <c r="P180" s="64" t="b">
        <v>0</v>
      </c>
      <c r="Q180" s="64" t="b">
        <v>1</v>
      </c>
      <c r="R180" s="562" t="b">
        <v>0</v>
      </c>
      <c r="S180" s="562" t="b">
        <f ca="1">$AY$19=INDEX(INDIRECT("ddSingleOrMulti"),2)</f>
        <v>0</v>
      </c>
      <c r="T180" s="64" t="b">
        <f ca="1">AND(NOT(S180),W180=TRUE)</f>
        <v>0</v>
      </c>
      <c r="U180" s="562"/>
      <c r="V180" s="562"/>
      <c r="W180" s="18"/>
      <c r="X180" s="787"/>
      <c r="Y180" s="562"/>
      <c r="Z180" s="562"/>
      <c r="AA180" s="562"/>
      <c r="AB180" s="562"/>
      <c r="AC180" s="562" t="b">
        <f ca="1">OR(AD180:AE180)</f>
        <v>0</v>
      </c>
      <c r="AD180" s="562" t="b">
        <f ca="1">T180</f>
        <v>0</v>
      </c>
      <c r="AE180" s="562" t="b">
        <f>AND(R180,NOT(W180))</f>
        <v>0</v>
      </c>
      <c r="AF180" s="562"/>
      <c r="AG180" s="562"/>
      <c r="AH180" s="562"/>
      <c r="AI180" s="562"/>
      <c r="AJ180" s="562"/>
      <c r="AK180" s="562"/>
      <c r="AL180" s="190" t="str">
        <f>SUBSTITUTE(SUBSTITUTE(SUBSTITUTE("dpa"&amp;$B180&amp;$C180&amp;$D180&amp;$E180&amp;$F180,".","_"),"(","_"),")","")</f>
        <v>dpa901,14_2</v>
      </c>
      <c r="AM180" s="190">
        <f>M180</f>
        <v>1</v>
      </c>
      <c r="AN180" s="190" t="str">
        <f>SUBSTITUTE(SUBSTITUTE(SUBSTITUTE("dpc"&amp;$B180&amp;$C180&amp;$D180&amp;$E180&amp;$F180,".","_"),"(","_"),")","")</f>
        <v>dpc901,14_2</v>
      </c>
      <c r="AO180" s="190">
        <f ca="1">O180</f>
        <v>0</v>
      </c>
      <c r="AP180" s="190" t="str">
        <f>SUBSTITUTE(SUBSTITUTE(SUBSTITUTE("dch"&amp;$B180&amp;$C180&amp;$D180&amp;$E180&amp;$F180,".","_"),"(","_"),")","")</f>
        <v>dch901,14_2</v>
      </c>
      <c r="AQ180" s="190">
        <f>W180</f>
        <v>0</v>
      </c>
      <c r="AR180" s="190" t="str">
        <f>SUBSTITUTE(SUBSTITUTE(SUBSTITUTE("dnt"&amp;$B180&amp;$C180&amp;$D180&amp;$E180&amp;$F180,".","_"),"(","_"),")","")</f>
        <v>dnt901,14_2</v>
      </c>
      <c r="AS180" s="190">
        <f>X180</f>
        <v>0</v>
      </c>
    </row>
    <row r="181" spans="1:45" ht="16" thickBot="1" x14ac:dyDescent="0.25">
      <c r="B181" s="358">
        <v>901.14</v>
      </c>
      <c r="C181" s="14"/>
      <c r="D181" s="14"/>
      <c r="E181" s="14" t="s">
        <v>2183</v>
      </c>
      <c r="F181" s="14"/>
      <c r="G181" s="14"/>
      <c r="H181" s="441"/>
      <c r="I181" s="121"/>
      <c r="J181" s="3"/>
      <c r="K181" s="3"/>
      <c r="L181" s="817"/>
      <c r="M181" s="814"/>
      <c r="N181" s="3"/>
      <c r="O181" s="795"/>
      <c r="P181" s="562"/>
      <c r="Q181" s="562"/>
      <c r="R181" s="562"/>
      <c r="S181" s="562"/>
      <c r="T181" s="562"/>
      <c r="U181" s="562"/>
      <c r="V181" s="562"/>
      <c r="W181" s="562"/>
      <c r="X181" s="787"/>
      <c r="Y181" s="562"/>
      <c r="Z181" s="562"/>
      <c r="AA181" s="562"/>
      <c r="AB181" s="562"/>
      <c r="AC181" s="562"/>
      <c r="AD181" s="562"/>
      <c r="AE181" s="562"/>
      <c r="AF181" s="562"/>
      <c r="AG181" s="562"/>
      <c r="AH181" s="562"/>
      <c r="AI181" s="562"/>
      <c r="AJ181" s="562"/>
      <c r="AK181" s="562"/>
      <c r="AL181" s="562"/>
      <c r="AM181" s="562"/>
      <c r="AN181" s="562"/>
      <c r="AO181" s="562"/>
      <c r="AP181" s="562"/>
      <c r="AQ181" s="562"/>
      <c r="AR181" s="562"/>
      <c r="AS181" s="562"/>
    </row>
    <row r="182" spans="1:45" s="497" customFormat="1" ht="16" thickTop="1" x14ac:dyDescent="0.2">
      <c r="A182" s="13"/>
      <c r="B182" s="358" t="s">
        <v>3111</v>
      </c>
      <c r="C182" s="14"/>
      <c r="D182" s="14"/>
      <c r="E182" s="14"/>
      <c r="F182" s="14"/>
      <c r="G182" s="14"/>
      <c r="H182" s="441"/>
      <c r="I182" s="131" t="s">
        <v>3112</v>
      </c>
      <c r="J182" s="132"/>
      <c r="K182" s="132"/>
      <c r="L182" s="819" t="s">
        <v>3113</v>
      </c>
      <c r="M182" s="843" t="str">
        <f>IF(R182,"Mandatory","N/A")</f>
        <v>Mandatory</v>
      </c>
      <c r="N182" s="132"/>
      <c r="O182" s="623"/>
      <c r="P182" s="500" t="b">
        <v>0</v>
      </c>
      <c r="Q182" s="500" t="b">
        <v>1</v>
      </c>
      <c r="R182" s="491" t="b">
        <f>S182</f>
        <v>1</v>
      </c>
      <c r="S182" s="491" t="b">
        <f>AY23&lt;1978</f>
        <v>1</v>
      </c>
      <c r="T182" s="491" t="b">
        <v>0</v>
      </c>
      <c r="U182" s="74"/>
      <c r="V182" s="562"/>
      <c r="W182" s="221"/>
      <c r="X182" s="802"/>
      <c r="Y182" s="562"/>
      <c r="Z182" s="562"/>
      <c r="AA182" s="562"/>
      <c r="AB182" s="562"/>
      <c r="AC182" s="492" t="b">
        <f>OR(AD182:AE182)</f>
        <v>1</v>
      </c>
      <c r="AD182" s="492" t="b">
        <f>T182</f>
        <v>0</v>
      </c>
      <c r="AE182" s="492" t="b">
        <f>AND(R182,OR(LEN(W182)=0,W182="Not Met"))</f>
        <v>1</v>
      </c>
      <c r="AF182" s="562"/>
      <c r="AG182" s="562"/>
      <c r="AH182" s="562"/>
      <c r="AI182" s="562"/>
      <c r="AJ182" s="562"/>
      <c r="AK182" s="562"/>
      <c r="AL182" s="493" t="str">
        <f>SUBSTITUTE(SUBSTITUTE(SUBSTITUTE("dpa"&amp;$B182&amp;$C182&amp;$D182&amp;$E182&amp;$F182,".","_"),"(","_"),")","")</f>
        <v>dpa901_15</v>
      </c>
      <c r="AM182" s="493" t="str">
        <f>M182</f>
        <v>Mandatory</v>
      </c>
      <c r="AN182" s="562"/>
      <c r="AO182" s="562"/>
      <c r="AP182" s="493" t="str">
        <f>SUBSTITUTE(SUBSTITUTE(SUBSTITUTE("dch"&amp;$B182&amp;$C182&amp;$D182&amp;$E182&amp;$F182,".","_"),"(","_"),")","")</f>
        <v>dch901_15</v>
      </c>
      <c r="AQ182" s="493">
        <f>W182</f>
        <v>0</v>
      </c>
      <c r="AR182" s="493" t="str">
        <f>SUBSTITUTE(SUBSTITUTE(SUBSTITUTE("dnt"&amp;$B182&amp;$C182&amp;$D182&amp;$E182&amp;$F182,".","_"),"(","_"),")","")</f>
        <v>dnt901_15</v>
      </c>
      <c r="AS182" s="493">
        <f>X182</f>
        <v>0</v>
      </c>
    </row>
    <row r="183" spans="1:45" s="497" customFormat="1" ht="16" thickBot="1" x14ac:dyDescent="0.25">
      <c r="A183" s="13"/>
      <c r="B183" s="358" t="s">
        <v>3111</v>
      </c>
      <c r="C183" s="14"/>
      <c r="D183" s="14"/>
      <c r="E183" s="14"/>
      <c r="F183" s="14"/>
      <c r="G183" s="14"/>
      <c r="H183" s="441"/>
      <c r="I183" s="254"/>
      <c r="J183" s="185"/>
      <c r="K183" s="185"/>
      <c r="L183" s="822"/>
      <c r="M183" s="844"/>
      <c r="N183" s="185"/>
      <c r="O183" s="622"/>
      <c r="P183" s="68"/>
      <c r="Q183" s="68"/>
      <c r="R183" s="68"/>
      <c r="S183" s="68"/>
      <c r="T183" s="68"/>
      <c r="U183" s="68"/>
      <c r="V183" s="562"/>
      <c r="W183" s="562"/>
      <c r="X183" s="799"/>
      <c r="Y183" s="562"/>
      <c r="Z183" s="562"/>
      <c r="AA183" s="562"/>
      <c r="AB183" s="562"/>
      <c r="AC183" s="562"/>
      <c r="AD183" s="562"/>
      <c r="AE183" s="562"/>
      <c r="AF183" s="562"/>
      <c r="AG183" s="562"/>
      <c r="AH183" s="562"/>
      <c r="AI183" s="562"/>
      <c r="AJ183" s="562"/>
      <c r="AK183" s="562"/>
      <c r="AL183" s="562"/>
      <c r="AM183" s="562"/>
      <c r="AN183" s="562"/>
      <c r="AO183" s="562"/>
      <c r="AP183" s="562"/>
      <c r="AQ183" s="562"/>
      <c r="AR183" s="562"/>
      <c r="AS183" s="562"/>
    </row>
    <row r="184" spans="1:45" ht="20" thickTop="1" x14ac:dyDescent="0.25">
      <c r="B184" s="358">
        <v>902</v>
      </c>
      <c r="C184" s="14"/>
      <c r="D184" s="14"/>
      <c r="E184" s="14"/>
      <c r="F184" s="14"/>
      <c r="G184" s="14"/>
      <c r="H184" s="441"/>
      <c r="I184" s="8" t="s">
        <v>3114</v>
      </c>
      <c r="J184" s="16"/>
      <c r="K184" s="16"/>
      <c r="L184" s="54"/>
      <c r="M184" s="264"/>
      <c r="N184" s="266"/>
      <c r="O184" s="264"/>
      <c r="P184" s="16"/>
      <c r="Q184" s="16"/>
      <c r="R184" s="16"/>
      <c r="S184" s="16"/>
      <c r="T184" s="16"/>
      <c r="U184" s="16"/>
      <c r="V184" s="16"/>
      <c r="W184" s="16"/>
      <c r="X184" s="16"/>
      <c r="Y184" s="562"/>
      <c r="Z184" s="562"/>
      <c r="AA184" s="562"/>
      <c r="AB184" s="562"/>
      <c r="AC184" s="562"/>
      <c r="AD184" s="562"/>
      <c r="AE184" s="562"/>
      <c r="AF184" s="562"/>
      <c r="AG184" s="562"/>
      <c r="AH184" s="562"/>
      <c r="AI184" s="562"/>
      <c r="AJ184" s="562"/>
      <c r="AK184" s="562"/>
      <c r="AL184" s="562"/>
      <c r="AM184" s="562"/>
      <c r="AN184" s="562"/>
      <c r="AO184" s="562"/>
      <c r="AP184" s="562"/>
      <c r="AQ184" s="562"/>
      <c r="AR184" s="562"/>
      <c r="AS184" s="562"/>
    </row>
    <row r="185" spans="1:45" ht="16" thickBot="1" x14ac:dyDescent="0.25">
      <c r="B185" s="358" t="s">
        <v>3115</v>
      </c>
      <c r="C185" s="14"/>
      <c r="D185" s="14"/>
      <c r="E185" s="14"/>
      <c r="F185" s="14"/>
      <c r="G185" s="14"/>
      <c r="H185" s="441"/>
      <c r="I185" s="251" t="s">
        <v>3116</v>
      </c>
      <c r="J185" s="185"/>
      <c r="K185" s="185"/>
      <c r="L185" s="647" t="s">
        <v>3117</v>
      </c>
      <c r="M185" s="615"/>
      <c r="N185" s="185"/>
      <c r="O185" s="622"/>
      <c r="P185" s="68"/>
      <c r="Q185" s="68"/>
      <c r="R185" s="68"/>
      <c r="S185" s="68"/>
      <c r="T185" s="68"/>
      <c r="U185" s="68"/>
      <c r="V185" s="68"/>
      <c r="W185" s="68"/>
      <c r="X185" s="68"/>
      <c r="Y185" s="562"/>
      <c r="Z185" s="562"/>
      <c r="AA185" s="562"/>
      <c r="AB185" s="562"/>
      <c r="AC185" s="562"/>
      <c r="AD185" s="562"/>
      <c r="AE185" s="562"/>
      <c r="AF185" s="562"/>
      <c r="AG185" s="562"/>
      <c r="AH185" s="562"/>
      <c r="AI185" s="562"/>
      <c r="AJ185" s="562"/>
      <c r="AK185" s="562"/>
      <c r="AL185" s="562"/>
      <c r="AM185" s="562"/>
      <c r="AN185" s="562"/>
      <c r="AO185" s="562"/>
      <c r="AP185" s="562"/>
      <c r="AQ185" s="562"/>
      <c r="AR185" s="562"/>
      <c r="AS185" s="562"/>
    </row>
    <row r="186" spans="1:45" s="250" customFormat="1" ht="16" thickTop="1" x14ac:dyDescent="0.2">
      <c r="A186" s="13"/>
      <c r="B186" s="358">
        <v>902.1</v>
      </c>
      <c r="C186" s="14"/>
      <c r="D186" s="14"/>
      <c r="E186" s="14"/>
      <c r="F186" s="14"/>
      <c r="G186" s="14"/>
      <c r="H186" s="441"/>
      <c r="I186" s="40" t="s">
        <v>3118</v>
      </c>
      <c r="J186" s="3"/>
      <c r="K186" s="3"/>
      <c r="L186" s="654" t="s">
        <v>3119</v>
      </c>
      <c r="M186" s="616"/>
      <c r="N186" s="3"/>
      <c r="O186" s="609"/>
      <c r="P186" s="562"/>
      <c r="Q186" s="562"/>
      <c r="R186" s="562"/>
      <c r="S186" s="562"/>
      <c r="T186" s="562"/>
      <c r="U186" s="562"/>
      <c r="V186" s="562"/>
      <c r="W186" s="562"/>
      <c r="X186" s="562"/>
      <c r="Y186" s="562"/>
      <c r="Z186" s="562"/>
      <c r="AA186" s="562"/>
      <c r="AB186" s="562"/>
      <c r="AC186" s="562"/>
      <c r="AD186" s="562"/>
      <c r="AE186" s="562"/>
      <c r="AF186" s="562"/>
      <c r="AG186" s="562"/>
      <c r="AH186" s="562"/>
      <c r="AI186" s="562"/>
      <c r="AJ186" s="562"/>
      <c r="AK186" s="562"/>
      <c r="AL186" s="562"/>
      <c r="AM186" s="562"/>
      <c r="AN186" s="562"/>
      <c r="AO186" s="562"/>
      <c r="AP186" s="562"/>
      <c r="AQ186" s="562"/>
      <c r="AR186" s="562"/>
      <c r="AS186" s="562"/>
    </row>
    <row r="187" spans="1:45" x14ac:dyDescent="0.2">
      <c r="B187" s="358">
        <v>902.1</v>
      </c>
      <c r="C187" s="14"/>
      <c r="D187" s="14"/>
      <c r="E187" s="14"/>
      <c r="F187" s="14"/>
      <c r="G187" s="14"/>
      <c r="H187" s="441"/>
      <c r="I187" s="40" t="s">
        <v>3120</v>
      </c>
      <c r="J187" s="3"/>
      <c r="K187" s="3"/>
      <c r="L187" s="654" t="s">
        <v>3121</v>
      </c>
      <c r="M187" s="616"/>
      <c r="N187" s="3"/>
      <c r="O187" s="609"/>
      <c r="P187" s="562"/>
      <c r="Q187" s="562"/>
      <c r="R187" s="562"/>
      <c r="S187" s="562"/>
      <c r="T187" s="562"/>
      <c r="U187" s="562"/>
      <c r="V187" s="562"/>
      <c r="W187" s="562"/>
      <c r="X187" s="562"/>
      <c r="Y187" s="562"/>
      <c r="Z187" s="562"/>
      <c r="AA187" s="562"/>
      <c r="AB187" s="562"/>
      <c r="AC187" s="562"/>
      <c r="AD187" s="562"/>
      <c r="AE187" s="562"/>
      <c r="AF187" s="562"/>
      <c r="AG187" s="562"/>
      <c r="AH187" s="562"/>
      <c r="AI187" s="562"/>
      <c r="AJ187" s="562"/>
      <c r="AK187" s="562"/>
      <c r="AL187" s="562"/>
      <c r="AM187" s="562"/>
      <c r="AN187" s="562"/>
      <c r="AO187" s="562"/>
      <c r="AP187" s="562"/>
      <c r="AQ187" s="562"/>
      <c r="AR187" s="562"/>
      <c r="AS187" s="562"/>
    </row>
    <row r="188" spans="1:45" x14ac:dyDescent="0.2">
      <c r="B188" s="358">
        <v>902.1</v>
      </c>
      <c r="C188" s="14"/>
      <c r="D188" s="14"/>
      <c r="E188" s="14" t="s">
        <v>2181</v>
      </c>
      <c r="F188" s="14"/>
      <c r="G188" s="14"/>
      <c r="H188" s="441"/>
      <c r="I188" s="121"/>
      <c r="J188" s="20" t="s">
        <v>2181</v>
      </c>
      <c r="K188" s="3"/>
      <c r="L188" s="817" t="s">
        <v>3122</v>
      </c>
      <c r="M188" s="838" t="str">
        <f>IF(R188,"Mandatory","N/A")</f>
        <v>Mandatory</v>
      </c>
      <c r="N188" s="3"/>
      <c r="O188" s="609"/>
      <c r="P188" s="64" t="b">
        <v>0</v>
      </c>
      <c r="Q188" s="64" t="b">
        <v>1</v>
      </c>
      <c r="R188" s="562" t="b">
        <f>S188</f>
        <v>1</v>
      </c>
      <c r="S188" s="562" t="b">
        <v>1</v>
      </c>
      <c r="T188" s="562" t="b">
        <v>0</v>
      </c>
      <c r="U188" s="562"/>
      <c r="V188" s="562"/>
      <c r="W188" s="18"/>
      <c r="X188" s="787"/>
      <c r="Y188" s="562"/>
      <c r="Z188" s="562"/>
      <c r="AA188" s="562"/>
      <c r="AB188" s="562"/>
      <c r="AC188" s="562" t="b">
        <f>OR(AD188:AE188)</f>
        <v>1</v>
      </c>
      <c r="AD188" s="562" t="b">
        <f>T188</f>
        <v>0</v>
      </c>
      <c r="AE188" s="562" t="b">
        <f>AND(R188,NOT(W188))</f>
        <v>1</v>
      </c>
      <c r="AF188" s="562"/>
      <c r="AG188" s="562"/>
      <c r="AH188" s="562"/>
      <c r="AI188" s="562"/>
      <c r="AJ188" s="562"/>
      <c r="AK188" s="562"/>
      <c r="AL188" s="562"/>
      <c r="AM188" s="562"/>
      <c r="AN188" s="562"/>
      <c r="AO188" s="562"/>
      <c r="AP188" s="190" t="str">
        <f>SUBSTITUTE(SUBSTITUTE(SUBSTITUTE("dch"&amp;$B188&amp;$C188&amp;$D188&amp;$E188&amp;$F188,".","_"),"(","_"),")","")</f>
        <v>dch902,1_1</v>
      </c>
      <c r="AQ188" s="190">
        <f>W188</f>
        <v>0</v>
      </c>
      <c r="AR188" s="190" t="str">
        <f>SUBSTITUTE(SUBSTITUTE(SUBSTITUTE("dnt"&amp;$B188&amp;$C188&amp;$D188&amp;$E188&amp;$F188,".","_"),"(","_"),")","")</f>
        <v>dnt902,1_1</v>
      </c>
      <c r="AS188" s="190">
        <f>X188</f>
        <v>0</v>
      </c>
    </row>
    <row r="189" spans="1:45" x14ac:dyDescent="0.2">
      <c r="B189" s="358">
        <v>902.1</v>
      </c>
      <c r="C189" s="14"/>
      <c r="D189" s="14"/>
      <c r="E189" s="14" t="s">
        <v>2181</v>
      </c>
      <c r="F189" s="14"/>
      <c r="G189" s="14"/>
      <c r="H189" s="441"/>
      <c r="I189" s="121"/>
      <c r="J189" s="3"/>
      <c r="K189" s="3"/>
      <c r="L189" s="817"/>
      <c r="M189" s="838"/>
      <c r="N189" s="3"/>
      <c r="O189" s="609"/>
      <c r="P189" s="562"/>
      <c r="Q189" s="562"/>
      <c r="R189" s="562"/>
      <c r="S189" s="562"/>
      <c r="T189" s="562"/>
      <c r="U189" s="562"/>
      <c r="V189" s="562"/>
      <c r="W189" s="562"/>
      <c r="X189" s="787"/>
      <c r="Y189" s="562"/>
      <c r="Z189" s="562"/>
      <c r="AA189" s="562"/>
      <c r="AB189" s="562"/>
      <c r="AC189" s="562"/>
      <c r="AD189" s="562"/>
      <c r="AE189" s="562"/>
      <c r="AF189" s="562"/>
      <c r="AG189" s="562"/>
      <c r="AH189" s="562"/>
      <c r="AI189" s="562"/>
      <c r="AJ189" s="562"/>
      <c r="AK189" s="562"/>
      <c r="AL189" s="562"/>
      <c r="AM189" s="562"/>
      <c r="AN189" s="562"/>
      <c r="AO189" s="562"/>
      <c r="AP189" s="562"/>
      <c r="AQ189" s="562"/>
      <c r="AR189" s="562"/>
      <c r="AS189" s="562"/>
    </row>
    <row r="190" spans="1:45" ht="15" customHeight="1" x14ac:dyDescent="0.2">
      <c r="B190" s="358">
        <v>902.1</v>
      </c>
      <c r="C190" s="14"/>
      <c r="D190" s="14"/>
      <c r="E190" s="14" t="s">
        <v>2181</v>
      </c>
      <c r="F190" s="14" t="s">
        <v>2196</v>
      </c>
      <c r="G190" s="14"/>
      <c r="H190" s="441"/>
      <c r="I190" s="121"/>
      <c r="J190" s="134"/>
      <c r="K190" s="134" t="s">
        <v>2196</v>
      </c>
      <c r="L190" s="791" t="s">
        <v>3123</v>
      </c>
      <c r="M190" s="800">
        <v>1</v>
      </c>
      <c r="N190" s="3"/>
      <c r="O190" s="793">
        <f>M190*S190*W190</f>
        <v>0</v>
      </c>
      <c r="P190" s="64" t="b">
        <v>0</v>
      </c>
      <c r="Q190" s="64" t="b">
        <v>1</v>
      </c>
      <c r="R190" s="562" t="b">
        <v>0</v>
      </c>
      <c r="S190" s="562" t="b">
        <f>W188=TRUE</f>
        <v>0</v>
      </c>
      <c r="T190" s="64" t="b">
        <f>AND(NOT(S190),W190=TRUE)</f>
        <v>0</v>
      </c>
      <c r="U190" s="562"/>
      <c r="V190" s="562"/>
      <c r="W190" s="18"/>
      <c r="X190" s="787"/>
      <c r="Y190" s="562"/>
      <c r="Z190" s="562"/>
      <c r="AA190" s="562"/>
      <c r="AB190" s="562"/>
      <c r="AC190" s="562" t="b">
        <f>OR(AD190:AE190)</f>
        <v>0</v>
      </c>
      <c r="AD190" s="562" t="b">
        <f>T190</f>
        <v>0</v>
      </c>
      <c r="AE190" s="562" t="b">
        <f>AND(R190,NOT(W190))</f>
        <v>0</v>
      </c>
      <c r="AF190" s="562"/>
      <c r="AG190" s="562"/>
      <c r="AH190" s="562"/>
      <c r="AI190" s="562"/>
      <c r="AJ190" s="562"/>
      <c r="AK190" s="562"/>
      <c r="AL190" s="190" t="str">
        <f>SUBSTITUTE(SUBSTITUTE(SUBSTITUTE("dpa"&amp;$B190&amp;$C190&amp;$D190&amp;$E190&amp;$F190,".","_"),"(","_"),")","")</f>
        <v>dpa902,1_1_a</v>
      </c>
      <c r="AM190" s="190">
        <f>M190</f>
        <v>1</v>
      </c>
      <c r="AN190" s="190" t="str">
        <f>SUBSTITUTE(SUBSTITUTE(SUBSTITUTE("dpc"&amp;$B190&amp;$C190&amp;$D190&amp;$E190&amp;$F190,".","_"),"(","_"),")","")</f>
        <v>dpc902,1_1_a</v>
      </c>
      <c r="AO190" s="190">
        <f>O190</f>
        <v>0</v>
      </c>
      <c r="AP190" s="190" t="str">
        <f>SUBSTITUTE(SUBSTITUTE(SUBSTITUTE("dch"&amp;$B190&amp;$C190&amp;$D190&amp;$E190&amp;$F190,".","_"),"(","_"),")","")</f>
        <v>dch902,1_1_a</v>
      </c>
      <c r="AQ190" s="190">
        <f>W190</f>
        <v>0</v>
      </c>
      <c r="AR190" s="190" t="str">
        <f>SUBSTITUTE(SUBSTITUTE(SUBSTITUTE("dnt"&amp;$B190&amp;$C190&amp;$D190&amp;$E190&amp;$F190,".","_"),"(","_"),")","")</f>
        <v>dnt902,1_1_a</v>
      </c>
      <c r="AS190" s="190">
        <f>X190</f>
        <v>0</v>
      </c>
    </row>
    <row r="191" spans="1:45" x14ac:dyDescent="0.2">
      <c r="B191" s="358">
        <v>902.1</v>
      </c>
      <c r="C191" s="14"/>
      <c r="D191" s="14"/>
      <c r="E191" s="14" t="s">
        <v>2181</v>
      </c>
      <c r="F191" s="14"/>
      <c r="G191" s="14"/>
      <c r="H191" s="441"/>
      <c r="I191" s="121"/>
      <c r="J191" s="159"/>
      <c r="K191" s="165"/>
      <c r="L191" s="792"/>
      <c r="M191" s="801"/>
      <c r="N191" s="3"/>
      <c r="O191" s="794"/>
      <c r="P191" s="562"/>
      <c r="Q191" s="562"/>
      <c r="R191" s="562"/>
      <c r="S191" s="562"/>
      <c r="T191" s="562"/>
      <c r="U191" s="562"/>
      <c r="V191" s="562"/>
      <c r="W191" s="562"/>
      <c r="X191" s="787"/>
      <c r="Y191" s="562"/>
      <c r="Z191" s="562"/>
      <c r="AA191" s="562"/>
      <c r="AB191" s="562"/>
      <c r="AC191" s="562"/>
      <c r="AD191" s="562"/>
      <c r="AE191" s="562"/>
      <c r="AF191" s="562"/>
      <c r="AG191" s="562"/>
      <c r="AH191" s="562"/>
      <c r="AI191" s="562"/>
      <c r="AJ191" s="562"/>
      <c r="AK191" s="562"/>
      <c r="AL191" s="562"/>
      <c r="AM191" s="562"/>
      <c r="AN191" s="562"/>
      <c r="AO191" s="562"/>
      <c r="AP191" s="562"/>
      <c r="AQ191" s="562"/>
      <c r="AR191" s="562"/>
      <c r="AS191" s="562"/>
    </row>
    <row r="192" spans="1:45" x14ac:dyDescent="0.2">
      <c r="B192" s="358">
        <v>902.1</v>
      </c>
      <c r="C192" s="14"/>
      <c r="D192" s="14"/>
      <c r="E192" s="14" t="s">
        <v>3124</v>
      </c>
      <c r="F192" s="14"/>
      <c r="G192" s="14"/>
      <c r="H192" s="441"/>
      <c r="I192" s="121"/>
      <c r="J192" s="134" t="s">
        <v>2183</v>
      </c>
      <c r="K192" s="98"/>
      <c r="L192" s="791" t="s">
        <v>3125</v>
      </c>
      <c r="M192" s="838" t="str">
        <f>IF(R192,"Mandatory","N/A")</f>
        <v>Mandatory</v>
      </c>
      <c r="N192" s="3"/>
      <c r="O192" s="609"/>
      <c r="P192" s="64" t="b">
        <v>0</v>
      </c>
      <c r="Q192" s="64" t="b">
        <v>1</v>
      </c>
      <c r="R192" s="562" t="b">
        <f>S192</f>
        <v>1</v>
      </c>
      <c r="S192" s="562" t="b">
        <v>1</v>
      </c>
      <c r="T192" s="562" t="b">
        <v>0</v>
      </c>
      <c r="U192" s="64" t="str">
        <f>SUBSTITUTE(SUBSTITUTE(SUBSTITUTE("dd"&amp;B192&amp;C192&amp;D192&amp;E192&amp;F192,".","_"),"(","_"),")","")</f>
        <v>dd902,1_2_</v>
      </c>
      <c r="V192" s="562"/>
      <c r="W192" s="6"/>
      <c r="X192" s="787"/>
      <c r="Y192" s="562"/>
      <c r="Z192" s="562"/>
      <c r="AA192" s="562"/>
      <c r="AB192" s="562"/>
      <c r="AC192" s="562" t="b">
        <f>OR(AD192:AE192)</f>
        <v>1</v>
      </c>
      <c r="AD192" s="562" t="b">
        <f>T192</f>
        <v>0</v>
      </c>
      <c r="AE192" s="562" t="b">
        <f>AND(R192,OR(W192="Not Met",W192=""))</f>
        <v>1</v>
      </c>
      <c r="AF192" s="562"/>
      <c r="AG192" s="562"/>
      <c r="AH192" s="562"/>
      <c r="AI192" s="562"/>
      <c r="AJ192" s="562"/>
      <c r="AK192" s="562"/>
      <c r="AL192" s="190" t="str">
        <f>SUBSTITUTE(SUBSTITUTE(SUBSTITUTE("dpa"&amp;$B192&amp;$C192&amp;$D192&amp;$E192&amp;$F192,".","_"),"(","_"),")","")</f>
        <v>dpa902,1_2_</v>
      </c>
      <c r="AM192" s="190" t="str">
        <f>M192</f>
        <v>Mandatory</v>
      </c>
      <c r="AN192" s="562"/>
      <c r="AO192" s="562"/>
      <c r="AP192" s="190" t="str">
        <f>SUBSTITUTE(SUBSTITUTE(SUBSTITUTE("dch"&amp;$B192&amp;$C192&amp;$D192&amp;$E192&amp;$F192,".","_"),"(","_"),")","")</f>
        <v>dch902,1_2_</v>
      </c>
      <c r="AQ192" s="190">
        <f>W192</f>
        <v>0</v>
      </c>
      <c r="AR192" s="190" t="str">
        <f>SUBSTITUTE(SUBSTITUTE(SUBSTITUTE("dnt"&amp;$B192&amp;$C192&amp;$D192&amp;$E192&amp;$F192,".","_"),"(","_"),")","")</f>
        <v>dnt902,1_2_</v>
      </c>
      <c r="AS192" s="190">
        <f>X192</f>
        <v>0</v>
      </c>
    </row>
    <row r="193" spans="2:45" x14ac:dyDescent="0.2">
      <c r="B193" s="358">
        <v>902.1</v>
      </c>
      <c r="C193" s="14"/>
      <c r="D193" s="14"/>
      <c r="E193" s="14" t="s">
        <v>2183</v>
      </c>
      <c r="F193" s="14"/>
      <c r="G193" s="14"/>
      <c r="H193" s="441"/>
      <c r="I193" s="121"/>
      <c r="J193" s="159"/>
      <c r="K193" s="165"/>
      <c r="L193" s="792"/>
      <c r="M193" s="854"/>
      <c r="N193" s="3"/>
      <c r="O193" s="608"/>
      <c r="P193" s="562"/>
      <c r="Q193" s="562"/>
      <c r="R193" s="562"/>
      <c r="S193" s="562"/>
      <c r="T193" s="562"/>
      <c r="U193" s="562"/>
      <c r="V193" s="562"/>
      <c r="W193" s="562"/>
      <c r="X193" s="787"/>
      <c r="Y193" s="562"/>
      <c r="Z193" s="562"/>
      <c r="AA193" s="562"/>
      <c r="AB193" s="562"/>
      <c r="AC193" s="562"/>
      <c r="AD193" s="562"/>
      <c r="AE193" s="562"/>
      <c r="AF193" s="562"/>
      <c r="AG193" s="562"/>
      <c r="AH193" s="562"/>
      <c r="AI193" s="562"/>
      <c r="AJ193" s="562"/>
      <c r="AK193" s="562"/>
      <c r="AL193" s="562"/>
      <c r="AM193" s="562"/>
      <c r="AN193" s="562"/>
      <c r="AO193" s="562"/>
      <c r="AP193" s="562"/>
      <c r="AQ193" s="562"/>
      <c r="AR193" s="562"/>
      <c r="AS193" s="562"/>
    </row>
    <row r="194" spans="2:45" x14ac:dyDescent="0.2">
      <c r="B194" s="358">
        <v>902.1</v>
      </c>
      <c r="C194" s="14"/>
      <c r="D194" s="14"/>
      <c r="E194" s="14" t="s">
        <v>3126</v>
      </c>
      <c r="F194" s="14"/>
      <c r="G194" s="14"/>
      <c r="H194" s="441"/>
      <c r="I194" s="253"/>
      <c r="J194" s="134" t="s">
        <v>2185</v>
      </c>
      <c r="K194" s="98"/>
      <c r="L194" s="791" t="s">
        <v>3127</v>
      </c>
      <c r="M194" s="800">
        <v>8</v>
      </c>
      <c r="N194" s="98"/>
      <c r="O194" s="793">
        <f>M194*S194*W194</f>
        <v>0</v>
      </c>
      <c r="P194" s="64" t="b">
        <v>0</v>
      </c>
      <c r="Q194" s="64" t="b">
        <v>1</v>
      </c>
      <c r="R194" s="64" t="b">
        <v>0</v>
      </c>
      <c r="S194" s="64" t="b">
        <v>1</v>
      </c>
      <c r="T194" s="64" t="b">
        <v>0</v>
      </c>
      <c r="U194" s="64"/>
      <c r="V194" s="64"/>
      <c r="W194" s="219"/>
      <c r="X194" s="798"/>
      <c r="Y194" s="562"/>
      <c r="Z194" s="562"/>
      <c r="AA194" s="562"/>
      <c r="AB194" s="562"/>
      <c r="AC194" s="562" t="b">
        <f>OR(AD194:AE194)</f>
        <v>0</v>
      </c>
      <c r="AD194" s="562" t="b">
        <f>T194</f>
        <v>0</v>
      </c>
      <c r="AE194" s="562" t="b">
        <f>AND(R194,NOT(W194))</f>
        <v>0</v>
      </c>
      <c r="AF194" s="562"/>
      <c r="AG194" s="562"/>
      <c r="AH194" s="562"/>
      <c r="AI194" s="562"/>
      <c r="AJ194" s="562"/>
      <c r="AK194" s="562"/>
      <c r="AL194" s="190" t="str">
        <f>SUBSTITUTE(SUBSTITUTE(SUBSTITUTE("dpa"&amp;$B194&amp;$C194&amp;$D194&amp;$E194&amp;$F194,".","_"),"(","_"),")","")</f>
        <v>dpa902,1_3_</v>
      </c>
      <c r="AM194" s="190">
        <f>M194</f>
        <v>8</v>
      </c>
      <c r="AN194" s="190" t="str">
        <f>SUBSTITUTE(SUBSTITUTE(SUBSTITUTE("dpc"&amp;$B194&amp;$C194&amp;$D194&amp;$E194&amp;$F194,".","_"),"(","_"),")","")</f>
        <v>dpc902,1_3_</v>
      </c>
      <c r="AO194" s="190">
        <f>O194</f>
        <v>0</v>
      </c>
      <c r="AP194" s="190" t="str">
        <f>SUBSTITUTE(SUBSTITUTE(SUBSTITUTE("dch"&amp;$B194&amp;$C194&amp;$D194&amp;$E194&amp;$F194,".","_"),"(","_"),")","")</f>
        <v>dch902,1_3_</v>
      </c>
      <c r="AQ194" s="190">
        <f>W194</f>
        <v>0</v>
      </c>
      <c r="AR194" s="190" t="str">
        <f>SUBSTITUTE(SUBSTITUTE(SUBSTITUTE("dnt"&amp;$B194&amp;$C194&amp;$D194&amp;$E194&amp;$F194,".","_"),"(","_"),")","")</f>
        <v>dnt902,1_3_</v>
      </c>
      <c r="AS194" s="190">
        <f>X194</f>
        <v>0</v>
      </c>
    </row>
    <row r="195" spans="2:45" x14ac:dyDescent="0.2">
      <c r="B195" s="358">
        <v>902.1</v>
      </c>
      <c r="C195" s="14"/>
      <c r="D195" s="14"/>
      <c r="E195" s="14" t="s">
        <v>2185</v>
      </c>
      <c r="F195" s="14"/>
      <c r="G195" s="14"/>
      <c r="H195" s="441"/>
      <c r="I195" s="253"/>
      <c r="J195" s="134"/>
      <c r="K195" s="98"/>
      <c r="L195" s="791"/>
      <c r="M195" s="800"/>
      <c r="N195" s="98"/>
      <c r="O195" s="793"/>
      <c r="P195" s="64"/>
      <c r="Q195" s="64"/>
      <c r="R195" s="64"/>
      <c r="S195" s="64"/>
      <c r="T195" s="64"/>
      <c r="U195" s="64"/>
      <c r="V195" s="64"/>
      <c r="W195" s="64"/>
      <c r="X195" s="798"/>
      <c r="Y195" s="562"/>
      <c r="Z195" s="562"/>
      <c r="AA195" s="562"/>
      <c r="AB195" s="562"/>
      <c r="AC195" s="562"/>
      <c r="AD195" s="562"/>
      <c r="AE195" s="562"/>
      <c r="AF195" s="562"/>
      <c r="AG195" s="562"/>
      <c r="AH195" s="562"/>
      <c r="AI195" s="562"/>
      <c r="AJ195" s="562"/>
      <c r="AK195" s="562"/>
      <c r="AL195" s="562"/>
      <c r="AM195" s="562"/>
      <c r="AN195" s="562"/>
      <c r="AO195" s="562"/>
      <c r="AP195" s="562"/>
      <c r="AQ195" s="562"/>
      <c r="AR195" s="562"/>
      <c r="AS195" s="562"/>
    </row>
    <row r="196" spans="2:45" x14ac:dyDescent="0.2">
      <c r="B196" s="358">
        <v>902.1</v>
      </c>
      <c r="C196" s="14"/>
      <c r="D196" s="14"/>
      <c r="E196" s="14" t="s">
        <v>2185</v>
      </c>
      <c r="F196" s="14"/>
      <c r="G196" s="14"/>
      <c r="H196" s="441"/>
      <c r="I196" s="272"/>
      <c r="J196" s="165"/>
      <c r="K196" s="165"/>
      <c r="L196" s="792"/>
      <c r="M196" s="801"/>
      <c r="N196" s="165"/>
      <c r="O196" s="794"/>
      <c r="P196" s="129"/>
      <c r="Q196" s="129"/>
      <c r="R196" s="129"/>
      <c r="S196" s="129"/>
      <c r="T196" s="129"/>
      <c r="U196" s="129"/>
      <c r="V196" s="129"/>
      <c r="W196" s="129"/>
      <c r="X196" s="798"/>
      <c r="Y196" s="562"/>
      <c r="Z196" s="562"/>
      <c r="AA196" s="562"/>
      <c r="AB196" s="562"/>
      <c r="AC196" s="562"/>
      <c r="AD196" s="562"/>
      <c r="AE196" s="562"/>
      <c r="AF196" s="562"/>
      <c r="AG196" s="562"/>
      <c r="AH196" s="562"/>
      <c r="AI196" s="562"/>
      <c r="AJ196" s="562"/>
      <c r="AK196" s="562"/>
      <c r="AL196" s="562"/>
      <c r="AM196" s="562"/>
      <c r="AN196" s="562"/>
      <c r="AO196" s="562"/>
      <c r="AP196" s="562"/>
      <c r="AQ196" s="562"/>
      <c r="AR196" s="562"/>
      <c r="AS196" s="562"/>
    </row>
    <row r="197" spans="2:45" x14ac:dyDescent="0.2">
      <c r="B197" s="358" t="s">
        <v>3128</v>
      </c>
      <c r="C197" s="14"/>
      <c r="D197" s="14"/>
      <c r="E197" s="14"/>
      <c r="F197" s="14"/>
      <c r="G197" s="14"/>
      <c r="H197" s="441"/>
      <c r="I197" s="145" t="s">
        <v>3129</v>
      </c>
      <c r="J197" s="146"/>
      <c r="K197" s="146"/>
      <c r="L197" s="847" t="s">
        <v>3130</v>
      </c>
      <c r="M197" s="824" t="s">
        <v>3131</v>
      </c>
      <c r="N197" s="146"/>
      <c r="O197" s="815">
        <f>MIN(11,IF(W198+W200=0,0,5+2*(W198+W200-1)))</f>
        <v>0</v>
      </c>
      <c r="P197" s="148"/>
      <c r="Q197" s="148"/>
      <c r="R197" s="148"/>
      <c r="S197" s="148"/>
      <c r="T197" s="148"/>
      <c r="U197" s="148"/>
      <c r="V197" s="148"/>
      <c r="W197" s="148" t="s">
        <v>3132</v>
      </c>
      <c r="X197" s="798"/>
      <c r="Y197" s="562"/>
      <c r="Z197" s="562"/>
      <c r="AA197" s="562"/>
      <c r="AB197" s="562"/>
      <c r="AC197" s="562"/>
      <c r="AD197" s="562"/>
      <c r="AE197" s="562"/>
      <c r="AF197" s="562"/>
      <c r="AG197" s="562"/>
      <c r="AH197" s="562"/>
      <c r="AI197" s="562"/>
      <c r="AJ197" s="562"/>
      <c r="AK197" s="562"/>
      <c r="AL197" s="190" t="str">
        <f>SUBSTITUTE(SUBSTITUTE(SUBSTITUTE("dpa"&amp;$B197&amp;$C197&amp;$D197&amp;$E197&amp;$F197,".","_"),"(","_"),")","")</f>
        <v>dpa902_1_2</v>
      </c>
      <c r="AM197" s="190" t="str">
        <f>M197</f>
        <v>11 Max</v>
      </c>
      <c r="AN197" s="190" t="str">
        <f>SUBSTITUTE(SUBSTITUTE(SUBSTITUTE("dpc"&amp;$B197&amp;$C197&amp;$D197&amp;$E197&amp;$F197,".","_"),"(","_"),")","")</f>
        <v>dpc902_1_2</v>
      </c>
      <c r="AO197" s="190">
        <f>O197</f>
        <v>0</v>
      </c>
      <c r="AP197" s="562"/>
      <c r="AQ197" s="562"/>
      <c r="AR197" s="190" t="str">
        <f>SUBSTITUTE(SUBSTITUTE(SUBSTITUTE("dnt"&amp;$B197&amp;$C197&amp;$D197&amp;$E197&amp;$F197,".","_"),"(","_"),")","")</f>
        <v>dnt902_1_2</v>
      </c>
      <c r="AS197" s="190">
        <f>X197</f>
        <v>0</v>
      </c>
    </row>
    <row r="198" spans="2:45" x14ac:dyDescent="0.2">
      <c r="B198" s="358" t="s">
        <v>3128</v>
      </c>
      <c r="C198" s="14"/>
      <c r="D198" s="14"/>
      <c r="E198" s="14"/>
      <c r="F198" s="14"/>
      <c r="G198" s="14"/>
      <c r="H198" s="441"/>
      <c r="I198" s="253"/>
      <c r="J198" s="98"/>
      <c r="K198" s="98"/>
      <c r="L198" s="820"/>
      <c r="M198" s="800"/>
      <c r="N198" s="98"/>
      <c r="O198" s="793"/>
      <c r="P198" s="64" t="b">
        <v>0</v>
      </c>
      <c r="Q198" s="64" t="b">
        <v>1</v>
      </c>
      <c r="R198" s="64" t="b">
        <v>0</v>
      </c>
      <c r="S198" s="64" t="b">
        <v>1</v>
      </c>
      <c r="T198" s="64" t="b">
        <v>0</v>
      </c>
      <c r="U198" s="64"/>
      <c r="V198" s="64"/>
      <c r="W198" s="256"/>
      <c r="X198" s="798"/>
      <c r="Y198" s="562"/>
      <c r="Z198" s="562"/>
      <c r="AA198" s="562"/>
      <c r="AB198" s="562"/>
      <c r="AC198" s="562" t="b">
        <f>OR(AD198:AE198)</f>
        <v>0</v>
      </c>
      <c r="AD198" s="562" t="b">
        <f>T198</f>
        <v>0</v>
      </c>
      <c r="AE198" s="562" t="b">
        <f>AND(R198,OR(W198="Not Met",W198=""))</f>
        <v>0</v>
      </c>
      <c r="AF198" s="562"/>
      <c r="AG198" s="562"/>
      <c r="AH198" s="562"/>
      <c r="AI198" s="562"/>
      <c r="AJ198" s="562"/>
      <c r="AK198" s="562"/>
      <c r="AL198" s="562"/>
      <c r="AM198" s="562"/>
      <c r="AN198" s="562"/>
      <c r="AO198" s="562"/>
      <c r="AP198" s="190" t="str">
        <f>SUBSTITUTE(SUBSTITUTE(SUBSTITUTE("dch"&amp;$B198&amp;$C198&amp;$D198&amp;$E198&amp;$F198,".","_"),"(","_"),")","")</f>
        <v>dch902_1_2</v>
      </c>
      <c r="AQ198" s="190">
        <f>W198</f>
        <v>0</v>
      </c>
      <c r="AR198" s="562"/>
      <c r="AS198" s="562"/>
    </row>
    <row r="199" spans="2:45" ht="15" customHeight="1" x14ac:dyDescent="0.2">
      <c r="B199" s="358" t="s">
        <v>3128</v>
      </c>
      <c r="C199" s="14"/>
      <c r="D199" s="14"/>
      <c r="E199" s="14" t="s">
        <v>2181</v>
      </c>
      <c r="F199" s="14"/>
      <c r="G199" s="14"/>
      <c r="H199" s="441"/>
      <c r="I199" s="253"/>
      <c r="J199" s="159" t="s">
        <v>2181</v>
      </c>
      <c r="K199" s="165"/>
      <c r="L199" s="599" t="s">
        <v>3133</v>
      </c>
      <c r="M199" s="611">
        <v>5</v>
      </c>
      <c r="N199" s="98"/>
      <c r="O199" s="607"/>
      <c r="P199" s="64"/>
      <c r="Q199" s="64"/>
      <c r="R199" s="64"/>
      <c r="S199" s="64"/>
      <c r="T199" s="64"/>
      <c r="U199" s="64"/>
      <c r="V199" s="64"/>
      <c r="W199" s="64" t="s">
        <v>3134</v>
      </c>
      <c r="X199" s="798"/>
      <c r="Y199" s="562"/>
      <c r="Z199" s="562"/>
      <c r="AA199" s="562"/>
      <c r="AB199" s="562"/>
      <c r="AC199" s="562"/>
      <c r="AD199" s="562"/>
      <c r="AE199" s="562"/>
      <c r="AF199" s="562"/>
      <c r="AG199" s="562"/>
      <c r="AH199" s="562"/>
      <c r="AI199" s="562"/>
      <c r="AJ199" s="562"/>
      <c r="AK199" s="562"/>
      <c r="AL199" s="190" t="str">
        <f>SUBSTITUTE(SUBSTITUTE(SUBSTITUTE("dpa"&amp;$B199&amp;$C199&amp;$D199&amp;$E199&amp;$F199,".","_"),"(","_"),")","")</f>
        <v>dpa902_1_2_1</v>
      </c>
      <c r="AM199" s="190">
        <f>M199</f>
        <v>5</v>
      </c>
      <c r="AN199" s="562"/>
      <c r="AO199" s="562"/>
      <c r="AP199" s="562"/>
      <c r="AQ199" s="562"/>
      <c r="AR199" s="562"/>
      <c r="AS199" s="562"/>
    </row>
    <row r="200" spans="2:45" x14ac:dyDescent="0.2">
      <c r="B200" s="358" t="s">
        <v>3128</v>
      </c>
      <c r="C200" s="14"/>
      <c r="D200" s="14"/>
      <c r="E200" s="14" t="s">
        <v>2183</v>
      </c>
      <c r="F200" s="14"/>
      <c r="G200" s="14"/>
      <c r="H200" s="441"/>
      <c r="I200" s="272"/>
      <c r="J200" s="159" t="s">
        <v>2183</v>
      </c>
      <c r="K200" s="165"/>
      <c r="L200" s="599" t="s">
        <v>3135</v>
      </c>
      <c r="M200" s="611">
        <v>2</v>
      </c>
      <c r="N200" s="165"/>
      <c r="O200" s="608"/>
      <c r="P200" s="64" t="b">
        <v>0</v>
      </c>
      <c r="Q200" s="64" t="b">
        <v>1</v>
      </c>
      <c r="R200" s="129" t="b">
        <v>0</v>
      </c>
      <c r="S200" s="129" t="b">
        <v>1</v>
      </c>
      <c r="T200" s="129" t="b">
        <v>0</v>
      </c>
      <c r="U200" s="129"/>
      <c r="V200" s="129"/>
      <c r="W200" s="276"/>
      <c r="X200" s="798"/>
      <c r="Y200" s="562"/>
      <c r="Z200" s="562"/>
      <c r="AA200" s="562"/>
      <c r="AB200" s="562"/>
      <c r="AC200" s="562" t="b">
        <f>OR(AD200:AE200)</f>
        <v>0</v>
      </c>
      <c r="AD200" s="562" t="b">
        <f>T200</f>
        <v>0</v>
      </c>
      <c r="AE200" s="562" t="b">
        <f>AND(R200,OR(W200="Not Met",W200=""))</f>
        <v>0</v>
      </c>
      <c r="AF200" s="562"/>
      <c r="AG200" s="562"/>
      <c r="AH200" s="562"/>
      <c r="AI200" s="562"/>
      <c r="AJ200" s="562"/>
      <c r="AK200" s="562"/>
      <c r="AL200" s="190" t="str">
        <f>SUBSTITUTE(SUBSTITUTE(SUBSTITUTE("dpa"&amp;$B200&amp;$C200&amp;$D200&amp;$E200&amp;$F200,".","_"),"(","_"),")","")</f>
        <v>dpa902_1_2_2</v>
      </c>
      <c r="AM200" s="190">
        <f>M200</f>
        <v>2</v>
      </c>
      <c r="AN200" s="562"/>
      <c r="AO200" s="562"/>
      <c r="AP200" s="190" t="str">
        <f t="shared" ref="AP200:AP201" si="6">SUBSTITUTE(SUBSTITUTE(SUBSTITUTE("dch"&amp;$B200&amp;$C200&amp;$D200&amp;$E200&amp;$F200,".","_"),"(","_"),")","")</f>
        <v>dch902_1_2_2</v>
      </c>
      <c r="AQ200" s="190">
        <f>W200</f>
        <v>0</v>
      </c>
      <c r="AR200" s="562"/>
      <c r="AS200" s="562"/>
    </row>
    <row r="201" spans="2:45" x14ac:dyDescent="0.2">
      <c r="B201" s="358" t="s">
        <v>3136</v>
      </c>
      <c r="C201" s="14"/>
      <c r="D201" s="14"/>
      <c r="E201" s="14"/>
      <c r="F201" s="14"/>
      <c r="G201" s="14"/>
      <c r="H201" s="441"/>
      <c r="I201" s="145" t="s">
        <v>3137</v>
      </c>
      <c r="J201" s="146"/>
      <c r="K201" s="146"/>
      <c r="L201" s="847" t="s">
        <v>3138</v>
      </c>
      <c r="M201" s="824">
        <v>8</v>
      </c>
      <c r="N201" s="146"/>
      <c r="O201" s="815">
        <f>M201*S201*W201</f>
        <v>0</v>
      </c>
      <c r="P201" s="64" t="b">
        <v>0</v>
      </c>
      <c r="Q201" s="64" t="b">
        <v>1</v>
      </c>
      <c r="R201" s="148" t="b">
        <v>0</v>
      </c>
      <c r="S201" s="148" t="b">
        <v>1</v>
      </c>
      <c r="T201" s="148" t="b">
        <v>0</v>
      </c>
      <c r="U201" s="148"/>
      <c r="V201" s="148"/>
      <c r="W201" s="219"/>
      <c r="X201" s="798"/>
      <c r="Y201" s="562"/>
      <c r="Z201" s="562"/>
      <c r="AA201" s="562"/>
      <c r="AB201" s="562"/>
      <c r="AC201" s="562" t="b">
        <f>OR(AD201:AE201)</f>
        <v>0</v>
      </c>
      <c r="AD201" s="562" t="b">
        <f>T201</f>
        <v>0</v>
      </c>
      <c r="AE201" s="562" t="b">
        <f>AND(R201,NOT(W201))</f>
        <v>0</v>
      </c>
      <c r="AF201" s="562"/>
      <c r="AG201" s="562"/>
      <c r="AH201" s="562"/>
      <c r="AI201" s="562"/>
      <c r="AJ201" s="562"/>
      <c r="AK201" s="562"/>
      <c r="AL201" s="190" t="str">
        <f>SUBSTITUTE(SUBSTITUTE(SUBSTITUTE("dpa"&amp;$B201&amp;$C201&amp;$D201&amp;$E201&amp;$F201,".","_"),"(","_"),")","")</f>
        <v>dpa902_1_3</v>
      </c>
      <c r="AM201" s="190">
        <f>M201</f>
        <v>8</v>
      </c>
      <c r="AN201" s="190" t="str">
        <f>SUBSTITUTE(SUBSTITUTE(SUBSTITUTE("dpc"&amp;$B201&amp;$C201&amp;$D201&amp;$E201&amp;$F201,".","_"),"(","_"),")","")</f>
        <v>dpc902_1_3</v>
      </c>
      <c r="AO201" s="190">
        <f>O201</f>
        <v>0</v>
      </c>
      <c r="AP201" s="190" t="str">
        <f t="shared" si="6"/>
        <v>dch902_1_3</v>
      </c>
      <c r="AQ201" s="190">
        <f>W201</f>
        <v>0</v>
      </c>
      <c r="AR201" s="190" t="str">
        <f>SUBSTITUTE(SUBSTITUTE(SUBSTITUTE("dnt"&amp;$B201&amp;$C201&amp;$D201&amp;$E201&amp;$F201,".","_"),"(","_"),")","")</f>
        <v>dnt902_1_3</v>
      </c>
      <c r="AS201" s="190">
        <f>X201</f>
        <v>0</v>
      </c>
    </row>
    <row r="202" spans="2:45" x14ac:dyDescent="0.2">
      <c r="B202" s="358" t="s">
        <v>3136</v>
      </c>
      <c r="C202" s="14"/>
      <c r="D202" s="14"/>
      <c r="E202" s="14"/>
      <c r="F202" s="14"/>
      <c r="G202" s="14"/>
      <c r="H202" s="441"/>
      <c r="I202" s="253"/>
      <c r="J202" s="98"/>
      <c r="K202" s="98"/>
      <c r="L202" s="820"/>
      <c r="M202" s="800"/>
      <c r="N202" s="98"/>
      <c r="O202" s="793"/>
      <c r="P202" s="64"/>
      <c r="Q202" s="64"/>
      <c r="R202" s="64"/>
      <c r="S202" s="64"/>
      <c r="T202" s="64"/>
      <c r="U202" s="64"/>
      <c r="V202" s="64"/>
      <c r="W202" s="64"/>
      <c r="X202" s="798"/>
      <c r="Y202" s="562"/>
      <c r="Z202" s="562"/>
      <c r="AA202" s="562"/>
      <c r="AB202" s="562"/>
      <c r="AC202" s="562"/>
      <c r="AD202" s="562"/>
      <c r="AE202" s="562"/>
      <c r="AF202" s="562"/>
      <c r="AG202" s="562"/>
      <c r="AH202" s="562"/>
      <c r="AI202" s="562"/>
      <c r="AJ202" s="562"/>
      <c r="AK202" s="562"/>
      <c r="AL202" s="562"/>
      <c r="AM202" s="562"/>
      <c r="AN202" s="562"/>
      <c r="AO202" s="562"/>
      <c r="AP202" s="562"/>
      <c r="AQ202" s="562"/>
      <c r="AR202" s="562"/>
      <c r="AS202" s="562"/>
    </row>
    <row r="203" spans="2:45" ht="15" customHeight="1" x14ac:dyDescent="0.2">
      <c r="B203" s="358" t="s">
        <v>3136</v>
      </c>
      <c r="C203" s="14"/>
      <c r="D203" s="14"/>
      <c r="E203" s="14"/>
      <c r="F203" s="14" t="s">
        <v>2196</v>
      </c>
      <c r="G203" s="14"/>
      <c r="H203" s="441"/>
      <c r="I203" s="253"/>
      <c r="J203" s="98"/>
      <c r="K203" s="134" t="s">
        <v>2196</v>
      </c>
      <c r="L203" s="598" t="s">
        <v>3139</v>
      </c>
      <c r="M203" s="610"/>
      <c r="N203" s="98"/>
      <c r="O203" s="607"/>
      <c r="P203" s="64"/>
      <c r="Q203" s="64"/>
      <c r="R203" s="64"/>
      <c r="S203" s="64"/>
      <c r="T203" s="64"/>
      <c r="U203" s="64"/>
      <c r="V203" s="64"/>
      <c r="W203" s="64"/>
      <c r="X203" s="798"/>
      <c r="Y203" s="562"/>
      <c r="Z203" s="562"/>
      <c r="AA203" s="562"/>
      <c r="AB203" s="562"/>
      <c r="AC203" s="562"/>
      <c r="AD203" s="562"/>
      <c r="AE203" s="562"/>
      <c r="AF203" s="562"/>
      <c r="AG203" s="562"/>
      <c r="AH203" s="562"/>
      <c r="AI203" s="562"/>
      <c r="AJ203" s="562"/>
      <c r="AK203" s="562"/>
      <c r="AL203" s="562"/>
      <c r="AM203" s="562"/>
      <c r="AN203" s="562"/>
      <c r="AO203" s="562"/>
      <c r="AP203" s="562"/>
      <c r="AQ203" s="562"/>
      <c r="AR203" s="562"/>
      <c r="AS203" s="562"/>
    </row>
    <row r="204" spans="2:45" ht="15" customHeight="1" x14ac:dyDescent="0.2">
      <c r="B204" s="358" t="s">
        <v>3136</v>
      </c>
      <c r="C204" s="14"/>
      <c r="D204" s="14"/>
      <c r="E204" s="14"/>
      <c r="F204" s="14" t="s">
        <v>2198</v>
      </c>
      <c r="G204" s="14"/>
      <c r="H204" s="441"/>
      <c r="I204" s="272"/>
      <c r="J204" s="165"/>
      <c r="K204" s="159" t="s">
        <v>2198</v>
      </c>
      <c r="L204" s="599" t="s">
        <v>3140</v>
      </c>
      <c r="M204" s="611"/>
      <c r="N204" s="165"/>
      <c r="O204" s="608"/>
      <c r="P204" s="129"/>
      <c r="Q204" s="129"/>
      <c r="R204" s="129"/>
      <c r="S204" s="129"/>
      <c r="T204" s="129"/>
      <c r="U204" s="129"/>
      <c r="V204" s="129"/>
      <c r="W204" s="129"/>
      <c r="X204" s="798"/>
      <c r="Y204" s="562"/>
      <c r="Z204" s="562"/>
      <c r="AA204" s="562"/>
      <c r="AB204" s="562"/>
      <c r="AC204" s="562"/>
      <c r="AD204" s="562"/>
      <c r="AE204" s="562"/>
      <c r="AF204" s="562"/>
      <c r="AG204" s="562"/>
      <c r="AH204" s="562"/>
      <c r="AI204" s="562"/>
      <c r="AJ204" s="562"/>
      <c r="AK204" s="562"/>
      <c r="AL204" s="562"/>
      <c r="AM204" s="562"/>
      <c r="AN204" s="562"/>
      <c r="AO204" s="562"/>
      <c r="AP204" s="562"/>
      <c r="AQ204" s="562"/>
      <c r="AR204" s="562"/>
      <c r="AS204" s="562"/>
    </row>
    <row r="205" spans="2:45" x14ac:dyDescent="0.2">
      <c r="B205" s="358" t="s">
        <v>3141</v>
      </c>
      <c r="C205" s="14"/>
      <c r="D205" s="14"/>
      <c r="E205" s="14"/>
      <c r="F205" s="14"/>
      <c r="G205" s="14"/>
      <c r="H205" s="441"/>
      <c r="I205" s="145" t="s">
        <v>3142</v>
      </c>
      <c r="J205" s="146"/>
      <c r="K205" s="146"/>
      <c r="L205" s="639" t="s">
        <v>3143</v>
      </c>
      <c r="M205" s="624" t="s">
        <v>2436</v>
      </c>
      <c r="N205" s="146"/>
      <c r="O205" s="617">
        <f>MIN(12,M206*S207*W207+M208*S209*W209)</f>
        <v>0</v>
      </c>
      <c r="P205" s="148"/>
      <c r="Q205" s="148"/>
      <c r="R205" s="148"/>
      <c r="S205" s="148"/>
      <c r="T205" s="148"/>
      <c r="U205" s="148"/>
      <c r="V205" s="148"/>
      <c r="W205" s="148"/>
      <c r="X205" s="798"/>
      <c r="Y205" s="562"/>
      <c r="Z205" s="562"/>
      <c r="AA205" s="562"/>
      <c r="AB205" s="562"/>
      <c r="AC205" s="562"/>
      <c r="AD205" s="562"/>
      <c r="AE205" s="562"/>
      <c r="AF205" s="562"/>
      <c r="AG205" s="562"/>
      <c r="AH205" s="562"/>
      <c r="AI205" s="562"/>
      <c r="AJ205" s="562"/>
      <c r="AK205" s="562"/>
      <c r="AL205" s="190" t="str">
        <f>SUBSTITUTE(SUBSTITUTE(SUBSTITUTE("dpa"&amp;$B205&amp;$C205&amp;$D205&amp;$E205&amp;$F205,".","_"),"(","_"),")","")</f>
        <v>dpa902_1_4</v>
      </c>
      <c r="AM205" s="190" t="str">
        <f>M205</f>
        <v>12 Max</v>
      </c>
      <c r="AN205" s="190" t="str">
        <f>SUBSTITUTE(SUBSTITUTE(SUBSTITUTE("dpc"&amp;$B205&amp;$C205&amp;$D205&amp;$E205&amp;$F205,".","_"),"(","_"),")","")</f>
        <v>dpc902_1_4</v>
      </c>
      <c r="AO205" s="190">
        <f>O205</f>
        <v>0</v>
      </c>
      <c r="AP205" s="562"/>
      <c r="AQ205" s="562"/>
      <c r="AR205" s="190" t="str">
        <f>SUBSTITUTE(SUBSTITUTE(SUBSTITUTE("dnt"&amp;$B205&amp;$C205&amp;$D205&amp;$E205&amp;$F205,".","_"),"(","_"),")","")</f>
        <v>dnt902_1_4</v>
      </c>
      <c r="AS205" s="190">
        <f>X205</f>
        <v>0</v>
      </c>
    </row>
    <row r="206" spans="2:45" ht="15" customHeight="1" x14ac:dyDescent="0.2">
      <c r="B206" s="358" t="s">
        <v>3141</v>
      </c>
      <c r="C206" s="14"/>
      <c r="D206" s="14"/>
      <c r="E206" s="14" t="s">
        <v>2181</v>
      </c>
      <c r="F206" s="14"/>
      <c r="G206" s="14"/>
      <c r="H206" s="441"/>
      <c r="I206" s="253"/>
      <c r="J206" s="134" t="s">
        <v>2181</v>
      </c>
      <c r="K206" s="98"/>
      <c r="L206" s="598" t="s">
        <v>3144</v>
      </c>
      <c r="M206" s="800">
        <v>2</v>
      </c>
      <c r="N206" s="98"/>
      <c r="O206" s="607"/>
      <c r="P206" s="64"/>
      <c r="Q206" s="64"/>
      <c r="R206" s="64"/>
      <c r="S206" s="64"/>
      <c r="T206" s="64"/>
      <c r="U206" s="64"/>
      <c r="V206" s="64"/>
      <c r="W206" s="64" t="s">
        <v>3145</v>
      </c>
      <c r="X206" s="798"/>
      <c r="Y206" s="562"/>
      <c r="Z206" s="562"/>
      <c r="AA206" s="562"/>
      <c r="AB206" s="562"/>
      <c r="AC206" s="562"/>
      <c r="AD206" s="562"/>
      <c r="AE206" s="562"/>
      <c r="AF206" s="562"/>
      <c r="AG206" s="562"/>
      <c r="AH206" s="562"/>
      <c r="AI206" s="562"/>
      <c r="AJ206" s="562"/>
      <c r="AK206" s="562"/>
      <c r="AL206" s="190" t="str">
        <f>SUBSTITUTE(SUBSTITUTE(SUBSTITUTE("dpa"&amp;$B206&amp;$C206&amp;$D206&amp;$E206&amp;$F206,".","_"),"(","_"),")","")</f>
        <v>dpa902_1_4_1</v>
      </c>
      <c r="AM206" s="190">
        <f>M206</f>
        <v>2</v>
      </c>
      <c r="AN206" s="562"/>
      <c r="AO206" s="562"/>
      <c r="AP206" s="562"/>
      <c r="AQ206" s="562"/>
      <c r="AR206" s="562"/>
      <c r="AS206" s="562"/>
    </row>
    <row r="207" spans="2:45" x14ac:dyDescent="0.2">
      <c r="B207" s="358" t="s">
        <v>3141</v>
      </c>
      <c r="C207" s="14"/>
      <c r="D207" s="14"/>
      <c r="E207" s="14" t="s">
        <v>2181</v>
      </c>
      <c r="F207" s="14"/>
      <c r="G207" s="14"/>
      <c r="H207" s="441"/>
      <c r="I207" s="253"/>
      <c r="J207" s="159"/>
      <c r="K207" s="165"/>
      <c r="L207" s="637" t="s">
        <v>3146</v>
      </c>
      <c r="M207" s="801"/>
      <c r="N207" s="98"/>
      <c r="O207" s="607"/>
      <c r="P207" s="64" t="b">
        <v>0</v>
      </c>
      <c r="Q207" s="64" t="b">
        <v>1</v>
      </c>
      <c r="R207" s="64" t="b">
        <v>0</v>
      </c>
      <c r="S207" s="64" t="b">
        <v>1</v>
      </c>
      <c r="T207" s="64" t="b">
        <v>0</v>
      </c>
      <c r="U207" s="64"/>
      <c r="V207" s="64"/>
      <c r="W207" s="257"/>
      <c r="X207" s="798"/>
      <c r="Y207" s="562"/>
      <c r="Z207" s="562"/>
      <c r="AA207" s="562"/>
      <c r="AB207" s="562"/>
      <c r="AC207" s="562" t="b">
        <f>OR(AD207:AE207)</f>
        <v>0</v>
      </c>
      <c r="AD207" s="562" t="b">
        <f>T207</f>
        <v>0</v>
      </c>
      <c r="AE207" s="562" t="b">
        <f>AND(R207,OR(W207="Not Met",W207=""))</f>
        <v>0</v>
      </c>
      <c r="AF207" s="562"/>
      <c r="AG207" s="562"/>
      <c r="AH207" s="562"/>
      <c r="AI207" s="562"/>
      <c r="AJ207" s="562"/>
      <c r="AK207" s="562"/>
      <c r="AL207" s="562"/>
      <c r="AM207" s="562"/>
      <c r="AN207" s="562"/>
      <c r="AO207" s="562"/>
      <c r="AP207" s="190" t="str">
        <f>SUBSTITUTE(SUBSTITUTE(SUBSTITUTE("dch"&amp;$B207&amp;$C207&amp;$D207&amp;$E207&amp;$F207,".","_"),"(","_"),")","")</f>
        <v>dch902_1_4_1</v>
      </c>
      <c r="AQ207" s="190">
        <f>W207</f>
        <v>0</v>
      </c>
      <c r="AR207" s="562"/>
      <c r="AS207" s="562"/>
    </row>
    <row r="208" spans="2:45" x14ac:dyDescent="0.2">
      <c r="B208" s="358" t="s">
        <v>3141</v>
      </c>
      <c r="C208" s="14"/>
      <c r="D208" s="14"/>
      <c r="E208" s="14" t="s">
        <v>2183</v>
      </c>
      <c r="F208" s="14"/>
      <c r="G208" s="14"/>
      <c r="H208" s="441"/>
      <c r="I208" s="253"/>
      <c r="J208" s="134" t="s">
        <v>2183</v>
      </c>
      <c r="K208" s="98"/>
      <c r="L208" s="598" t="s">
        <v>3147</v>
      </c>
      <c r="M208" s="800">
        <v>3</v>
      </c>
      <c r="N208" s="98"/>
      <c r="O208" s="607"/>
      <c r="P208" s="64"/>
      <c r="Q208" s="64"/>
      <c r="R208" s="64"/>
      <c r="S208" s="64"/>
      <c r="T208" s="64"/>
      <c r="U208" s="64"/>
      <c r="V208" s="64"/>
      <c r="W208" s="64"/>
      <c r="X208" s="798"/>
      <c r="Y208" s="562"/>
      <c r="Z208" s="562"/>
      <c r="AA208" s="562"/>
      <c r="AB208" s="562"/>
      <c r="AC208" s="562"/>
      <c r="AD208" s="562"/>
      <c r="AE208" s="562"/>
      <c r="AF208" s="562"/>
      <c r="AG208" s="562"/>
      <c r="AH208" s="562"/>
      <c r="AI208" s="562"/>
      <c r="AJ208" s="562"/>
      <c r="AK208" s="562"/>
      <c r="AL208" s="190" t="str">
        <f>SUBSTITUTE(SUBSTITUTE(SUBSTITUTE("dpa"&amp;$B208&amp;$C208&amp;$D208&amp;$E208&amp;$F208,".","_"),"(","_"),")","")</f>
        <v>dpa902_1_4_2</v>
      </c>
      <c r="AM208" s="190">
        <f>M208</f>
        <v>3</v>
      </c>
      <c r="AN208" s="562"/>
      <c r="AO208" s="562"/>
      <c r="AP208" s="562"/>
      <c r="AQ208" s="562"/>
      <c r="AR208" s="562"/>
      <c r="AS208" s="562"/>
    </row>
    <row r="209" spans="1:45" x14ac:dyDescent="0.2">
      <c r="B209" s="358" t="s">
        <v>3141</v>
      </c>
      <c r="C209" s="14"/>
      <c r="D209" s="14"/>
      <c r="E209" s="14" t="s">
        <v>2183</v>
      </c>
      <c r="F209" s="14"/>
      <c r="G209" s="14"/>
      <c r="H209" s="441"/>
      <c r="I209" s="272"/>
      <c r="J209" s="165"/>
      <c r="K209" s="165"/>
      <c r="L209" s="637" t="s">
        <v>3146</v>
      </c>
      <c r="M209" s="801"/>
      <c r="N209" s="165"/>
      <c r="O209" s="608"/>
      <c r="P209" s="64" t="b">
        <v>0</v>
      </c>
      <c r="Q209" s="64" t="b">
        <v>1</v>
      </c>
      <c r="R209" s="129" t="b">
        <v>0</v>
      </c>
      <c r="S209" s="129" t="b">
        <v>1</v>
      </c>
      <c r="T209" s="129" t="b">
        <v>0</v>
      </c>
      <c r="U209" s="129"/>
      <c r="V209" s="129"/>
      <c r="W209" s="257"/>
      <c r="X209" s="798"/>
      <c r="Y209" s="562"/>
      <c r="Z209" s="562"/>
      <c r="AA209" s="562"/>
      <c r="AB209" s="562"/>
      <c r="AC209" s="562" t="b">
        <f>OR(AD209:AE209)</f>
        <v>0</v>
      </c>
      <c r="AD209" s="562" t="b">
        <f>T209</f>
        <v>0</v>
      </c>
      <c r="AE209" s="562" t="b">
        <f>AND(R209,OR(W209="Not Met",W209=""))</f>
        <v>0</v>
      </c>
      <c r="AF209" s="562"/>
      <c r="AG209" s="562"/>
      <c r="AH209" s="562"/>
      <c r="AI209" s="562"/>
      <c r="AJ209" s="562"/>
      <c r="AK209" s="562"/>
      <c r="AL209" s="562"/>
      <c r="AM209" s="562"/>
      <c r="AN209" s="562"/>
      <c r="AO209" s="562"/>
      <c r="AP209" s="190" t="str">
        <f>SUBSTITUTE(SUBSTITUTE(SUBSTITUTE("dch"&amp;$B209&amp;$C209&amp;$D209&amp;$E209&amp;$F209,".","_"),"(","_"),")","")</f>
        <v>dch902_1_4_2</v>
      </c>
      <c r="AQ209" s="190">
        <f>W209</f>
        <v>0</v>
      </c>
      <c r="AR209" s="562"/>
      <c r="AS209" s="562"/>
    </row>
    <row r="210" spans="1:45" x14ac:dyDescent="0.2">
      <c r="B210" s="358" t="s">
        <v>3148</v>
      </c>
      <c r="C210" s="14"/>
      <c r="D210" s="14"/>
      <c r="E210" s="14"/>
      <c r="F210" s="14"/>
      <c r="G210" s="14"/>
      <c r="H210" s="441"/>
      <c r="I210" s="40" t="s">
        <v>3149</v>
      </c>
      <c r="J210" s="3"/>
      <c r="K210" s="3"/>
      <c r="L210" s="775" t="s">
        <v>3150</v>
      </c>
      <c r="M210" s="814">
        <v>3</v>
      </c>
      <c r="N210" s="3"/>
      <c r="O210" s="795">
        <f>M210*W212*W214*W216</f>
        <v>0</v>
      </c>
      <c r="P210" s="562"/>
      <c r="Q210" s="562"/>
      <c r="R210" s="562"/>
      <c r="S210" s="562"/>
      <c r="T210" s="562"/>
      <c r="U210" s="562"/>
      <c r="V210" s="562"/>
      <c r="W210" s="562"/>
      <c r="X210" s="562"/>
      <c r="Y210" s="562"/>
      <c r="Z210" s="562"/>
      <c r="AA210" s="562"/>
      <c r="AB210" s="562"/>
      <c r="AC210" s="562"/>
      <c r="AD210" s="562"/>
      <c r="AE210" s="562"/>
      <c r="AF210" s="562"/>
      <c r="AG210" s="562"/>
      <c r="AH210" s="562"/>
      <c r="AI210" s="562"/>
      <c r="AJ210" s="562"/>
      <c r="AK210" s="562"/>
      <c r="AL210" s="190" t="str">
        <f>SUBSTITUTE(SUBSTITUTE(SUBSTITUTE("dpa"&amp;$B210&amp;$C210&amp;$D210&amp;$E210&amp;$F210,".","_"),"(","_"),")","")</f>
        <v>dpa902_1_5</v>
      </c>
      <c r="AM210" s="190">
        <f>M210</f>
        <v>3</v>
      </c>
      <c r="AN210" s="190" t="str">
        <f>SUBSTITUTE(SUBSTITUTE(SUBSTITUTE("dpc"&amp;$B210&amp;$C210&amp;$D210&amp;$E210&amp;$F210,".","_"),"(","_"),")","")</f>
        <v>dpc902_1_5</v>
      </c>
      <c r="AO210" s="190">
        <f>O210</f>
        <v>0</v>
      </c>
      <c r="AP210" s="562"/>
      <c r="AQ210" s="562"/>
      <c r="AR210" s="562"/>
      <c r="AS210" s="562"/>
    </row>
    <row r="211" spans="1:45" x14ac:dyDescent="0.2">
      <c r="B211" s="358" t="s">
        <v>3148</v>
      </c>
      <c r="C211" s="14"/>
      <c r="D211" s="14"/>
      <c r="E211" s="14"/>
      <c r="F211" s="14"/>
      <c r="G211" s="14"/>
      <c r="H211" s="441"/>
      <c r="I211" s="121"/>
      <c r="J211" s="3"/>
      <c r="K211" s="3"/>
      <c r="L211" s="775"/>
      <c r="M211" s="814"/>
      <c r="N211" s="3"/>
      <c r="O211" s="795"/>
      <c r="P211" s="562"/>
      <c r="Q211" s="562"/>
      <c r="R211" s="562"/>
      <c r="S211" s="562"/>
      <c r="T211" s="562"/>
      <c r="U211" s="562"/>
      <c r="V211" s="562"/>
      <c r="W211" s="562"/>
      <c r="X211" s="562"/>
      <c r="Y211" s="562"/>
      <c r="Z211" s="562"/>
      <c r="AA211" s="562"/>
      <c r="AB211" s="562"/>
      <c r="AC211" s="562"/>
      <c r="AD211" s="562"/>
      <c r="AE211" s="562"/>
      <c r="AF211" s="562"/>
      <c r="AG211" s="562"/>
      <c r="AH211" s="562"/>
      <c r="AI211" s="562"/>
      <c r="AJ211" s="562"/>
      <c r="AK211" s="562"/>
      <c r="AL211" s="562"/>
      <c r="AM211" s="562"/>
      <c r="AN211" s="562"/>
      <c r="AO211" s="562"/>
      <c r="AP211" s="562"/>
      <c r="AQ211" s="562"/>
      <c r="AR211" s="562"/>
      <c r="AS211" s="562"/>
    </row>
    <row r="212" spans="1:45" x14ac:dyDescent="0.2">
      <c r="B212" s="358" t="s">
        <v>3148</v>
      </c>
      <c r="C212" s="14"/>
      <c r="D212" s="14"/>
      <c r="E212" s="14" t="s">
        <v>2181</v>
      </c>
      <c r="F212" s="14"/>
      <c r="G212" s="14"/>
      <c r="H212" s="441"/>
      <c r="I212" s="121"/>
      <c r="J212" s="134" t="s">
        <v>2181</v>
      </c>
      <c r="K212" s="98"/>
      <c r="L212" s="791" t="s">
        <v>3151</v>
      </c>
      <c r="M212" s="616"/>
      <c r="N212" s="3"/>
      <c r="O212" s="609"/>
      <c r="P212" s="64" t="b">
        <v>0</v>
      </c>
      <c r="Q212" s="64" t="b">
        <v>1</v>
      </c>
      <c r="R212" s="562" t="b">
        <v>0</v>
      </c>
      <c r="S212" s="562" t="b">
        <v>1</v>
      </c>
      <c r="T212" s="562" t="b">
        <v>0</v>
      </c>
      <c r="U212" s="562"/>
      <c r="V212" s="562"/>
      <c r="W212" s="18"/>
      <c r="X212" s="787"/>
      <c r="Y212" s="562"/>
      <c r="Z212" s="562"/>
      <c r="AA212" s="562"/>
      <c r="AB212" s="562"/>
      <c r="AC212" s="562" t="b">
        <f>OR(AD212:AE212)</f>
        <v>0</v>
      </c>
      <c r="AD212" s="562" t="b">
        <f>T212</f>
        <v>0</v>
      </c>
      <c r="AE212" s="562" t="b">
        <f>AND(R212,NOT(W212))</f>
        <v>0</v>
      </c>
      <c r="AF212" s="562"/>
      <c r="AG212" s="562"/>
      <c r="AH212" s="562"/>
      <c r="AI212" s="562"/>
      <c r="AJ212" s="562"/>
      <c r="AK212" s="562"/>
      <c r="AL212" s="562"/>
      <c r="AM212" s="562"/>
      <c r="AN212" s="562"/>
      <c r="AO212" s="562"/>
      <c r="AP212" s="190" t="str">
        <f>SUBSTITUTE(SUBSTITUTE(SUBSTITUTE("dch"&amp;$B212&amp;$C212&amp;$D212&amp;$E212&amp;$F212,".","_"),"(","_"),")","")</f>
        <v>dch902_1_5_1</v>
      </c>
      <c r="AQ212" s="190">
        <f>W212</f>
        <v>0</v>
      </c>
      <c r="AR212" s="190" t="str">
        <f>SUBSTITUTE(SUBSTITUTE(SUBSTITUTE("dnt"&amp;$B212&amp;$C212&amp;$D212&amp;$E212&amp;$F212,".","_"),"(","_"),")","")</f>
        <v>dnt902_1_5_1</v>
      </c>
      <c r="AS212" s="190">
        <f>X212</f>
        <v>0</v>
      </c>
    </row>
    <row r="213" spans="1:45" x14ac:dyDescent="0.2">
      <c r="B213" s="358" t="s">
        <v>3148</v>
      </c>
      <c r="C213" s="14"/>
      <c r="D213" s="14"/>
      <c r="E213" s="14" t="s">
        <v>2181</v>
      </c>
      <c r="F213" s="14"/>
      <c r="G213" s="14"/>
      <c r="H213" s="441"/>
      <c r="I213" s="121"/>
      <c r="J213" s="159"/>
      <c r="K213" s="165"/>
      <c r="L213" s="792"/>
      <c r="M213" s="616"/>
      <c r="N213" s="3"/>
      <c r="O213" s="609"/>
      <c r="P213" s="562"/>
      <c r="Q213" s="562"/>
      <c r="R213" s="562"/>
      <c r="S213" s="562"/>
      <c r="T213" s="562"/>
      <c r="U213" s="562"/>
      <c r="V213" s="562"/>
      <c r="W213" s="562"/>
      <c r="X213" s="787"/>
      <c r="Y213" s="562"/>
      <c r="Z213" s="562"/>
      <c r="AA213" s="562"/>
      <c r="AB213" s="562"/>
      <c r="AC213" s="562"/>
      <c r="AD213" s="562"/>
      <c r="AE213" s="562"/>
      <c r="AF213" s="562"/>
      <c r="AG213" s="562"/>
      <c r="AH213" s="562"/>
      <c r="AI213" s="562"/>
      <c r="AJ213" s="562"/>
      <c r="AK213" s="562"/>
      <c r="AL213" s="562"/>
      <c r="AM213" s="562"/>
      <c r="AN213" s="562"/>
      <c r="AO213" s="562"/>
      <c r="AP213" s="562"/>
      <c r="AQ213" s="562"/>
      <c r="AR213" s="562"/>
      <c r="AS213" s="562"/>
    </row>
    <row r="214" spans="1:45" x14ac:dyDescent="0.2">
      <c r="B214" s="358" t="s">
        <v>3148</v>
      </c>
      <c r="C214" s="14"/>
      <c r="D214" s="14"/>
      <c r="E214" s="14" t="s">
        <v>2183</v>
      </c>
      <c r="F214" s="14"/>
      <c r="G214" s="14"/>
      <c r="H214" s="441"/>
      <c r="I214" s="121"/>
      <c r="J214" s="134" t="s">
        <v>2183</v>
      </c>
      <c r="K214" s="98"/>
      <c r="L214" s="791" t="s">
        <v>3152</v>
      </c>
      <c r="M214" s="616"/>
      <c r="N214" s="3"/>
      <c r="O214" s="609"/>
      <c r="P214" s="64" t="b">
        <v>0</v>
      </c>
      <c r="Q214" s="64" t="b">
        <v>1</v>
      </c>
      <c r="R214" s="562" t="b">
        <v>0</v>
      </c>
      <c r="S214" s="562" t="b">
        <v>1</v>
      </c>
      <c r="T214" s="562" t="b">
        <v>0</v>
      </c>
      <c r="U214" s="562"/>
      <c r="V214" s="562"/>
      <c r="W214" s="18"/>
      <c r="X214" s="787"/>
      <c r="Y214" s="562"/>
      <c r="Z214" s="562"/>
      <c r="AA214" s="562"/>
      <c r="AB214" s="562"/>
      <c r="AC214" s="562" t="b">
        <f>OR(AD214:AE214)</f>
        <v>0</v>
      </c>
      <c r="AD214" s="562" t="b">
        <f>T214</f>
        <v>0</v>
      </c>
      <c r="AE214" s="562" t="b">
        <f>AND(R214,NOT(W214))</f>
        <v>0</v>
      </c>
      <c r="AF214" s="562"/>
      <c r="AG214" s="562"/>
      <c r="AH214" s="562"/>
      <c r="AI214" s="562"/>
      <c r="AJ214" s="562"/>
      <c r="AK214" s="562"/>
      <c r="AL214" s="562"/>
      <c r="AM214" s="562"/>
      <c r="AN214" s="562"/>
      <c r="AO214" s="562"/>
      <c r="AP214" s="190" t="str">
        <f>SUBSTITUTE(SUBSTITUTE(SUBSTITUTE("dch"&amp;$B214&amp;$C214&amp;$D214&amp;$E214&amp;$F214,".","_"),"(","_"),")","")</f>
        <v>dch902_1_5_2</v>
      </c>
      <c r="AQ214" s="190">
        <f>W214</f>
        <v>0</v>
      </c>
      <c r="AR214" s="190" t="str">
        <f>SUBSTITUTE(SUBSTITUTE(SUBSTITUTE("dnt"&amp;$B214&amp;$C214&amp;$D214&amp;$E214&amp;$F214,".","_"),"(","_"),")","")</f>
        <v>dnt902_1_5_2</v>
      </c>
      <c r="AS214" s="190">
        <f>X214</f>
        <v>0</v>
      </c>
    </row>
    <row r="215" spans="1:45" x14ac:dyDescent="0.2">
      <c r="B215" s="358" t="s">
        <v>3148</v>
      </c>
      <c r="C215" s="14"/>
      <c r="D215" s="14"/>
      <c r="E215" s="14" t="s">
        <v>2183</v>
      </c>
      <c r="F215" s="14"/>
      <c r="G215" s="14"/>
      <c r="H215" s="441"/>
      <c r="I215" s="121"/>
      <c r="J215" s="165"/>
      <c r="K215" s="165"/>
      <c r="L215" s="792"/>
      <c r="M215" s="616"/>
      <c r="N215" s="3"/>
      <c r="O215" s="609"/>
      <c r="P215" s="562"/>
      <c r="Q215" s="562"/>
      <c r="R215" s="562"/>
      <c r="S215" s="562"/>
      <c r="T215" s="562"/>
      <c r="U215" s="562"/>
      <c r="V215" s="562"/>
      <c r="W215" s="562"/>
      <c r="X215" s="787"/>
      <c r="Y215" s="562"/>
      <c r="Z215" s="562"/>
      <c r="AA215" s="562"/>
      <c r="AB215" s="562"/>
      <c r="AC215" s="562"/>
      <c r="AD215" s="562"/>
      <c r="AE215" s="562"/>
      <c r="AF215" s="562"/>
      <c r="AG215" s="562"/>
      <c r="AH215" s="562"/>
      <c r="AI215" s="562"/>
      <c r="AJ215" s="562"/>
      <c r="AK215" s="562"/>
      <c r="AL215" s="562"/>
      <c r="AM215" s="562"/>
      <c r="AN215" s="562"/>
      <c r="AO215" s="562"/>
      <c r="AP215" s="562"/>
      <c r="AQ215" s="562"/>
      <c r="AR215" s="562"/>
      <c r="AS215" s="562"/>
    </row>
    <row r="216" spans="1:45" x14ac:dyDescent="0.2">
      <c r="B216" s="358" t="s">
        <v>3148</v>
      </c>
      <c r="C216" s="14"/>
      <c r="D216" s="14"/>
      <c r="E216" s="14" t="s">
        <v>2185</v>
      </c>
      <c r="F216" s="14"/>
      <c r="G216" s="14"/>
      <c r="H216" s="441"/>
      <c r="I216" s="253"/>
      <c r="J216" s="134" t="s">
        <v>2185</v>
      </c>
      <c r="K216" s="98"/>
      <c r="L216" s="791" t="s">
        <v>3153</v>
      </c>
      <c r="M216" s="610"/>
      <c r="N216" s="98"/>
      <c r="O216" s="607"/>
      <c r="P216" s="64" t="b">
        <v>0</v>
      </c>
      <c r="Q216" s="64" t="b">
        <v>1</v>
      </c>
      <c r="R216" s="64" t="b">
        <v>0</v>
      </c>
      <c r="S216" s="64" t="b">
        <v>1</v>
      </c>
      <c r="T216" s="64" t="b">
        <v>0</v>
      </c>
      <c r="U216" s="64"/>
      <c r="V216" s="64"/>
      <c r="W216" s="219"/>
      <c r="X216" s="798"/>
      <c r="Y216" s="562"/>
      <c r="Z216" s="562"/>
      <c r="AA216" s="562"/>
      <c r="AB216" s="562"/>
      <c r="AC216" s="562" t="b">
        <f>OR(AD216:AE216)</f>
        <v>0</v>
      </c>
      <c r="AD216" s="562" t="b">
        <f>T216</f>
        <v>0</v>
      </c>
      <c r="AE216" s="562" t="b">
        <f>AND(R216,NOT(W216))</f>
        <v>0</v>
      </c>
      <c r="AF216" s="562"/>
      <c r="AG216" s="562"/>
      <c r="AH216" s="562"/>
      <c r="AI216" s="562"/>
      <c r="AJ216" s="562"/>
      <c r="AK216" s="562"/>
      <c r="AL216" s="562"/>
      <c r="AM216" s="562"/>
      <c r="AN216" s="562"/>
      <c r="AO216" s="562"/>
      <c r="AP216" s="190" t="str">
        <f>SUBSTITUTE(SUBSTITUTE(SUBSTITUTE("dch"&amp;$B216&amp;$C216&amp;$D216&amp;$E216&amp;$F216,".","_"),"(","_"),")","")</f>
        <v>dch902_1_5_3</v>
      </c>
      <c r="AQ216" s="190">
        <f>W216</f>
        <v>0</v>
      </c>
      <c r="AR216" s="190" t="str">
        <f>SUBSTITUTE(SUBSTITUTE(SUBSTITUTE("dnt"&amp;$B216&amp;$C216&amp;$D216&amp;$E216&amp;$F216,".","_"),"(","_"),")","")</f>
        <v>dnt902_1_5_3</v>
      </c>
      <c r="AS216" s="190">
        <f>X216</f>
        <v>0</v>
      </c>
    </row>
    <row r="217" spans="1:45" x14ac:dyDescent="0.2">
      <c r="B217" s="358" t="s">
        <v>3148</v>
      </c>
      <c r="C217" s="14"/>
      <c r="D217" s="14"/>
      <c r="E217" s="14" t="s">
        <v>2185</v>
      </c>
      <c r="F217" s="14"/>
      <c r="G217" s="14"/>
      <c r="H217" s="441"/>
      <c r="I217" s="253"/>
      <c r="J217" s="98"/>
      <c r="K217" s="98"/>
      <c r="L217" s="791"/>
      <c r="M217" s="610"/>
      <c r="N217" s="98"/>
      <c r="O217" s="607"/>
      <c r="P217" s="64"/>
      <c r="Q217" s="64"/>
      <c r="R217" s="64"/>
      <c r="S217" s="64"/>
      <c r="T217" s="64"/>
      <c r="U217" s="64"/>
      <c r="V217" s="64"/>
      <c r="W217" s="64"/>
      <c r="X217" s="798"/>
      <c r="Y217" s="562"/>
      <c r="Z217" s="562"/>
      <c r="AA217" s="562"/>
      <c r="AB217" s="562"/>
      <c r="AC217" s="562"/>
      <c r="AD217" s="562"/>
      <c r="AE217" s="562"/>
      <c r="AF217" s="562"/>
      <c r="AG217" s="562"/>
      <c r="AH217" s="562"/>
      <c r="AI217" s="562"/>
      <c r="AJ217" s="562"/>
      <c r="AK217" s="562"/>
      <c r="AL217" s="562"/>
      <c r="AM217" s="562"/>
      <c r="AN217" s="562"/>
      <c r="AO217" s="562"/>
      <c r="AP217" s="562"/>
      <c r="AQ217" s="562"/>
      <c r="AR217" s="562"/>
      <c r="AS217" s="562"/>
    </row>
    <row r="218" spans="1:45" ht="16" thickBot="1" x14ac:dyDescent="0.25">
      <c r="B218" s="358" t="s">
        <v>3148</v>
      </c>
      <c r="C218" s="14"/>
      <c r="D218" s="14"/>
      <c r="E218" s="14" t="s">
        <v>2185</v>
      </c>
      <c r="F218" s="14"/>
      <c r="G218" s="14"/>
      <c r="H218" s="441"/>
      <c r="I218" s="254"/>
      <c r="J218" s="185"/>
      <c r="K218" s="185"/>
      <c r="L218" s="818"/>
      <c r="M218" s="615"/>
      <c r="N218" s="185"/>
      <c r="O218" s="622"/>
      <c r="P218" s="68"/>
      <c r="Q218" s="68"/>
      <c r="R218" s="68"/>
      <c r="S218" s="68"/>
      <c r="T218" s="68"/>
      <c r="U218" s="68"/>
      <c r="V218" s="68"/>
      <c r="W218" s="68"/>
      <c r="X218" s="799"/>
      <c r="Y218" s="562"/>
      <c r="Z218" s="562"/>
      <c r="AA218" s="562"/>
      <c r="AB218" s="562"/>
      <c r="AC218" s="562"/>
      <c r="AD218" s="562"/>
      <c r="AE218" s="562"/>
      <c r="AF218" s="562"/>
      <c r="AG218" s="562"/>
      <c r="AH218" s="562"/>
      <c r="AI218" s="562"/>
      <c r="AJ218" s="562"/>
      <c r="AK218" s="562"/>
      <c r="AL218" s="562"/>
      <c r="AM218" s="562"/>
      <c r="AN218" s="562"/>
      <c r="AO218" s="562"/>
      <c r="AP218" s="562"/>
      <c r="AQ218" s="562"/>
      <c r="AR218" s="562"/>
      <c r="AS218" s="562"/>
    </row>
    <row r="219" spans="1:45" ht="16" thickTop="1" x14ac:dyDescent="0.2">
      <c r="B219" s="358">
        <v>902.2</v>
      </c>
      <c r="C219" s="14"/>
      <c r="D219" s="14"/>
      <c r="E219" s="14"/>
      <c r="F219" s="14"/>
      <c r="G219" s="14"/>
      <c r="H219" s="441"/>
      <c r="I219" s="131" t="s">
        <v>3154</v>
      </c>
      <c r="J219" s="132"/>
      <c r="K219" s="132"/>
      <c r="L219" s="646" t="s">
        <v>3155</v>
      </c>
      <c r="M219" s="625"/>
      <c r="N219" s="132"/>
      <c r="O219" s="623"/>
      <c r="P219" s="74"/>
      <c r="Q219" s="74"/>
      <c r="R219" s="74"/>
      <c r="S219" s="74"/>
      <c r="T219" s="74"/>
      <c r="U219" s="74"/>
      <c r="V219" s="74"/>
      <c r="W219" s="74"/>
      <c r="X219" s="74"/>
      <c r="Y219" s="562"/>
      <c r="Z219" s="562"/>
      <c r="AA219" s="562"/>
      <c r="AB219" s="562"/>
      <c r="AC219" s="562"/>
      <c r="AD219" s="562"/>
      <c r="AE219" s="562"/>
      <c r="AF219" s="562"/>
      <c r="AG219" s="562"/>
      <c r="AH219" s="562"/>
      <c r="AI219" s="562"/>
      <c r="AJ219" s="562"/>
      <c r="AK219" s="562"/>
      <c r="AL219" s="562"/>
      <c r="AM219" s="562"/>
      <c r="AN219" s="562"/>
      <c r="AO219" s="562"/>
      <c r="AP219" s="562"/>
      <c r="AQ219" s="562"/>
      <c r="AR219" s="562"/>
      <c r="AS219" s="562"/>
    </row>
    <row r="220" spans="1:45" x14ac:dyDescent="0.2">
      <c r="B220" s="358" t="s">
        <v>3156</v>
      </c>
      <c r="C220" s="14"/>
      <c r="D220" s="14"/>
      <c r="E220" s="14"/>
      <c r="F220" s="14"/>
      <c r="G220" s="14"/>
      <c r="H220" s="441"/>
      <c r="I220" s="99" t="s">
        <v>3157</v>
      </c>
      <c r="J220" s="98"/>
      <c r="K220" s="98"/>
      <c r="L220" s="820" t="s">
        <v>3158</v>
      </c>
      <c r="M220" s="829" t="str">
        <f>IF(R220,"Mandatory 
(ACH50 is &lt; 5.0)","N/A")</f>
        <v>N/A</v>
      </c>
      <c r="N220" s="98"/>
      <c r="O220" s="793">
        <f ca="1">IFERROR(INDEX({3,6,7,8},MATCH(W220,INDIRECT(U220),0)),0)*S220</f>
        <v>0</v>
      </c>
      <c r="P220" s="64" t="b">
        <v>0</v>
      </c>
      <c r="Q220" s="64" t="b">
        <v>1</v>
      </c>
      <c r="R220" s="64" t="b">
        <f>AND(IF(S221=0,FALSE,IF(S221&lt;5,TRUE,FALSE)))</f>
        <v>0</v>
      </c>
      <c r="S220" s="64" t="b">
        <v>1</v>
      </c>
      <c r="T220" s="64" t="b">
        <f>AND(NOT(S220),LEN(W220)&gt;0)</f>
        <v>0</v>
      </c>
      <c r="U220" s="64" t="str">
        <f>SUBSTITUTE(SUBSTITUTE(SUBSTITUTE("dd"&amp;B220&amp;C220&amp;D220&amp;E220&amp;F220,".","_"),"(","_"),")","")</f>
        <v>dd902_2_1</v>
      </c>
      <c r="V220" s="64"/>
      <c r="W220" s="78"/>
      <c r="X220" s="798"/>
      <c r="Y220" s="562"/>
      <c r="Z220" s="562"/>
      <c r="AA220" s="562"/>
      <c r="AB220" s="562"/>
      <c r="AC220" s="562" t="b">
        <f>OR(AD220:AE220)</f>
        <v>0</v>
      </c>
      <c r="AD220" s="562" t="b">
        <f>T220</f>
        <v>0</v>
      </c>
      <c r="AE220" s="562" t="b">
        <f>AND(R220,OR(W220="Not Met",W220=""))</f>
        <v>0</v>
      </c>
      <c r="AF220" s="562"/>
      <c r="AG220" s="562"/>
      <c r="AH220" s="562"/>
      <c r="AI220" s="562"/>
      <c r="AJ220" s="562"/>
      <c r="AK220" s="562"/>
      <c r="AL220" s="190" t="str">
        <f>SUBSTITUTE(SUBSTITUTE(SUBSTITUTE("dpa"&amp;$B220&amp;$C220&amp;$D220&amp;$E220&amp;$F220,".","_"),"(","_"),")","")</f>
        <v>dpa902_2_1</v>
      </c>
      <c r="AM220" s="190" t="str">
        <f>M220</f>
        <v>N/A</v>
      </c>
      <c r="AN220" s="190" t="str">
        <f>SUBSTITUTE(SUBSTITUTE(SUBSTITUTE("dpc"&amp;$B220&amp;$C220&amp;$D220&amp;$E220&amp;$F220,".","_"),"(","_"),")","")</f>
        <v>dpc902_2_1</v>
      </c>
      <c r="AO220" s="190">
        <f ca="1">O220</f>
        <v>0</v>
      </c>
      <c r="AP220" s="190" t="str">
        <f>SUBSTITUTE(SUBSTITUTE(SUBSTITUTE("dch"&amp;$B220&amp;$C220&amp;$D220&amp;$E220&amp;$F220,".","_"),"(","_"),")","")</f>
        <v>dch902_2_1</v>
      </c>
      <c r="AQ220" s="190">
        <f>W220</f>
        <v>0</v>
      </c>
      <c r="AR220" s="190" t="str">
        <f>SUBSTITUTE(SUBSTITUTE(SUBSTITUTE("dnt"&amp;$B220&amp;$C220&amp;$D220&amp;$E220&amp;$F220,".","_"),"(","_"),")","")</f>
        <v>dnt902_2_1</v>
      </c>
      <c r="AS220" s="190">
        <f>X220</f>
        <v>0</v>
      </c>
    </row>
    <row r="221" spans="1:45" x14ac:dyDescent="0.2">
      <c r="B221" s="358" t="s">
        <v>3156</v>
      </c>
      <c r="C221" s="14"/>
      <c r="D221" s="14"/>
      <c r="E221" s="14"/>
      <c r="F221" s="14"/>
      <c r="G221" s="14"/>
      <c r="H221" s="441"/>
      <c r="I221" s="253"/>
      <c r="J221" s="98"/>
      <c r="K221" s="98"/>
      <c r="L221" s="820"/>
      <c r="M221" s="829"/>
      <c r="N221" s="98"/>
      <c r="O221" s="793"/>
      <c r="P221" s="64"/>
      <c r="Q221" s="64"/>
      <c r="R221" s="258" t="s">
        <v>2861</v>
      </c>
      <c r="S221" s="259">
        <f>'Ch7'!W59</f>
        <v>0</v>
      </c>
      <c r="T221" s="64"/>
      <c r="U221" s="64"/>
      <c r="V221" s="64"/>
      <c r="W221" s="64"/>
      <c r="X221" s="798"/>
      <c r="Y221" s="562"/>
      <c r="Z221" s="562"/>
      <c r="AA221" s="562"/>
      <c r="AB221" s="562"/>
      <c r="AC221" s="562"/>
      <c r="AD221" s="562"/>
      <c r="AE221" s="562"/>
      <c r="AF221" s="562"/>
      <c r="AG221" s="562"/>
      <c r="AH221" s="562"/>
      <c r="AI221" s="562"/>
      <c r="AJ221" s="562"/>
      <c r="AK221" s="562"/>
      <c r="AL221" s="562"/>
      <c r="AM221" s="562"/>
      <c r="AN221" s="562"/>
      <c r="AO221" s="562"/>
      <c r="AP221" s="562"/>
      <c r="AQ221" s="562"/>
      <c r="AR221" s="562"/>
      <c r="AS221" s="562"/>
    </row>
    <row r="222" spans="1:45" s="496" customFormat="1" x14ac:dyDescent="0.2">
      <c r="A222" s="13"/>
      <c r="B222" s="358" t="s">
        <v>3156</v>
      </c>
      <c r="C222" s="14"/>
      <c r="D222" s="14"/>
      <c r="E222" s="14"/>
      <c r="F222" s="14"/>
      <c r="G222" s="14"/>
      <c r="H222" s="441"/>
      <c r="I222" s="253"/>
      <c r="J222" s="98"/>
      <c r="K222" s="98"/>
      <c r="L222" s="820"/>
      <c r="M222" s="829"/>
      <c r="N222" s="98"/>
      <c r="O222" s="793"/>
      <c r="P222" s="64"/>
      <c r="Q222" s="64"/>
      <c r="R222" s="562"/>
      <c r="S222" s="562"/>
      <c r="T222" s="64"/>
      <c r="U222" s="64"/>
      <c r="V222" s="64"/>
      <c r="W222" s="64"/>
      <c r="X222" s="798"/>
      <c r="Y222" s="562"/>
      <c r="Z222" s="562"/>
      <c r="AA222" s="562"/>
      <c r="AB222" s="562"/>
      <c r="AC222" s="562"/>
      <c r="AD222" s="562"/>
      <c r="AE222" s="562"/>
      <c r="AF222" s="562"/>
      <c r="AG222" s="562"/>
      <c r="AH222" s="562"/>
      <c r="AI222" s="562"/>
      <c r="AJ222" s="562"/>
      <c r="AK222" s="562"/>
      <c r="AL222" s="562"/>
      <c r="AM222" s="562"/>
      <c r="AN222" s="562"/>
      <c r="AO222" s="562"/>
      <c r="AP222" s="562"/>
      <c r="AQ222" s="562"/>
      <c r="AR222" s="562"/>
      <c r="AS222" s="562"/>
    </row>
    <row r="223" spans="1:45" x14ac:dyDescent="0.2">
      <c r="B223" s="358" t="s">
        <v>3156</v>
      </c>
      <c r="C223" s="14"/>
      <c r="D223" s="14"/>
      <c r="E223" s="14"/>
      <c r="F223" s="14"/>
      <c r="G223" s="14"/>
      <c r="H223" s="441"/>
      <c r="I223" s="253"/>
      <c r="J223" s="98"/>
      <c r="K223" s="98"/>
      <c r="L223" s="820"/>
      <c r="M223" s="829"/>
      <c r="N223" s="98"/>
      <c r="O223" s="793"/>
      <c r="P223" s="64"/>
      <c r="Q223" s="64"/>
      <c r="R223" s="562"/>
      <c r="S223" s="562"/>
      <c r="T223" s="64"/>
      <c r="U223" s="64"/>
      <c r="V223" s="64"/>
      <c r="W223" s="64"/>
      <c r="X223" s="798"/>
      <c r="Y223" s="562"/>
      <c r="Z223" s="562"/>
      <c r="AA223" s="562"/>
      <c r="AB223" s="562"/>
      <c r="AC223" s="562"/>
      <c r="AD223" s="562"/>
      <c r="AE223" s="562"/>
      <c r="AF223" s="562"/>
      <c r="AG223" s="562"/>
      <c r="AH223" s="562"/>
      <c r="AI223" s="562"/>
      <c r="AJ223" s="562"/>
      <c r="AK223" s="562"/>
      <c r="AL223" s="562"/>
      <c r="AM223" s="562"/>
      <c r="AN223" s="562"/>
      <c r="AO223" s="562"/>
      <c r="AP223" s="562"/>
      <c r="AQ223" s="562"/>
      <c r="AR223" s="562"/>
      <c r="AS223" s="562"/>
    </row>
    <row r="224" spans="1:45" x14ac:dyDescent="0.2">
      <c r="B224" s="358" t="s">
        <v>3156</v>
      </c>
      <c r="C224" s="14"/>
      <c r="D224" s="14"/>
      <c r="E224" s="14" t="s">
        <v>2181</v>
      </c>
      <c r="F224" s="14"/>
      <c r="G224" s="14"/>
      <c r="H224" s="441"/>
      <c r="I224" s="253"/>
      <c r="J224" s="134" t="s">
        <v>2181</v>
      </c>
      <c r="K224" s="98"/>
      <c r="L224" s="776" t="s">
        <v>3159</v>
      </c>
      <c r="M224" s="800">
        <v>3</v>
      </c>
      <c r="N224" s="98"/>
      <c r="O224" s="607"/>
      <c r="P224" s="64"/>
      <c r="Q224" s="64"/>
      <c r="R224" s="562"/>
      <c r="S224" s="562"/>
      <c r="T224" s="64"/>
      <c r="U224" s="64"/>
      <c r="V224" s="64"/>
      <c r="W224" s="64"/>
      <c r="X224" s="798"/>
      <c r="Y224" s="562"/>
      <c r="Z224" s="562"/>
      <c r="AA224" s="562"/>
      <c r="AB224" s="562"/>
      <c r="AC224" s="562"/>
      <c r="AD224" s="562"/>
      <c r="AE224" s="562"/>
      <c r="AF224" s="562"/>
      <c r="AG224" s="562"/>
      <c r="AH224" s="562"/>
      <c r="AI224" s="562"/>
      <c r="AJ224" s="562"/>
      <c r="AK224" s="562"/>
      <c r="AL224" s="190" t="str">
        <f>SUBSTITUTE(SUBSTITUTE(SUBSTITUTE("dpa"&amp;$B224&amp;$C224&amp;$D224&amp;$E224&amp;$F224,".","_"),"(","_"),")","")</f>
        <v>dpa902_2_1_1</v>
      </c>
      <c r="AM224" s="190">
        <f>M224</f>
        <v>3</v>
      </c>
      <c r="AN224" s="562"/>
      <c r="AO224" s="562"/>
      <c r="AP224" s="562"/>
      <c r="AQ224" s="562"/>
      <c r="AR224" s="562"/>
      <c r="AS224" s="562"/>
    </row>
    <row r="225" spans="1:45" x14ac:dyDescent="0.2">
      <c r="B225" s="358" t="s">
        <v>3156</v>
      </c>
      <c r="C225" s="14"/>
      <c r="D225" s="14"/>
      <c r="E225" s="14" t="s">
        <v>2181</v>
      </c>
      <c r="F225" s="14"/>
      <c r="G225" s="14"/>
      <c r="H225" s="441"/>
      <c r="I225" s="253"/>
      <c r="J225" s="159"/>
      <c r="K225" s="165"/>
      <c r="L225" s="777"/>
      <c r="M225" s="801"/>
      <c r="N225" s="98"/>
      <c r="O225" s="607"/>
      <c r="P225" s="64"/>
      <c r="Q225" s="64"/>
      <c r="R225" s="64"/>
      <c r="S225" s="64"/>
      <c r="T225" s="64"/>
      <c r="U225" s="64"/>
      <c r="V225" s="64"/>
      <c r="W225" s="64"/>
      <c r="X225" s="798"/>
      <c r="Y225" s="562"/>
      <c r="Z225" s="562"/>
      <c r="AA225" s="562"/>
      <c r="AB225" s="562"/>
      <c r="AC225" s="562"/>
      <c r="AD225" s="562"/>
      <c r="AE225" s="562"/>
      <c r="AF225" s="562"/>
      <c r="AG225" s="562"/>
      <c r="AH225" s="562"/>
      <c r="AI225" s="562"/>
      <c r="AJ225" s="562"/>
      <c r="AK225" s="562"/>
      <c r="AL225" s="562"/>
      <c r="AM225" s="562"/>
      <c r="AN225" s="562"/>
      <c r="AO225" s="562"/>
      <c r="AP225" s="562"/>
      <c r="AQ225" s="562"/>
      <c r="AR225" s="562"/>
      <c r="AS225" s="562"/>
    </row>
    <row r="226" spans="1:45" x14ac:dyDescent="0.2">
      <c r="B226" s="358" t="s">
        <v>3156</v>
      </c>
      <c r="C226" s="14"/>
      <c r="D226" s="14"/>
      <c r="E226" s="14" t="s">
        <v>2183</v>
      </c>
      <c r="F226" s="14"/>
      <c r="G226" s="14"/>
      <c r="H226" s="441"/>
      <c r="I226" s="253"/>
      <c r="J226" s="134" t="s">
        <v>2183</v>
      </c>
      <c r="K226" s="98"/>
      <c r="L226" s="791" t="s">
        <v>3160</v>
      </c>
      <c r="M226" s="800">
        <v>6</v>
      </c>
      <c r="N226" s="98"/>
      <c r="O226" s="607"/>
      <c r="P226" s="64"/>
      <c r="Q226" s="64"/>
      <c r="R226" s="64"/>
      <c r="S226" s="64"/>
      <c r="T226" s="64"/>
      <c r="U226" s="64"/>
      <c r="V226" s="64"/>
      <c r="W226" s="64"/>
      <c r="X226" s="798"/>
      <c r="Y226" s="562"/>
      <c r="Z226" s="562"/>
      <c r="AA226" s="562"/>
      <c r="AB226" s="562"/>
      <c r="AC226" s="562"/>
      <c r="AD226" s="562"/>
      <c r="AE226" s="562"/>
      <c r="AF226" s="562"/>
      <c r="AG226" s="562"/>
      <c r="AH226" s="562"/>
      <c r="AI226" s="562"/>
      <c r="AJ226" s="562"/>
      <c r="AK226" s="562"/>
      <c r="AL226" s="190" t="str">
        <f>SUBSTITUTE(SUBSTITUTE(SUBSTITUTE("dpa"&amp;$B226&amp;$C226&amp;$D226&amp;$E226&amp;$F226,".","_"),"(","_"),")","")</f>
        <v>dpa902_2_1_2</v>
      </c>
      <c r="AM226" s="190">
        <f>M226</f>
        <v>6</v>
      </c>
      <c r="AN226" s="562"/>
      <c r="AO226" s="562"/>
      <c r="AP226" s="562"/>
      <c r="AQ226" s="562"/>
      <c r="AR226" s="562"/>
      <c r="AS226" s="562"/>
    </row>
    <row r="227" spans="1:45" x14ac:dyDescent="0.2">
      <c r="B227" s="358" t="s">
        <v>3156</v>
      </c>
      <c r="C227" s="14"/>
      <c r="D227" s="14"/>
      <c r="E227" s="14" t="s">
        <v>2183</v>
      </c>
      <c r="F227" s="14"/>
      <c r="G227" s="14"/>
      <c r="H227" s="441"/>
      <c r="I227" s="253"/>
      <c r="J227" s="165"/>
      <c r="K227" s="165"/>
      <c r="L227" s="792"/>
      <c r="M227" s="801"/>
      <c r="N227" s="98"/>
      <c r="O227" s="607"/>
      <c r="P227" s="64"/>
      <c r="Q227" s="64"/>
      <c r="R227" s="64"/>
      <c r="S227" s="64"/>
      <c r="T227" s="64"/>
      <c r="U227" s="64"/>
      <c r="V227" s="64"/>
      <c r="W227" s="64"/>
      <c r="X227" s="798"/>
      <c r="Y227" s="562"/>
      <c r="Z227" s="562"/>
      <c r="AA227" s="562"/>
      <c r="AB227" s="562"/>
      <c r="AC227" s="562"/>
      <c r="AD227" s="562"/>
      <c r="AE227" s="562"/>
      <c r="AF227" s="562"/>
      <c r="AG227" s="562"/>
      <c r="AH227" s="562"/>
      <c r="AI227" s="562"/>
      <c r="AJ227" s="562"/>
      <c r="AK227" s="562"/>
      <c r="AL227" s="562"/>
      <c r="AM227" s="562"/>
      <c r="AN227" s="562"/>
      <c r="AO227" s="562"/>
      <c r="AP227" s="562"/>
      <c r="AQ227" s="562"/>
      <c r="AR227" s="562"/>
      <c r="AS227" s="562"/>
    </row>
    <row r="228" spans="1:45" x14ac:dyDescent="0.2">
      <c r="B228" s="358" t="s">
        <v>3156</v>
      </c>
      <c r="C228" s="14"/>
      <c r="D228" s="14"/>
      <c r="E228" s="14" t="s">
        <v>2185</v>
      </c>
      <c r="F228" s="14"/>
      <c r="G228" s="14"/>
      <c r="H228" s="441"/>
      <c r="I228" s="253"/>
      <c r="J228" s="159" t="s">
        <v>2185</v>
      </c>
      <c r="K228" s="165"/>
      <c r="L228" s="599" t="s">
        <v>3161</v>
      </c>
      <c r="M228" s="611">
        <v>7</v>
      </c>
      <c r="N228" s="98"/>
      <c r="O228" s="607"/>
      <c r="P228" s="64"/>
      <c r="Q228" s="64"/>
      <c r="R228" s="64"/>
      <c r="S228" s="64"/>
      <c r="T228" s="64"/>
      <c r="U228" s="64"/>
      <c r="V228" s="64"/>
      <c r="W228" s="64"/>
      <c r="X228" s="798"/>
      <c r="Y228" s="562"/>
      <c r="Z228" s="562"/>
      <c r="AA228" s="562"/>
      <c r="AB228" s="562"/>
      <c r="AC228" s="562"/>
      <c r="AD228" s="562"/>
      <c r="AE228" s="562"/>
      <c r="AF228" s="562"/>
      <c r="AG228" s="562"/>
      <c r="AH228" s="562"/>
      <c r="AI228" s="562"/>
      <c r="AJ228" s="562"/>
      <c r="AK228" s="562"/>
      <c r="AL228" s="190" t="str">
        <f>SUBSTITUTE(SUBSTITUTE(SUBSTITUTE("dpa"&amp;$B228&amp;$C228&amp;$D228&amp;$E228&amp;$F228,".","_"),"(","_"),")","")</f>
        <v>dpa902_2_1_3</v>
      </c>
      <c r="AM228" s="190">
        <f>M228</f>
        <v>7</v>
      </c>
      <c r="AN228" s="562"/>
      <c r="AO228" s="562"/>
      <c r="AP228" s="562"/>
      <c r="AQ228" s="562"/>
      <c r="AR228" s="562"/>
      <c r="AS228" s="562"/>
    </row>
    <row r="229" spans="1:45" x14ac:dyDescent="0.2">
      <c r="B229" s="358" t="s">
        <v>3156</v>
      </c>
      <c r="C229" s="14"/>
      <c r="D229" s="14"/>
      <c r="E229" s="14" t="s">
        <v>2192</v>
      </c>
      <c r="F229" s="14"/>
      <c r="G229" s="14"/>
      <c r="H229" s="441"/>
      <c r="I229" s="272"/>
      <c r="J229" s="159" t="s">
        <v>2192</v>
      </c>
      <c r="K229" s="165"/>
      <c r="L229" s="599" t="s">
        <v>3162</v>
      </c>
      <c r="M229" s="611">
        <v>8</v>
      </c>
      <c r="N229" s="165"/>
      <c r="O229" s="608"/>
      <c r="P229" s="129"/>
      <c r="Q229" s="129"/>
      <c r="R229" s="129"/>
      <c r="S229" s="129"/>
      <c r="T229" s="129"/>
      <c r="U229" s="129"/>
      <c r="V229" s="129"/>
      <c r="W229" s="129"/>
      <c r="X229" s="798"/>
      <c r="Y229" s="562"/>
      <c r="Z229" s="562"/>
      <c r="AA229" s="562"/>
      <c r="AB229" s="562"/>
      <c r="AC229" s="562"/>
      <c r="AD229" s="562"/>
      <c r="AE229" s="562"/>
      <c r="AF229" s="562"/>
      <c r="AG229" s="562"/>
      <c r="AH229" s="562"/>
      <c r="AI229" s="562"/>
      <c r="AJ229" s="562"/>
      <c r="AK229" s="562"/>
      <c r="AL229" s="190" t="str">
        <f>SUBSTITUTE(SUBSTITUTE(SUBSTITUTE("dpa"&amp;$B229&amp;$C229&amp;$D229&amp;$E229&amp;$F229,".","_"),"(","_"),")","")</f>
        <v>dpa902_2_1_4</v>
      </c>
      <c r="AM229" s="190">
        <f>M229</f>
        <v>8</v>
      </c>
      <c r="AN229" s="562"/>
      <c r="AO229" s="562"/>
      <c r="AP229" s="562"/>
      <c r="AQ229" s="562"/>
      <c r="AR229" s="562"/>
      <c r="AS229" s="562"/>
    </row>
    <row r="230" spans="1:45" x14ac:dyDescent="0.2">
      <c r="B230" s="358" t="s">
        <v>3163</v>
      </c>
      <c r="C230" s="14"/>
      <c r="D230" s="14"/>
      <c r="E230" s="14"/>
      <c r="F230" s="14"/>
      <c r="G230" s="14"/>
      <c r="H230" s="441"/>
      <c r="I230" s="145" t="s">
        <v>3164</v>
      </c>
      <c r="J230" s="146"/>
      <c r="K230" s="146"/>
      <c r="L230" s="847" t="s">
        <v>3165</v>
      </c>
      <c r="M230" s="824">
        <v>4</v>
      </c>
      <c r="N230" s="146"/>
      <c r="O230" s="815">
        <f ca="1">M230*S230*W230</f>
        <v>0</v>
      </c>
      <c r="P230" s="64" t="b">
        <v>0</v>
      </c>
      <c r="Q230" s="64" t="b">
        <v>1</v>
      </c>
      <c r="R230" s="148" t="b">
        <v>0</v>
      </c>
      <c r="S230" s="148" t="b">
        <f ca="1">O220&gt;0</f>
        <v>0</v>
      </c>
      <c r="T230" s="148" t="b">
        <f ca="1">AND(NOT(S230),W230=TRUE)</f>
        <v>0</v>
      </c>
      <c r="U230" s="148"/>
      <c r="V230" s="148"/>
      <c r="W230" s="219"/>
      <c r="X230" s="798"/>
      <c r="Y230" s="562"/>
      <c r="Z230" s="562"/>
      <c r="AA230" s="562"/>
      <c r="AB230" s="562"/>
      <c r="AC230" s="562" t="b">
        <f ca="1">OR(AD230:AE230)</f>
        <v>0</v>
      </c>
      <c r="AD230" s="562" t="b">
        <f ca="1">T230</f>
        <v>0</v>
      </c>
      <c r="AE230" s="562" t="b">
        <f>AND(R230,NOT(W230))</f>
        <v>0</v>
      </c>
      <c r="AF230" s="562"/>
      <c r="AG230" s="562"/>
      <c r="AH230" s="562"/>
      <c r="AI230" s="562"/>
      <c r="AJ230" s="562"/>
      <c r="AK230" s="562"/>
      <c r="AL230" s="190" t="str">
        <f>SUBSTITUTE(SUBSTITUTE(SUBSTITUTE("dpa"&amp;$B230&amp;$C230&amp;$D230&amp;$E230&amp;$F230,".","_"),"(","_"),")","")</f>
        <v>dpa902_2_2</v>
      </c>
      <c r="AM230" s="190">
        <f>M230</f>
        <v>4</v>
      </c>
      <c r="AN230" s="190" t="str">
        <f>SUBSTITUTE(SUBSTITUTE(SUBSTITUTE("dpc"&amp;$B230&amp;$C230&amp;$D230&amp;$E230&amp;$F230,".","_"),"(","_"),")","")</f>
        <v>dpc902_2_2</v>
      </c>
      <c r="AO230" s="190">
        <f ca="1">O230</f>
        <v>0</v>
      </c>
      <c r="AP230" s="190" t="str">
        <f>SUBSTITUTE(SUBSTITUTE(SUBSTITUTE("dch"&amp;$B230&amp;$C230&amp;$D230&amp;$E230&amp;$F230,".","_"),"(","_"),")","")</f>
        <v>dch902_2_2</v>
      </c>
      <c r="AQ230" s="190">
        <f>W230</f>
        <v>0</v>
      </c>
      <c r="AR230" s="190" t="str">
        <f>SUBSTITUTE(SUBSTITUTE(SUBSTITUTE("dnt"&amp;$B230&amp;$C230&amp;$D230&amp;$E230&amp;$F230,".","_"),"(","_"),")","")</f>
        <v>dnt902_2_2</v>
      </c>
      <c r="AS230" s="190">
        <f>X230</f>
        <v>0</v>
      </c>
    </row>
    <row r="231" spans="1:45" x14ac:dyDescent="0.2">
      <c r="B231" s="358" t="s">
        <v>3163</v>
      </c>
      <c r="C231" s="14"/>
      <c r="D231" s="14"/>
      <c r="E231" s="14"/>
      <c r="F231" s="14"/>
      <c r="G231" s="14"/>
      <c r="H231" s="441"/>
      <c r="I231" s="272"/>
      <c r="J231" s="165"/>
      <c r="K231" s="165"/>
      <c r="L231" s="832"/>
      <c r="M231" s="801"/>
      <c r="N231" s="165"/>
      <c r="O231" s="794"/>
      <c r="P231" s="129"/>
      <c r="Q231" s="129"/>
      <c r="R231" s="129"/>
      <c r="S231" s="129"/>
      <c r="T231" s="129"/>
      <c r="U231" s="129"/>
      <c r="V231" s="129"/>
      <c r="W231" s="129"/>
      <c r="X231" s="798"/>
      <c r="Y231" s="562"/>
      <c r="Z231" s="562"/>
      <c r="AA231" s="562"/>
      <c r="AB231" s="562"/>
      <c r="AC231" s="562"/>
      <c r="AD231" s="562"/>
      <c r="AE231" s="562"/>
      <c r="AF231" s="562"/>
      <c r="AG231" s="562"/>
      <c r="AH231" s="562"/>
      <c r="AI231" s="562"/>
      <c r="AJ231" s="562"/>
      <c r="AK231" s="562"/>
      <c r="AL231" s="562"/>
      <c r="AM231" s="562"/>
      <c r="AN231" s="562"/>
      <c r="AO231" s="562"/>
      <c r="AP231" s="562"/>
      <c r="AQ231" s="562"/>
      <c r="AR231" s="562"/>
      <c r="AS231" s="562"/>
    </row>
    <row r="232" spans="1:45" x14ac:dyDescent="0.2">
      <c r="B232" s="358" t="s">
        <v>3166</v>
      </c>
      <c r="C232" s="14"/>
      <c r="D232" s="14"/>
      <c r="E232" s="14"/>
      <c r="F232" s="14"/>
      <c r="G232" s="14"/>
      <c r="H232" s="441"/>
      <c r="I232" s="145" t="s">
        <v>3167</v>
      </c>
      <c r="J232" s="146"/>
      <c r="K232" s="146"/>
      <c r="L232" s="847" t="s">
        <v>3168</v>
      </c>
      <c r="M232" s="824">
        <v>2</v>
      </c>
      <c r="N232" s="146"/>
      <c r="O232" s="815">
        <f>M232*S232*W232</f>
        <v>0</v>
      </c>
      <c r="P232" s="64" t="b">
        <v>0</v>
      </c>
      <c r="Q232" s="64" t="b">
        <v>1</v>
      </c>
      <c r="R232" s="148" t="b">
        <v>0</v>
      </c>
      <c r="S232" s="148" t="b">
        <f>NOT(OR(AND(AY41=INDEX(ddHDucts,2),AY37=INDEX(ddCDucts,2)),W235))</f>
        <v>1</v>
      </c>
      <c r="T232" s="148" t="b">
        <f>AND(NOT(S232),W232=TRUE)</f>
        <v>0</v>
      </c>
      <c r="U232" s="148"/>
      <c r="V232" s="148"/>
      <c r="W232" s="219"/>
      <c r="X232" s="798"/>
      <c r="Y232" s="562"/>
      <c r="Z232" s="562"/>
      <c r="AA232" s="562"/>
      <c r="AB232" s="562"/>
      <c r="AC232" s="562" t="b">
        <f>OR(AD232:AE232)</f>
        <v>0</v>
      </c>
      <c r="AD232" s="562" t="b">
        <f>T232</f>
        <v>0</v>
      </c>
      <c r="AE232" s="562" t="b">
        <f>AND(R232,NOT(W232))</f>
        <v>0</v>
      </c>
      <c r="AF232" s="562"/>
      <c r="AG232" s="562"/>
      <c r="AH232" s="562"/>
      <c r="AI232" s="562"/>
      <c r="AJ232" s="562"/>
      <c r="AK232" s="562"/>
      <c r="AL232" s="190" t="str">
        <f>SUBSTITUTE(SUBSTITUTE(SUBSTITUTE("dpa"&amp;$B232&amp;$C232&amp;$D232&amp;$E232&amp;$F232,".","_"),"(","_"),")","")</f>
        <v>dpa902_2_3</v>
      </c>
      <c r="AM232" s="190">
        <f>M232</f>
        <v>2</v>
      </c>
      <c r="AN232" s="190" t="str">
        <f>SUBSTITUTE(SUBSTITUTE(SUBSTITUTE("dpc"&amp;$B232&amp;$C232&amp;$D232&amp;$E232&amp;$F232,".","_"),"(","_"),")","")</f>
        <v>dpc902_2_3</v>
      </c>
      <c r="AO232" s="190">
        <f>O232</f>
        <v>0</v>
      </c>
      <c r="AP232" s="190" t="str">
        <f>SUBSTITUTE(SUBSTITUTE(SUBSTITUTE("dch"&amp;$B232&amp;$C232&amp;$D232&amp;$E232&amp;$F232,".","_"),"(","_"),")","")</f>
        <v>dch902_2_3</v>
      </c>
      <c r="AQ232" s="190">
        <f>W232</f>
        <v>0</v>
      </c>
      <c r="AR232" s="190" t="str">
        <f>SUBSTITUTE(SUBSTITUTE(SUBSTITUTE("dnt"&amp;$B232&amp;$C232&amp;$D232&amp;$E232&amp;$F232,".","_"),"(","_"),")","")</f>
        <v>dnt902_2_3</v>
      </c>
      <c r="AS232" s="190">
        <f>X232</f>
        <v>0</v>
      </c>
    </row>
    <row r="233" spans="1:45" x14ac:dyDescent="0.2">
      <c r="B233" s="358" t="s">
        <v>3166</v>
      </c>
      <c r="C233" s="14"/>
      <c r="D233" s="14"/>
      <c r="E233" s="14"/>
      <c r="F233" s="14"/>
      <c r="G233" s="14"/>
      <c r="H233" s="441"/>
      <c r="I233" s="253"/>
      <c r="J233" s="98"/>
      <c r="K233" s="98"/>
      <c r="L233" s="820"/>
      <c r="M233" s="800"/>
      <c r="N233" s="98"/>
      <c r="O233" s="793"/>
      <c r="P233" s="64"/>
      <c r="Q233" s="64"/>
      <c r="R233" s="64"/>
      <c r="S233" s="64"/>
      <c r="T233" s="64"/>
      <c r="U233" s="64"/>
      <c r="V233" s="64"/>
      <c r="W233" s="64"/>
      <c r="X233" s="798"/>
      <c r="Y233" s="562"/>
      <c r="Z233" s="562"/>
      <c r="AA233" s="562"/>
      <c r="AB233" s="562"/>
      <c r="AC233" s="562"/>
      <c r="AD233" s="562"/>
      <c r="AE233" s="562"/>
      <c r="AF233" s="562"/>
      <c r="AG233" s="562"/>
      <c r="AH233" s="562"/>
      <c r="AI233" s="562"/>
      <c r="AJ233" s="562"/>
      <c r="AK233" s="562"/>
      <c r="AL233" s="562"/>
      <c r="AM233" s="562"/>
      <c r="AN233" s="562"/>
      <c r="AO233" s="562"/>
      <c r="AP233" s="562"/>
      <c r="AQ233" s="562"/>
      <c r="AR233" s="562"/>
      <c r="AS233" s="562"/>
    </row>
    <row r="234" spans="1:45" x14ac:dyDescent="0.2">
      <c r="B234" s="358" t="s">
        <v>3166</v>
      </c>
      <c r="C234" s="14"/>
      <c r="D234" s="14"/>
      <c r="E234" s="14"/>
      <c r="F234" s="14"/>
      <c r="G234" s="14"/>
      <c r="H234" s="441"/>
      <c r="I234" s="272"/>
      <c r="J234" s="165"/>
      <c r="K234" s="165"/>
      <c r="L234" s="832"/>
      <c r="M234" s="801"/>
      <c r="N234" s="165"/>
      <c r="O234" s="794"/>
      <c r="P234" s="129"/>
      <c r="Q234" s="129"/>
      <c r="R234" s="129"/>
      <c r="S234" s="129"/>
      <c r="T234" s="129"/>
      <c r="U234" s="129"/>
      <c r="V234" s="129"/>
      <c r="W234" s="129"/>
      <c r="X234" s="798"/>
      <c r="Y234" s="562"/>
      <c r="Z234" s="562"/>
      <c r="AA234" s="562"/>
      <c r="AB234" s="562"/>
      <c r="AC234" s="562"/>
      <c r="AD234" s="562"/>
      <c r="AE234" s="562"/>
      <c r="AF234" s="562"/>
      <c r="AG234" s="562"/>
      <c r="AH234" s="562"/>
      <c r="AI234" s="562"/>
      <c r="AJ234" s="562"/>
      <c r="AK234" s="562"/>
      <c r="AL234" s="562"/>
      <c r="AM234" s="562"/>
      <c r="AN234" s="562"/>
      <c r="AO234" s="562"/>
      <c r="AP234" s="562"/>
      <c r="AQ234" s="562"/>
      <c r="AR234" s="562"/>
      <c r="AS234" s="562"/>
    </row>
    <row r="235" spans="1:45" x14ac:dyDescent="0.2">
      <c r="B235" s="358" t="s">
        <v>3169</v>
      </c>
      <c r="C235" s="14"/>
      <c r="D235" s="14"/>
      <c r="E235" s="14"/>
      <c r="F235" s="14"/>
      <c r="G235" s="14"/>
      <c r="H235" s="441"/>
      <c r="I235" s="99" t="s">
        <v>3170</v>
      </c>
      <c r="J235" s="98"/>
      <c r="K235" s="98"/>
      <c r="L235" s="820" t="s">
        <v>3171</v>
      </c>
      <c r="M235" s="800">
        <v>3</v>
      </c>
      <c r="N235" s="98"/>
      <c r="O235" s="793">
        <f>M235*S235*W235</f>
        <v>0</v>
      </c>
      <c r="P235" s="64" t="b">
        <v>0</v>
      </c>
      <c r="Q235" s="64" t="b">
        <v>1</v>
      </c>
      <c r="R235" s="64" t="b">
        <v>0</v>
      </c>
      <c r="S235" s="64" t="b">
        <f>NOT(OR(AND(AY41=INDEX(ddHDucts,2),AY37=INDEX(ddCDucts,2)),W232))</f>
        <v>1</v>
      </c>
      <c r="T235" s="64" t="b">
        <f>AND(NOT(S235),W235=TRUE)</f>
        <v>0</v>
      </c>
      <c r="U235" s="64"/>
      <c r="V235" s="64"/>
      <c r="W235" s="91"/>
      <c r="X235" s="786"/>
      <c r="Y235" s="562"/>
      <c r="Z235" s="562"/>
      <c r="AA235" s="562"/>
      <c r="AB235" s="562"/>
      <c r="AC235" s="562" t="b">
        <f>OR(AD235:AE235)</f>
        <v>0</v>
      </c>
      <c r="AD235" s="562" t="b">
        <f>T235</f>
        <v>0</v>
      </c>
      <c r="AE235" s="562" t="b">
        <f>AND(R235,NOT(W235))</f>
        <v>0</v>
      </c>
      <c r="AF235" s="562"/>
      <c r="AG235" s="562"/>
      <c r="AH235" s="562"/>
      <c r="AI235" s="562"/>
      <c r="AJ235" s="562"/>
      <c r="AK235" s="562"/>
      <c r="AL235" s="190" t="str">
        <f>SUBSTITUTE(SUBSTITUTE(SUBSTITUTE("dpa"&amp;$B235&amp;$C235&amp;$D235&amp;$E235&amp;$F235,".","_"),"(","_"),")","")</f>
        <v>dpa902_2_4</v>
      </c>
      <c r="AM235" s="190">
        <f>M235</f>
        <v>3</v>
      </c>
      <c r="AN235" s="190" t="str">
        <f>SUBSTITUTE(SUBSTITUTE(SUBSTITUTE("dpc"&amp;$B235&amp;$C235&amp;$D235&amp;$E235&amp;$F235,".","_"),"(","_"),")","")</f>
        <v>dpc902_2_4</v>
      </c>
      <c r="AO235" s="190">
        <f>O235</f>
        <v>0</v>
      </c>
      <c r="AP235" s="190" t="str">
        <f>SUBSTITUTE(SUBSTITUTE(SUBSTITUTE("dch"&amp;$B235&amp;$C235&amp;$D235&amp;$E235&amp;$F235,".","_"),"(","_"),")","")</f>
        <v>dch902_2_4</v>
      </c>
      <c r="AQ235" s="190">
        <f>W235</f>
        <v>0</v>
      </c>
      <c r="AR235" s="190" t="str">
        <f>SUBSTITUTE(SUBSTITUTE(SUBSTITUTE("dnt"&amp;$B235&amp;$C235&amp;$D235&amp;$E235&amp;$F235,".","_"),"(","_"),")","")</f>
        <v>dnt902_2_4</v>
      </c>
      <c r="AS235" s="190">
        <f>X235</f>
        <v>0</v>
      </c>
    </row>
    <row r="236" spans="1:45" x14ac:dyDescent="0.2">
      <c r="B236" s="358" t="s">
        <v>3169</v>
      </c>
      <c r="C236" s="14"/>
      <c r="D236" s="14"/>
      <c r="E236" s="14"/>
      <c r="F236" s="14"/>
      <c r="G236" s="14"/>
      <c r="H236" s="441"/>
      <c r="I236" s="253"/>
      <c r="J236" s="98"/>
      <c r="K236" s="98"/>
      <c r="L236" s="820"/>
      <c r="M236" s="800"/>
      <c r="N236" s="98"/>
      <c r="O236" s="793"/>
      <c r="P236" s="64"/>
      <c r="Q236" s="64"/>
      <c r="R236" s="64"/>
      <c r="S236" s="64"/>
      <c r="T236" s="64"/>
      <c r="U236" s="64"/>
      <c r="V236" s="64"/>
      <c r="W236" s="64"/>
      <c r="X236" s="798"/>
      <c r="Y236" s="562"/>
      <c r="Z236" s="562"/>
      <c r="AA236" s="562"/>
      <c r="AB236" s="562"/>
      <c r="AC236" s="562"/>
      <c r="AD236" s="562"/>
      <c r="AE236" s="562"/>
      <c r="AF236" s="562"/>
      <c r="AG236" s="562"/>
      <c r="AH236" s="562"/>
      <c r="AI236" s="562"/>
      <c r="AJ236" s="562"/>
      <c r="AK236" s="562"/>
      <c r="AL236" s="562"/>
      <c r="AM236" s="562"/>
      <c r="AN236" s="562"/>
      <c r="AO236" s="562"/>
      <c r="AP236" s="562"/>
      <c r="AQ236" s="562"/>
      <c r="AR236" s="562"/>
      <c r="AS236" s="562"/>
    </row>
    <row r="237" spans="1:45" ht="16" thickBot="1" x14ac:dyDescent="0.25">
      <c r="B237" s="358" t="s">
        <v>3169</v>
      </c>
      <c r="C237" s="14"/>
      <c r="D237" s="14"/>
      <c r="E237" s="14"/>
      <c r="F237" s="14"/>
      <c r="G237" s="14"/>
      <c r="H237" s="441"/>
      <c r="I237" s="254"/>
      <c r="J237" s="185"/>
      <c r="K237" s="185"/>
      <c r="L237" s="822"/>
      <c r="M237" s="813"/>
      <c r="N237" s="185"/>
      <c r="O237" s="821"/>
      <c r="P237" s="68"/>
      <c r="Q237" s="68"/>
      <c r="R237" s="68"/>
      <c r="S237" s="68"/>
      <c r="T237" s="68"/>
      <c r="U237" s="68"/>
      <c r="V237" s="68"/>
      <c r="W237" s="68"/>
      <c r="X237" s="799"/>
      <c r="Y237" s="562"/>
      <c r="Z237" s="562"/>
      <c r="AA237" s="562"/>
      <c r="AB237" s="562"/>
      <c r="AC237" s="562"/>
      <c r="AD237" s="562"/>
      <c r="AE237" s="562"/>
      <c r="AF237" s="562"/>
      <c r="AG237" s="562"/>
      <c r="AH237" s="562"/>
      <c r="AI237" s="562"/>
      <c r="AJ237" s="562"/>
      <c r="AK237" s="562"/>
      <c r="AL237" s="562"/>
      <c r="AM237" s="562"/>
      <c r="AN237" s="562"/>
      <c r="AO237" s="562"/>
      <c r="AP237" s="562"/>
      <c r="AQ237" s="562"/>
      <c r="AR237" s="562"/>
      <c r="AS237" s="562"/>
    </row>
    <row r="238" spans="1:45" ht="16" thickTop="1" x14ac:dyDescent="0.2">
      <c r="B238" s="358">
        <v>902.3</v>
      </c>
      <c r="C238" s="14"/>
      <c r="D238" s="14"/>
      <c r="E238" s="14"/>
      <c r="F238" s="14"/>
      <c r="G238" s="14"/>
      <c r="H238" s="441"/>
      <c r="I238" s="131" t="s">
        <v>3172</v>
      </c>
      <c r="J238" s="132"/>
      <c r="K238" s="132"/>
      <c r="L238" s="819" t="s">
        <v>3173</v>
      </c>
      <c r="M238" s="625"/>
      <c r="N238" s="132"/>
      <c r="O238" s="623"/>
      <c r="P238" s="74"/>
      <c r="Q238" s="74"/>
      <c r="R238" s="74"/>
      <c r="S238" s="74"/>
      <c r="T238" s="74"/>
      <c r="U238" s="74"/>
      <c r="V238" s="74"/>
      <c r="W238" s="74"/>
      <c r="X238" s="802"/>
      <c r="Y238" s="562"/>
      <c r="Z238" s="562"/>
      <c r="AA238" s="562"/>
      <c r="AB238" s="562"/>
      <c r="AC238" s="562"/>
      <c r="AD238" s="562"/>
      <c r="AE238" s="562"/>
      <c r="AF238" s="562"/>
      <c r="AG238" s="562"/>
      <c r="AH238" s="562"/>
      <c r="AI238" s="562"/>
      <c r="AJ238" s="562"/>
      <c r="AK238" s="562"/>
      <c r="AL238" s="562"/>
      <c r="AM238" s="562"/>
      <c r="AN238" s="562"/>
      <c r="AO238" s="562"/>
      <c r="AP238" s="562"/>
      <c r="AQ238" s="562"/>
      <c r="AR238" s="190" t="str">
        <f>SUBSTITUTE(SUBSTITUTE(SUBSTITUTE("dnt"&amp;$B238&amp;$C238&amp;$D238&amp;$E238&amp;$F238,".","_"),"(","_"),")","")</f>
        <v>dnt902,3</v>
      </c>
      <c r="AS238" s="190">
        <f>X238</f>
        <v>0</v>
      </c>
    </row>
    <row r="239" spans="1:45" s="497" customFormat="1" x14ac:dyDescent="0.2">
      <c r="A239" s="13"/>
      <c r="B239" s="358">
        <v>902.3</v>
      </c>
      <c r="C239" s="14"/>
      <c r="D239" s="14"/>
      <c r="E239" s="14"/>
      <c r="F239" s="14"/>
      <c r="G239" s="14"/>
      <c r="H239" s="441"/>
      <c r="I239" s="99"/>
      <c r="J239" s="98"/>
      <c r="K239" s="98"/>
      <c r="L239" s="820"/>
      <c r="M239" s="610"/>
      <c r="N239" s="98"/>
      <c r="O239" s="607"/>
      <c r="P239" s="64"/>
      <c r="Q239" s="64"/>
      <c r="R239" s="64"/>
      <c r="S239" s="64"/>
      <c r="T239" s="64"/>
      <c r="U239" s="64"/>
      <c r="V239" s="64"/>
      <c r="W239" s="64"/>
      <c r="X239" s="786"/>
      <c r="Y239" s="562"/>
      <c r="Z239" s="562"/>
      <c r="AA239" s="562"/>
      <c r="AB239" s="562"/>
      <c r="AC239" s="562"/>
      <c r="AD239" s="562"/>
      <c r="AE239" s="562"/>
      <c r="AF239" s="562"/>
      <c r="AG239" s="562"/>
      <c r="AH239" s="562"/>
      <c r="AI239" s="562"/>
      <c r="AJ239" s="562"/>
      <c r="AK239" s="562"/>
      <c r="AL239" s="562"/>
      <c r="AM239" s="562"/>
      <c r="AN239" s="562"/>
      <c r="AO239" s="562"/>
      <c r="AP239" s="562"/>
      <c r="AQ239" s="562"/>
      <c r="AR239" s="190"/>
      <c r="AS239" s="190"/>
    </row>
    <row r="240" spans="1:45" x14ac:dyDescent="0.2">
      <c r="B240" s="358">
        <v>902.3</v>
      </c>
      <c r="C240" s="14"/>
      <c r="D240" s="14"/>
      <c r="E240" s="14"/>
      <c r="F240" s="14"/>
      <c r="G240" s="14"/>
      <c r="H240" s="441"/>
      <c r="I240" s="253"/>
      <c r="J240" s="98"/>
      <c r="K240" s="98"/>
      <c r="L240" s="820"/>
      <c r="M240" s="610"/>
      <c r="N240" s="98"/>
      <c r="O240" s="607"/>
      <c r="P240" s="64"/>
      <c r="Q240" s="64"/>
      <c r="R240" s="64"/>
      <c r="S240" s="64"/>
      <c r="T240" s="64"/>
      <c r="U240" s="64"/>
      <c r="V240" s="64"/>
      <c r="W240" s="64"/>
      <c r="X240" s="798"/>
      <c r="Y240" s="562"/>
      <c r="Z240" s="562"/>
      <c r="AA240" s="562"/>
      <c r="AB240" s="562"/>
      <c r="AC240" s="562"/>
      <c r="AD240" s="562"/>
      <c r="AE240" s="562"/>
      <c r="AF240" s="562"/>
      <c r="AG240" s="562"/>
      <c r="AH240" s="562"/>
      <c r="AI240" s="562"/>
      <c r="AJ240" s="562"/>
      <c r="AK240" s="562"/>
      <c r="AL240" s="562"/>
      <c r="AM240" s="562"/>
      <c r="AN240" s="562"/>
      <c r="AO240" s="562"/>
      <c r="AP240" s="562"/>
      <c r="AQ240" s="562"/>
      <c r="AR240" s="562"/>
      <c r="AS240" s="562"/>
    </row>
    <row r="241" spans="2:45" x14ac:dyDescent="0.2">
      <c r="B241" s="358">
        <v>902.3</v>
      </c>
      <c r="C241" s="14"/>
      <c r="D241" s="14"/>
      <c r="E241" s="14" t="s">
        <v>2181</v>
      </c>
      <c r="F241" s="14"/>
      <c r="G241" s="14"/>
      <c r="H241" s="441"/>
      <c r="I241" s="253"/>
      <c r="J241" s="134" t="s">
        <v>2181</v>
      </c>
      <c r="K241" s="98"/>
      <c r="L241" s="598" t="s">
        <v>3174</v>
      </c>
      <c r="M241" s="630" t="str">
        <f>IF(R241,"Mandatory","N/A")</f>
        <v>N/A</v>
      </c>
      <c r="N241" s="98"/>
      <c r="O241" s="607">
        <f ca="1">IFERROR(INDEX({7,10},MATCH(W241,INDIRECT(U241),0)),0)*S241</f>
        <v>0</v>
      </c>
      <c r="P241" s="64" t="b">
        <v>1</v>
      </c>
      <c r="Q241" s="64" t="b">
        <v>1</v>
      </c>
      <c r="R241" s="64" t="b">
        <f>S241</f>
        <v>0</v>
      </c>
      <c r="S241" s="64" t="b">
        <f>BE16=1</f>
        <v>0</v>
      </c>
      <c r="T241" s="64" t="b">
        <f>AND(NOT(S241),LEN(W241)&gt;0)</f>
        <v>0</v>
      </c>
      <c r="U241" s="64" t="str">
        <f>SUBSTITUTE(SUBSTITUTE(SUBSTITUTE("dd"&amp;B241&amp;C241&amp;D241&amp;E241&amp;F241,".","_"),"(","_"),")","")</f>
        <v>dd902,3_1</v>
      </c>
      <c r="V241" s="64"/>
      <c r="W241" s="78"/>
      <c r="X241" s="798"/>
      <c r="Y241" s="562"/>
      <c r="Z241" s="562"/>
      <c r="AA241" s="562"/>
      <c r="AB241" s="562"/>
      <c r="AC241" s="562" t="b">
        <f>OR(AD241:AE241)</f>
        <v>0</v>
      </c>
      <c r="AD241" s="562" t="b">
        <f>T241</f>
        <v>0</v>
      </c>
      <c r="AE241" s="562" t="b">
        <f>AND(R241,OR(W241="Not Met",W241=""))</f>
        <v>0</v>
      </c>
      <c r="AF241" s="562"/>
      <c r="AG241" s="562"/>
      <c r="AH241" s="562"/>
      <c r="AI241" s="562"/>
      <c r="AJ241" s="562"/>
      <c r="AK241" s="562"/>
      <c r="AL241" s="190" t="str">
        <f>SUBSTITUTE(SUBSTITUTE(SUBSTITUTE("dpa"&amp;$B241&amp;$C241&amp;$D241&amp;$E241&amp;$F241,".","_"),"(","_"),")","")</f>
        <v>dpa902,3_1</v>
      </c>
      <c r="AM241" s="190" t="str">
        <f>M241</f>
        <v>N/A</v>
      </c>
      <c r="AN241" s="190" t="str">
        <f>SUBSTITUTE(SUBSTITUTE(SUBSTITUTE("dpc"&amp;$B241&amp;$C241&amp;$D241&amp;$E241&amp;$F241,".","_"),"(","_"),")","")</f>
        <v>dpc902,3_1</v>
      </c>
      <c r="AO241" s="190">
        <f ca="1">O241</f>
        <v>0</v>
      </c>
      <c r="AP241" s="190" t="str">
        <f>SUBSTITUTE(SUBSTITUTE(SUBSTITUTE("dch"&amp;$B241&amp;$C241&amp;$D241&amp;$E241&amp;$F241,".","_"),"(","_"),")","")</f>
        <v>dch902,3_1</v>
      </c>
      <c r="AQ241" s="190">
        <f>W241</f>
        <v>0</v>
      </c>
      <c r="AR241" s="562"/>
      <c r="AS241" s="562"/>
    </row>
    <row r="242" spans="2:45" x14ac:dyDescent="0.2">
      <c r="B242" s="358">
        <v>902.3</v>
      </c>
      <c r="C242" s="14"/>
      <c r="D242" s="14"/>
      <c r="E242" s="14" t="s">
        <v>2181</v>
      </c>
      <c r="F242" s="14" t="s">
        <v>2196</v>
      </c>
      <c r="G242" s="14"/>
      <c r="H242" s="441"/>
      <c r="I242" s="253"/>
      <c r="J242" s="98"/>
      <c r="K242" s="134" t="s">
        <v>2196</v>
      </c>
      <c r="L242" s="598" t="s">
        <v>3175</v>
      </c>
      <c r="M242" s="610">
        <v>7</v>
      </c>
      <c r="N242" s="98"/>
      <c r="O242" s="607"/>
      <c r="P242" s="64"/>
      <c r="Q242" s="64"/>
      <c r="R242" s="64"/>
      <c r="S242" s="64"/>
      <c r="T242" s="64"/>
      <c r="U242" s="64"/>
      <c r="V242" s="64"/>
      <c r="W242" s="64"/>
      <c r="X242" s="798"/>
      <c r="Y242" s="562"/>
      <c r="Z242" s="562"/>
      <c r="AA242" s="562"/>
      <c r="AB242" s="562"/>
      <c r="AC242" s="562"/>
      <c r="AD242" s="562"/>
      <c r="AE242" s="562"/>
      <c r="AF242" s="562"/>
      <c r="AG242" s="562"/>
      <c r="AH242" s="562"/>
      <c r="AI242" s="562"/>
      <c r="AJ242" s="562"/>
      <c r="AK242" s="562"/>
      <c r="AL242" s="190" t="str">
        <f>SUBSTITUTE(SUBSTITUTE(SUBSTITUTE("dpa"&amp;$B242&amp;$C242&amp;$D242&amp;$E242&amp;$F242,".","_"),"(","_"),")","")</f>
        <v>dpa902,3_1_a</v>
      </c>
      <c r="AM242" s="190">
        <f>M242</f>
        <v>7</v>
      </c>
      <c r="AN242" s="562"/>
      <c r="AO242" s="562"/>
      <c r="AP242" s="562"/>
      <c r="AQ242" s="562"/>
      <c r="AR242" s="562"/>
      <c r="AS242" s="562"/>
    </row>
    <row r="243" spans="2:45" x14ac:dyDescent="0.2">
      <c r="B243" s="358">
        <v>902.3</v>
      </c>
      <c r="C243" s="14"/>
      <c r="D243" s="14"/>
      <c r="E243" s="14" t="s">
        <v>2181</v>
      </c>
      <c r="F243" s="14" t="s">
        <v>2198</v>
      </c>
      <c r="G243" s="14"/>
      <c r="H243" s="441"/>
      <c r="I243" s="253"/>
      <c r="J243" s="165"/>
      <c r="K243" s="159" t="s">
        <v>2198</v>
      </c>
      <c r="L243" s="599" t="s">
        <v>3176</v>
      </c>
      <c r="M243" s="611">
        <v>10</v>
      </c>
      <c r="N243" s="98"/>
      <c r="O243" s="607"/>
      <c r="P243" s="64"/>
      <c r="Q243" s="64"/>
      <c r="R243" s="64"/>
      <c r="S243" s="64"/>
      <c r="T243" s="64"/>
      <c r="U243" s="64"/>
      <c r="V243" s="64"/>
      <c r="W243" s="64"/>
      <c r="X243" s="798"/>
      <c r="Y243" s="562"/>
      <c r="Z243" s="562"/>
      <c r="AA243" s="562"/>
      <c r="AB243" s="562"/>
      <c r="AC243" s="562"/>
      <c r="AD243" s="562"/>
      <c r="AE243" s="562"/>
      <c r="AF243" s="562"/>
      <c r="AG243" s="562"/>
      <c r="AH243" s="562"/>
      <c r="AI243" s="562"/>
      <c r="AJ243" s="562"/>
      <c r="AK243" s="562"/>
      <c r="AL243" s="190" t="str">
        <f>SUBSTITUTE(SUBSTITUTE(SUBSTITUTE("dpa"&amp;$B243&amp;$C243&amp;$D243&amp;$E243&amp;$F243,".","_"),"(","_"),")","")</f>
        <v>dpa902,3_1_b</v>
      </c>
      <c r="AM243" s="190">
        <f>M243</f>
        <v>10</v>
      </c>
      <c r="AN243" s="562"/>
      <c r="AO243" s="562"/>
      <c r="AP243" s="562"/>
      <c r="AQ243" s="562"/>
      <c r="AR243" s="562"/>
      <c r="AS243" s="562"/>
    </row>
    <row r="244" spans="2:45" x14ac:dyDescent="0.2">
      <c r="B244" s="358">
        <v>902.3</v>
      </c>
      <c r="C244" s="14"/>
      <c r="D244" s="14"/>
      <c r="E244" s="14" t="s">
        <v>2183</v>
      </c>
      <c r="F244" s="14"/>
      <c r="G244" s="14"/>
      <c r="H244" s="441"/>
      <c r="I244" s="253"/>
      <c r="J244" s="134" t="s">
        <v>2183</v>
      </c>
      <c r="K244" s="98"/>
      <c r="L244" s="598" t="s">
        <v>3177</v>
      </c>
      <c r="M244" s="610"/>
      <c r="N244" s="98"/>
      <c r="O244" s="607"/>
      <c r="P244" s="64"/>
      <c r="Q244" s="64"/>
      <c r="R244" s="64"/>
      <c r="S244" s="64"/>
      <c r="T244" s="64"/>
      <c r="U244" s="64"/>
      <c r="V244" s="64"/>
      <c r="W244" s="64"/>
      <c r="X244" s="798"/>
      <c r="Y244" s="562"/>
      <c r="Z244" s="562"/>
      <c r="AA244" s="562"/>
      <c r="AB244" s="562"/>
      <c r="AC244" s="562"/>
      <c r="AD244" s="562"/>
      <c r="AE244" s="562"/>
      <c r="AF244" s="562"/>
      <c r="AG244" s="562"/>
      <c r="AH244" s="562"/>
      <c r="AI244" s="562"/>
      <c r="AJ244" s="562"/>
      <c r="AK244" s="562"/>
      <c r="AL244" s="562"/>
      <c r="AM244" s="562"/>
      <c r="AN244" s="562"/>
      <c r="AO244" s="562"/>
      <c r="AP244" s="562"/>
      <c r="AQ244" s="562"/>
      <c r="AR244" s="562"/>
      <c r="AS244" s="562"/>
    </row>
    <row r="245" spans="2:45" ht="16" thickBot="1" x14ac:dyDescent="0.25">
      <c r="B245" s="358">
        <v>902.3</v>
      </c>
      <c r="C245" s="14"/>
      <c r="D245" s="14"/>
      <c r="E245" s="14" t="s">
        <v>2183</v>
      </c>
      <c r="F245" s="14" t="s">
        <v>2196</v>
      </c>
      <c r="G245" s="14"/>
      <c r="H245" s="441"/>
      <c r="I245" s="254"/>
      <c r="J245" s="185"/>
      <c r="K245" s="143" t="s">
        <v>2196</v>
      </c>
      <c r="L245" s="626" t="s">
        <v>3178</v>
      </c>
      <c r="M245" s="615">
        <v>7</v>
      </c>
      <c r="N245" s="185"/>
      <c r="O245" s="622">
        <f>M245*S245*W245</f>
        <v>0</v>
      </c>
      <c r="P245" s="64" t="b">
        <v>1</v>
      </c>
      <c r="Q245" s="64" t="b">
        <v>1</v>
      </c>
      <c r="R245" s="68" t="b">
        <v>0</v>
      </c>
      <c r="S245" s="68" t="b">
        <f>OR(BE16=2,BE16=3)</f>
        <v>0</v>
      </c>
      <c r="T245" s="68" t="b">
        <f>AND(NOT(S245),W245=TRUE)</f>
        <v>0</v>
      </c>
      <c r="U245" s="68"/>
      <c r="V245" s="68"/>
      <c r="W245" s="69"/>
      <c r="X245" s="799"/>
      <c r="Y245" s="562"/>
      <c r="Z245" s="562"/>
      <c r="AA245" s="562"/>
      <c r="AB245" s="562"/>
      <c r="AC245" s="562" t="b">
        <f>OR(AD245:AE245)</f>
        <v>0</v>
      </c>
      <c r="AD245" s="562" t="b">
        <f>T245</f>
        <v>0</v>
      </c>
      <c r="AE245" s="562" t="b">
        <f>AND(R245,NOT(W245))</f>
        <v>0</v>
      </c>
      <c r="AF245" s="562"/>
      <c r="AG245" s="562"/>
      <c r="AH245" s="562"/>
      <c r="AI245" s="562"/>
      <c r="AJ245" s="562"/>
      <c r="AK245" s="562"/>
      <c r="AL245" s="190" t="str">
        <f>SUBSTITUTE(SUBSTITUTE(SUBSTITUTE("dpa"&amp;$B245&amp;$C245&amp;$D245&amp;$E245&amp;$F245,".","_"),"(","_"),")","")</f>
        <v>dpa902,3_2_a</v>
      </c>
      <c r="AM245" s="190">
        <f>M245</f>
        <v>7</v>
      </c>
      <c r="AN245" s="190" t="str">
        <f>SUBSTITUTE(SUBSTITUTE(SUBSTITUTE("dpc"&amp;$B245&amp;$C245&amp;$D245&amp;$E245&amp;$F245,".","_"),"(","_"),")","")</f>
        <v>dpc902,3_2_a</v>
      </c>
      <c r="AO245" s="190">
        <f>O245</f>
        <v>0</v>
      </c>
      <c r="AP245" s="190" t="str">
        <f>SUBSTITUTE(SUBSTITUTE(SUBSTITUTE("dch"&amp;$B245&amp;$C245&amp;$D245&amp;$E245&amp;$F245,".","_"),"(","_"),")","")</f>
        <v>dch902,3_2_a</v>
      </c>
      <c r="AQ245" s="190">
        <f>W245</f>
        <v>0</v>
      </c>
      <c r="AR245" s="562"/>
      <c r="AS245" s="562"/>
    </row>
    <row r="246" spans="2:45" ht="16" thickTop="1" x14ac:dyDescent="0.2">
      <c r="B246" s="358">
        <v>902.4</v>
      </c>
      <c r="C246" s="14"/>
      <c r="D246" s="14"/>
      <c r="E246" s="14"/>
      <c r="F246" s="14"/>
      <c r="G246" s="14"/>
      <c r="H246" s="441"/>
      <c r="I246" s="40" t="s">
        <v>3179</v>
      </c>
      <c r="J246" s="3"/>
      <c r="K246" s="3"/>
      <c r="L246" s="775" t="s">
        <v>3180</v>
      </c>
      <c r="M246" s="814">
        <v>3</v>
      </c>
      <c r="N246" s="3"/>
      <c r="O246" s="795">
        <f>M246*S248*IFERROR(OR(W248,W250),0)</f>
        <v>0</v>
      </c>
      <c r="P246" s="562"/>
      <c r="Q246" s="562"/>
      <c r="R246" s="562"/>
      <c r="S246" s="562"/>
      <c r="T246" s="562"/>
      <c r="U246" s="562"/>
      <c r="V246" s="562"/>
      <c r="W246" s="562"/>
      <c r="X246" s="562"/>
      <c r="Y246" s="562"/>
      <c r="Z246" s="562"/>
      <c r="AA246" s="562"/>
      <c r="AB246" s="562"/>
      <c r="AC246" s="562"/>
      <c r="AD246" s="562"/>
      <c r="AE246" s="562"/>
      <c r="AF246" s="562"/>
      <c r="AG246" s="562"/>
      <c r="AH246" s="562"/>
      <c r="AI246" s="562"/>
      <c r="AJ246" s="562"/>
      <c r="AK246" s="562"/>
      <c r="AL246" s="190" t="str">
        <f>SUBSTITUTE(SUBSTITUTE(SUBSTITUTE("dpa"&amp;$B246&amp;$C246&amp;$D246&amp;$E246&amp;$F246,".","_"),"(","_"),")","")</f>
        <v>dpa902,4</v>
      </c>
      <c r="AM246" s="190">
        <f>M246</f>
        <v>3</v>
      </c>
      <c r="AN246" s="190" t="str">
        <f>SUBSTITUTE(SUBSTITUTE(SUBSTITUTE("dpc"&amp;$B246&amp;$C246&amp;$D246&amp;$E246&amp;$F246,".","_"),"(","_"),")","")</f>
        <v>dpc902,4</v>
      </c>
      <c r="AO246" s="190">
        <f>O246</f>
        <v>0</v>
      </c>
      <c r="AP246" s="562"/>
      <c r="AQ246" s="562"/>
      <c r="AR246" s="562"/>
      <c r="AS246" s="562"/>
    </row>
    <row r="247" spans="2:45" x14ac:dyDescent="0.2">
      <c r="B247" s="358">
        <v>902.4</v>
      </c>
      <c r="C247" s="14"/>
      <c r="D247" s="14"/>
      <c r="E247" s="14"/>
      <c r="F247" s="14"/>
      <c r="G247" s="14"/>
      <c r="H247" s="441"/>
      <c r="I247" s="121"/>
      <c r="J247" s="3"/>
      <c r="K247" s="3"/>
      <c r="L247" s="775"/>
      <c r="M247" s="814"/>
      <c r="N247" s="3"/>
      <c r="O247" s="795"/>
      <c r="P247" s="562"/>
      <c r="Q247" s="562"/>
      <c r="R247" s="562"/>
      <c r="S247" s="562"/>
      <c r="T247" s="562"/>
      <c r="U247" s="562"/>
      <c r="V247" s="562"/>
      <c r="W247" s="562"/>
      <c r="X247" s="562"/>
      <c r="Y247" s="562"/>
      <c r="Z247" s="562"/>
      <c r="AA247" s="562"/>
      <c r="AB247" s="562"/>
      <c r="AC247" s="562"/>
      <c r="AD247" s="562"/>
      <c r="AE247" s="562"/>
      <c r="AF247" s="562"/>
      <c r="AG247" s="562"/>
      <c r="AH247" s="562"/>
      <c r="AI247" s="562"/>
      <c r="AJ247" s="562"/>
      <c r="AK247" s="562"/>
      <c r="AL247" s="562"/>
      <c r="AM247" s="562"/>
      <c r="AN247" s="562"/>
      <c r="AO247" s="562"/>
      <c r="AP247" s="562"/>
      <c r="AQ247" s="562"/>
      <c r="AR247" s="562"/>
      <c r="AS247" s="562"/>
    </row>
    <row r="248" spans="2:45" x14ac:dyDescent="0.2">
      <c r="B248" s="358">
        <v>902.4</v>
      </c>
      <c r="C248" s="14"/>
      <c r="D248" s="14"/>
      <c r="E248" s="14" t="s">
        <v>2181</v>
      </c>
      <c r="F248" s="14"/>
      <c r="G248" s="14"/>
      <c r="H248" s="441"/>
      <c r="I248" s="121"/>
      <c r="J248" s="134" t="s">
        <v>2181</v>
      </c>
      <c r="K248" s="98"/>
      <c r="L248" s="791" t="s">
        <v>3181</v>
      </c>
      <c r="M248" s="616"/>
      <c r="N248" s="3"/>
      <c r="O248" s="609"/>
      <c r="P248" s="64" t="b">
        <v>1</v>
      </c>
      <c r="Q248" s="64" t="b">
        <v>0</v>
      </c>
      <c r="R248" s="562" t="b">
        <v>0</v>
      </c>
      <c r="S248" s="562" t="b">
        <v>1</v>
      </c>
      <c r="T248" s="562" t="b">
        <v>0</v>
      </c>
      <c r="U248" s="562"/>
      <c r="V248" s="562"/>
      <c r="W248" s="18"/>
      <c r="X248" s="787"/>
      <c r="Y248" s="562"/>
      <c r="Z248" s="562"/>
      <c r="AA248" s="562"/>
      <c r="AB248" s="562"/>
      <c r="AC248" s="562" t="b">
        <f>OR(AD248:AE248)</f>
        <v>0</v>
      </c>
      <c r="AD248" s="562" t="b">
        <f>T248</f>
        <v>0</v>
      </c>
      <c r="AE248" s="562" t="b">
        <f>AND(R248,NOT(W248))</f>
        <v>0</v>
      </c>
      <c r="AF248" s="562"/>
      <c r="AG248" s="562"/>
      <c r="AH248" s="562"/>
      <c r="AI248" s="562"/>
      <c r="AJ248" s="562"/>
      <c r="AK248" s="562"/>
      <c r="AL248" s="562"/>
      <c r="AM248" s="562"/>
      <c r="AN248" s="562"/>
      <c r="AO248" s="562"/>
      <c r="AP248" s="190" t="str">
        <f>SUBSTITUTE(SUBSTITUTE(SUBSTITUTE("dch"&amp;$B248&amp;$C248&amp;$D248&amp;$E248&amp;$F248,".","_"),"(","_"),")","")</f>
        <v>dch902,4_1</v>
      </c>
      <c r="AQ248" s="190">
        <f>W248</f>
        <v>0</v>
      </c>
      <c r="AR248" s="190" t="str">
        <f>SUBSTITUTE(SUBSTITUTE(SUBSTITUTE("dnt"&amp;$B248&amp;$C248&amp;$D248&amp;$E248&amp;$F248,".","_"),"(","_"),")","")</f>
        <v>dnt902,4_1</v>
      </c>
      <c r="AS248" s="190">
        <f>X248</f>
        <v>0</v>
      </c>
    </row>
    <row r="249" spans="2:45" x14ac:dyDescent="0.2">
      <c r="B249" s="358">
        <v>902.4</v>
      </c>
      <c r="C249" s="14"/>
      <c r="D249" s="14"/>
      <c r="E249" s="14" t="s">
        <v>2181</v>
      </c>
      <c r="F249" s="14"/>
      <c r="G249" s="14"/>
      <c r="H249" s="441"/>
      <c r="I249" s="121"/>
      <c r="J249" s="159"/>
      <c r="K249" s="165"/>
      <c r="L249" s="792"/>
      <c r="M249" s="616"/>
      <c r="N249" s="3"/>
      <c r="O249" s="609"/>
      <c r="P249" s="562"/>
      <c r="Q249" s="562"/>
      <c r="R249" s="562"/>
      <c r="S249" s="562"/>
      <c r="T249" s="562"/>
      <c r="U249" s="562"/>
      <c r="V249" s="562"/>
      <c r="W249" s="562"/>
      <c r="X249" s="787"/>
      <c r="Y249" s="562"/>
      <c r="Z249" s="562"/>
      <c r="AA249" s="562"/>
      <c r="AB249" s="562"/>
      <c r="AC249" s="562"/>
      <c r="AD249" s="562"/>
      <c r="AE249" s="562"/>
      <c r="AF249" s="562"/>
      <c r="AG249" s="562"/>
      <c r="AH249" s="562"/>
      <c r="AI249" s="562"/>
      <c r="AJ249" s="562"/>
      <c r="AK249" s="562"/>
      <c r="AL249" s="562"/>
      <c r="AM249" s="562"/>
      <c r="AN249" s="562"/>
      <c r="AO249" s="562"/>
      <c r="AP249" s="562"/>
      <c r="AQ249" s="562"/>
      <c r="AR249" s="562"/>
      <c r="AS249" s="562"/>
    </row>
    <row r="250" spans="2:45" x14ac:dyDescent="0.2">
      <c r="B250" s="358">
        <v>902.4</v>
      </c>
      <c r="C250" s="14"/>
      <c r="D250" s="14"/>
      <c r="E250" s="14" t="s">
        <v>2183</v>
      </c>
      <c r="F250" s="14"/>
      <c r="G250" s="14"/>
      <c r="H250" s="441"/>
      <c r="I250" s="253"/>
      <c r="J250" s="134" t="s">
        <v>2183</v>
      </c>
      <c r="K250" s="98"/>
      <c r="L250" s="791" t="s">
        <v>3182</v>
      </c>
      <c r="M250" s="610"/>
      <c r="N250" s="98"/>
      <c r="O250" s="607"/>
      <c r="P250" s="64" t="b">
        <v>0</v>
      </c>
      <c r="Q250" s="64" t="b">
        <v>1</v>
      </c>
      <c r="R250" s="64" t="b">
        <v>0</v>
      </c>
      <c r="S250" s="64" t="b">
        <v>1</v>
      </c>
      <c r="T250" s="64" t="b">
        <v>0</v>
      </c>
      <c r="U250" s="64"/>
      <c r="V250" s="64"/>
      <c r="W250" s="219"/>
      <c r="X250" s="798"/>
      <c r="Y250" s="562"/>
      <c r="Z250" s="562"/>
      <c r="AA250" s="562"/>
      <c r="AB250" s="562"/>
      <c r="AC250" s="562" t="b">
        <f>OR(AD250:AE250)</f>
        <v>0</v>
      </c>
      <c r="AD250" s="562" t="b">
        <f>T250</f>
        <v>0</v>
      </c>
      <c r="AE250" s="562" t="b">
        <f>AND(R250,NOT(W250))</f>
        <v>0</v>
      </c>
      <c r="AF250" s="562"/>
      <c r="AG250" s="562"/>
      <c r="AH250" s="562"/>
      <c r="AI250" s="562"/>
      <c r="AJ250" s="562"/>
      <c r="AK250" s="562"/>
      <c r="AL250" s="562"/>
      <c r="AM250" s="562"/>
      <c r="AN250" s="562"/>
      <c r="AO250" s="562"/>
      <c r="AP250" s="190" t="str">
        <f>SUBSTITUTE(SUBSTITUTE(SUBSTITUTE("dch"&amp;$B250&amp;$C250&amp;$D250&amp;$E250&amp;$F250,".","_"),"(","_"),")","")</f>
        <v>dch902,4_2</v>
      </c>
      <c r="AQ250" s="190">
        <f>W250</f>
        <v>0</v>
      </c>
      <c r="AR250" s="190" t="str">
        <f>SUBSTITUTE(SUBSTITUTE(SUBSTITUTE("dnt"&amp;$B250&amp;$C250&amp;$D250&amp;$E250&amp;$F250,".","_"),"(","_"),")","")</f>
        <v>dnt902,4_2</v>
      </c>
      <c r="AS250" s="190">
        <f>X250</f>
        <v>0</v>
      </c>
    </row>
    <row r="251" spans="2:45" x14ac:dyDescent="0.2">
      <c r="B251" s="358">
        <v>902.4</v>
      </c>
      <c r="C251" s="14"/>
      <c r="D251" s="14"/>
      <c r="E251" s="14" t="s">
        <v>2183</v>
      </c>
      <c r="F251" s="14"/>
      <c r="G251" s="14"/>
      <c r="H251" s="441"/>
      <c r="I251" s="253"/>
      <c r="J251" s="98"/>
      <c r="K251" s="98"/>
      <c r="L251" s="791"/>
      <c r="M251" s="610"/>
      <c r="N251" s="98"/>
      <c r="O251" s="607"/>
      <c r="P251" s="64"/>
      <c r="Q251" s="64"/>
      <c r="R251" s="64"/>
      <c r="S251" s="64"/>
      <c r="T251" s="64"/>
      <c r="U251" s="64"/>
      <c r="V251" s="64"/>
      <c r="W251" s="64"/>
      <c r="X251" s="798"/>
      <c r="Y251" s="562"/>
      <c r="Z251" s="562"/>
      <c r="AA251" s="562"/>
      <c r="AB251" s="562"/>
      <c r="AC251" s="562"/>
      <c r="AD251" s="562"/>
      <c r="AE251" s="562"/>
      <c r="AF251" s="562"/>
      <c r="AG251" s="562"/>
      <c r="AH251" s="562"/>
      <c r="AI251" s="562"/>
      <c r="AJ251" s="562"/>
      <c r="AK251" s="562"/>
      <c r="AL251" s="562"/>
      <c r="AM251" s="562"/>
      <c r="AN251" s="562"/>
      <c r="AO251" s="562"/>
      <c r="AP251" s="562"/>
      <c r="AQ251" s="562"/>
      <c r="AR251" s="562"/>
      <c r="AS251" s="562"/>
    </row>
    <row r="252" spans="2:45" ht="16" thickBot="1" x14ac:dyDescent="0.25">
      <c r="B252" s="358">
        <v>902.4</v>
      </c>
      <c r="C252" s="14"/>
      <c r="D252" s="14"/>
      <c r="E252" s="14" t="s">
        <v>2183</v>
      </c>
      <c r="F252" s="14"/>
      <c r="G252" s="14"/>
      <c r="H252" s="441"/>
      <c r="I252" s="254"/>
      <c r="J252" s="185"/>
      <c r="K252" s="185"/>
      <c r="L252" s="818"/>
      <c r="M252" s="615"/>
      <c r="N252" s="185"/>
      <c r="O252" s="622"/>
      <c r="P252" s="68"/>
      <c r="Q252" s="68"/>
      <c r="R252" s="68"/>
      <c r="S252" s="68"/>
      <c r="T252" s="68"/>
      <c r="U252" s="68"/>
      <c r="V252" s="68"/>
      <c r="W252" s="68"/>
      <c r="X252" s="799"/>
      <c r="Y252" s="562"/>
      <c r="Z252" s="562"/>
      <c r="AA252" s="562"/>
      <c r="AB252" s="562"/>
      <c r="AC252" s="562"/>
      <c r="AD252" s="562"/>
      <c r="AE252" s="562"/>
      <c r="AF252" s="562"/>
      <c r="AG252" s="562"/>
      <c r="AH252" s="562"/>
      <c r="AI252" s="562"/>
      <c r="AJ252" s="562"/>
      <c r="AK252" s="562"/>
      <c r="AL252" s="562"/>
      <c r="AM252" s="562"/>
      <c r="AN252" s="562"/>
      <c r="AO252" s="562"/>
      <c r="AP252" s="562"/>
      <c r="AQ252" s="562"/>
      <c r="AR252" s="562"/>
      <c r="AS252" s="562"/>
    </row>
    <row r="253" spans="2:45" ht="16" thickTop="1" x14ac:dyDescent="0.2">
      <c r="B253" s="358">
        <v>902.5</v>
      </c>
      <c r="C253" s="14"/>
      <c r="D253" s="14"/>
      <c r="E253" s="14"/>
      <c r="F253" s="14"/>
      <c r="G253" s="14"/>
      <c r="H253" s="441"/>
      <c r="I253" s="131" t="s">
        <v>3183</v>
      </c>
      <c r="J253" s="132"/>
      <c r="K253" s="132"/>
      <c r="L253" s="883" t="s">
        <v>3184</v>
      </c>
      <c r="M253" s="827">
        <v>3</v>
      </c>
      <c r="N253" s="132"/>
      <c r="O253" s="823">
        <f>M253*S253*W253</f>
        <v>0</v>
      </c>
      <c r="P253" s="64" t="b">
        <v>1</v>
      </c>
      <c r="Q253" s="64" t="b">
        <v>1</v>
      </c>
      <c r="R253" s="74" t="b">
        <v>0</v>
      </c>
      <c r="S253" s="74" t="b">
        <v>1</v>
      </c>
      <c r="T253" s="74" t="b">
        <v>0</v>
      </c>
      <c r="U253" s="74"/>
      <c r="V253" s="74"/>
      <c r="W253" s="221"/>
      <c r="X253" s="802"/>
      <c r="Y253" s="562"/>
      <c r="Z253" s="562"/>
      <c r="AA253" s="562"/>
      <c r="AB253" s="562"/>
      <c r="AC253" s="562" t="b">
        <f>OR(AD253:AE253)</f>
        <v>0</v>
      </c>
      <c r="AD253" s="562" t="b">
        <f>T253</f>
        <v>0</v>
      </c>
      <c r="AE253" s="562" t="b">
        <f>AND(R253,NOT(W253))</f>
        <v>0</v>
      </c>
      <c r="AF253" s="562"/>
      <c r="AG253" s="562"/>
      <c r="AH253" s="562"/>
      <c r="AI253" s="562"/>
      <c r="AJ253" s="562"/>
      <c r="AK253" s="562"/>
      <c r="AL253" s="190" t="str">
        <f>SUBSTITUTE(SUBSTITUTE(SUBSTITUTE("dpa"&amp;$B253&amp;$C253&amp;$D253&amp;$E253&amp;$F253,".","_"),"(","_"),")","")</f>
        <v>dpa902,5</v>
      </c>
      <c r="AM253" s="190">
        <f>M253</f>
        <v>3</v>
      </c>
      <c r="AN253" s="190" t="str">
        <f>SUBSTITUTE(SUBSTITUTE(SUBSTITUTE("dpc"&amp;$B253&amp;$C253&amp;$D253&amp;$E253&amp;$F253,".","_"),"(","_"),")","")</f>
        <v>dpc902,5</v>
      </c>
      <c r="AO253" s="190">
        <f>O253</f>
        <v>0</v>
      </c>
      <c r="AP253" s="190" t="str">
        <f>SUBSTITUTE(SUBSTITUTE(SUBSTITUTE("dch"&amp;$B253&amp;$C253&amp;$D253&amp;$E253&amp;$F253,".","_"),"(","_"),")","")</f>
        <v>dch902,5</v>
      </c>
      <c r="AQ253" s="190">
        <f>W253</f>
        <v>0</v>
      </c>
      <c r="AR253" s="190" t="str">
        <f>SUBSTITUTE(SUBSTITUTE(SUBSTITUTE("dnt"&amp;$B253&amp;$C253&amp;$D253&amp;$E253&amp;$F253,".","_"),"(","_"),")","")</f>
        <v>dnt902,5</v>
      </c>
      <c r="AS253" s="190">
        <f>X253</f>
        <v>0</v>
      </c>
    </row>
    <row r="254" spans="2:45" ht="16" thickBot="1" x14ac:dyDescent="0.25">
      <c r="B254" s="358">
        <v>902.5</v>
      </c>
      <c r="C254" s="14"/>
      <c r="D254" s="14"/>
      <c r="E254" s="14"/>
      <c r="F254" s="14"/>
      <c r="G254" s="14"/>
      <c r="H254" s="441"/>
      <c r="I254" s="142"/>
      <c r="J254" s="185"/>
      <c r="K254" s="185"/>
      <c r="L254" s="884"/>
      <c r="M254" s="813"/>
      <c r="N254" s="185"/>
      <c r="O254" s="821"/>
      <c r="P254" s="68"/>
      <c r="Q254" s="68"/>
      <c r="R254" s="68"/>
      <c r="S254" s="68"/>
      <c r="T254" s="68"/>
      <c r="U254" s="68"/>
      <c r="V254" s="68"/>
      <c r="W254" s="68"/>
      <c r="X254" s="799"/>
      <c r="Y254" s="562"/>
      <c r="Z254" s="562"/>
      <c r="AA254" s="562"/>
      <c r="AB254" s="562"/>
      <c r="AC254" s="562"/>
      <c r="AD254" s="562"/>
      <c r="AE254" s="562"/>
      <c r="AF254" s="562"/>
      <c r="AG254" s="562"/>
      <c r="AH254" s="562"/>
      <c r="AI254" s="562"/>
      <c r="AJ254" s="562"/>
      <c r="AK254" s="562"/>
      <c r="AL254" s="562"/>
      <c r="AM254" s="562"/>
      <c r="AN254" s="562"/>
      <c r="AO254" s="562"/>
      <c r="AP254" s="562"/>
      <c r="AQ254" s="562"/>
      <c r="AR254" s="562"/>
      <c r="AS254" s="562"/>
    </row>
    <row r="255" spans="2:45" ht="16" thickTop="1" x14ac:dyDescent="0.2">
      <c r="B255" s="358">
        <v>902.6</v>
      </c>
      <c r="C255" s="14"/>
      <c r="D255" s="14"/>
      <c r="E255" s="14"/>
      <c r="F255" s="14"/>
      <c r="G255" s="14"/>
      <c r="H255" s="441"/>
      <c r="I255" s="40" t="s">
        <v>3185</v>
      </c>
      <c r="J255" s="3"/>
      <c r="K255" s="3"/>
      <c r="L255" s="775" t="s">
        <v>3186</v>
      </c>
      <c r="M255" s="838" t="str">
        <f>IF(R255,"Mandatory","N/A")</f>
        <v>Mandatory</v>
      </c>
      <c r="N255" s="3"/>
      <c r="O255" s="609"/>
      <c r="P255" s="64" t="b">
        <v>1</v>
      </c>
      <c r="Q255" s="64" t="b">
        <v>0</v>
      </c>
      <c r="R255" s="562" t="b">
        <f>S255</f>
        <v>1</v>
      </c>
      <c r="S255" s="562" t="b">
        <v>1</v>
      </c>
      <c r="T255" s="562" t="b">
        <v>0</v>
      </c>
      <c r="U255" s="562"/>
      <c r="V255" s="562"/>
      <c r="W255" s="91"/>
      <c r="X255" s="786"/>
      <c r="Y255" s="562"/>
      <c r="Z255" s="562"/>
      <c r="AA255" s="562"/>
      <c r="AB255" s="562"/>
      <c r="AC255" s="562" t="b">
        <f>OR(AD255:AE255)</f>
        <v>1</v>
      </c>
      <c r="AD255" s="562" t="b">
        <f>T255</f>
        <v>0</v>
      </c>
      <c r="AE255" s="562" t="b">
        <f>AND(R255,NOT(W255))</f>
        <v>1</v>
      </c>
      <c r="AF255" s="562"/>
      <c r="AG255" s="562"/>
      <c r="AH255" s="562"/>
      <c r="AI255" s="562"/>
      <c r="AJ255" s="562"/>
      <c r="AK255" s="562"/>
      <c r="AL255" s="190" t="str">
        <f>SUBSTITUTE(SUBSTITUTE(SUBSTITUTE("dpa"&amp;$B255&amp;$C255&amp;$D255&amp;$E255&amp;$F255,".","_"),"(","_"),")","")</f>
        <v>dpa902,6</v>
      </c>
      <c r="AM255" s="190" t="str">
        <f>M255</f>
        <v>Mandatory</v>
      </c>
      <c r="AN255" s="562"/>
      <c r="AO255" s="562"/>
      <c r="AP255" s="190" t="str">
        <f>SUBSTITUTE(SUBSTITUTE(SUBSTITUTE("dch"&amp;$B255&amp;$C255&amp;$D255&amp;$E255&amp;$F255,".","_"),"(","_"),")","")</f>
        <v>dch902,6</v>
      </c>
      <c r="AQ255" s="190">
        <f>W255</f>
        <v>0</v>
      </c>
      <c r="AR255" s="190" t="str">
        <f>SUBSTITUTE(SUBSTITUTE(SUBSTITUTE("dnt"&amp;$B255&amp;$C255&amp;$D255&amp;$E255&amp;$F255,".","_"),"(","_"),")","")</f>
        <v>dnt902,6</v>
      </c>
      <c r="AS255" s="190">
        <f>X255</f>
        <v>0</v>
      </c>
    </row>
    <row r="256" spans="2:45" x14ac:dyDescent="0.2">
      <c r="B256" s="358">
        <v>902.6</v>
      </c>
      <c r="C256" s="14"/>
      <c r="D256" s="14"/>
      <c r="E256" s="14"/>
      <c r="F256" s="14"/>
      <c r="G256" s="14"/>
      <c r="H256" s="441"/>
      <c r="I256" s="121"/>
      <c r="J256" s="3"/>
      <c r="K256" s="3"/>
      <c r="L256" s="775"/>
      <c r="M256" s="838"/>
      <c r="N256" s="3"/>
      <c r="O256" s="609"/>
      <c r="P256" s="562"/>
      <c r="Q256" s="562"/>
      <c r="R256" s="562"/>
      <c r="S256" s="562"/>
      <c r="T256" s="562"/>
      <c r="U256" s="562"/>
      <c r="V256" s="562"/>
      <c r="W256" s="562"/>
      <c r="X256" s="787"/>
      <c r="Y256" s="562"/>
      <c r="Z256" s="562"/>
      <c r="AA256" s="562"/>
      <c r="AB256" s="562"/>
      <c r="AC256" s="562"/>
      <c r="AD256" s="562"/>
      <c r="AE256" s="562"/>
      <c r="AF256" s="562"/>
      <c r="AG256" s="562"/>
      <c r="AH256" s="562"/>
      <c r="AI256" s="562"/>
      <c r="AJ256" s="562"/>
      <c r="AK256" s="562"/>
      <c r="AL256" s="562"/>
      <c r="AM256" s="562"/>
      <c r="AN256" s="562"/>
      <c r="AO256" s="562"/>
      <c r="AP256" s="562"/>
      <c r="AQ256" s="562"/>
      <c r="AR256" s="562"/>
      <c r="AS256" s="562"/>
    </row>
    <row r="257" spans="1:45" ht="19" x14ac:dyDescent="0.25">
      <c r="B257" s="358">
        <v>903</v>
      </c>
      <c r="C257" s="14"/>
      <c r="D257" s="14"/>
      <c r="E257" s="14"/>
      <c r="F257" s="14"/>
      <c r="G257" s="14"/>
      <c r="H257" s="441"/>
      <c r="I257" s="8" t="s">
        <v>3187</v>
      </c>
      <c r="J257" s="16"/>
      <c r="K257" s="16"/>
      <c r="L257" s="54"/>
      <c r="M257" s="264"/>
      <c r="N257" s="266"/>
      <c r="O257" s="264"/>
      <c r="P257" s="16"/>
      <c r="Q257" s="16"/>
      <c r="R257" s="16"/>
      <c r="S257" s="16"/>
      <c r="T257" s="16"/>
      <c r="U257" s="16"/>
      <c r="V257" s="16"/>
      <c r="W257" s="16"/>
      <c r="X257" s="16"/>
      <c r="Y257" s="562"/>
      <c r="Z257" s="562"/>
      <c r="AA257" s="562"/>
      <c r="AB257" s="562"/>
      <c r="AC257" s="562"/>
      <c r="AD257" s="562"/>
      <c r="AE257" s="562"/>
      <c r="AF257" s="562"/>
      <c r="AG257" s="562"/>
      <c r="AH257" s="562"/>
      <c r="AI257" s="562"/>
      <c r="AJ257" s="562"/>
      <c r="AK257" s="562"/>
      <c r="AL257" s="562"/>
      <c r="AM257" s="562"/>
      <c r="AN257" s="562"/>
      <c r="AO257" s="562"/>
      <c r="AP257" s="562"/>
      <c r="AQ257" s="562"/>
      <c r="AR257" s="562"/>
      <c r="AS257" s="562"/>
    </row>
    <row r="258" spans="1:45" ht="16" thickBot="1" x14ac:dyDescent="0.25">
      <c r="B258" s="358" t="s">
        <v>3188</v>
      </c>
      <c r="C258" s="14"/>
      <c r="D258" s="14"/>
      <c r="E258" s="14"/>
      <c r="F258" s="14"/>
      <c r="G258" s="14"/>
      <c r="H258" s="441"/>
      <c r="I258" s="251" t="s">
        <v>3189</v>
      </c>
      <c r="J258" s="185"/>
      <c r="K258" s="185"/>
      <c r="L258" s="647" t="s">
        <v>3190</v>
      </c>
      <c r="M258" s="615"/>
      <c r="N258" s="185"/>
      <c r="O258" s="622"/>
      <c r="P258" s="68"/>
      <c r="Q258" s="68"/>
      <c r="R258" s="68"/>
      <c r="S258" s="68"/>
      <c r="T258" s="68"/>
      <c r="U258" s="68"/>
      <c r="V258" s="68"/>
      <c r="W258" s="68"/>
      <c r="X258" s="68"/>
      <c r="Y258" s="562"/>
      <c r="Z258" s="562"/>
      <c r="AA258" s="562"/>
      <c r="AB258" s="562"/>
      <c r="AC258" s="562"/>
      <c r="AD258" s="562"/>
      <c r="AE258" s="562"/>
      <c r="AF258" s="562"/>
      <c r="AG258" s="562"/>
      <c r="AH258" s="562"/>
      <c r="AI258" s="562"/>
      <c r="AJ258" s="562"/>
      <c r="AK258" s="562"/>
      <c r="AL258" s="562"/>
      <c r="AM258" s="562"/>
      <c r="AN258" s="562"/>
      <c r="AO258" s="562"/>
      <c r="AP258" s="562"/>
      <c r="AQ258" s="562"/>
      <c r="AR258" s="562"/>
      <c r="AS258" s="562"/>
    </row>
    <row r="259" spans="1:45" ht="16" thickTop="1" x14ac:dyDescent="0.2">
      <c r="B259" s="358">
        <v>903.1</v>
      </c>
      <c r="C259" s="14"/>
      <c r="D259" s="14"/>
      <c r="E259" s="14"/>
      <c r="F259" s="14"/>
      <c r="G259" s="14"/>
      <c r="H259" s="441"/>
      <c r="I259" s="252" t="s">
        <v>3191</v>
      </c>
      <c r="J259" s="132"/>
      <c r="K259" s="132"/>
      <c r="L259" s="646" t="s">
        <v>3192</v>
      </c>
      <c r="M259" s="625"/>
      <c r="N259" s="132"/>
      <c r="O259" s="623">
        <f ca="1">IFERROR(INDEX({2,5},MATCH(W259,INDIRECT(U259),0)),0)*S259</f>
        <v>0</v>
      </c>
      <c r="P259" s="64" t="b">
        <v>1</v>
      </c>
      <c r="Q259" s="64" t="b">
        <v>0</v>
      </c>
      <c r="R259" s="74" t="b">
        <v>0</v>
      </c>
      <c r="S259" s="74" t="b">
        <v>1</v>
      </c>
      <c r="T259" s="74" t="b">
        <v>0</v>
      </c>
      <c r="U259" s="74" t="str">
        <f>SUBSTITUTE(SUBSTITUTE(SUBSTITUTE("dd"&amp;B259&amp;C259&amp;D259&amp;E259&amp;F259,".","_"),"(","_"),")","")</f>
        <v>dd903,1</v>
      </c>
      <c r="V259" s="74"/>
      <c r="W259" s="141"/>
      <c r="X259" s="802"/>
      <c r="Y259" s="562"/>
      <c r="Z259" s="562"/>
      <c r="AA259" s="562"/>
      <c r="AB259" s="562"/>
      <c r="AC259" s="562" t="b">
        <f>OR(AD259:AE259)</f>
        <v>0</v>
      </c>
      <c r="AD259" s="562" t="b">
        <f>T259</f>
        <v>0</v>
      </c>
      <c r="AE259" s="562" t="b">
        <f>AND(R259,OR(W259="Not Met",W259=""))</f>
        <v>0</v>
      </c>
      <c r="AF259" s="562"/>
      <c r="AG259" s="562"/>
      <c r="AH259" s="562"/>
      <c r="AI259" s="562"/>
      <c r="AJ259" s="562"/>
      <c r="AK259" s="562"/>
      <c r="AL259" s="562"/>
      <c r="AM259" s="562"/>
      <c r="AN259" s="190" t="str">
        <f>SUBSTITUTE(SUBSTITUTE(SUBSTITUTE("dpc"&amp;$B259&amp;$C259&amp;$D259&amp;$E259&amp;$F259,".","_"),"(","_"),")","")</f>
        <v>dpc903,1</v>
      </c>
      <c r="AO259" s="190">
        <f ca="1">O259</f>
        <v>0</v>
      </c>
      <c r="AP259" s="190" t="str">
        <f>SUBSTITUTE(SUBSTITUTE(SUBSTITUTE("dch"&amp;$B259&amp;$C259&amp;$D259&amp;$E259&amp;$F259,".","_"),"(","_"),")","")</f>
        <v>dch903,1</v>
      </c>
      <c r="AQ259" s="190">
        <f>W259</f>
        <v>0</v>
      </c>
      <c r="AR259" s="190" t="str">
        <f>SUBSTITUTE(SUBSTITUTE(SUBSTITUTE("dnt"&amp;$B259&amp;$C259&amp;$D259&amp;$E259&amp;$F259,".","_"),"(","_"),")","")</f>
        <v>dnt903,1</v>
      </c>
      <c r="AS259" s="190">
        <f>X259</f>
        <v>0</v>
      </c>
    </row>
    <row r="260" spans="1:45" x14ac:dyDescent="0.2">
      <c r="B260" s="358" t="s">
        <v>3193</v>
      </c>
      <c r="C260" s="14"/>
      <c r="D260" s="14"/>
      <c r="E260" s="14" t="s">
        <v>2181</v>
      </c>
      <c r="F260" s="14"/>
      <c r="G260" s="14"/>
      <c r="H260" s="441"/>
      <c r="I260" s="253"/>
      <c r="J260" s="134" t="s">
        <v>2181</v>
      </c>
      <c r="K260" s="98"/>
      <c r="L260" s="791" t="s">
        <v>3194</v>
      </c>
      <c r="M260" s="800">
        <v>2</v>
      </c>
      <c r="N260" s="98"/>
      <c r="O260" s="607"/>
      <c r="P260" s="64"/>
      <c r="Q260" s="64"/>
      <c r="R260" s="64"/>
      <c r="S260" s="64"/>
      <c r="T260" s="64"/>
      <c r="U260" s="64"/>
      <c r="V260" s="64"/>
      <c r="W260" s="64"/>
      <c r="X260" s="798"/>
      <c r="Y260" s="562"/>
      <c r="Z260" s="562"/>
      <c r="AA260" s="562"/>
      <c r="AB260" s="562"/>
      <c r="AC260" s="562"/>
      <c r="AD260" s="562"/>
      <c r="AE260" s="562"/>
      <c r="AF260" s="562"/>
      <c r="AG260" s="562"/>
      <c r="AH260" s="562"/>
      <c r="AI260" s="562"/>
      <c r="AJ260" s="562"/>
      <c r="AK260" s="562"/>
      <c r="AL260" s="190" t="str">
        <f>SUBSTITUTE(SUBSTITUTE(SUBSTITUTE("dpa"&amp;$B260&amp;$C260&amp;$D260&amp;$E260&amp;$F260,".","_"),"(","_"),")","")</f>
        <v>dpa903_1_1_1</v>
      </c>
      <c r="AM260" s="190">
        <f>M260</f>
        <v>2</v>
      </c>
      <c r="AN260" s="562"/>
      <c r="AO260" s="562"/>
      <c r="AP260" s="562"/>
      <c r="AQ260" s="562"/>
      <c r="AR260" s="562"/>
      <c r="AS260" s="562"/>
    </row>
    <row r="261" spans="1:45" s="120" customFormat="1" x14ac:dyDescent="0.2">
      <c r="A261" s="13"/>
      <c r="B261" s="358" t="s">
        <v>3193</v>
      </c>
      <c r="C261" s="14"/>
      <c r="D261" s="14"/>
      <c r="E261" s="14"/>
      <c r="F261" s="14"/>
      <c r="G261" s="14"/>
      <c r="H261" s="441"/>
      <c r="I261" s="253"/>
      <c r="J261" s="159"/>
      <c r="K261" s="165"/>
      <c r="L261" s="832"/>
      <c r="M261" s="801"/>
      <c r="N261" s="98"/>
      <c r="O261" s="607"/>
      <c r="P261" s="64"/>
      <c r="Q261" s="64"/>
      <c r="R261" s="64"/>
      <c r="S261" s="64"/>
      <c r="T261" s="64"/>
      <c r="U261" s="64"/>
      <c r="V261" s="64"/>
      <c r="W261" s="64"/>
      <c r="X261" s="798"/>
      <c r="Y261" s="562"/>
      <c r="Z261" s="562"/>
      <c r="AA261" s="562"/>
      <c r="AB261" s="562"/>
      <c r="AC261" s="562"/>
      <c r="AD261" s="562"/>
      <c r="AE261" s="562"/>
      <c r="AF261" s="562"/>
      <c r="AG261" s="562"/>
      <c r="AH261" s="562"/>
      <c r="AI261" s="562"/>
      <c r="AJ261" s="562"/>
      <c r="AK261" s="562"/>
      <c r="AL261" s="562"/>
      <c r="AM261" s="562"/>
      <c r="AN261" s="562"/>
      <c r="AO261" s="562"/>
      <c r="AP261" s="562"/>
      <c r="AQ261" s="562"/>
      <c r="AR261" s="562"/>
      <c r="AS261" s="562"/>
    </row>
    <row r="262" spans="1:45" ht="16" thickBot="1" x14ac:dyDescent="0.25">
      <c r="B262" s="358" t="s">
        <v>3195</v>
      </c>
      <c r="C262" s="14"/>
      <c r="D262" s="14"/>
      <c r="E262" s="14" t="s">
        <v>2183</v>
      </c>
      <c r="F262" s="14"/>
      <c r="G262" s="14"/>
      <c r="H262" s="441"/>
      <c r="I262" s="254"/>
      <c r="J262" s="143" t="s">
        <v>2183</v>
      </c>
      <c r="K262" s="185"/>
      <c r="L262" s="626" t="s">
        <v>3196</v>
      </c>
      <c r="M262" s="615">
        <v>5</v>
      </c>
      <c r="N262" s="185"/>
      <c r="O262" s="622"/>
      <c r="P262" s="68"/>
      <c r="Q262" s="68"/>
      <c r="R262" s="68"/>
      <c r="S262" s="68"/>
      <c r="T262" s="68"/>
      <c r="U262" s="68"/>
      <c r="V262" s="68"/>
      <c r="W262" s="68"/>
      <c r="X262" s="799"/>
      <c r="Y262" s="562"/>
      <c r="Z262" s="562"/>
      <c r="AA262" s="562"/>
      <c r="AB262" s="562"/>
      <c r="AC262" s="562"/>
      <c r="AD262" s="562"/>
      <c r="AE262" s="562"/>
      <c r="AF262" s="562"/>
      <c r="AG262" s="562"/>
      <c r="AH262" s="562"/>
      <c r="AI262" s="562"/>
      <c r="AJ262" s="562"/>
      <c r="AK262" s="562"/>
      <c r="AL262" s="190" t="str">
        <f>SUBSTITUTE(SUBSTITUTE(SUBSTITUTE("dpa"&amp;$B262&amp;$C262&amp;$D262&amp;$E262&amp;$F262,".","_"),"(","_"),")","")</f>
        <v>dpa903_1_2_2</v>
      </c>
      <c r="AM262" s="190">
        <f>M262</f>
        <v>5</v>
      </c>
      <c r="AN262" s="562"/>
      <c r="AO262" s="562"/>
      <c r="AP262" s="562"/>
      <c r="AQ262" s="562"/>
      <c r="AR262" s="562"/>
      <c r="AS262" s="562"/>
    </row>
    <row r="263" spans="1:45" ht="16" thickTop="1" x14ac:dyDescent="0.2">
      <c r="B263" s="358">
        <v>903.2</v>
      </c>
      <c r="C263" s="14"/>
      <c r="D263" s="14"/>
      <c r="E263" s="14"/>
      <c r="F263" s="14"/>
      <c r="G263" s="14"/>
      <c r="H263" s="441"/>
      <c r="I263" s="131" t="s">
        <v>3197</v>
      </c>
      <c r="J263" s="132"/>
      <c r="K263" s="132"/>
      <c r="L263" s="646" t="s">
        <v>3198</v>
      </c>
      <c r="M263" s="625"/>
      <c r="N263" s="132"/>
      <c r="O263" s="623">
        <f ca="1">IFERROR(INDEX({1,3},MATCH(W263,INDIRECT(U263),0)),0)*S263</f>
        <v>0</v>
      </c>
      <c r="P263" s="64" t="b">
        <v>1</v>
      </c>
      <c r="Q263" s="64" t="b">
        <v>1</v>
      </c>
      <c r="R263" s="74" t="b">
        <v>0</v>
      </c>
      <c r="S263" s="74" t="b">
        <v>1</v>
      </c>
      <c r="T263" s="74" t="b">
        <v>0</v>
      </c>
      <c r="U263" s="74" t="str">
        <f>SUBSTITUTE(SUBSTITUTE(SUBSTITUTE("dd"&amp;B263&amp;C263&amp;D263&amp;E263&amp;F263,".","_"),"(","_"),")","")</f>
        <v>dd903,2</v>
      </c>
      <c r="V263" s="74"/>
      <c r="W263" s="141"/>
      <c r="X263" s="802"/>
      <c r="Y263" s="562"/>
      <c r="Z263" s="562"/>
      <c r="AA263" s="562"/>
      <c r="AB263" s="562"/>
      <c r="AC263" s="562" t="b">
        <f>OR(AD263:AE263)</f>
        <v>0</v>
      </c>
      <c r="AD263" s="562" t="b">
        <f>T263</f>
        <v>0</v>
      </c>
      <c r="AE263" s="562" t="b">
        <f>AND(R263,OR(W263="Not Met",W263=""))</f>
        <v>0</v>
      </c>
      <c r="AF263" s="562"/>
      <c r="AG263" s="562"/>
      <c r="AH263" s="562"/>
      <c r="AI263" s="562"/>
      <c r="AJ263" s="562"/>
      <c r="AK263" s="562"/>
      <c r="AL263" s="562"/>
      <c r="AM263" s="562"/>
      <c r="AN263" s="190" t="str">
        <f>SUBSTITUTE(SUBSTITUTE(SUBSTITUTE("dpc"&amp;$B263&amp;$C263&amp;$D263&amp;$E263&amp;$F263,".","_"),"(","_"),")","")</f>
        <v>dpc903,2</v>
      </c>
      <c r="AO263" s="190">
        <f ca="1">O263</f>
        <v>0</v>
      </c>
      <c r="AP263" s="190" t="str">
        <f>SUBSTITUTE(SUBSTITUTE(SUBSTITUTE("dch"&amp;$B263&amp;$C263&amp;$D263&amp;$E263&amp;$F263,".","_"),"(","_"),")","")</f>
        <v>dch903,2</v>
      </c>
      <c r="AQ263" s="190">
        <f>W263</f>
        <v>0</v>
      </c>
      <c r="AR263" s="190" t="str">
        <f>SUBSTITUTE(SUBSTITUTE(SUBSTITUTE("dnt"&amp;$B263&amp;$C263&amp;$D263&amp;$E263&amp;$F263,".","_"),"(","_"),")","")</f>
        <v>dnt903,2</v>
      </c>
      <c r="AS263" s="190">
        <f>X263</f>
        <v>0</v>
      </c>
    </row>
    <row r="264" spans="1:45" x14ac:dyDescent="0.2">
      <c r="B264" s="358">
        <v>903.2</v>
      </c>
      <c r="C264" s="14"/>
      <c r="D264" s="14"/>
      <c r="E264" s="14" t="s">
        <v>2181</v>
      </c>
      <c r="F264" s="14"/>
      <c r="G264" s="14"/>
      <c r="H264" s="441"/>
      <c r="I264" s="253"/>
      <c r="J264" s="159" t="s">
        <v>2181</v>
      </c>
      <c r="K264" s="165"/>
      <c r="L264" s="599" t="s">
        <v>3199</v>
      </c>
      <c r="M264" s="611">
        <v>1</v>
      </c>
      <c r="N264" s="98"/>
      <c r="O264" s="607"/>
      <c r="P264" s="64"/>
      <c r="Q264" s="64"/>
      <c r="R264" s="64"/>
      <c r="S264" s="64"/>
      <c r="T264" s="64"/>
      <c r="U264" s="64"/>
      <c r="V264" s="64"/>
      <c r="W264" s="64"/>
      <c r="X264" s="798"/>
      <c r="Y264" s="562"/>
      <c r="Z264" s="562"/>
      <c r="AA264" s="562"/>
      <c r="AB264" s="562"/>
      <c r="AC264" s="562"/>
      <c r="AD264" s="562"/>
      <c r="AE264" s="562"/>
      <c r="AF264" s="562"/>
      <c r="AG264" s="562"/>
      <c r="AH264" s="562"/>
      <c r="AI264" s="562"/>
      <c r="AJ264" s="562"/>
      <c r="AK264" s="562"/>
      <c r="AL264" s="190" t="str">
        <f>SUBSTITUTE(SUBSTITUTE(SUBSTITUTE("dpa"&amp;$B264&amp;$C264&amp;$D264&amp;$E264&amp;$F264,".","_"),"(","_"),")","")</f>
        <v>dpa903,2_1</v>
      </c>
      <c r="AM264" s="190">
        <f>M264</f>
        <v>1</v>
      </c>
      <c r="AN264" s="562"/>
      <c r="AO264" s="562"/>
      <c r="AP264" s="562"/>
      <c r="AQ264" s="562"/>
      <c r="AR264" s="562"/>
      <c r="AS264" s="562"/>
    </row>
    <row r="265" spans="1:45" s="120" customFormat="1" x14ac:dyDescent="0.2">
      <c r="A265" s="13"/>
      <c r="B265" s="358">
        <v>903.2</v>
      </c>
      <c r="C265" s="14"/>
      <c r="D265" s="14"/>
      <c r="E265" s="14" t="s">
        <v>2183</v>
      </c>
      <c r="F265" s="14"/>
      <c r="G265" s="14"/>
      <c r="H265" s="441"/>
      <c r="I265" s="253"/>
      <c r="J265" s="134" t="s">
        <v>2183</v>
      </c>
      <c r="K265" s="98"/>
      <c r="L265" s="791" t="s">
        <v>3200</v>
      </c>
      <c r="M265" s="800">
        <v>3</v>
      </c>
      <c r="N265" s="98"/>
      <c r="O265" s="607"/>
      <c r="P265" s="64"/>
      <c r="Q265" s="64"/>
      <c r="R265" s="64"/>
      <c r="S265" s="64"/>
      <c r="T265" s="64"/>
      <c r="U265" s="64"/>
      <c r="V265" s="64"/>
      <c r="W265" s="64"/>
      <c r="X265" s="798"/>
      <c r="Y265" s="562"/>
      <c r="Z265" s="562"/>
      <c r="AA265" s="562"/>
      <c r="AB265" s="562"/>
      <c r="AC265" s="562"/>
      <c r="AD265" s="562"/>
      <c r="AE265" s="562"/>
      <c r="AF265" s="562"/>
      <c r="AG265" s="562"/>
      <c r="AH265" s="562"/>
      <c r="AI265" s="562"/>
      <c r="AJ265" s="562"/>
      <c r="AK265" s="562"/>
      <c r="AL265" s="190" t="str">
        <f>SUBSTITUTE(SUBSTITUTE(SUBSTITUTE("dpa"&amp;$B265&amp;$C265&amp;$D265&amp;$E265&amp;$F265,".","_"),"(","_"),")","")</f>
        <v>dpa903,2_2</v>
      </c>
      <c r="AM265" s="190">
        <f>M265</f>
        <v>3</v>
      </c>
      <c r="AN265" s="562"/>
      <c r="AO265" s="562"/>
      <c r="AP265" s="562"/>
      <c r="AQ265" s="562"/>
      <c r="AR265" s="562"/>
      <c r="AS265" s="562"/>
    </row>
    <row r="266" spans="1:45" ht="16" thickBot="1" x14ac:dyDescent="0.25">
      <c r="B266" s="358">
        <v>903.2</v>
      </c>
      <c r="C266" s="14"/>
      <c r="D266" s="14"/>
      <c r="E266" s="14"/>
      <c r="F266" s="14"/>
      <c r="G266" s="14"/>
      <c r="H266" s="441"/>
      <c r="I266" s="254"/>
      <c r="J266" s="185"/>
      <c r="K266" s="185"/>
      <c r="L266" s="818"/>
      <c r="M266" s="813"/>
      <c r="N266" s="185"/>
      <c r="O266" s="622"/>
      <c r="P266" s="68"/>
      <c r="Q266" s="68"/>
      <c r="R266" s="68"/>
      <c r="S266" s="68"/>
      <c r="T266" s="68"/>
      <c r="U266" s="68"/>
      <c r="V266" s="68"/>
      <c r="W266" s="68"/>
      <c r="X266" s="799"/>
      <c r="Y266" s="562"/>
      <c r="Z266" s="562"/>
      <c r="AA266" s="562"/>
      <c r="AB266" s="562"/>
      <c r="AC266" s="562"/>
      <c r="AD266" s="562"/>
      <c r="AE266" s="562"/>
      <c r="AF266" s="562"/>
      <c r="AG266" s="562"/>
      <c r="AH266" s="562"/>
      <c r="AI266" s="562"/>
      <c r="AJ266" s="562"/>
      <c r="AK266" s="562"/>
      <c r="AL266" s="562"/>
      <c r="AM266" s="562"/>
      <c r="AN266" s="562"/>
      <c r="AO266" s="562"/>
      <c r="AP266" s="562"/>
      <c r="AQ266" s="562"/>
      <c r="AR266" s="562"/>
      <c r="AS266" s="562"/>
    </row>
    <row r="267" spans="1:45" ht="16" thickTop="1" x14ac:dyDescent="0.2">
      <c r="B267" s="358">
        <v>903.3</v>
      </c>
      <c r="C267" s="14"/>
      <c r="D267" s="14"/>
      <c r="E267" s="14"/>
      <c r="F267" s="14"/>
      <c r="G267" s="14"/>
      <c r="H267" s="441"/>
      <c r="I267" s="40" t="s">
        <v>3201</v>
      </c>
      <c r="J267" s="3"/>
      <c r="K267" s="3"/>
      <c r="L267" s="775" t="s">
        <v>3202</v>
      </c>
      <c r="M267" s="814">
        <v>7</v>
      </c>
      <c r="N267" s="3"/>
      <c r="O267" s="795">
        <f>M267*S269*IFERROR(OR(W269,W270),0)</f>
        <v>0</v>
      </c>
      <c r="P267" s="562"/>
      <c r="Q267" s="562"/>
      <c r="R267" s="562"/>
      <c r="S267" s="562"/>
      <c r="T267" s="562"/>
      <c r="U267" s="562"/>
      <c r="V267" s="562"/>
      <c r="W267" s="562"/>
      <c r="X267" s="786"/>
      <c r="Y267" s="562"/>
      <c r="Z267" s="562"/>
      <c r="AA267" s="562"/>
      <c r="AB267" s="562"/>
      <c r="AC267" s="562"/>
      <c r="AD267" s="562"/>
      <c r="AE267" s="562"/>
      <c r="AF267" s="562"/>
      <c r="AG267" s="562"/>
      <c r="AH267" s="562"/>
      <c r="AI267" s="562"/>
      <c r="AJ267" s="562"/>
      <c r="AK267" s="562"/>
      <c r="AL267" s="190" t="str">
        <f>SUBSTITUTE(SUBSTITUTE(SUBSTITUTE("dpa"&amp;$B267&amp;$C267&amp;$D267&amp;$E267&amp;$F267,".","_"),"(","_"),")","")</f>
        <v>dpa903,3</v>
      </c>
      <c r="AM267" s="190">
        <f>M267</f>
        <v>7</v>
      </c>
      <c r="AN267" s="190" t="str">
        <f>SUBSTITUTE(SUBSTITUTE(SUBSTITUTE("dpc"&amp;$B267&amp;$C267&amp;$D267&amp;$E267&amp;$F267,".","_"),"(","_"),")","")</f>
        <v>dpc903,3</v>
      </c>
      <c r="AO267" s="190">
        <f>O267</f>
        <v>0</v>
      </c>
      <c r="AP267" s="562"/>
      <c r="AQ267" s="562"/>
      <c r="AR267" s="190" t="str">
        <f>SUBSTITUTE(SUBSTITUTE(SUBSTITUTE("dnt"&amp;$B267&amp;$C267&amp;$D267&amp;$E267&amp;$F267,".","_"),"(","_"),")","")</f>
        <v>dnt903,3</v>
      </c>
      <c r="AS267" s="190">
        <f>X267</f>
        <v>0</v>
      </c>
    </row>
    <row r="268" spans="1:45" x14ac:dyDescent="0.2">
      <c r="B268" s="358">
        <v>903.3</v>
      </c>
      <c r="C268" s="14"/>
      <c r="D268" s="14"/>
      <c r="E268" s="14"/>
      <c r="F268" s="14"/>
      <c r="G268" s="14"/>
      <c r="H268" s="441"/>
      <c r="I268" s="121"/>
      <c r="J268" s="3"/>
      <c r="K268" s="3"/>
      <c r="L268" s="775"/>
      <c r="M268" s="814"/>
      <c r="N268" s="3"/>
      <c r="O268" s="795"/>
      <c r="P268" s="562"/>
      <c r="Q268" s="562"/>
      <c r="R268" s="562"/>
      <c r="S268" s="562"/>
      <c r="T268" s="562"/>
      <c r="U268" s="562"/>
      <c r="V268" s="562"/>
      <c r="W268" s="562"/>
      <c r="X268" s="787"/>
      <c r="Y268" s="562"/>
      <c r="Z268" s="562"/>
      <c r="AA268" s="562"/>
      <c r="AB268" s="562"/>
      <c r="AC268" s="562"/>
      <c r="AD268" s="562"/>
      <c r="AE268" s="562"/>
      <c r="AF268" s="562"/>
      <c r="AG268" s="562"/>
      <c r="AH268" s="562"/>
      <c r="AI268" s="562"/>
      <c r="AJ268" s="562"/>
      <c r="AK268" s="562"/>
      <c r="AL268" s="562"/>
      <c r="AM268" s="562"/>
      <c r="AN268" s="562"/>
      <c r="AO268" s="562"/>
      <c r="AP268" s="562"/>
      <c r="AQ268" s="562"/>
      <c r="AR268" s="562"/>
      <c r="AS268" s="562"/>
    </row>
    <row r="269" spans="1:45" x14ac:dyDescent="0.2">
      <c r="B269" s="358">
        <v>903.3</v>
      </c>
      <c r="C269" s="14"/>
      <c r="D269" s="14"/>
      <c r="E269" s="14" t="s">
        <v>2181</v>
      </c>
      <c r="F269" s="14"/>
      <c r="G269" s="14"/>
      <c r="H269" s="441"/>
      <c r="I269" s="121"/>
      <c r="J269" s="159" t="s">
        <v>2181</v>
      </c>
      <c r="K269" s="129"/>
      <c r="L269" s="599" t="s">
        <v>3203</v>
      </c>
      <c r="M269" s="610"/>
      <c r="N269" s="98"/>
      <c r="O269" s="607"/>
      <c r="P269" s="64" t="b">
        <v>0</v>
      </c>
      <c r="Q269" s="64" t="b">
        <v>1</v>
      </c>
      <c r="R269" s="129" t="b">
        <v>0</v>
      </c>
      <c r="S269" s="129" t="b">
        <f>AND(BF16&lt;6,BG16="Moist")</f>
        <v>0</v>
      </c>
      <c r="T269" s="129" t="b">
        <f>AND(NOT(S269),W269=TRUE)</f>
        <v>0</v>
      </c>
      <c r="U269" s="129"/>
      <c r="V269" s="129"/>
      <c r="W269" s="219"/>
      <c r="X269" s="787"/>
      <c r="Y269" s="562"/>
      <c r="Z269" s="562"/>
      <c r="AA269" s="562"/>
      <c r="AB269" s="562"/>
      <c r="AC269" s="562" t="b">
        <f>OR(AD269:AE269)</f>
        <v>0</v>
      </c>
      <c r="AD269" s="562" t="b">
        <f>T269</f>
        <v>0</v>
      </c>
      <c r="AE269" s="562" t="b">
        <f>AND(R269,NOT(W269))</f>
        <v>0</v>
      </c>
      <c r="AF269" s="562"/>
      <c r="AG269" s="562"/>
      <c r="AH269" s="562"/>
      <c r="AI269" s="562"/>
      <c r="AJ269" s="562"/>
      <c r="AK269" s="562"/>
      <c r="AL269" s="562"/>
      <c r="AM269" s="562"/>
      <c r="AN269" s="562"/>
      <c r="AO269" s="562"/>
      <c r="AP269" s="190" t="str">
        <f t="shared" ref="AP269:AP270" si="7">SUBSTITUTE(SUBSTITUTE(SUBSTITUTE("dch"&amp;$B269&amp;$C269&amp;$D269&amp;$E269&amp;$F269,".","_"),"(","_"),")","")</f>
        <v>dch903,3_1</v>
      </c>
      <c r="AQ269" s="190">
        <f>W269</f>
        <v>0</v>
      </c>
      <c r="AR269" s="562"/>
      <c r="AS269" s="562"/>
    </row>
    <row r="270" spans="1:45" x14ac:dyDescent="0.2">
      <c r="B270" s="358">
        <v>903.3</v>
      </c>
      <c r="C270" s="14"/>
      <c r="D270" s="14"/>
      <c r="E270" s="14" t="s">
        <v>2183</v>
      </c>
      <c r="F270" s="14"/>
      <c r="G270" s="14"/>
      <c r="H270" s="441"/>
      <c r="I270" s="121"/>
      <c r="J270" s="20" t="s">
        <v>2183</v>
      </c>
      <c r="K270" s="562"/>
      <c r="L270" s="848" t="s">
        <v>3204</v>
      </c>
      <c r="M270" s="610"/>
      <c r="N270" s="98"/>
      <c r="O270" s="607"/>
      <c r="P270" s="64" t="b">
        <v>0</v>
      </c>
      <c r="Q270" s="64" t="b">
        <v>1</v>
      </c>
      <c r="R270" s="562" t="b">
        <v>0</v>
      </c>
      <c r="S270" s="562" t="b">
        <f>AND(BF16&lt;6,BG16="Moist")</f>
        <v>0</v>
      </c>
      <c r="T270" s="64" t="b">
        <f>AND(NOT(S270),W270=TRUE)</f>
        <v>0</v>
      </c>
      <c r="U270" s="562"/>
      <c r="V270" s="562"/>
      <c r="W270" s="91"/>
      <c r="X270" s="787"/>
      <c r="Y270" s="562"/>
      <c r="Z270" s="562"/>
      <c r="AA270" s="562"/>
      <c r="AB270" s="562"/>
      <c r="AC270" s="562" t="b">
        <f>OR(AD270:AE270)</f>
        <v>0</v>
      </c>
      <c r="AD270" s="562" t="b">
        <f>T270</f>
        <v>0</v>
      </c>
      <c r="AE270" s="562" t="b">
        <f>AND(R270,NOT(W270))</f>
        <v>0</v>
      </c>
      <c r="AF270" s="562"/>
      <c r="AG270" s="562"/>
      <c r="AH270" s="562"/>
      <c r="AI270" s="562"/>
      <c r="AJ270" s="562"/>
      <c r="AK270" s="562"/>
      <c r="AL270" s="562"/>
      <c r="AM270" s="562"/>
      <c r="AN270" s="562"/>
      <c r="AO270" s="562"/>
      <c r="AP270" s="190" t="str">
        <f t="shared" si="7"/>
        <v>dch903,3_2</v>
      </c>
      <c r="AQ270" s="190">
        <f>W270</f>
        <v>0</v>
      </c>
      <c r="AR270" s="562"/>
      <c r="AS270" s="562"/>
    </row>
    <row r="271" spans="1:45" x14ac:dyDescent="0.2">
      <c r="B271" s="358">
        <v>903.3</v>
      </c>
      <c r="C271" s="14"/>
      <c r="D271" s="14"/>
      <c r="E271" s="14" t="s">
        <v>2183</v>
      </c>
      <c r="F271" s="14"/>
      <c r="G271" s="14"/>
      <c r="H271" s="441"/>
      <c r="I271" s="121"/>
      <c r="J271" s="3"/>
      <c r="K271" s="20"/>
      <c r="L271" s="848"/>
      <c r="M271" s="616"/>
      <c r="N271" s="3"/>
      <c r="O271" s="609"/>
      <c r="P271" s="562"/>
      <c r="Q271" s="562"/>
      <c r="R271" s="562"/>
      <c r="S271" s="562"/>
      <c r="T271" s="562"/>
      <c r="U271" s="562"/>
      <c r="V271" s="562"/>
      <c r="W271" s="562"/>
      <c r="X271" s="787"/>
      <c r="Y271" s="562"/>
      <c r="Z271" s="562"/>
      <c r="AA271" s="562"/>
      <c r="AB271" s="562"/>
      <c r="AC271" s="562"/>
      <c r="AD271" s="562"/>
      <c r="AE271" s="562"/>
      <c r="AF271" s="562"/>
      <c r="AG271" s="562"/>
      <c r="AH271" s="562"/>
      <c r="AI271" s="562"/>
      <c r="AJ271" s="562"/>
      <c r="AK271" s="562"/>
      <c r="AL271" s="562"/>
      <c r="AM271" s="562"/>
      <c r="AN271" s="562"/>
      <c r="AO271" s="562"/>
      <c r="AP271" s="562"/>
      <c r="AQ271" s="562"/>
      <c r="AR271" s="562"/>
      <c r="AS271" s="562"/>
    </row>
    <row r="272" spans="1:45" ht="19" x14ac:dyDescent="0.25">
      <c r="B272" s="358">
        <v>904</v>
      </c>
      <c r="C272" s="14"/>
      <c r="D272" s="14"/>
      <c r="E272" s="14"/>
      <c r="F272" s="14"/>
      <c r="G272" s="14"/>
      <c r="H272" s="441"/>
      <c r="I272" s="8" t="s">
        <v>3205</v>
      </c>
      <c r="J272" s="16"/>
      <c r="K272" s="16"/>
      <c r="L272" s="54"/>
      <c r="M272" s="264"/>
      <c r="N272" s="266"/>
      <c r="O272" s="264"/>
      <c r="P272" s="16"/>
      <c r="Q272" s="16"/>
      <c r="R272" s="16"/>
      <c r="S272" s="16"/>
      <c r="T272" s="16"/>
      <c r="U272" s="16"/>
      <c r="V272" s="16"/>
      <c r="W272" s="16"/>
      <c r="X272" s="16"/>
      <c r="Y272" s="562"/>
      <c r="Z272" s="562"/>
      <c r="AA272" s="562"/>
      <c r="AB272" s="562"/>
      <c r="AC272" s="562"/>
      <c r="AD272" s="562"/>
      <c r="AE272" s="562"/>
      <c r="AF272" s="562"/>
      <c r="AG272" s="562"/>
      <c r="AH272" s="562"/>
      <c r="AI272" s="562"/>
      <c r="AJ272" s="562"/>
      <c r="AK272" s="562"/>
      <c r="AL272" s="562"/>
      <c r="AM272" s="562"/>
      <c r="AN272" s="562"/>
      <c r="AO272" s="562"/>
      <c r="AP272" s="562"/>
      <c r="AQ272" s="562"/>
      <c r="AR272" s="562"/>
      <c r="AS272" s="562"/>
    </row>
    <row r="273" spans="2:45" x14ac:dyDescent="0.2">
      <c r="B273" s="358" t="s">
        <v>3206</v>
      </c>
      <c r="C273" s="14"/>
      <c r="D273" s="14"/>
      <c r="E273" s="14"/>
      <c r="F273" s="14"/>
      <c r="G273" s="14"/>
      <c r="H273" s="441"/>
      <c r="I273" s="184" t="s">
        <v>3207</v>
      </c>
      <c r="J273" s="98"/>
      <c r="K273" s="98"/>
      <c r="L273" s="820" t="s">
        <v>3208</v>
      </c>
      <c r="M273" s="610"/>
      <c r="N273" s="98"/>
      <c r="O273" s="607"/>
      <c r="P273" s="64"/>
      <c r="Q273" s="64"/>
      <c r="R273" s="64"/>
      <c r="S273" s="64"/>
      <c r="T273" s="64"/>
      <c r="U273" s="64"/>
      <c r="V273" s="64"/>
      <c r="W273" s="64"/>
      <c r="X273" s="64"/>
      <c r="Y273" s="562"/>
      <c r="Z273" s="562"/>
      <c r="AA273" s="562"/>
      <c r="AB273" s="562"/>
      <c r="AC273" s="562"/>
      <c r="AD273" s="562"/>
      <c r="AE273" s="562"/>
      <c r="AF273" s="562"/>
      <c r="AG273" s="562"/>
      <c r="AH273" s="562"/>
      <c r="AI273" s="562"/>
      <c r="AJ273" s="562"/>
      <c r="AK273" s="562"/>
      <c r="AL273" s="562"/>
      <c r="AM273" s="562"/>
      <c r="AN273" s="562"/>
      <c r="AO273" s="562"/>
      <c r="AP273" s="562"/>
      <c r="AQ273" s="562"/>
      <c r="AR273" s="562"/>
      <c r="AS273" s="562"/>
    </row>
    <row r="274" spans="2:45" ht="16" thickBot="1" x14ac:dyDescent="0.25">
      <c r="B274" s="358" t="s">
        <v>3206</v>
      </c>
      <c r="C274" s="14"/>
      <c r="D274" s="14"/>
      <c r="E274" s="14"/>
      <c r="F274" s="14"/>
      <c r="G274" s="14"/>
      <c r="H274" s="441"/>
      <c r="I274" s="254"/>
      <c r="J274" s="185"/>
      <c r="K274" s="185"/>
      <c r="L274" s="822"/>
      <c r="M274" s="615"/>
      <c r="N274" s="185"/>
      <c r="O274" s="622"/>
      <c r="P274" s="68"/>
      <c r="Q274" s="68"/>
      <c r="R274" s="68"/>
      <c r="S274" s="68"/>
      <c r="T274" s="68"/>
      <c r="U274" s="68"/>
      <c r="V274" s="68"/>
      <c r="W274" s="68"/>
      <c r="X274" s="68"/>
      <c r="Y274" s="562"/>
      <c r="Z274" s="562"/>
      <c r="AA274" s="562"/>
      <c r="AB274" s="562"/>
      <c r="AC274" s="562"/>
      <c r="AD274" s="562"/>
      <c r="AE274" s="562"/>
      <c r="AF274" s="562"/>
      <c r="AG274" s="562"/>
      <c r="AH274" s="562"/>
      <c r="AI274" s="562"/>
      <c r="AJ274" s="562"/>
      <c r="AK274" s="562"/>
      <c r="AL274" s="562"/>
      <c r="AM274" s="562"/>
      <c r="AN274" s="562"/>
      <c r="AO274" s="562"/>
      <c r="AP274" s="562"/>
      <c r="AQ274" s="562"/>
      <c r="AR274" s="562"/>
      <c r="AS274" s="562"/>
    </row>
    <row r="275" spans="2:45" ht="16" thickTop="1" x14ac:dyDescent="0.2">
      <c r="B275" s="358">
        <v>904.1</v>
      </c>
      <c r="C275" s="14"/>
      <c r="D275" s="14"/>
      <c r="E275" s="14"/>
      <c r="F275" s="14"/>
      <c r="G275" s="14"/>
      <c r="H275" s="441"/>
      <c r="I275" s="252" t="s">
        <v>3209</v>
      </c>
      <c r="J275" s="132"/>
      <c r="K275" s="132"/>
      <c r="L275" s="819" t="s">
        <v>3210</v>
      </c>
      <c r="M275" s="827">
        <v>2</v>
      </c>
      <c r="N275" s="132"/>
      <c r="O275" s="823">
        <f>M275*S275*W275</f>
        <v>0</v>
      </c>
      <c r="P275" s="64" t="b">
        <v>1</v>
      </c>
      <c r="Q275" s="64" t="b">
        <v>0</v>
      </c>
      <c r="R275" s="74" t="b">
        <v>0</v>
      </c>
      <c r="S275" s="74" t="b">
        <f>T276</f>
        <v>0</v>
      </c>
      <c r="T275" s="74" t="b">
        <f>AND(NOT(S275),W275=TRUE)</f>
        <v>0</v>
      </c>
      <c r="U275" s="74"/>
      <c r="V275" s="74"/>
      <c r="W275" s="221"/>
      <c r="X275" s="802"/>
      <c r="Y275" s="562"/>
      <c r="Z275" s="562"/>
      <c r="AA275" s="562"/>
      <c r="AB275" s="562"/>
      <c r="AC275" s="562" t="b">
        <f>OR(AD275:AE275)</f>
        <v>0</v>
      </c>
      <c r="AD275" s="562" t="b">
        <f>T275</f>
        <v>0</v>
      </c>
      <c r="AE275" s="562" t="b">
        <f>AND(R275,NOT(W275))</f>
        <v>0</v>
      </c>
      <c r="AF275" s="562"/>
      <c r="AG275" s="562"/>
      <c r="AH275" s="562"/>
      <c r="AI275" s="562"/>
      <c r="AJ275" s="562"/>
      <c r="AK275" s="562"/>
      <c r="AL275" s="190" t="str">
        <f>SUBSTITUTE(SUBSTITUTE(SUBSTITUTE("dpa"&amp;$B275&amp;$C275&amp;$D275&amp;$E275&amp;$F275,".","_"),"(","_"),")","")</f>
        <v>dpa904,1</v>
      </c>
      <c r="AM275" s="190">
        <f>M275</f>
        <v>2</v>
      </c>
      <c r="AN275" s="190" t="str">
        <f>SUBSTITUTE(SUBSTITUTE(SUBSTITUTE("dpc"&amp;$B275&amp;$C275&amp;$D275&amp;$E275&amp;$F275,".","_"),"(","_"),")","")</f>
        <v>dpc904,1</v>
      </c>
      <c r="AO275" s="190">
        <f>O275</f>
        <v>0</v>
      </c>
      <c r="AP275" s="190" t="str">
        <f>SUBSTITUTE(SUBSTITUTE(SUBSTITUTE("dch"&amp;$B275&amp;$C275&amp;$D275&amp;$E275&amp;$F275,".","_"),"(","_"),")","")</f>
        <v>dch904,1</v>
      </c>
      <c r="AQ275" s="190">
        <f>W275</f>
        <v>0</v>
      </c>
      <c r="AR275" s="190" t="str">
        <f>SUBSTITUTE(SUBSTITUTE(SUBSTITUTE("dnt"&amp;$B275&amp;$C275&amp;$D275&amp;$E275&amp;$F275,".","_"),"(","_"),")","")</f>
        <v>dnt904,1</v>
      </c>
      <c r="AS275" s="190">
        <f>X275</f>
        <v>0</v>
      </c>
    </row>
    <row r="276" spans="2:45" x14ac:dyDescent="0.2">
      <c r="B276" s="358">
        <v>904.1</v>
      </c>
      <c r="C276" s="14"/>
      <c r="D276" s="14"/>
      <c r="E276" s="14"/>
      <c r="F276" s="14"/>
      <c r="G276" s="14"/>
      <c r="H276" s="441"/>
      <c r="I276" s="253"/>
      <c r="J276" s="98"/>
      <c r="K276" s="98"/>
      <c r="L276" s="820"/>
      <c r="M276" s="800"/>
      <c r="N276" s="98"/>
      <c r="O276" s="793"/>
      <c r="P276" s="64"/>
      <c r="Q276" s="64"/>
      <c r="R276" s="64"/>
      <c r="S276" s="258" t="s">
        <v>3211</v>
      </c>
      <c r="T276" s="150" t="b">
        <f>'Ch6'!W164=TRUE</f>
        <v>0</v>
      </c>
      <c r="U276" s="64"/>
      <c r="V276" s="64"/>
      <c r="W276" s="64"/>
      <c r="X276" s="798"/>
      <c r="Y276" s="562"/>
      <c r="Z276" s="562"/>
      <c r="AA276" s="562"/>
      <c r="AB276" s="562"/>
      <c r="AC276" s="562"/>
      <c r="AD276" s="562"/>
      <c r="AE276" s="562"/>
      <c r="AF276" s="562"/>
      <c r="AG276" s="562"/>
      <c r="AH276" s="562"/>
      <c r="AI276" s="562"/>
      <c r="AJ276" s="562"/>
      <c r="AK276" s="562"/>
      <c r="AL276" s="562"/>
      <c r="AM276" s="562"/>
      <c r="AN276" s="562"/>
      <c r="AO276" s="562"/>
      <c r="AP276" s="562"/>
      <c r="AQ276" s="562"/>
      <c r="AR276" s="562"/>
      <c r="AS276" s="562"/>
    </row>
    <row r="277" spans="2:45" x14ac:dyDescent="0.2">
      <c r="B277" s="358">
        <v>904.1</v>
      </c>
      <c r="C277" s="14"/>
      <c r="D277" s="14"/>
      <c r="E277" s="14"/>
      <c r="F277" s="14"/>
      <c r="G277" s="14"/>
      <c r="H277" s="441"/>
      <c r="I277" s="253"/>
      <c r="J277" s="98"/>
      <c r="K277" s="98"/>
      <c r="L277" s="820"/>
      <c r="M277" s="800"/>
      <c r="N277" s="98"/>
      <c r="O277" s="793"/>
      <c r="P277" s="64"/>
      <c r="Q277" s="64"/>
      <c r="R277" s="64"/>
      <c r="S277" s="64"/>
      <c r="T277" s="64"/>
      <c r="U277" s="64"/>
      <c r="V277" s="64"/>
      <c r="W277" s="64"/>
      <c r="X277" s="798"/>
      <c r="Y277" s="562"/>
      <c r="Z277" s="562"/>
      <c r="AA277" s="562"/>
      <c r="AB277" s="562"/>
      <c r="AC277" s="562"/>
      <c r="AD277" s="562"/>
      <c r="AE277" s="562"/>
      <c r="AF277" s="562"/>
      <c r="AG277" s="562"/>
      <c r="AH277" s="562"/>
      <c r="AI277" s="562"/>
      <c r="AJ277" s="562"/>
      <c r="AK277" s="562"/>
      <c r="AL277" s="562"/>
      <c r="AM277" s="562"/>
      <c r="AN277" s="562"/>
      <c r="AO277" s="562"/>
      <c r="AP277" s="562"/>
      <c r="AQ277" s="562"/>
      <c r="AR277" s="562"/>
      <c r="AS277" s="562"/>
    </row>
    <row r="278" spans="2:45" x14ac:dyDescent="0.2">
      <c r="B278" s="358">
        <v>904.1</v>
      </c>
      <c r="C278" s="14"/>
      <c r="D278" s="14"/>
      <c r="E278" s="14"/>
      <c r="F278" s="14"/>
      <c r="G278" s="14"/>
      <c r="H278" s="441"/>
      <c r="I278" s="253"/>
      <c r="J278" s="98"/>
      <c r="K278" s="98"/>
      <c r="L278" s="820"/>
      <c r="M278" s="800"/>
      <c r="N278" s="98"/>
      <c r="O278" s="793"/>
      <c r="P278" s="64"/>
      <c r="Q278" s="64"/>
      <c r="R278" s="64"/>
      <c r="S278" s="64"/>
      <c r="T278" s="64"/>
      <c r="U278" s="64"/>
      <c r="V278" s="64"/>
      <c r="W278" s="64"/>
      <c r="X278" s="798"/>
      <c r="Y278" s="562"/>
      <c r="Z278" s="562"/>
      <c r="AA278" s="562"/>
      <c r="AB278" s="562"/>
      <c r="AC278" s="562"/>
      <c r="AD278" s="562"/>
      <c r="AE278" s="562"/>
      <c r="AF278" s="562"/>
      <c r="AG278" s="562"/>
      <c r="AH278" s="562"/>
      <c r="AI278" s="562"/>
      <c r="AJ278" s="562"/>
      <c r="AK278" s="562"/>
      <c r="AL278" s="562"/>
      <c r="AM278" s="562"/>
      <c r="AN278" s="562"/>
      <c r="AO278" s="562"/>
      <c r="AP278" s="562"/>
      <c r="AQ278" s="562"/>
      <c r="AR278" s="562"/>
      <c r="AS278" s="562"/>
    </row>
    <row r="279" spans="2:45" ht="16" thickBot="1" x14ac:dyDescent="0.25">
      <c r="B279" s="358">
        <v>904.1</v>
      </c>
      <c r="C279" s="14"/>
      <c r="D279" s="14"/>
      <c r="E279" s="14"/>
      <c r="F279" s="14"/>
      <c r="G279" s="14"/>
      <c r="H279" s="441"/>
      <c r="I279" s="254"/>
      <c r="J279" s="185"/>
      <c r="K279" s="185"/>
      <c r="L279" s="822"/>
      <c r="M279" s="813"/>
      <c r="N279" s="185"/>
      <c r="O279" s="821"/>
      <c r="P279" s="68"/>
      <c r="Q279" s="68"/>
      <c r="R279" s="68"/>
      <c r="S279" s="68"/>
      <c r="T279" s="68"/>
      <c r="U279" s="68"/>
      <c r="V279" s="68"/>
      <c r="W279" s="68"/>
      <c r="X279" s="799"/>
      <c r="Y279" s="562"/>
      <c r="Z279" s="562"/>
      <c r="AA279" s="562"/>
      <c r="AB279" s="562"/>
      <c r="AC279" s="562"/>
      <c r="AD279" s="562"/>
      <c r="AE279" s="562"/>
      <c r="AF279" s="562"/>
      <c r="AG279" s="562"/>
      <c r="AH279" s="562"/>
      <c r="AI279" s="562"/>
      <c r="AJ279" s="562"/>
      <c r="AK279" s="562"/>
      <c r="AL279" s="562"/>
      <c r="AM279" s="562"/>
      <c r="AN279" s="562"/>
      <c r="AO279" s="562"/>
      <c r="AP279" s="562"/>
      <c r="AQ279" s="562"/>
      <c r="AR279" s="562"/>
      <c r="AS279" s="562"/>
    </row>
    <row r="280" spans="2:45" ht="16" thickTop="1" x14ac:dyDescent="0.2">
      <c r="B280" s="358">
        <v>904.2</v>
      </c>
      <c r="C280" s="14"/>
      <c r="D280" s="14"/>
      <c r="E280" s="14"/>
      <c r="F280" s="14"/>
      <c r="G280" s="14"/>
      <c r="H280" s="441"/>
      <c r="I280" s="40" t="s">
        <v>3212</v>
      </c>
      <c r="J280" s="3"/>
      <c r="K280" s="3"/>
      <c r="L280" s="775" t="s">
        <v>3213</v>
      </c>
      <c r="M280" s="814">
        <v>3</v>
      </c>
      <c r="N280" s="3"/>
      <c r="O280" s="795">
        <f>M280*S280*W280</f>
        <v>0</v>
      </c>
      <c r="P280" s="64" t="b">
        <v>0</v>
      </c>
      <c r="Q280" s="64" t="b">
        <v>1</v>
      </c>
      <c r="R280" s="562" t="b">
        <v>0</v>
      </c>
      <c r="S280" s="562" t="b">
        <f>T276</f>
        <v>0</v>
      </c>
      <c r="T280" s="64" t="b">
        <f>AND(NOT(S280),W280=TRUE)</f>
        <v>0</v>
      </c>
      <c r="U280" s="562"/>
      <c r="V280" s="562"/>
      <c r="W280" s="91"/>
      <c r="X280" s="786"/>
      <c r="Y280" s="562"/>
      <c r="Z280" s="562"/>
      <c r="AA280" s="562"/>
      <c r="AB280" s="562"/>
      <c r="AC280" s="562" t="b">
        <f>OR(AD280:AE280)</f>
        <v>0</v>
      </c>
      <c r="AD280" s="562" t="b">
        <f>T280</f>
        <v>0</v>
      </c>
      <c r="AE280" s="562" t="b">
        <f>AND(R280,NOT(W280))</f>
        <v>0</v>
      </c>
      <c r="AF280" s="562"/>
      <c r="AG280" s="562"/>
      <c r="AH280" s="562"/>
      <c r="AI280" s="562"/>
      <c r="AJ280" s="562"/>
      <c r="AK280" s="562"/>
      <c r="AL280" s="190" t="str">
        <f>SUBSTITUTE(SUBSTITUTE(SUBSTITUTE("dpa"&amp;$B280&amp;$C280&amp;$D280&amp;$E280&amp;$F280,".","_"),"(","_"),")","")</f>
        <v>dpa904,2</v>
      </c>
      <c r="AM280" s="190">
        <f>M280</f>
        <v>3</v>
      </c>
      <c r="AN280" s="190" t="str">
        <f>SUBSTITUTE(SUBSTITUTE(SUBSTITUTE("dpc"&amp;$B280&amp;$C280&amp;$D280&amp;$E280&amp;$F280,".","_"),"(","_"),")","")</f>
        <v>dpc904,2</v>
      </c>
      <c r="AO280" s="190">
        <f>O280</f>
        <v>0</v>
      </c>
      <c r="AP280" s="190" t="str">
        <f>SUBSTITUTE(SUBSTITUTE(SUBSTITUTE("dch"&amp;$B280&amp;$C280&amp;$D280&amp;$E280&amp;$F280,".","_"),"(","_"),")","")</f>
        <v>dch904,2</v>
      </c>
      <c r="AQ280" s="190">
        <f>W280</f>
        <v>0</v>
      </c>
      <c r="AR280" s="190" t="str">
        <f>SUBSTITUTE(SUBSTITUTE(SUBSTITUTE("dnt"&amp;$B280&amp;$C280&amp;$D280&amp;$E280&amp;$F280,".","_"),"(","_"),")","")</f>
        <v>dnt904,2</v>
      </c>
      <c r="AS280" s="190">
        <f>X280</f>
        <v>0</v>
      </c>
    </row>
    <row r="281" spans="2:45" x14ac:dyDescent="0.2">
      <c r="B281" s="358">
        <v>904.2</v>
      </c>
      <c r="C281" s="14"/>
      <c r="D281" s="14"/>
      <c r="E281" s="14"/>
      <c r="F281" s="14"/>
      <c r="G281" s="14"/>
      <c r="H281" s="441"/>
      <c r="I281" s="121"/>
      <c r="J281" s="3"/>
      <c r="K281" s="3"/>
      <c r="L281" s="775"/>
      <c r="M281" s="814"/>
      <c r="N281" s="3"/>
      <c r="O281" s="795"/>
      <c r="P281" s="562"/>
      <c r="Q281" s="562"/>
      <c r="R281" s="562"/>
      <c r="S281" s="562"/>
      <c r="T281" s="562"/>
      <c r="U281" s="562"/>
      <c r="V281" s="562"/>
      <c r="W281" s="562"/>
      <c r="X281" s="787"/>
      <c r="Y281" s="562"/>
      <c r="Z281" s="562"/>
      <c r="AA281" s="562"/>
      <c r="AB281" s="562"/>
      <c r="AC281" s="562"/>
      <c r="AD281" s="562"/>
      <c r="AE281" s="562"/>
      <c r="AF281" s="562"/>
      <c r="AG281" s="562"/>
      <c r="AH281" s="562"/>
      <c r="AI281" s="562"/>
      <c r="AJ281" s="562"/>
      <c r="AK281" s="562"/>
      <c r="AL281" s="562"/>
      <c r="AM281" s="562"/>
      <c r="AN281" s="562"/>
      <c r="AO281" s="562"/>
      <c r="AP281" s="562"/>
      <c r="AQ281" s="562"/>
      <c r="AR281" s="562"/>
      <c r="AS281" s="562"/>
    </row>
    <row r="282" spans="2:45" x14ac:dyDescent="0.2">
      <c r="B282" s="358">
        <v>904.2</v>
      </c>
      <c r="C282" s="14"/>
      <c r="D282" s="14"/>
      <c r="E282" s="14"/>
      <c r="F282" s="14"/>
      <c r="G282" s="14"/>
      <c r="H282" s="441"/>
      <c r="I282" s="121"/>
      <c r="J282" s="3"/>
      <c r="K282" s="3"/>
      <c r="L282" s="775"/>
      <c r="M282" s="814"/>
      <c r="N282" s="3"/>
      <c r="O282" s="795"/>
      <c r="P282" s="562"/>
      <c r="Q282" s="562"/>
      <c r="R282" s="562"/>
      <c r="S282" s="562"/>
      <c r="T282" s="562"/>
      <c r="U282" s="562"/>
      <c r="V282" s="562"/>
      <c r="W282" s="562"/>
      <c r="X282" s="787"/>
      <c r="Y282" s="562"/>
      <c r="Z282" s="562"/>
      <c r="AA282" s="562"/>
      <c r="AB282" s="562"/>
      <c r="AC282" s="562"/>
      <c r="AD282" s="562"/>
      <c r="AE282" s="562"/>
      <c r="AF282" s="562"/>
      <c r="AG282" s="562"/>
      <c r="AH282" s="562"/>
      <c r="AI282" s="562"/>
      <c r="AJ282" s="562"/>
      <c r="AK282" s="562"/>
      <c r="AL282" s="562"/>
      <c r="AM282" s="562"/>
      <c r="AN282" s="562"/>
      <c r="AO282" s="562"/>
      <c r="AP282" s="562"/>
      <c r="AQ282" s="562"/>
      <c r="AR282" s="562"/>
      <c r="AS282" s="562"/>
    </row>
    <row r="283" spans="2:45" ht="19" x14ac:dyDescent="0.25">
      <c r="B283" s="358">
        <v>905</v>
      </c>
      <c r="C283" s="14"/>
      <c r="D283" s="14"/>
      <c r="E283" s="14"/>
      <c r="F283" s="14"/>
      <c r="G283" s="14"/>
      <c r="H283" s="441"/>
      <c r="I283" s="8" t="s">
        <v>3214</v>
      </c>
      <c r="J283" s="16"/>
      <c r="K283" s="16"/>
      <c r="L283" s="54"/>
      <c r="M283" s="264"/>
      <c r="N283" s="266"/>
      <c r="O283" s="264"/>
      <c r="P283" s="16"/>
      <c r="Q283" s="16"/>
      <c r="R283" s="16"/>
      <c r="S283" s="16"/>
      <c r="T283" s="16"/>
      <c r="U283" s="16"/>
      <c r="V283" s="16"/>
      <c r="W283" s="16"/>
      <c r="X283" s="16"/>
      <c r="Y283" s="562"/>
      <c r="Z283" s="562"/>
      <c r="AA283" s="562"/>
      <c r="AB283" s="562"/>
      <c r="AC283" s="562"/>
      <c r="AD283" s="562"/>
      <c r="AE283" s="562"/>
      <c r="AF283" s="562"/>
      <c r="AG283" s="562"/>
      <c r="AH283" s="562"/>
      <c r="AI283" s="562"/>
      <c r="AJ283" s="562"/>
      <c r="AK283" s="562"/>
      <c r="AL283" s="562"/>
      <c r="AM283" s="562"/>
      <c r="AN283" s="562"/>
      <c r="AO283" s="562"/>
      <c r="AP283" s="562"/>
      <c r="AQ283" s="562"/>
      <c r="AR283" s="562"/>
      <c r="AS283" s="562"/>
    </row>
    <row r="284" spans="2:45" x14ac:dyDescent="0.2">
      <c r="B284" s="358">
        <v>905.1</v>
      </c>
      <c r="C284" s="14"/>
      <c r="D284" s="14"/>
      <c r="E284" s="14"/>
      <c r="F284" s="14"/>
      <c r="G284" s="14"/>
      <c r="H284" s="441"/>
      <c r="I284" s="99" t="s">
        <v>3215</v>
      </c>
      <c r="J284" s="98"/>
      <c r="K284" s="98"/>
      <c r="L284" s="820" t="s">
        <v>3216</v>
      </c>
      <c r="M284" s="800">
        <v>2</v>
      </c>
      <c r="N284" s="98"/>
      <c r="O284" s="793">
        <f>M284*S284*W284</f>
        <v>0</v>
      </c>
      <c r="P284" s="64" t="b">
        <v>0</v>
      </c>
      <c r="Q284" s="64" t="b">
        <v>1</v>
      </c>
      <c r="R284" s="64" t="b">
        <v>0</v>
      </c>
      <c r="S284" s="64" t="b">
        <v>1</v>
      </c>
      <c r="T284" s="64" t="b">
        <v>0</v>
      </c>
      <c r="U284" s="64"/>
      <c r="V284" s="64"/>
      <c r="W284" s="219"/>
      <c r="X284" s="798"/>
      <c r="Y284" s="562"/>
      <c r="Z284" s="562"/>
      <c r="AA284" s="562"/>
      <c r="AB284" s="562"/>
      <c r="AC284" s="562" t="b">
        <f>OR(AD284:AE284)</f>
        <v>0</v>
      </c>
      <c r="AD284" s="562" t="b">
        <f>T284</f>
        <v>0</v>
      </c>
      <c r="AE284" s="562" t="b">
        <f>AND(R284,NOT(W284))</f>
        <v>0</v>
      </c>
      <c r="AF284" s="562"/>
      <c r="AG284" s="562"/>
      <c r="AH284" s="562"/>
      <c r="AI284" s="562"/>
      <c r="AJ284" s="562"/>
      <c r="AK284" s="562"/>
      <c r="AL284" s="190" t="str">
        <f>SUBSTITUTE(SUBSTITUTE(SUBSTITUTE("dpa"&amp;$B284&amp;$C284&amp;$D284&amp;$E284&amp;$F284,".","_"),"(","_"),")","")</f>
        <v>dpa905,1</v>
      </c>
      <c r="AM284" s="190">
        <f>M284</f>
        <v>2</v>
      </c>
      <c r="AN284" s="190" t="str">
        <f>SUBSTITUTE(SUBSTITUTE(SUBSTITUTE("dpc"&amp;$B284&amp;$C284&amp;$D284&amp;$E284&amp;$F284,".","_"),"(","_"),")","")</f>
        <v>dpc905,1</v>
      </c>
      <c r="AO284" s="190">
        <f>O284</f>
        <v>0</v>
      </c>
      <c r="AP284" s="190" t="str">
        <f>SUBSTITUTE(SUBSTITUTE(SUBSTITUTE("dch"&amp;$B284&amp;$C284&amp;$D284&amp;$E284&amp;$F284,".","_"),"(","_"),")","")</f>
        <v>dch905,1</v>
      </c>
      <c r="AQ284" s="190">
        <f>W284</f>
        <v>0</v>
      </c>
      <c r="AR284" s="190" t="str">
        <f>SUBSTITUTE(SUBSTITUTE(SUBSTITUTE("dnt"&amp;$B284&amp;$C284&amp;$D284&amp;$E284&amp;$F284,".","_"),"(","_"),")","")</f>
        <v>dnt905,1</v>
      </c>
      <c r="AS284" s="190">
        <f>X284</f>
        <v>0</v>
      </c>
    </row>
    <row r="285" spans="2:45" x14ac:dyDescent="0.2">
      <c r="B285" s="358">
        <v>905.1</v>
      </c>
      <c r="C285" s="14"/>
      <c r="D285" s="14"/>
      <c r="E285" s="14"/>
      <c r="F285" s="14"/>
      <c r="G285" s="14"/>
      <c r="H285" s="441"/>
      <c r="I285" s="253"/>
      <c r="J285" s="98"/>
      <c r="K285" s="98"/>
      <c r="L285" s="820"/>
      <c r="M285" s="800"/>
      <c r="N285" s="98"/>
      <c r="O285" s="793"/>
      <c r="P285" s="64"/>
      <c r="Q285" s="64"/>
      <c r="R285" s="64"/>
      <c r="S285" s="64"/>
      <c r="T285" s="64"/>
      <c r="U285" s="64"/>
      <c r="V285" s="64"/>
      <c r="W285" s="64"/>
      <c r="X285" s="798"/>
      <c r="Y285" s="562"/>
      <c r="Z285" s="562"/>
      <c r="AA285" s="562"/>
      <c r="AB285" s="562"/>
      <c r="AC285" s="562"/>
      <c r="AD285" s="562"/>
      <c r="AE285" s="562"/>
      <c r="AF285" s="562"/>
      <c r="AG285" s="562"/>
      <c r="AH285" s="562"/>
      <c r="AI285" s="562"/>
      <c r="AJ285" s="562"/>
      <c r="AK285" s="562"/>
      <c r="AL285" s="562"/>
      <c r="AM285" s="562"/>
      <c r="AN285" s="562"/>
      <c r="AO285" s="562"/>
      <c r="AP285" s="562"/>
      <c r="AQ285" s="562"/>
      <c r="AR285" s="562"/>
      <c r="AS285" s="562"/>
    </row>
    <row r="286" spans="2:45" x14ac:dyDescent="0.2">
      <c r="B286" s="358">
        <v>905.1</v>
      </c>
      <c r="C286" s="14"/>
      <c r="D286" s="14"/>
      <c r="E286" s="14"/>
      <c r="F286" s="14"/>
      <c r="G286" s="14"/>
      <c r="H286" s="441"/>
      <c r="I286" s="253"/>
      <c r="J286" s="98"/>
      <c r="K286" s="98"/>
      <c r="L286" s="820"/>
      <c r="M286" s="800"/>
      <c r="N286" s="98"/>
      <c r="O286" s="793"/>
      <c r="P286" s="64"/>
      <c r="Q286" s="64"/>
      <c r="R286" s="64"/>
      <c r="S286" s="64"/>
      <c r="T286" s="64"/>
      <c r="U286" s="64"/>
      <c r="V286" s="64"/>
      <c r="W286" s="64"/>
      <c r="X286" s="798"/>
      <c r="Y286" s="562"/>
      <c r="Z286" s="562"/>
      <c r="AA286" s="562"/>
      <c r="AB286" s="562"/>
      <c r="AC286" s="562"/>
      <c r="AD286" s="562"/>
      <c r="AE286" s="562"/>
      <c r="AF286" s="562"/>
      <c r="AG286" s="562"/>
      <c r="AH286" s="562"/>
      <c r="AI286" s="562"/>
      <c r="AJ286" s="562"/>
      <c r="AK286" s="562"/>
      <c r="AL286" s="562"/>
      <c r="AM286" s="562"/>
      <c r="AN286" s="562"/>
      <c r="AO286" s="562"/>
      <c r="AP286" s="562"/>
      <c r="AQ286" s="562"/>
      <c r="AR286" s="562"/>
      <c r="AS286" s="562"/>
    </row>
    <row r="287" spans="2:45" x14ac:dyDescent="0.2">
      <c r="B287" s="358">
        <v>905.1</v>
      </c>
      <c r="C287" s="14"/>
      <c r="D287" s="14"/>
      <c r="E287" s="14"/>
      <c r="F287" s="14"/>
      <c r="G287" s="14"/>
      <c r="H287" s="441"/>
      <c r="I287" s="253"/>
      <c r="J287" s="98"/>
      <c r="K287" s="98"/>
      <c r="L287" s="820"/>
      <c r="M287" s="800"/>
      <c r="N287" s="98"/>
      <c r="O287" s="793"/>
      <c r="P287" s="64"/>
      <c r="Q287" s="64"/>
      <c r="R287" s="64"/>
      <c r="S287" s="64"/>
      <c r="T287" s="64"/>
      <c r="U287" s="64"/>
      <c r="V287" s="64"/>
      <c r="W287" s="64"/>
      <c r="X287" s="798"/>
      <c r="Y287" s="562"/>
      <c r="Z287" s="562"/>
      <c r="AA287" s="562"/>
      <c r="AB287" s="562"/>
      <c r="AC287" s="562"/>
      <c r="AD287" s="562"/>
      <c r="AE287" s="562"/>
      <c r="AF287" s="562"/>
      <c r="AG287" s="562"/>
      <c r="AH287" s="562"/>
      <c r="AI287" s="562"/>
      <c r="AJ287" s="562"/>
      <c r="AK287" s="562"/>
      <c r="AL287" s="562"/>
      <c r="AM287" s="562"/>
      <c r="AN287" s="562"/>
      <c r="AO287" s="562"/>
      <c r="AP287" s="562"/>
      <c r="AQ287" s="562"/>
      <c r="AR287" s="562"/>
      <c r="AS287" s="562"/>
    </row>
    <row r="288" spans="2:45" ht="16" thickBot="1" x14ac:dyDescent="0.25">
      <c r="B288" s="358">
        <v>905.1</v>
      </c>
      <c r="C288" s="14"/>
      <c r="D288" s="14"/>
      <c r="E288" s="14"/>
      <c r="F288" s="14"/>
      <c r="G288" s="14"/>
      <c r="H288" s="441"/>
      <c r="I288" s="254"/>
      <c r="J288" s="185"/>
      <c r="K288" s="185"/>
      <c r="L288" s="822"/>
      <c r="M288" s="813"/>
      <c r="N288" s="185"/>
      <c r="O288" s="821"/>
      <c r="P288" s="68"/>
      <c r="Q288" s="68"/>
      <c r="R288" s="68"/>
      <c r="S288" s="68"/>
      <c r="T288" s="68"/>
      <c r="U288" s="68"/>
      <c r="V288" s="68"/>
      <c r="W288" s="68"/>
      <c r="X288" s="799"/>
      <c r="Y288" s="562"/>
      <c r="Z288" s="562"/>
      <c r="AA288" s="562"/>
      <c r="AB288" s="562"/>
      <c r="AC288" s="562"/>
      <c r="AD288" s="562"/>
      <c r="AE288" s="562"/>
      <c r="AF288" s="562"/>
      <c r="AG288" s="562"/>
      <c r="AH288" s="562"/>
      <c r="AI288" s="562"/>
      <c r="AJ288" s="562"/>
      <c r="AK288" s="562"/>
      <c r="AL288" s="562"/>
      <c r="AM288" s="562"/>
      <c r="AN288" s="562"/>
      <c r="AO288" s="562"/>
      <c r="AP288" s="562"/>
      <c r="AQ288" s="562"/>
      <c r="AR288" s="562"/>
      <c r="AS288" s="562"/>
    </row>
    <row r="289" spans="1:45" ht="16" thickTop="1" x14ac:dyDescent="0.2">
      <c r="B289" s="358">
        <v>905.2</v>
      </c>
      <c r="C289" s="14"/>
      <c r="D289" s="14"/>
      <c r="E289" s="14"/>
      <c r="F289" s="14"/>
      <c r="G289" s="14"/>
      <c r="H289" s="441"/>
      <c r="I289" s="40" t="s">
        <v>3217</v>
      </c>
      <c r="J289" s="3"/>
      <c r="K289" s="3"/>
      <c r="L289" s="775" t="s">
        <v>3218</v>
      </c>
      <c r="M289" s="814">
        <v>2</v>
      </c>
      <c r="N289" s="3"/>
      <c r="O289" s="795">
        <f>M289*S289*W289</f>
        <v>0</v>
      </c>
      <c r="P289" s="64" t="b">
        <v>0</v>
      </c>
      <c r="Q289" s="64" t="b">
        <v>1</v>
      </c>
      <c r="R289" s="562" t="b">
        <v>0</v>
      </c>
      <c r="S289" s="562" t="b">
        <v>1</v>
      </c>
      <c r="T289" s="562" t="b">
        <v>0</v>
      </c>
      <c r="U289" s="562"/>
      <c r="V289" s="562"/>
      <c r="W289" s="91"/>
      <c r="X289" s="786"/>
      <c r="Y289" s="562"/>
      <c r="Z289" s="562"/>
      <c r="AA289" s="562"/>
      <c r="AB289" s="562"/>
      <c r="AC289" s="562" t="b">
        <f>OR(AD289:AE289)</f>
        <v>0</v>
      </c>
      <c r="AD289" s="562" t="b">
        <f>T289</f>
        <v>0</v>
      </c>
      <c r="AE289" s="562" t="b">
        <f>AND(R289,NOT(W289))</f>
        <v>0</v>
      </c>
      <c r="AF289" s="562"/>
      <c r="AG289" s="562"/>
      <c r="AH289" s="562"/>
      <c r="AI289" s="562"/>
      <c r="AJ289" s="562"/>
      <c r="AK289" s="562"/>
      <c r="AL289" s="190" t="str">
        <f>SUBSTITUTE(SUBSTITUTE(SUBSTITUTE("dpa"&amp;$B289&amp;$C289&amp;$D289&amp;$E289&amp;$F289,".","_"),"(","_"),")","")</f>
        <v>dpa905,2</v>
      </c>
      <c r="AM289" s="190">
        <f>M289</f>
        <v>2</v>
      </c>
      <c r="AN289" s="190" t="str">
        <f>SUBSTITUTE(SUBSTITUTE(SUBSTITUTE("dpc"&amp;$B289&amp;$C289&amp;$D289&amp;$E289&amp;$F289,".","_"),"(","_"),")","")</f>
        <v>dpc905,2</v>
      </c>
      <c r="AO289" s="190">
        <f>O289</f>
        <v>0</v>
      </c>
      <c r="AP289" s="190" t="str">
        <f>SUBSTITUTE(SUBSTITUTE(SUBSTITUTE("dch"&amp;$B289&amp;$C289&amp;$D289&amp;$E289&amp;$F289,".","_"),"(","_"),")","")</f>
        <v>dch905,2</v>
      </c>
      <c r="AQ289" s="190">
        <f>W289</f>
        <v>0</v>
      </c>
      <c r="AR289" s="190" t="str">
        <f>SUBSTITUTE(SUBSTITUTE(SUBSTITUTE("dnt"&amp;$B289&amp;$C289&amp;$D289&amp;$E289&amp;$F289,".","_"),"(","_"),")","")</f>
        <v>dnt905,2</v>
      </c>
      <c r="AS289" s="190">
        <f>X289</f>
        <v>0</v>
      </c>
    </row>
    <row r="290" spans="1:45" ht="16" thickBot="1" x14ac:dyDescent="0.25">
      <c r="B290" s="358">
        <v>905.2</v>
      </c>
      <c r="C290" s="14"/>
      <c r="D290" s="14"/>
      <c r="E290" s="14"/>
      <c r="F290" s="14"/>
      <c r="G290" s="14"/>
      <c r="H290" s="441"/>
      <c r="I290" s="121"/>
      <c r="J290" s="3"/>
      <c r="K290" s="3"/>
      <c r="L290" s="775"/>
      <c r="M290" s="814"/>
      <c r="N290" s="3"/>
      <c r="O290" s="795"/>
      <c r="P290" s="562"/>
      <c r="Q290" s="562"/>
      <c r="R290" s="562"/>
      <c r="S290" s="562"/>
      <c r="T290" s="562"/>
      <c r="U290" s="562"/>
      <c r="V290" s="562"/>
      <c r="W290" s="562"/>
      <c r="X290" s="787"/>
      <c r="Y290" s="562"/>
      <c r="Z290" s="562"/>
      <c r="AA290" s="562"/>
      <c r="AB290" s="562"/>
      <c r="AC290" s="562"/>
      <c r="AD290" s="562"/>
      <c r="AE290" s="562"/>
      <c r="AF290" s="562"/>
      <c r="AG290" s="562"/>
      <c r="AH290" s="562"/>
      <c r="AI290" s="562"/>
      <c r="AJ290" s="562"/>
      <c r="AK290" s="562"/>
      <c r="AL290" s="562"/>
      <c r="AM290" s="562"/>
      <c r="AN290" s="562"/>
      <c r="AO290" s="562"/>
      <c r="AP290" s="562"/>
      <c r="AQ290" s="562"/>
      <c r="AR290" s="562"/>
      <c r="AS290" s="562"/>
    </row>
    <row r="291" spans="1:45" s="247" customFormat="1" ht="17" thickTop="1" thickBot="1" x14ac:dyDescent="0.25">
      <c r="A291" s="13"/>
      <c r="B291" s="13"/>
      <c r="C291" s="13"/>
      <c r="D291" s="13"/>
      <c r="E291" s="13"/>
      <c r="F291" s="13"/>
      <c r="G291" s="13"/>
      <c r="H291" s="13"/>
      <c r="I291" s="154" t="s">
        <v>3219</v>
      </c>
      <c r="J291" s="155"/>
      <c r="K291" s="155"/>
      <c r="L291" s="155"/>
      <c r="M291" s="156"/>
      <c r="N291" s="155"/>
      <c r="O291" s="157"/>
      <c r="P291" s="155"/>
      <c r="Q291" s="155"/>
      <c r="R291" s="155"/>
      <c r="S291" s="155"/>
      <c r="T291" s="155"/>
      <c r="U291" s="155"/>
      <c r="V291" s="155"/>
      <c r="W291" s="155"/>
      <c r="X291" s="194" t="s">
        <v>3220</v>
      </c>
      <c r="Y291" s="562"/>
      <c r="Z291" s="562"/>
      <c r="AA291" s="562"/>
      <c r="AB291" s="562"/>
      <c r="AC291" s="562"/>
      <c r="AD291" s="562"/>
      <c r="AE291" s="562"/>
      <c r="AF291" s="562"/>
      <c r="AG291" s="562"/>
      <c r="AH291" s="562"/>
      <c r="AI291" s="562"/>
      <c r="AJ291" s="562"/>
      <c r="AK291" s="562"/>
      <c r="AL291" s="562"/>
      <c r="AM291" s="562"/>
      <c r="AN291" s="562"/>
      <c r="AO291" s="562"/>
      <c r="AP291" s="562"/>
      <c r="AQ291" s="562"/>
      <c r="AR291" s="562"/>
      <c r="AS291" s="562"/>
    </row>
    <row r="292" spans="1:45" ht="16" thickTop="1" x14ac:dyDescent="0.2">
      <c r="I292" s="562"/>
      <c r="J292" s="562"/>
      <c r="K292" s="562"/>
      <c r="L292" s="562"/>
      <c r="N292" s="562"/>
      <c r="O292" s="562"/>
      <c r="P292" s="562"/>
      <c r="Q292" s="562"/>
      <c r="R292" s="562"/>
      <c r="S292" s="562"/>
      <c r="T292" s="562"/>
      <c r="U292" s="562"/>
      <c r="V292" s="562"/>
      <c r="W292" s="562"/>
      <c r="X292" s="562"/>
      <c r="Y292" s="562"/>
      <c r="Z292" s="562"/>
      <c r="AA292" s="562"/>
      <c r="AB292" s="562"/>
      <c r="AC292" s="562"/>
      <c r="AD292" s="562"/>
      <c r="AE292" s="562"/>
      <c r="AF292" s="562"/>
      <c r="AG292" s="562"/>
      <c r="AH292" s="562"/>
      <c r="AI292" s="562"/>
      <c r="AJ292" s="562"/>
      <c r="AK292" s="562"/>
      <c r="AL292" s="562"/>
      <c r="AM292" s="562"/>
      <c r="AN292" s="562"/>
      <c r="AO292" s="562"/>
      <c r="AP292" s="562"/>
      <c r="AQ292" s="562"/>
      <c r="AR292" s="562"/>
      <c r="AS292" s="562"/>
    </row>
  </sheetData>
  <sheetProtection algorithmName="SHA-512" hashValue="4yGREAdix3nQwxFqQ9gRs8UIY5OOb92Z3wouQF0pfKhGlWij4kjN7r6skvh72/hhz/vszt+wPfgvf4aHFrdnWA==" saltValue="uNQGhf76ibh7MSuwQHh8XA==" spinCount="100000" sheet="1" objects="1" scenarios="1" selectLockedCells="1"/>
  <mergeCells count="252">
    <mergeCell ref="O137:O140"/>
    <mergeCell ref="O280:O282"/>
    <mergeCell ref="O284:O288"/>
    <mergeCell ref="O289:O290"/>
    <mergeCell ref="O197:O198"/>
    <mergeCell ref="O220:O223"/>
    <mergeCell ref="O230:O231"/>
    <mergeCell ref="O232:O234"/>
    <mergeCell ref="O235:O237"/>
    <mergeCell ref="O246:O247"/>
    <mergeCell ref="O253:O254"/>
    <mergeCell ref="O267:O268"/>
    <mergeCell ref="O275:O279"/>
    <mergeCell ref="O210:O211"/>
    <mergeCell ref="O151:O154"/>
    <mergeCell ref="O142:O147"/>
    <mergeCell ref="O165:O169"/>
    <mergeCell ref="O172:O173"/>
    <mergeCell ref="O178:O179"/>
    <mergeCell ref="O180:O181"/>
    <mergeCell ref="O190:O191"/>
    <mergeCell ref="O194:O196"/>
    <mergeCell ref="O201:O202"/>
    <mergeCell ref="M275:M279"/>
    <mergeCell ref="M280:M282"/>
    <mergeCell ref="M232:M234"/>
    <mergeCell ref="M235:M237"/>
    <mergeCell ref="M246:M247"/>
    <mergeCell ref="M253:M254"/>
    <mergeCell ref="M255:M256"/>
    <mergeCell ref="M267:M268"/>
    <mergeCell ref="M260:M261"/>
    <mergeCell ref="M265:M266"/>
    <mergeCell ref="M194:M196"/>
    <mergeCell ref="M197:M198"/>
    <mergeCell ref="M201:M202"/>
    <mergeCell ref="M165:M169"/>
    <mergeCell ref="M178:M179"/>
    <mergeCell ref="M180:M181"/>
    <mergeCell ref="M188:M189"/>
    <mergeCell ref="M192:M193"/>
    <mergeCell ref="M170:M171"/>
    <mergeCell ref="M190:M191"/>
    <mergeCell ref="M182:M183"/>
    <mergeCell ref="L91:L92"/>
    <mergeCell ref="L93:L95"/>
    <mergeCell ref="L178:L179"/>
    <mergeCell ref="L190:L191"/>
    <mergeCell ref="L182:L183"/>
    <mergeCell ref="M155:M159"/>
    <mergeCell ref="M91:M92"/>
    <mergeCell ref="M93:M95"/>
    <mergeCell ref="M96:M97"/>
    <mergeCell ref="M98:M104"/>
    <mergeCell ref="M161:M163"/>
    <mergeCell ref="M120:M125"/>
    <mergeCell ref="M130:M131"/>
    <mergeCell ref="M137:M140"/>
    <mergeCell ref="M142:M147"/>
    <mergeCell ref="M148:M150"/>
    <mergeCell ref="L148:L150"/>
    <mergeCell ref="L248:L249"/>
    <mergeCell ref="L216:L218"/>
    <mergeCell ref="L220:L223"/>
    <mergeCell ref="L180:L181"/>
    <mergeCell ref="L188:L189"/>
    <mergeCell ref="L96:L97"/>
    <mergeCell ref="L98:L102"/>
    <mergeCell ref="L103:L104"/>
    <mergeCell ref="L118:L119"/>
    <mergeCell ref="L105:L108"/>
    <mergeCell ref="L192:L193"/>
    <mergeCell ref="L273:L274"/>
    <mergeCell ref="L275:L279"/>
    <mergeCell ref="L284:L288"/>
    <mergeCell ref="L289:L290"/>
    <mergeCell ref="L280:L282"/>
    <mergeCell ref="M220:M223"/>
    <mergeCell ref="L226:L227"/>
    <mergeCell ref="L230:L231"/>
    <mergeCell ref="L197:L198"/>
    <mergeCell ref="L201:L202"/>
    <mergeCell ref="L210:L211"/>
    <mergeCell ref="L212:L213"/>
    <mergeCell ref="L214:L215"/>
    <mergeCell ref="M210:M211"/>
    <mergeCell ref="M224:M225"/>
    <mergeCell ref="M226:M227"/>
    <mergeCell ref="M230:M231"/>
    <mergeCell ref="M206:M207"/>
    <mergeCell ref="M208:M209"/>
    <mergeCell ref="M284:M288"/>
    <mergeCell ref="M289:M290"/>
    <mergeCell ref="L267:L268"/>
    <mergeCell ref="L253:L254"/>
    <mergeCell ref="L224:L225"/>
    <mergeCell ref="L270:L271"/>
    <mergeCell ref="L120:L125"/>
    <mergeCell ref="L126:L129"/>
    <mergeCell ref="L172:L173"/>
    <mergeCell ref="L176:L177"/>
    <mergeCell ref="L139:L140"/>
    <mergeCell ref="L142:L147"/>
    <mergeCell ref="L151:L154"/>
    <mergeCell ref="L161:L163"/>
    <mergeCell ref="L130:L131"/>
    <mergeCell ref="L132:L133"/>
    <mergeCell ref="L137:L138"/>
    <mergeCell ref="L194:L196"/>
    <mergeCell ref="L165:L169"/>
    <mergeCell ref="L170:L171"/>
    <mergeCell ref="L155:L159"/>
    <mergeCell ref="L250:L252"/>
    <mergeCell ref="L255:L256"/>
    <mergeCell ref="L260:L261"/>
    <mergeCell ref="L265:L266"/>
    <mergeCell ref="L232:L234"/>
    <mergeCell ref="L235:L237"/>
    <mergeCell ref="L238:L240"/>
    <mergeCell ref="L246:L247"/>
    <mergeCell ref="L47:L49"/>
    <mergeCell ref="L52:L53"/>
    <mergeCell ref="L50:L51"/>
    <mergeCell ref="L18:L19"/>
    <mergeCell ref="L21:L22"/>
    <mergeCell ref="L29:L32"/>
    <mergeCell ref="L81:L82"/>
    <mergeCell ref="L85:L86"/>
    <mergeCell ref="L88:L89"/>
    <mergeCell ref="L33:L35"/>
    <mergeCell ref="L57:L58"/>
    <mergeCell ref="L59:L60"/>
    <mergeCell ref="L61:L66"/>
    <mergeCell ref="L68:L71"/>
    <mergeCell ref="L72:L75"/>
    <mergeCell ref="L12:L15"/>
    <mergeCell ref="L16:L17"/>
    <mergeCell ref="U6:U7"/>
    <mergeCell ref="V6:V7"/>
    <mergeCell ref="W6:W7"/>
    <mergeCell ref="L40:L41"/>
    <mergeCell ref="L42:L44"/>
    <mergeCell ref="L45:L46"/>
    <mergeCell ref="X4:X5"/>
    <mergeCell ref="Q6:Q7"/>
    <mergeCell ref="X6:X7"/>
    <mergeCell ref="R6:R7"/>
    <mergeCell ref="S6:S7"/>
    <mergeCell ref="T6:T7"/>
    <mergeCell ref="M12:M17"/>
    <mergeCell ref="I4:L4"/>
    <mergeCell ref="I5:L5"/>
    <mergeCell ref="O12:O17"/>
    <mergeCell ref="M18:M19"/>
    <mergeCell ref="M29:M32"/>
    <mergeCell ref="M33:M35"/>
    <mergeCell ref="O18:O19"/>
    <mergeCell ref="O33:O35"/>
    <mergeCell ref="M43:M44"/>
    <mergeCell ref="I1:L1"/>
    <mergeCell ref="M1:W5"/>
    <mergeCell ref="I2:L2"/>
    <mergeCell ref="I3:L3"/>
    <mergeCell ref="I6:K7"/>
    <mergeCell ref="L6:L7"/>
    <mergeCell ref="M6:M7"/>
    <mergeCell ref="N6:N7"/>
    <mergeCell ref="P6:P7"/>
    <mergeCell ref="M48:M49"/>
    <mergeCell ref="O42:O44"/>
    <mergeCell ref="O45:O46"/>
    <mergeCell ref="O47:O49"/>
    <mergeCell ref="O50:O51"/>
    <mergeCell ref="O52:O53"/>
    <mergeCell ref="O98:O104"/>
    <mergeCell ref="O120:O125"/>
    <mergeCell ref="O130:O131"/>
    <mergeCell ref="O57:O58"/>
    <mergeCell ref="O59:O60"/>
    <mergeCell ref="O61:O66"/>
    <mergeCell ref="O91:O92"/>
    <mergeCell ref="O93:O95"/>
    <mergeCell ref="M61:M66"/>
    <mergeCell ref="M68:M71"/>
    <mergeCell ref="M72:M76"/>
    <mergeCell ref="M81:M82"/>
    <mergeCell ref="M85:M86"/>
    <mergeCell ref="O68:O71"/>
    <mergeCell ref="X12:X17"/>
    <mergeCell ref="X18:X20"/>
    <mergeCell ref="X23:X25"/>
    <mergeCell ref="X26:X28"/>
    <mergeCell ref="X29:X32"/>
    <mergeCell ref="X33:X35"/>
    <mergeCell ref="X36:X38"/>
    <mergeCell ref="X42:X44"/>
    <mergeCell ref="X45:X46"/>
    <mergeCell ref="X47:X49"/>
    <mergeCell ref="X50:X51"/>
    <mergeCell ref="X52:X53"/>
    <mergeCell ref="X57:X58"/>
    <mergeCell ref="X59:X60"/>
    <mergeCell ref="X61:X66"/>
    <mergeCell ref="X72:X76"/>
    <mergeCell ref="X77:X87"/>
    <mergeCell ref="X91:X92"/>
    <mergeCell ref="X93:X95"/>
    <mergeCell ref="X96:X97"/>
    <mergeCell ref="X105:X115"/>
    <mergeCell ref="X116:X119"/>
    <mergeCell ref="X120:X125"/>
    <mergeCell ref="X126:X129"/>
    <mergeCell ref="X132:X133"/>
    <mergeCell ref="X135:X136"/>
    <mergeCell ref="X137:X141"/>
    <mergeCell ref="X214:X215"/>
    <mergeCell ref="X216:X218"/>
    <mergeCell ref="X142:X147"/>
    <mergeCell ref="X155:X159"/>
    <mergeCell ref="X161:X164"/>
    <mergeCell ref="X165:X169"/>
    <mergeCell ref="X170:X171"/>
    <mergeCell ref="X172:X175"/>
    <mergeCell ref="X178:X179"/>
    <mergeCell ref="X180:X181"/>
    <mergeCell ref="X188:X189"/>
    <mergeCell ref="X182:X183"/>
    <mergeCell ref="X148:X150"/>
    <mergeCell ref="H1:H7"/>
    <mergeCell ref="X259:X262"/>
    <mergeCell ref="X263:X266"/>
    <mergeCell ref="X275:X279"/>
    <mergeCell ref="X280:X282"/>
    <mergeCell ref="X284:X288"/>
    <mergeCell ref="X289:X290"/>
    <mergeCell ref="X267:X271"/>
    <mergeCell ref="X220:X229"/>
    <mergeCell ref="X230:X231"/>
    <mergeCell ref="X232:X234"/>
    <mergeCell ref="X235:X237"/>
    <mergeCell ref="X238:X245"/>
    <mergeCell ref="X248:X249"/>
    <mergeCell ref="X250:X252"/>
    <mergeCell ref="X253:X254"/>
    <mergeCell ref="X255:X256"/>
    <mergeCell ref="X190:X191"/>
    <mergeCell ref="X192:X193"/>
    <mergeCell ref="X194:X196"/>
    <mergeCell ref="X197:X200"/>
    <mergeCell ref="X201:X204"/>
    <mergeCell ref="X205:X209"/>
    <mergeCell ref="X212:X213"/>
  </mergeCells>
  <conditionalFormatting sqref="X2">
    <cfRule type="expression" dxfId="2247" priority="328">
      <formula>$AG$3</formula>
    </cfRule>
  </conditionalFormatting>
  <conditionalFormatting sqref="X3">
    <cfRule type="expression" dxfId="2246" priority="329">
      <formula>$AI$3</formula>
    </cfRule>
  </conditionalFormatting>
  <conditionalFormatting sqref="W12">
    <cfRule type="expression" dxfId="2245" priority="315">
      <formula>OR($T$12 = TRUE, AND($W$12 = TRUE, $S$12 = FALSE))</formula>
    </cfRule>
    <cfRule type="expression" dxfId="2244" priority="316">
      <formula>$S$12 = FALSE</formula>
    </cfRule>
    <cfRule type="expression" dxfId="2243" priority="317">
      <formula>AND(IF($R$12,$W$12,TRUE),LEN(TRIM($W$12))&gt;0)</formula>
    </cfRule>
    <cfRule type="expression" dxfId="2242" priority="318">
      <formula>AND($R$12,$S$12)</formula>
    </cfRule>
  </conditionalFormatting>
  <conditionalFormatting sqref="W18">
    <cfRule type="expression" dxfId="2241" priority="311">
      <formula>OR($T$18 = TRUE, AND($W$18 = TRUE, $S$18 = FALSE))</formula>
    </cfRule>
    <cfRule type="expression" dxfId="2240" priority="312">
      <formula>$S$18 = FALSE</formula>
    </cfRule>
    <cfRule type="expression" dxfId="2239" priority="313">
      <formula>AND(IF($R$18,$W$18,TRUE),LEN(TRIM($W$18))&gt;0)</formula>
    </cfRule>
    <cfRule type="expression" dxfId="2238" priority="314">
      <formula>AND($R$18,$S$18)</formula>
    </cfRule>
  </conditionalFormatting>
  <conditionalFormatting sqref="W23">
    <cfRule type="expression" dxfId="2237" priority="307">
      <formula>OR($T$23 = TRUE, AND(LEN(TRIM($W$23))&gt;0, $S$23 = FALSE))</formula>
    </cfRule>
    <cfRule type="expression" dxfId="2236" priority="308">
      <formula>$S$23 = FALSE</formula>
    </cfRule>
    <cfRule type="expression" dxfId="2235" priority="309">
      <formula>AND($W$23&lt;&gt;"Not Met",LEN(TRIM($W$23))&gt;0)</formula>
    </cfRule>
    <cfRule type="expression" dxfId="2234" priority="310">
      <formula>AND($R$23,$S$23)</formula>
    </cfRule>
  </conditionalFormatting>
  <conditionalFormatting sqref="W26">
    <cfRule type="expression" dxfId="2233" priority="303">
      <formula>OR($T$26 = TRUE, AND(LEN(TRIM($W$26))&gt;0, $S$26 = FALSE))</formula>
    </cfRule>
    <cfRule type="expression" dxfId="2232" priority="304">
      <formula>$S$26 = FALSE</formula>
    </cfRule>
    <cfRule type="expression" dxfId="2231" priority="305">
      <formula>AND($W$26&lt;&gt;"Not Met",LEN(TRIM($W$26))&gt;0)</formula>
    </cfRule>
    <cfRule type="expression" dxfId="2230" priority="306">
      <formula>AND($R$26,$S$26)</formula>
    </cfRule>
  </conditionalFormatting>
  <conditionalFormatting sqref="W29">
    <cfRule type="expression" dxfId="2229" priority="299">
      <formula>OR($T$29 = TRUE, AND(LEN(TRIM($W$29))&gt;0, $S$29 = FALSE))</formula>
    </cfRule>
    <cfRule type="expression" dxfId="2228" priority="300">
      <formula>$S$29 = FALSE</formula>
    </cfRule>
    <cfRule type="expression" dxfId="2227" priority="301">
      <formula>AND($W$29&lt;&gt;"Not Met",LEN(TRIM($W$29))&gt;0)</formula>
    </cfRule>
    <cfRule type="expression" dxfId="2226" priority="302">
      <formula>AND($R$29,$S$29)</formula>
    </cfRule>
  </conditionalFormatting>
  <conditionalFormatting sqref="W33">
    <cfRule type="expression" dxfId="2225" priority="295">
      <formula>OR($T$33 = TRUE, AND($W$33 = TRUE, $S$33 = FALSE))</formula>
    </cfRule>
    <cfRule type="expression" dxfId="2224" priority="296">
      <formula>$S$33 = FALSE</formula>
    </cfRule>
    <cfRule type="expression" dxfId="2223" priority="297">
      <formula>AND(IF($R$33,$W$33,TRUE),LEN(TRIM($W$33))&gt;0)</formula>
    </cfRule>
    <cfRule type="expression" dxfId="2222" priority="298">
      <formula>AND($R$33,$S$33)</formula>
    </cfRule>
  </conditionalFormatting>
  <conditionalFormatting sqref="W36">
    <cfRule type="expression" dxfId="2221" priority="291">
      <formula>OR($T$36 = TRUE, AND(LEN(TRIM($W$36))&gt;0, $S$36 = FALSE))</formula>
    </cfRule>
    <cfRule type="expression" dxfId="2220" priority="292">
      <formula>$S$36 = FALSE</formula>
    </cfRule>
    <cfRule type="expression" dxfId="2219" priority="293">
      <formula>AND($W$36&lt;&gt;"Not Met",LEN(TRIM($W$36))&gt;0)</formula>
    </cfRule>
    <cfRule type="expression" dxfId="2218" priority="294">
      <formula>AND($R$36,$S$36)</formula>
    </cfRule>
  </conditionalFormatting>
  <conditionalFormatting sqref="W42">
    <cfRule type="expression" dxfId="2217" priority="287">
      <formula>OR($T$42 = TRUE, AND(LEN(TRIM($W$42))&gt;0, $S$42 = FALSE,$W$42&lt;&gt;"N/A"))</formula>
    </cfRule>
    <cfRule type="expression" dxfId="2216" priority="288">
      <formula>$S$42 = FALSE</formula>
    </cfRule>
    <cfRule type="expression" dxfId="2215" priority="289">
      <formula>AND($W$42&lt;&gt;"Not Met",LEN(TRIM($W$42))&gt;0)</formula>
    </cfRule>
    <cfRule type="expression" dxfId="2214" priority="290">
      <formula>AND($R$42,$S$42)</formula>
    </cfRule>
  </conditionalFormatting>
  <conditionalFormatting sqref="W45">
    <cfRule type="expression" dxfId="2213" priority="283">
      <formula>OR($T$45 = TRUE, AND(LEN(TRIM($W$45))&gt;0, $S$45 = FALSE,$W$45&lt;&gt;"N/A"))</formula>
    </cfRule>
    <cfRule type="expression" dxfId="2212" priority="284">
      <formula>$S$45 = FALSE</formula>
    </cfRule>
    <cfRule type="expression" dxfId="2211" priority="285">
      <formula>AND($W$45&lt;&gt;"Not Met",LEN(TRIM($W$45))&gt;0)</formula>
    </cfRule>
    <cfRule type="expression" dxfId="2210" priority="286">
      <formula>AND($R$45,$S$45)</formula>
    </cfRule>
  </conditionalFormatting>
  <conditionalFormatting sqref="W47">
    <cfRule type="expression" dxfId="2209" priority="279">
      <formula>OR($T$47 = TRUE, AND(LEN(TRIM($W$47))&gt;0, $S$47 = FALSE,$W$47&lt;&gt;"N/A"))</formula>
    </cfRule>
    <cfRule type="expression" dxfId="2208" priority="280">
      <formula>$S$47 = FALSE</formula>
    </cfRule>
    <cfRule type="expression" dxfId="2207" priority="281">
      <formula>AND($W$47&lt;&gt;"Not Met",LEN(TRIM($W$47))&gt;0)</formula>
    </cfRule>
    <cfRule type="expression" dxfId="2206" priority="282">
      <formula>AND($R$47,$S$47)</formula>
    </cfRule>
  </conditionalFormatting>
  <conditionalFormatting sqref="W50">
    <cfRule type="expression" dxfId="2205" priority="275">
      <formula>OR($T$50 = TRUE, AND(LEN(TRIM($W$50))&gt;0, $S$50 = FALSE,$W$50&lt;&gt;"N/A"))</formula>
    </cfRule>
    <cfRule type="expression" dxfId="2204" priority="276">
      <formula>$S$50 = FALSE</formula>
    </cfRule>
    <cfRule type="expression" dxfId="2203" priority="277">
      <formula>AND($W$50&lt;&gt;"Not Met",LEN(TRIM($W$50))&gt;0)</formula>
    </cfRule>
    <cfRule type="expression" dxfId="2202" priority="278">
      <formula>AND($R$50,$S$50)</formula>
    </cfRule>
  </conditionalFormatting>
  <conditionalFormatting sqref="W52">
    <cfRule type="expression" dxfId="2201" priority="271">
      <formula>OR($T$52 = TRUE, AND(LEN(TRIM($W$52))&gt;0, $S$52 = FALSE,$W$52&lt;&gt;"N/A"))</formula>
    </cfRule>
    <cfRule type="expression" dxfId="2200" priority="272">
      <formula>$S$52 = FALSE</formula>
    </cfRule>
    <cfRule type="expression" dxfId="2199" priority="273">
      <formula>AND($W$52&lt;&gt;"Not Met",LEN(TRIM($W$52))&gt;0)</formula>
    </cfRule>
    <cfRule type="expression" dxfId="2198" priority="274">
      <formula>AND($R$52,$S$52)</formula>
    </cfRule>
  </conditionalFormatting>
  <conditionalFormatting sqref="W54">
    <cfRule type="expression" dxfId="2197" priority="267">
      <formula>OR($T$54 = TRUE, AND($W$54 = TRUE, $S$54 = FALSE))</formula>
    </cfRule>
    <cfRule type="expression" dxfId="2196" priority="268">
      <formula>$S$54 = FALSE</formula>
    </cfRule>
    <cfRule type="expression" dxfId="2195" priority="269">
      <formula>AND(IF($R$54,$W$54,TRUE),LEN(TRIM($W$54))&gt;0)</formula>
    </cfRule>
    <cfRule type="expression" dxfId="2194" priority="270">
      <formula>AND($R$54,$S$54)</formula>
    </cfRule>
  </conditionalFormatting>
  <conditionalFormatting sqref="W67">
    <cfRule type="expression" dxfId="2193" priority="263">
      <formula>OR($T$67 = TRUE, AND($W$67 = TRUE, $S$67 = FALSE))</formula>
    </cfRule>
    <cfRule type="expression" dxfId="2192" priority="264">
      <formula>$S$67 = FALSE</formula>
    </cfRule>
    <cfRule type="expression" dxfId="2191" priority="265">
      <formula>AND(IF($R$67,$W$67,TRUE),LEN(TRIM($W$67))&gt;0)</formula>
    </cfRule>
    <cfRule type="expression" dxfId="2190" priority="266">
      <formula>AND($R$67,$S$67)</formula>
    </cfRule>
  </conditionalFormatting>
  <conditionalFormatting sqref="W57">
    <cfRule type="expression" dxfId="2189" priority="259">
      <formula>OR($T$57 = TRUE, AND(LEN(TRIM($W$57))&gt;0, $S$57 = FALSE))</formula>
    </cfRule>
    <cfRule type="expression" dxfId="2188" priority="260">
      <formula>$S$57 = FALSE</formula>
    </cfRule>
    <cfRule type="expression" dxfId="2187" priority="261">
      <formula>AND($W$57&lt;&gt;"Not Met",LEN(TRIM($W$57))&gt;0)</formula>
    </cfRule>
    <cfRule type="expression" dxfId="2186" priority="262">
      <formula>AND($R$57,$S$57)</formula>
    </cfRule>
  </conditionalFormatting>
  <conditionalFormatting sqref="W59">
    <cfRule type="expression" dxfId="2185" priority="255">
      <formula>OR($T$59 = TRUE, AND(LEN(TRIM($W$59))&gt;0, $S$59 = FALSE))</formula>
    </cfRule>
    <cfRule type="expression" dxfId="2184" priority="256">
      <formula>$S$59 = FALSE</formula>
    </cfRule>
    <cfRule type="expression" dxfId="2183" priority="257">
      <formula>AND($W$59&lt;&gt;"Not Met",LEN(TRIM($W$59))&gt;0)</formula>
    </cfRule>
    <cfRule type="expression" dxfId="2182" priority="258">
      <formula>AND($R$59,$S$59)</formula>
    </cfRule>
  </conditionalFormatting>
  <conditionalFormatting sqref="W61">
    <cfRule type="expression" dxfId="2181" priority="254">
      <formula>AND($R$61,$S$61)</formula>
    </cfRule>
  </conditionalFormatting>
  <conditionalFormatting sqref="W61">
    <cfRule type="expression" dxfId="2180" priority="253">
      <formula>AND(IF($R$61,$W$61,TRUE),LEN(TRIM($W$61))&gt;0)</formula>
    </cfRule>
  </conditionalFormatting>
  <conditionalFormatting sqref="W61">
    <cfRule type="expression" dxfId="2179" priority="252">
      <formula>$S$61 = FALSE</formula>
    </cfRule>
  </conditionalFormatting>
  <conditionalFormatting sqref="W61">
    <cfRule type="expression" dxfId="2178" priority="251">
      <formula>OR($T$61 = TRUE, AND($W$61 = TRUE, $S$61 = FALSE))</formula>
    </cfRule>
  </conditionalFormatting>
  <conditionalFormatting sqref="W72">
    <cfRule type="expression" dxfId="2177" priority="250">
      <formula>AND($R$72,$S$72)</formula>
    </cfRule>
  </conditionalFormatting>
  <conditionalFormatting sqref="W72">
    <cfRule type="expression" dxfId="2176" priority="249">
      <formula>AND($W$72&lt;&gt;"Not Met",LEN(TRIM($W$72))&gt;0)</formula>
    </cfRule>
  </conditionalFormatting>
  <conditionalFormatting sqref="W72">
    <cfRule type="expression" dxfId="2175" priority="248">
      <formula>$S$72 = FALSE</formula>
    </cfRule>
  </conditionalFormatting>
  <conditionalFormatting sqref="W72">
    <cfRule type="expression" dxfId="2174" priority="247">
      <formula>OR($T$72 = TRUE, AND(LEN(TRIM($W$72))&gt;0, $S$72 = FALSE))</formula>
    </cfRule>
  </conditionalFormatting>
  <conditionalFormatting sqref="W77">
    <cfRule type="expression" dxfId="2173" priority="246">
      <formula>AND($R$77,$S$77)</formula>
    </cfRule>
  </conditionalFormatting>
  <conditionalFormatting sqref="W77">
    <cfRule type="expression" dxfId="2172" priority="245">
      <formula>AND($W$77&lt;&gt;"Not Met",LEN(TRIM($W$77))&gt;0)</formula>
    </cfRule>
  </conditionalFormatting>
  <conditionalFormatting sqref="W77">
    <cfRule type="expression" dxfId="2171" priority="244">
      <formula>$S$77 = FALSE</formula>
    </cfRule>
  </conditionalFormatting>
  <conditionalFormatting sqref="W77">
    <cfRule type="expression" dxfId="2170" priority="243">
      <formula>OR($T$77 = TRUE, AND(LEN(TRIM($W$77))&gt;0, $S$77 = FALSE))</formula>
    </cfRule>
  </conditionalFormatting>
  <conditionalFormatting sqref="W78">
    <cfRule type="expression" dxfId="2169" priority="242">
      <formula>AND($R$78,$S$78)</formula>
    </cfRule>
  </conditionalFormatting>
  <conditionalFormatting sqref="W78">
    <cfRule type="expression" dxfId="2168" priority="241">
      <formula>AND($W$78&lt;&gt;"Not Met",LEN(TRIM($W$78))&gt;0)</formula>
    </cfRule>
  </conditionalFormatting>
  <conditionalFormatting sqref="W78">
    <cfRule type="expression" dxfId="2167" priority="240">
      <formula>$S$78 = FALSE</formula>
    </cfRule>
  </conditionalFormatting>
  <conditionalFormatting sqref="W78">
    <cfRule type="expression" dxfId="2166" priority="239">
      <formula>OR($T$78 = TRUE, AND(LEN(TRIM($W$78))&gt;0, $S$78 = FALSE))</formula>
    </cfRule>
  </conditionalFormatting>
  <conditionalFormatting sqref="W79">
    <cfRule type="expression" dxfId="2165" priority="238">
      <formula>AND($R$79,$S$79)</formula>
    </cfRule>
  </conditionalFormatting>
  <conditionalFormatting sqref="W79">
    <cfRule type="expression" dxfId="2164" priority="237">
      <formula>AND($W$79&lt;&gt;"Not Met",LEN(TRIM($W$79))&gt;0)</formula>
    </cfRule>
  </conditionalFormatting>
  <conditionalFormatting sqref="W79">
    <cfRule type="expression" dxfId="2163" priority="236">
      <formula>$S$79 = FALSE</formula>
    </cfRule>
  </conditionalFormatting>
  <conditionalFormatting sqref="W79">
    <cfRule type="expression" dxfId="2162" priority="235">
      <formula>OR($T$79 = TRUE, AND(LEN(TRIM($W$79))&gt;0, $S$79 = FALSE))</formula>
    </cfRule>
  </conditionalFormatting>
  <conditionalFormatting sqref="W80">
    <cfRule type="expression" dxfId="2161" priority="234">
      <formula>AND($R$80,$S$80)</formula>
    </cfRule>
  </conditionalFormatting>
  <conditionalFormatting sqref="W80">
    <cfRule type="expression" dxfId="2160" priority="233">
      <formula>AND($W$80&lt;&gt;"Not Met",LEN(TRIM($W$80))&gt;0)</formula>
    </cfRule>
  </conditionalFormatting>
  <conditionalFormatting sqref="W80">
    <cfRule type="expression" dxfId="2159" priority="232">
      <formula>$S$80 = FALSE</formula>
    </cfRule>
  </conditionalFormatting>
  <conditionalFormatting sqref="W80">
    <cfRule type="expression" dxfId="2158" priority="231">
      <formula>OR($T$80 = TRUE, AND(LEN(TRIM($W$80))&gt;0, $S$80 = FALSE))</formula>
    </cfRule>
  </conditionalFormatting>
  <conditionalFormatting sqref="W91">
    <cfRule type="expression" dxfId="2157" priority="230">
      <formula>AND($R$91,$S$91)</formula>
    </cfRule>
  </conditionalFormatting>
  <conditionalFormatting sqref="W91">
    <cfRule type="expression" dxfId="2156" priority="229">
      <formula>AND(IF($R$91,$W$91,TRUE),LEN(TRIM($W$91))&gt;0)</formula>
    </cfRule>
  </conditionalFormatting>
  <conditionalFormatting sqref="W91">
    <cfRule type="expression" dxfId="2155" priority="228">
      <formula>$S$91 = FALSE</formula>
    </cfRule>
  </conditionalFormatting>
  <conditionalFormatting sqref="W91">
    <cfRule type="expression" dxfId="2154" priority="227">
      <formula>OR($T$91 = TRUE, AND($W$91 = TRUE, $S$91 = FALSE))</formula>
    </cfRule>
  </conditionalFormatting>
  <conditionalFormatting sqref="W93">
    <cfRule type="expression" dxfId="2153" priority="226">
      <formula>AND($R$93,$S$93)</formula>
    </cfRule>
  </conditionalFormatting>
  <conditionalFormatting sqref="W93">
    <cfRule type="expression" dxfId="2152" priority="225">
      <formula>AND(IF($R$93,$W$93,TRUE),LEN(TRIM($W$93))&gt;0)</formula>
    </cfRule>
  </conditionalFormatting>
  <conditionalFormatting sqref="W93">
    <cfRule type="expression" dxfId="2151" priority="224">
      <formula>$S$93 = FALSE</formula>
    </cfRule>
  </conditionalFormatting>
  <conditionalFormatting sqref="W93">
    <cfRule type="expression" dxfId="2150" priority="223">
      <formula>OR($T$93 = TRUE, AND($W$93 = TRUE, $S$93 = FALSE))</formula>
    </cfRule>
  </conditionalFormatting>
  <conditionalFormatting sqref="W96">
    <cfRule type="expression" dxfId="2149" priority="222">
      <formula>AND($R$96,$S$96)</formula>
    </cfRule>
  </conditionalFormatting>
  <conditionalFormatting sqref="W96">
    <cfRule type="expression" dxfId="2148" priority="221">
      <formula>AND(IF($R$96,$W$96,TRUE),LEN(TRIM($W$96))&gt;0)</formula>
    </cfRule>
  </conditionalFormatting>
  <conditionalFormatting sqref="W96">
    <cfRule type="expression" dxfId="2147" priority="220">
      <formula>$S$96 = FALSE</formula>
    </cfRule>
  </conditionalFormatting>
  <conditionalFormatting sqref="W96">
    <cfRule type="expression" dxfId="2146" priority="219">
      <formula>OR($T$96 = TRUE, AND($W$96 = TRUE, $S$96 = FALSE))</formula>
    </cfRule>
  </conditionalFormatting>
  <conditionalFormatting sqref="W120">
    <cfRule type="expression" dxfId="2145" priority="218">
      <formula>AND($R$120,$S$120)</formula>
    </cfRule>
  </conditionalFormatting>
  <conditionalFormatting sqref="W120">
    <cfRule type="expression" dxfId="2144" priority="217">
      <formula>AND(IF($R$120,$W$120,TRUE),LEN(TRIM($W$120))&gt;0)</formula>
    </cfRule>
  </conditionalFormatting>
  <conditionalFormatting sqref="W120">
    <cfRule type="expression" dxfId="2143" priority="216">
      <formula>$S$120 = FALSE</formula>
    </cfRule>
  </conditionalFormatting>
  <conditionalFormatting sqref="W120">
    <cfRule type="expression" dxfId="2142" priority="215">
      <formula>OR($T$120 = TRUE, AND($W$120 = TRUE, $S$120 = FALSE))</formula>
    </cfRule>
  </conditionalFormatting>
  <conditionalFormatting sqref="W132">
    <cfRule type="expression" dxfId="2141" priority="214">
      <formula>AND($R$132,$S$132)</formula>
    </cfRule>
  </conditionalFormatting>
  <conditionalFormatting sqref="W132">
    <cfRule type="expression" dxfId="2140" priority="213">
      <formula>AND(IF($R$132,$W$132,TRUE),LEN(TRIM($W$132))&gt;0)</formula>
    </cfRule>
  </conditionalFormatting>
  <conditionalFormatting sqref="W132">
    <cfRule type="expression" dxfId="2139" priority="212">
      <formula>$S$132 = FALSE</formula>
    </cfRule>
  </conditionalFormatting>
  <conditionalFormatting sqref="W132">
    <cfRule type="expression" dxfId="2138" priority="211">
      <formula>OR($T$132 = TRUE, AND($W$132 = TRUE, $S$132 = FALSE))</formula>
    </cfRule>
  </conditionalFormatting>
  <conditionalFormatting sqref="W134">
    <cfRule type="expression" dxfId="2137" priority="210">
      <formula>AND($R$134,$S$134)</formula>
    </cfRule>
  </conditionalFormatting>
  <conditionalFormatting sqref="W134">
    <cfRule type="expression" dxfId="2136" priority="209">
      <formula>AND(IF($R$134,$W$134,TRUE),LEN(TRIM($W$134))&gt;0)</formula>
    </cfRule>
  </conditionalFormatting>
  <conditionalFormatting sqref="W134">
    <cfRule type="expression" dxfId="2135" priority="208">
      <formula>$S$134 = FALSE</formula>
    </cfRule>
  </conditionalFormatting>
  <conditionalFormatting sqref="W134">
    <cfRule type="expression" dxfId="2134" priority="207">
      <formula>OR($T$134 = TRUE, AND($W$134 = TRUE, $S$134 = FALSE))</formula>
    </cfRule>
  </conditionalFormatting>
  <conditionalFormatting sqref="W135">
    <cfRule type="expression" dxfId="2133" priority="206">
      <formula>AND($R$135,$S$135)</formula>
    </cfRule>
  </conditionalFormatting>
  <conditionalFormatting sqref="W135">
    <cfRule type="expression" dxfId="2132" priority="205">
      <formula>AND(IF($R$135,$W$135,TRUE),LEN(TRIM($W$135))&gt;0)</formula>
    </cfRule>
  </conditionalFormatting>
  <conditionalFormatting sqref="W135">
    <cfRule type="expression" dxfId="2131" priority="204">
      <formula>$S$135 = FALSE</formula>
    </cfRule>
  </conditionalFormatting>
  <conditionalFormatting sqref="W135">
    <cfRule type="expression" dxfId="2130" priority="203">
      <formula>OR($T$135 = TRUE, AND($W$135 = TRUE, $S$135 = FALSE))</formula>
    </cfRule>
  </conditionalFormatting>
  <conditionalFormatting sqref="W142">
    <cfRule type="expression" dxfId="2129" priority="202">
      <formula>AND($R$142,$S$142)</formula>
    </cfRule>
  </conditionalFormatting>
  <conditionalFormatting sqref="W142">
    <cfRule type="expression" dxfId="2128" priority="201">
      <formula>AND(IF($R$142,$W$142,TRUE),LEN(TRIM($W$142))&gt;0)</formula>
    </cfRule>
  </conditionalFormatting>
  <conditionalFormatting sqref="W142">
    <cfRule type="expression" dxfId="2127" priority="200">
      <formula>$S$142 = FALSE</formula>
    </cfRule>
  </conditionalFormatting>
  <conditionalFormatting sqref="W142">
    <cfRule type="expression" dxfId="2126" priority="199">
      <formula>OR($T$142 = TRUE, AND($W$142 = TRUE, $S$142 = FALSE))</formula>
    </cfRule>
  </conditionalFormatting>
  <conditionalFormatting sqref="W155">
    <cfRule type="expression" dxfId="2125" priority="198">
      <formula>AND($R$155,$S$155)</formula>
    </cfRule>
  </conditionalFormatting>
  <conditionalFormatting sqref="W155">
    <cfRule type="expression" dxfId="2124" priority="197">
      <formula>AND(IF($R$155,$W$155,TRUE),LEN(TRIM($W$155))&gt;0)</formula>
    </cfRule>
  </conditionalFormatting>
  <conditionalFormatting sqref="W155">
    <cfRule type="expression" dxfId="2123" priority="196">
      <formula>$S$155 = FALSE</formula>
    </cfRule>
  </conditionalFormatting>
  <conditionalFormatting sqref="W155">
    <cfRule type="expression" dxfId="2122" priority="195">
      <formula>OR($T$155 = TRUE, AND($W$155 = TRUE, $S$155 = FALSE))</formula>
    </cfRule>
  </conditionalFormatting>
  <conditionalFormatting sqref="W160">
    <cfRule type="expression" dxfId="2121" priority="194">
      <formula>AND($R$160,$S$160)</formula>
    </cfRule>
  </conditionalFormatting>
  <conditionalFormatting sqref="W160">
    <cfRule type="expression" dxfId="2120" priority="193">
      <formula>AND(IF($R$160,$W$160,TRUE),LEN(TRIM($W$160))&gt;0)</formula>
    </cfRule>
  </conditionalFormatting>
  <conditionalFormatting sqref="W160">
    <cfRule type="expression" dxfId="2119" priority="192">
      <formula>$S$160 = FALSE</formula>
    </cfRule>
  </conditionalFormatting>
  <conditionalFormatting sqref="W160">
    <cfRule type="expression" dxfId="2118" priority="191">
      <formula>OR($T$160 = TRUE, AND($W$160 = TRUE, $S$160 = FALSE))</formula>
    </cfRule>
  </conditionalFormatting>
  <conditionalFormatting sqref="W161">
    <cfRule type="expression" dxfId="2117" priority="190">
      <formula>AND($R$161,$S$161)</formula>
    </cfRule>
  </conditionalFormatting>
  <conditionalFormatting sqref="W161">
    <cfRule type="expression" dxfId="2116" priority="189">
      <formula>AND(IF($R$161,$W$161,TRUE),LEN(TRIM($W$161))&gt;0)</formula>
    </cfRule>
  </conditionalFormatting>
  <conditionalFormatting sqref="W161">
    <cfRule type="expression" dxfId="2115" priority="188">
      <formula>$S$161 = FALSE</formula>
    </cfRule>
  </conditionalFormatting>
  <conditionalFormatting sqref="W161">
    <cfRule type="expression" dxfId="2114" priority="187">
      <formula>OR($T$161 = TRUE, AND($W$161 = TRUE, $S$161 = FALSE))</formula>
    </cfRule>
  </conditionalFormatting>
  <conditionalFormatting sqref="W165">
    <cfRule type="expression" dxfId="2113" priority="186">
      <formula>AND($R$165,$S$165)</formula>
    </cfRule>
  </conditionalFormatting>
  <conditionalFormatting sqref="W165">
    <cfRule type="expression" dxfId="2112" priority="185">
      <formula>AND(IF($R$165,$W$165,TRUE),LEN(TRIM($W$165))&gt;0)</formula>
    </cfRule>
  </conditionalFormatting>
  <conditionalFormatting sqref="W165">
    <cfRule type="expression" dxfId="2111" priority="184">
      <formula>$S$165 = FALSE</formula>
    </cfRule>
  </conditionalFormatting>
  <conditionalFormatting sqref="W165">
    <cfRule type="expression" dxfId="2110" priority="183">
      <formula>OR($T$165 = TRUE, AND($W$165 = TRUE, $S$165 = FALSE))</formula>
    </cfRule>
  </conditionalFormatting>
  <conditionalFormatting sqref="W174">
    <cfRule type="expression" dxfId="2109" priority="178">
      <formula>AND($R$174,$S$174)</formula>
    </cfRule>
  </conditionalFormatting>
  <conditionalFormatting sqref="W174">
    <cfRule type="expression" dxfId="2108" priority="177">
      <formula>AND(IF($R$174,$W$174,TRUE),LEN(TRIM($W$174))&gt;0)</formula>
    </cfRule>
  </conditionalFormatting>
  <conditionalFormatting sqref="W174">
    <cfRule type="expression" dxfId="2107" priority="176">
      <formula>$S$174 = FALSE</formula>
    </cfRule>
  </conditionalFormatting>
  <conditionalFormatting sqref="W174">
    <cfRule type="expression" dxfId="2106" priority="175">
      <formula>OR($T$174 = TRUE, AND($W$174 = TRUE, $S$174 = FALSE))</formula>
    </cfRule>
  </conditionalFormatting>
  <conditionalFormatting sqref="W175">
    <cfRule type="expression" dxfId="2105" priority="174">
      <formula>AND($R$175,$S$175)</formula>
    </cfRule>
  </conditionalFormatting>
  <conditionalFormatting sqref="W175">
    <cfRule type="expression" dxfId="2104" priority="173">
      <formula>AND(IF($R$175,$W$175,TRUE),LEN(TRIM($W$175))&gt;0)</formula>
    </cfRule>
  </conditionalFormatting>
  <conditionalFormatting sqref="W175">
    <cfRule type="expression" dxfId="2103" priority="172">
      <formula>$S$175 = FALSE</formula>
    </cfRule>
  </conditionalFormatting>
  <conditionalFormatting sqref="W175">
    <cfRule type="expression" dxfId="2102" priority="171">
      <formula>OR($T$175 = TRUE, AND($W$175 = TRUE, $S$175 = FALSE))</formula>
    </cfRule>
  </conditionalFormatting>
  <conditionalFormatting sqref="W178">
    <cfRule type="expression" dxfId="2101" priority="170">
      <formula>AND($R$178,$S$178)</formula>
    </cfRule>
  </conditionalFormatting>
  <conditionalFormatting sqref="W178">
    <cfRule type="expression" dxfId="2100" priority="169">
      <formula>AND(IF($R$178,$W$178,TRUE),LEN(TRIM($W$178))&gt;0)</formula>
    </cfRule>
  </conditionalFormatting>
  <conditionalFormatting sqref="W178">
    <cfRule type="expression" dxfId="2099" priority="168">
      <formula>$S$178 = FALSE</formula>
    </cfRule>
  </conditionalFormatting>
  <conditionalFormatting sqref="W178">
    <cfRule type="expression" dxfId="2098" priority="167">
      <formula>OR($T$178 = TRUE, AND($W$178 = TRUE, $S$178 = FALSE))</formula>
    </cfRule>
  </conditionalFormatting>
  <conditionalFormatting sqref="W180">
    <cfRule type="expression" dxfId="2097" priority="166">
      <formula>AND($R$180,$S$180)</formula>
    </cfRule>
  </conditionalFormatting>
  <conditionalFormatting sqref="W180">
    <cfRule type="expression" dxfId="2096" priority="165">
      <formula>AND(IF($R$180,$W$180,TRUE),LEN(TRIM($W$180))&gt;0)</formula>
    </cfRule>
  </conditionalFormatting>
  <conditionalFormatting sqref="W180">
    <cfRule type="expression" dxfId="2095" priority="164">
      <formula>$S$180 = FALSE</formula>
    </cfRule>
  </conditionalFormatting>
  <conditionalFormatting sqref="W180">
    <cfRule type="expression" dxfId="2094" priority="163">
      <formula>OR($T$180 = TRUE, AND($W$180 = TRUE, $S$180 = FALSE))</formula>
    </cfRule>
  </conditionalFormatting>
  <conditionalFormatting sqref="W188">
    <cfRule type="expression" dxfId="2093" priority="162">
      <formula>AND($R$188,$S$188)</formula>
    </cfRule>
  </conditionalFormatting>
  <conditionalFormatting sqref="W188">
    <cfRule type="expression" dxfId="2092" priority="161">
      <formula>AND(IF($R$188,$W$188,TRUE),LEN(TRIM($W$188))&gt;0)</formula>
    </cfRule>
  </conditionalFormatting>
  <conditionalFormatting sqref="W188">
    <cfRule type="expression" dxfId="2091" priority="160">
      <formula>$S$188 = FALSE</formula>
    </cfRule>
  </conditionalFormatting>
  <conditionalFormatting sqref="W188">
    <cfRule type="expression" dxfId="2090" priority="159">
      <formula>OR($T$188 = TRUE, AND($W$188 = TRUE, $S$188 = FALSE))</formula>
    </cfRule>
  </conditionalFormatting>
  <conditionalFormatting sqref="W190">
    <cfRule type="expression" dxfId="2089" priority="158">
      <formula>AND($R$190,$S$190)</formula>
    </cfRule>
  </conditionalFormatting>
  <conditionalFormatting sqref="W190">
    <cfRule type="expression" dxfId="2088" priority="157">
      <formula>AND(IF($R$190,$W$190,TRUE),LEN(TRIM($W$190))&gt;0)</formula>
    </cfRule>
  </conditionalFormatting>
  <conditionalFormatting sqref="W190">
    <cfRule type="expression" dxfId="2087" priority="156">
      <formula>$S$190 = FALSE</formula>
    </cfRule>
  </conditionalFormatting>
  <conditionalFormatting sqref="W190">
    <cfRule type="expression" dxfId="2086" priority="155">
      <formula>OR($T$190 = TRUE, AND($W$190 = TRUE, $S$190 = FALSE))</formula>
    </cfRule>
  </conditionalFormatting>
  <conditionalFormatting sqref="W192">
    <cfRule type="expression" dxfId="2085" priority="154">
      <formula>AND($R$192,$S$192)</formula>
    </cfRule>
  </conditionalFormatting>
  <conditionalFormatting sqref="W192">
    <cfRule type="expression" dxfId="2084" priority="153">
      <formula>AND($W$192&lt;&gt;"Not Met",LEN(TRIM($W$192))&gt;0)</formula>
    </cfRule>
  </conditionalFormatting>
  <conditionalFormatting sqref="W192">
    <cfRule type="expression" dxfId="2083" priority="152">
      <formula>$S$192 = FALSE</formula>
    </cfRule>
  </conditionalFormatting>
  <conditionalFormatting sqref="W192">
    <cfRule type="expression" dxfId="2082" priority="151">
      <formula>OR($T$192 = TRUE, AND(LEN(TRIM($W$192))&gt;0, $S$192 = FALSE))</formula>
    </cfRule>
  </conditionalFormatting>
  <conditionalFormatting sqref="W194">
    <cfRule type="expression" dxfId="2081" priority="150">
      <formula>AND($R$194,$S$194)</formula>
    </cfRule>
  </conditionalFormatting>
  <conditionalFormatting sqref="W194">
    <cfRule type="expression" dxfId="2080" priority="149">
      <formula>AND(IF($R$194,$W$194,TRUE),LEN(TRIM($W$194))&gt;0)</formula>
    </cfRule>
  </conditionalFormatting>
  <conditionalFormatting sqref="W194">
    <cfRule type="expression" dxfId="2079" priority="148">
      <formula>$S$194 = FALSE</formula>
    </cfRule>
  </conditionalFormatting>
  <conditionalFormatting sqref="W194">
    <cfRule type="expression" dxfId="2078" priority="147">
      <formula>OR($T$194 = TRUE, AND($W$194 = TRUE, $S$194 = FALSE))</formula>
    </cfRule>
  </conditionalFormatting>
  <conditionalFormatting sqref="W201">
    <cfRule type="expression" dxfId="2077" priority="146">
      <formula>AND($R$201,$S$201)</formula>
    </cfRule>
  </conditionalFormatting>
  <conditionalFormatting sqref="W201">
    <cfRule type="expression" dxfId="2076" priority="145">
      <formula>AND(IF($R$201,$W$201,TRUE),LEN(TRIM($W$201))&gt;0)</formula>
    </cfRule>
  </conditionalFormatting>
  <conditionalFormatting sqref="W201">
    <cfRule type="expression" dxfId="2075" priority="144">
      <formula>$S$201 = FALSE</formula>
    </cfRule>
  </conditionalFormatting>
  <conditionalFormatting sqref="W201">
    <cfRule type="expression" dxfId="2074" priority="143">
      <formula>OR($T$201 = TRUE, AND($W$201 = TRUE, $S$201 = FALSE))</formula>
    </cfRule>
  </conditionalFormatting>
  <conditionalFormatting sqref="W212">
    <cfRule type="expression" dxfId="2073" priority="142">
      <formula>AND($R$212,$S$212)</formula>
    </cfRule>
  </conditionalFormatting>
  <conditionalFormatting sqref="W212">
    <cfRule type="expression" dxfId="2072" priority="141">
      <formula>AND(IF($R$212,$W$212,TRUE),LEN(TRIM($W$212))&gt;0)</formula>
    </cfRule>
  </conditionalFormatting>
  <conditionalFormatting sqref="W212">
    <cfRule type="expression" dxfId="2071" priority="140">
      <formula>$S$212 = FALSE</formula>
    </cfRule>
  </conditionalFormatting>
  <conditionalFormatting sqref="W212">
    <cfRule type="expression" dxfId="2070" priority="139">
      <formula>OR($T$212 = TRUE, AND($W$212 = TRUE, $S$212 = FALSE))</formula>
    </cfRule>
  </conditionalFormatting>
  <conditionalFormatting sqref="W214">
    <cfRule type="expression" dxfId="2069" priority="138">
      <formula>AND($R$214,$S$214)</formula>
    </cfRule>
  </conditionalFormatting>
  <conditionalFormatting sqref="W214">
    <cfRule type="expression" dxfId="2068" priority="137">
      <formula>AND(IF($R$214,$W$214,TRUE),LEN(TRIM($W$214))&gt;0)</formula>
    </cfRule>
  </conditionalFormatting>
  <conditionalFormatting sqref="W214">
    <cfRule type="expression" dxfId="2067" priority="136">
      <formula>$S$214 = FALSE</formula>
    </cfRule>
  </conditionalFormatting>
  <conditionalFormatting sqref="W214">
    <cfRule type="expression" dxfId="2066" priority="135">
      <formula>OR($T$214 = TRUE, AND($W$214 = TRUE, $S$214 = FALSE))</formula>
    </cfRule>
  </conditionalFormatting>
  <conditionalFormatting sqref="W216">
    <cfRule type="expression" dxfId="2065" priority="134">
      <formula>AND($R$216,$S$216)</formula>
    </cfRule>
  </conditionalFormatting>
  <conditionalFormatting sqref="W216">
    <cfRule type="expression" dxfId="2064" priority="133">
      <formula>AND(IF($R$216,$W$216,TRUE),LEN(TRIM($W$216))&gt;0)</formula>
    </cfRule>
  </conditionalFormatting>
  <conditionalFormatting sqref="W216">
    <cfRule type="expression" dxfId="2063" priority="132">
      <formula>$S$216 = FALSE</formula>
    </cfRule>
  </conditionalFormatting>
  <conditionalFormatting sqref="W216">
    <cfRule type="expression" dxfId="2062" priority="131">
      <formula>OR($T$216 = TRUE, AND($W$216 = TRUE, $S$216 = FALSE))</formula>
    </cfRule>
  </conditionalFormatting>
  <conditionalFormatting sqref="W220">
    <cfRule type="expression" dxfId="2061" priority="130">
      <formula>AND($R$220)</formula>
    </cfRule>
  </conditionalFormatting>
  <conditionalFormatting sqref="W220">
    <cfRule type="expression" dxfId="2060" priority="129">
      <formula>AND($W$220&lt;&gt;"Not Met",LEN(TRIM($W$220))&gt;0)</formula>
    </cfRule>
  </conditionalFormatting>
  <conditionalFormatting sqref="W220">
    <cfRule type="expression" dxfId="2059" priority="128">
      <formula>$S$220 = FALSE</formula>
    </cfRule>
  </conditionalFormatting>
  <conditionalFormatting sqref="W220">
    <cfRule type="expression" dxfId="2058" priority="127">
      <formula>OR($T$220 = TRUE, AND(LEN(TRIM($W$220))&gt;0, $S$220 = FALSE))</formula>
    </cfRule>
  </conditionalFormatting>
  <conditionalFormatting sqref="W230">
    <cfRule type="expression" dxfId="2057" priority="126">
      <formula>AND($R$230,$S$230)</formula>
    </cfRule>
  </conditionalFormatting>
  <conditionalFormatting sqref="W230">
    <cfRule type="expression" dxfId="2056" priority="125">
      <formula>AND(IF($R$230,$W$230,TRUE),LEN(TRIM($W$230))&gt;0)</formula>
    </cfRule>
  </conditionalFormatting>
  <conditionalFormatting sqref="W230">
    <cfRule type="expression" dxfId="2055" priority="124">
      <formula>$S$230 = FALSE</formula>
    </cfRule>
  </conditionalFormatting>
  <conditionalFormatting sqref="W230">
    <cfRule type="expression" dxfId="2054" priority="123">
      <formula>OR($T$230 = TRUE, AND($W$230 = TRUE, $S$230 = FALSE))</formula>
    </cfRule>
  </conditionalFormatting>
  <conditionalFormatting sqref="W232">
    <cfRule type="expression" dxfId="2053" priority="122">
      <formula>AND($R$232,$S$232)</formula>
    </cfRule>
  </conditionalFormatting>
  <conditionalFormatting sqref="W232">
    <cfRule type="expression" dxfId="2052" priority="121">
      <formula>AND(IF($R$232,$W$232,TRUE),LEN(TRIM($W$232))&gt;0)</formula>
    </cfRule>
  </conditionalFormatting>
  <conditionalFormatting sqref="W232">
    <cfRule type="expression" dxfId="2051" priority="120">
      <formula>$S$232 = FALSE</formula>
    </cfRule>
  </conditionalFormatting>
  <conditionalFormatting sqref="W232">
    <cfRule type="expression" dxfId="2050" priority="119">
      <formula>OR($T$232 = TRUE, AND($W$232 = TRUE, $S$232 = FALSE))</formula>
    </cfRule>
  </conditionalFormatting>
  <conditionalFormatting sqref="W235">
    <cfRule type="expression" dxfId="2049" priority="118">
      <formula>AND($R$235,$S$235)</formula>
    </cfRule>
  </conditionalFormatting>
  <conditionalFormatting sqref="W235">
    <cfRule type="expression" dxfId="2048" priority="117">
      <formula>AND(IF($R$235,$W$235,TRUE),LEN(TRIM($W$235))&gt;0)</formula>
    </cfRule>
  </conditionalFormatting>
  <conditionalFormatting sqref="W235">
    <cfRule type="expression" dxfId="2047" priority="116">
      <formula>$S$235 = FALSE</formula>
    </cfRule>
  </conditionalFormatting>
  <conditionalFormatting sqref="W235">
    <cfRule type="expression" dxfId="2046" priority="115">
      <formula>OR($T$235 = TRUE, AND($W$235 = TRUE, $S$235 = FALSE))</formula>
    </cfRule>
  </conditionalFormatting>
  <conditionalFormatting sqref="W241">
    <cfRule type="expression" dxfId="2045" priority="114">
      <formula>AND($R$241,$S$241)</formula>
    </cfRule>
  </conditionalFormatting>
  <conditionalFormatting sqref="W241">
    <cfRule type="expression" dxfId="2044" priority="113">
      <formula>AND($W$241&lt;&gt;"Not Met",LEN(TRIM($W$241))&gt;0)</formula>
    </cfRule>
  </conditionalFormatting>
  <conditionalFormatting sqref="W241">
    <cfRule type="expression" dxfId="2043" priority="112">
      <formula>$S$241 = FALSE</formula>
    </cfRule>
  </conditionalFormatting>
  <conditionalFormatting sqref="W241">
    <cfRule type="expression" dxfId="2042" priority="111">
      <formula>OR($T$241 = TRUE, AND(LEN(TRIM($W$241))&gt;0, $S$241 = FALSE))</formula>
    </cfRule>
  </conditionalFormatting>
  <conditionalFormatting sqref="W245">
    <cfRule type="expression" dxfId="2041" priority="110">
      <formula>AND($R$245,$S$245)</formula>
    </cfRule>
  </conditionalFormatting>
  <conditionalFormatting sqref="W245">
    <cfRule type="expression" dxfId="2040" priority="109">
      <formula>AND(IF($R$245,$W$245,TRUE),LEN(TRIM($W$245))&gt;0)</formula>
    </cfRule>
  </conditionalFormatting>
  <conditionalFormatting sqref="W245">
    <cfRule type="expression" dxfId="2039" priority="108">
      <formula>$S$245 = FALSE</formula>
    </cfRule>
  </conditionalFormatting>
  <conditionalFormatting sqref="W245">
    <cfRule type="expression" dxfId="2038" priority="107">
      <formula>OR($T$245 = TRUE, AND($W$245 = TRUE, $S$245 = FALSE))</formula>
    </cfRule>
  </conditionalFormatting>
  <conditionalFormatting sqref="W248">
    <cfRule type="expression" dxfId="2037" priority="106">
      <formula>AND($R$248,$S$248)</formula>
    </cfRule>
  </conditionalFormatting>
  <conditionalFormatting sqref="W248">
    <cfRule type="expression" dxfId="2036" priority="105">
      <formula>AND(IF($R$248,$W$248,TRUE),LEN(TRIM($W$248))&gt;0)</formula>
    </cfRule>
  </conditionalFormatting>
  <conditionalFormatting sqref="W248">
    <cfRule type="expression" dxfId="2035" priority="104">
      <formula>$S$248 = FALSE</formula>
    </cfRule>
  </conditionalFormatting>
  <conditionalFormatting sqref="W248">
    <cfRule type="expression" dxfId="2034" priority="103">
      <formula>OR($T$248 = TRUE, AND($W$248 = TRUE, $S$248 = FALSE))</formula>
    </cfRule>
  </conditionalFormatting>
  <conditionalFormatting sqref="W250">
    <cfRule type="expression" dxfId="2033" priority="102">
      <formula>AND($R$250,$S$250)</formula>
    </cfRule>
  </conditionalFormatting>
  <conditionalFormatting sqref="W250">
    <cfRule type="expression" dxfId="2032" priority="101">
      <formula>AND(IF($R$250,$W$250,TRUE),LEN(TRIM($W$250))&gt;0)</formula>
    </cfRule>
  </conditionalFormatting>
  <conditionalFormatting sqref="W250">
    <cfRule type="expression" dxfId="2031" priority="100">
      <formula>$S$250 = FALSE</formula>
    </cfRule>
  </conditionalFormatting>
  <conditionalFormatting sqref="W250">
    <cfRule type="expression" dxfId="2030" priority="99">
      <formula>OR($T$250 = TRUE, AND($W$250 = TRUE, $S$250 = FALSE))</formula>
    </cfRule>
  </conditionalFormatting>
  <conditionalFormatting sqref="W253">
    <cfRule type="expression" dxfId="2029" priority="98">
      <formula>AND($R$253,$S$253)</formula>
    </cfRule>
  </conditionalFormatting>
  <conditionalFormatting sqref="W253">
    <cfRule type="expression" dxfId="2028" priority="97">
      <formula>AND(IF($R$253,$W$253,TRUE),LEN(TRIM($W$253))&gt;0)</formula>
    </cfRule>
  </conditionalFormatting>
  <conditionalFormatting sqref="W253">
    <cfRule type="expression" dxfId="2027" priority="96">
      <formula>$S$253 = FALSE</formula>
    </cfRule>
  </conditionalFormatting>
  <conditionalFormatting sqref="W253">
    <cfRule type="expression" dxfId="2026" priority="95">
      <formula>OR($T$253 = TRUE, AND($W$253 = TRUE, $S$253 = FALSE))</formula>
    </cfRule>
  </conditionalFormatting>
  <conditionalFormatting sqref="W255">
    <cfRule type="expression" dxfId="2025" priority="94">
      <formula>AND($R$255,$S$255)</formula>
    </cfRule>
  </conditionalFormatting>
  <conditionalFormatting sqref="W255">
    <cfRule type="expression" dxfId="2024" priority="93">
      <formula>AND(IF($R$255,$W$255,TRUE),LEN(TRIM($W$255))&gt;0)</formula>
    </cfRule>
  </conditionalFormatting>
  <conditionalFormatting sqref="W255">
    <cfRule type="expression" dxfId="2023" priority="92">
      <formula>$S$255 = FALSE</formula>
    </cfRule>
  </conditionalFormatting>
  <conditionalFormatting sqref="W255">
    <cfRule type="expression" dxfId="2022" priority="91">
      <formula>OR($T$255 = TRUE, AND($W$255 = TRUE, $S$255 = FALSE))</formula>
    </cfRule>
  </conditionalFormatting>
  <conditionalFormatting sqref="W259">
    <cfRule type="expression" dxfId="2021" priority="90">
      <formula>AND($R$259,$S$259)</formula>
    </cfRule>
  </conditionalFormatting>
  <conditionalFormatting sqref="W259">
    <cfRule type="expression" dxfId="2020" priority="89">
      <formula>AND($W$259&lt;&gt;"Not Met",LEN(TRIM($W$259))&gt;0)</formula>
    </cfRule>
  </conditionalFormatting>
  <conditionalFormatting sqref="W259">
    <cfRule type="expression" dxfId="2019" priority="88">
      <formula>$S$259 = FALSE</formula>
    </cfRule>
  </conditionalFormatting>
  <conditionalFormatting sqref="W259">
    <cfRule type="expression" dxfId="2018" priority="87">
      <formula>OR($T$259 = TRUE, AND(LEN(TRIM($W$259))&gt;0, $S$259 = FALSE))</formula>
    </cfRule>
  </conditionalFormatting>
  <conditionalFormatting sqref="W263">
    <cfRule type="expression" dxfId="2017" priority="86">
      <formula>AND($R$263,$S$263)</formula>
    </cfRule>
  </conditionalFormatting>
  <conditionalFormatting sqref="W263">
    <cfRule type="expression" dxfId="2016" priority="85">
      <formula>AND($W$263&lt;&gt;"Not Met",LEN(TRIM($W$263))&gt;0)</formula>
    </cfRule>
  </conditionalFormatting>
  <conditionalFormatting sqref="W263">
    <cfRule type="expression" dxfId="2015" priority="84">
      <formula>$S$263 = FALSE</formula>
    </cfRule>
  </conditionalFormatting>
  <conditionalFormatting sqref="W263">
    <cfRule type="expression" dxfId="2014" priority="83">
      <formula>OR($T$263 = TRUE, AND(LEN(TRIM($W$263))&gt;0, $S$263 = FALSE))</formula>
    </cfRule>
  </conditionalFormatting>
  <conditionalFormatting sqref="W269">
    <cfRule type="expression" dxfId="2013" priority="82">
      <formula>AND($R$269,$S$269)</formula>
    </cfRule>
  </conditionalFormatting>
  <conditionalFormatting sqref="W269">
    <cfRule type="expression" dxfId="2012" priority="81">
      <formula>AND(IF($R$269,$W$269,TRUE),LEN(TRIM($W$269))&gt;0)</formula>
    </cfRule>
  </conditionalFormatting>
  <conditionalFormatting sqref="W269">
    <cfRule type="expression" dxfId="2011" priority="80">
      <formula>$S$269 = FALSE</formula>
    </cfRule>
  </conditionalFormatting>
  <conditionalFormatting sqref="W269">
    <cfRule type="expression" dxfId="2010" priority="79">
      <formula>OR($T$269 = TRUE, AND($W$269 = TRUE, $S$269 = FALSE))</formula>
    </cfRule>
  </conditionalFormatting>
  <conditionalFormatting sqref="W270">
    <cfRule type="expression" dxfId="2009" priority="78">
      <formula>AND($R$270,$S$270)</formula>
    </cfRule>
  </conditionalFormatting>
  <conditionalFormatting sqref="W270">
    <cfRule type="expression" dxfId="2008" priority="77">
      <formula>AND(IF($R$270,$W$270,TRUE),LEN(TRIM($W$270))&gt;0)</formula>
    </cfRule>
  </conditionalFormatting>
  <conditionalFormatting sqref="W270">
    <cfRule type="expression" dxfId="2007" priority="76">
      <formula>$S$270 = FALSE</formula>
    </cfRule>
  </conditionalFormatting>
  <conditionalFormatting sqref="W270">
    <cfRule type="expression" dxfId="2006" priority="75">
      <formula>OR($T$270 = TRUE, AND($W$270 = TRUE, $S$270 = FALSE))</formula>
    </cfRule>
  </conditionalFormatting>
  <conditionalFormatting sqref="W275">
    <cfRule type="expression" dxfId="2005" priority="74">
      <formula>AND($R$275,$S$275)</formula>
    </cfRule>
  </conditionalFormatting>
  <conditionalFormatting sqref="W275">
    <cfRule type="expression" dxfId="2004" priority="73">
      <formula>AND(IF($R$275,$W$275,TRUE),LEN(TRIM($W$275))&gt;0)</formula>
    </cfRule>
  </conditionalFormatting>
  <conditionalFormatting sqref="W275">
    <cfRule type="expression" dxfId="2003" priority="72">
      <formula>$S$275 = FALSE</formula>
    </cfRule>
  </conditionalFormatting>
  <conditionalFormatting sqref="W275">
    <cfRule type="expression" dxfId="2002" priority="71">
      <formula>OR($T$275 = TRUE, AND($W$275 = TRUE, $S$275 = FALSE))</formula>
    </cfRule>
  </conditionalFormatting>
  <conditionalFormatting sqref="W280">
    <cfRule type="expression" dxfId="2001" priority="70">
      <formula>AND($R$280,$S$280)</formula>
    </cfRule>
  </conditionalFormatting>
  <conditionalFormatting sqref="W280">
    <cfRule type="expression" dxfId="2000" priority="69">
      <formula>AND(IF($R$280,$W$280,TRUE),LEN(TRIM($W$280))&gt;0)</formula>
    </cfRule>
  </conditionalFormatting>
  <conditionalFormatting sqref="W280">
    <cfRule type="expression" dxfId="1999" priority="68">
      <formula>$S$280 = FALSE</formula>
    </cfRule>
  </conditionalFormatting>
  <conditionalFormatting sqref="W280">
    <cfRule type="expression" dxfId="1998" priority="67">
      <formula>OR($T$280 = TRUE, AND($W$280 = TRUE, $S$280 = FALSE))</formula>
    </cfRule>
  </conditionalFormatting>
  <conditionalFormatting sqref="W284">
    <cfRule type="expression" dxfId="1997" priority="66">
      <formula>AND($R$284,$S$284)</formula>
    </cfRule>
  </conditionalFormatting>
  <conditionalFormatting sqref="W284">
    <cfRule type="expression" dxfId="1996" priority="65">
      <formula>AND(IF($R$284,$W$284,TRUE),LEN(TRIM($W$284))&gt;0)</formula>
    </cfRule>
  </conditionalFormatting>
  <conditionalFormatting sqref="W284">
    <cfRule type="expression" dxfId="1995" priority="64">
      <formula>$S$284 = FALSE</formula>
    </cfRule>
  </conditionalFormatting>
  <conditionalFormatting sqref="W284">
    <cfRule type="expression" dxfId="1994" priority="63">
      <formula>OR($T$284 = TRUE, AND($W$284 = TRUE, $S$284 = FALSE))</formula>
    </cfRule>
  </conditionalFormatting>
  <conditionalFormatting sqref="W289">
    <cfRule type="expression" dxfId="1993" priority="62">
      <formula>AND($R$289,$S$289)</formula>
    </cfRule>
  </conditionalFormatting>
  <conditionalFormatting sqref="W289">
    <cfRule type="expression" dxfId="1992" priority="61">
      <formula>AND(IF($R$289,$W$289,TRUE),LEN(TRIM($W$289))&gt;0)</formula>
    </cfRule>
  </conditionalFormatting>
  <conditionalFormatting sqref="W289">
    <cfRule type="expression" dxfId="1991" priority="60">
      <formula>$S$289 = FALSE</formula>
    </cfRule>
  </conditionalFormatting>
  <conditionalFormatting sqref="W289">
    <cfRule type="expression" dxfId="1990" priority="59">
      <formula>OR($T$289 = TRUE, AND($W$289 = TRUE, $S$289 = FALSE))</formula>
    </cfRule>
  </conditionalFormatting>
  <conditionalFormatting sqref="W105">
    <cfRule type="expression" dxfId="1989" priority="55">
      <formula>OR(T105 = TRUE, AND(LEN(TRIM(W105))&gt;0, S105 = FALSE))</formula>
    </cfRule>
    <cfRule type="notContainsBlanks" dxfId="1988" priority="58">
      <formula>LEN(TRIM(W105))&gt;0</formula>
    </cfRule>
  </conditionalFormatting>
  <conditionalFormatting sqref="W116">
    <cfRule type="expression" dxfId="1987" priority="53">
      <formula>OR(T116 = TRUE, AND(LEN(TRIM(W116))&gt;0, S116 = FALSE))</formula>
    </cfRule>
    <cfRule type="notContainsBlanks" dxfId="1986" priority="54">
      <formula>LEN(TRIM(W116))&gt;0</formula>
    </cfRule>
  </conditionalFormatting>
  <conditionalFormatting sqref="W117">
    <cfRule type="expression" dxfId="1985" priority="51">
      <formula>OR(T117 = TRUE, AND(LEN(TRIM(W117))&gt;0, S117 = FALSE))</formula>
    </cfRule>
    <cfRule type="notContainsBlanks" dxfId="1984" priority="52">
      <formula>LEN(TRIM(W117))&gt;0</formula>
    </cfRule>
  </conditionalFormatting>
  <conditionalFormatting sqref="W137">
    <cfRule type="expression" dxfId="1983" priority="50">
      <formula>AND($R$137,$S$137)</formula>
    </cfRule>
  </conditionalFormatting>
  <conditionalFormatting sqref="W137">
    <cfRule type="expression" dxfId="1982" priority="49">
      <formula>AND(IF($R$137,$W$137,TRUE),LEN(TRIM($W$137))&gt;0)</formula>
    </cfRule>
  </conditionalFormatting>
  <conditionalFormatting sqref="W137">
    <cfRule type="expression" dxfId="1981" priority="48">
      <formula>$S$137 = FALSE</formula>
    </cfRule>
  </conditionalFormatting>
  <conditionalFormatting sqref="W137">
    <cfRule type="expression" dxfId="1980" priority="47">
      <formula>OR($T$137 = TRUE, AND($W$137 = TRUE, $S$137 = FALSE))</formula>
    </cfRule>
  </conditionalFormatting>
  <conditionalFormatting sqref="W198">
    <cfRule type="expression" dxfId="1979" priority="46">
      <formula>AND(R198,S198)</formula>
    </cfRule>
  </conditionalFormatting>
  <conditionalFormatting sqref="W198">
    <cfRule type="expression" dxfId="1978" priority="45">
      <formula>AND(IF(R198,W198,TRUE),LEN(TRIM(W198))&gt;0)</formula>
    </cfRule>
  </conditionalFormatting>
  <conditionalFormatting sqref="W198">
    <cfRule type="expression" dxfId="1977" priority="44">
      <formula>S198 = FALSE</formula>
    </cfRule>
  </conditionalFormatting>
  <conditionalFormatting sqref="W198">
    <cfRule type="expression" dxfId="1976" priority="43">
      <formula>OR(T198 = TRUE, AND(W198 = TRUE, S198 = FALSE))</formula>
    </cfRule>
  </conditionalFormatting>
  <conditionalFormatting sqref="W200">
    <cfRule type="expression" dxfId="1975" priority="42">
      <formula>AND(R200,S200)</formula>
    </cfRule>
  </conditionalFormatting>
  <conditionalFormatting sqref="W200">
    <cfRule type="expression" dxfId="1974" priority="41">
      <formula>AND(IF(R200,W200,TRUE),LEN(TRIM(W200))&gt;0)</formula>
    </cfRule>
  </conditionalFormatting>
  <conditionalFormatting sqref="W200">
    <cfRule type="expression" dxfId="1973" priority="40">
      <formula>S200 = FALSE</formula>
    </cfRule>
  </conditionalFormatting>
  <conditionalFormatting sqref="W200">
    <cfRule type="expression" dxfId="1972" priority="39">
      <formula>OR(T200 = TRUE, AND(W200 = TRUE, S200 = FALSE))</formula>
    </cfRule>
  </conditionalFormatting>
  <conditionalFormatting sqref="W207">
    <cfRule type="expression" dxfId="1971" priority="38">
      <formula>AND(R207,S207)</formula>
    </cfRule>
  </conditionalFormatting>
  <conditionalFormatting sqref="W207">
    <cfRule type="expression" dxfId="1970" priority="37">
      <formula>AND(IF(R207,W207,TRUE),LEN(TRIM(W207))&gt;0)</formula>
    </cfRule>
  </conditionalFormatting>
  <conditionalFormatting sqref="W207">
    <cfRule type="expression" dxfId="1969" priority="36">
      <formula>S207 = FALSE</formula>
    </cfRule>
  </conditionalFormatting>
  <conditionalFormatting sqref="W207">
    <cfRule type="expression" dxfId="1968" priority="35">
      <formula>OR(T207 = TRUE, AND(W207 = TRUE, S207 = FALSE))</formula>
    </cfRule>
  </conditionalFormatting>
  <conditionalFormatting sqref="W209">
    <cfRule type="expression" dxfId="1967" priority="34">
      <formula>AND(R209,S209)</formula>
    </cfRule>
  </conditionalFormatting>
  <conditionalFormatting sqref="W209">
    <cfRule type="expression" dxfId="1966" priority="33">
      <formula>AND(IF(R209,W209,TRUE),LEN(TRIM(W209))&gt;0)</formula>
    </cfRule>
  </conditionalFormatting>
  <conditionalFormatting sqref="W209">
    <cfRule type="expression" dxfId="1965" priority="32">
      <formula>S209 = FALSE</formula>
    </cfRule>
  </conditionalFormatting>
  <conditionalFormatting sqref="W209">
    <cfRule type="expression" dxfId="1964" priority="31">
      <formula>OR(T209 = TRUE, AND(W209 = TRUE, S209 = FALSE))</formula>
    </cfRule>
  </conditionalFormatting>
  <conditionalFormatting sqref="X72:X76">
    <cfRule type="expression" dxfId="1963" priority="30">
      <formula>W72="N/A"</formula>
    </cfRule>
  </conditionalFormatting>
  <conditionalFormatting sqref="W170">
    <cfRule type="expression" dxfId="1962" priority="25">
      <formula>AND($R$170,$S$170)</formula>
    </cfRule>
  </conditionalFormatting>
  <conditionalFormatting sqref="W170">
    <cfRule type="expression" dxfId="1961" priority="24">
      <formula>AND($W$170&lt;&gt;"Not Met",LEN(TRIM($W$170))&gt;0)</formula>
    </cfRule>
  </conditionalFormatting>
  <conditionalFormatting sqref="W170">
    <cfRule type="expression" dxfId="1960" priority="23">
      <formula>$S$170 = FALSE</formula>
    </cfRule>
  </conditionalFormatting>
  <conditionalFormatting sqref="W170">
    <cfRule type="expression" dxfId="1959" priority="22">
      <formula>OR($T$170 = TRUE, AND(LEN(TRIM($W$170))&gt;0, $S$170 = FALSE))</formula>
    </cfRule>
  </conditionalFormatting>
  <conditionalFormatting sqref="X1">
    <cfRule type="expression" dxfId="1958" priority="17">
      <formula>startError</formula>
    </cfRule>
  </conditionalFormatting>
  <conditionalFormatting sqref="I1">
    <cfRule type="expression" dxfId="1957" priority="13">
      <formula>$AG$1="Gold"</formula>
    </cfRule>
    <cfRule type="expression" dxfId="1956" priority="14">
      <formula>$AG$1="Silver"</formula>
    </cfRule>
    <cfRule type="expression" dxfId="1955" priority="15">
      <formula>$AG$1="Bronze"</formula>
    </cfRule>
    <cfRule type="expression" dxfId="1954" priority="16">
      <formula>$AG$1="Emerald"</formula>
    </cfRule>
  </conditionalFormatting>
  <conditionalFormatting sqref="W148">
    <cfRule type="expression" dxfId="1953" priority="8">
      <formula>AND($R$148,$S$148)</formula>
    </cfRule>
  </conditionalFormatting>
  <conditionalFormatting sqref="W148">
    <cfRule type="expression" dxfId="1952" priority="7">
      <formula>AND($W$148&lt;&gt;"Not Met",LEN(TRIM($W$148))&gt;0)</formula>
    </cfRule>
  </conditionalFormatting>
  <conditionalFormatting sqref="W148">
    <cfRule type="expression" dxfId="1951" priority="6">
      <formula>$S$148 = FALSE</formula>
    </cfRule>
  </conditionalFormatting>
  <conditionalFormatting sqref="W148">
    <cfRule type="expression" dxfId="1950" priority="5">
      <formula>OR($T$148 = TRUE, AND(LEN(TRIM($W$148))&gt;0, $S$148 = FALSE))</formula>
    </cfRule>
  </conditionalFormatting>
  <conditionalFormatting sqref="W182">
    <cfRule type="expression" dxfId="1949" priority="4">
      <formula>AND($R$182,$S$182)</formula>
    </cfRule>
  </conditionalFormatting>
  <conditionalFormatting sqref="W182">
    <cfRule type="expression" dxfId="1948" priority="3">
      <formula>AND(IF($R$182,$W$182,TRUE),LEN(TRIM($W$182))&gt;0)</formula>
    </cfRule>
  </conditionalFormatting>
  <conditionalFormatting sqref="W182">
    <cfRule type="expression" dxfId="1947" priority="2">
      <formula>$S$182 = FALSE</formula>
    </cfRule>
  </conditionalFormatting>
  <conditionalFormatting sqref="W182">
    <cfRule type="expression" dxfId="1946" priority="1">
      <formula>OR($T$182 = TRUE, AND($W$182 = TRUE, $S$182 = FALSE))</formula>
    </cfRule>
  </conditionalFormatting>
  <dataValidations count="28">
    <dataValidation type="list" allowBlank="1" showDropDown="1" showInputMessage="1" showErrorMessage="1" error="Use Checkbox" prompt="Use Checkbox" sqref="W12 W18 W33 W54 W289 W284 W280 W275 W269:W270 W255 W253 W250 W248 W245 W235 W232 W230 W216 W214 W212 W201 W194 W190 W188 W180 W178 W174:W175 W137 W165 W160:W161 W155 W142 W67 W132 W120 W96 W93 W91 W61 W134:W135 W1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6" xr:uid="{00000000-0002-0000-0700-000004000000}">
      <formula1>INDIRECT($U$36)</formula1>
    </dataValidation>
    <dataValidation type="list" allowBlank="1" showInputMessage="1" showErrorMessage="1" error="Please use the dropdown." sqref="W42" xr:uid="{00000000-0002-0000-0700-000005000000}">
      <formula1>INDIRECT($U$42)</formula1>
    </dataValidation>
    <dataValidation type="list" allowBlank="1" showInputMessage="1" showErrorMessage="1" error="Please use the dropdown." sqref="W45" xr:uid="{00000000-0002-0000-0700-000006000000}">
      <formula1>INDIRECT($U$45)</formula1>
    </dataValidation>
    <dataValidation type="list" allowBlank="1" showInputMessage="1" showErrorMessage="1" error="Please use the dropdown." sqref="W47" xr:uid="{00000000-0002-0000-0700-000007000000}">
      <formula1>INDIRECT($U$47)</formula1>
    </dataValidation>
    <dataValidation type="list" allowBlank="1" showInputMessage="1" showErrorMessage="1" error="Please use the dropdown." sqref="W50" xr:uid="{00000000-0002-0000-0700-000008000000}">
      <formula1>INDIRECT($U$50)</formula1>
    </dataValidation>
    <dataValidation type="list" allowBlank="1" showInputMessage="1" showErrorMessage="1" error="Please use the dropdown." sqref="W52" xr:uid="{00000000-0002-0000-0700-000009000000}">
      <formula1>INDIRECT($U$52)</formula1>
    </dataValidation>
    <dataValidation type="list" allowBlank="1" showInputMessage="1" showErrorMessage="1" error="Please use the dropdown." sqref="W57" xr:uid="{00000000-0002-0000-0700-00000A000000}">
      <formula1>INDIRECT($U$57)</formula1>
    </dataValidation>
    <dataValidation type="list" allowBlank="1" showInputMessage="1" showErrorMessage="1" error="Please use the dropdown." sqref="W59" xr:uid="{00000000-0002-0000-0700-00000B000000}">
      <formula1>INDIRECT($U$59)</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92" xr:uid="{00000000-0002-0000-0700-000011000000}">
      <formula1>INDIRECT($U$192)</formula1>
    </dataValidation>
    <dataValidation type="list" allowBlank="1" showInputMessage="1" showErrorMessage="1" error="Please use the dropdown." sqref="W220" xr:uid="{00000000-0002-0000-0700-000012000000}">
      <formula1>INDIRECT($U$220)</formula1>
    </dataValidation>
    <dataValidation type="list" allowBlank="1" showInputMessage="1" showErrorMessage="1" error="Please use the dropdown." sqref="W241" xr:uid="{00000000-0002-0000-0700-000013000000}">
      <formula1>INDIRECT($U$241)</formula1>
    </dataValidation>
    <dataValidation type="list" allowBlank="1" showInputMessage="1" showErrorMessage="1" error="Please use the dropdown." sqref="W259" xr:uid="{00000000-0002-0000-0700-000014000000}">
      <formula1>INDIRECT($U$259)</formula1>
    </dataValidation>
    <dataValidation type="list" allowBlank="1" showInputMessage="1" showErrorMessage="1" error="Please use the dropdown." sqref="W263" xr:uid="{00000000-0002-0000-0700-000015000000}">
      <formula1>INDIRECT($U$263)</formula1>
    </dataValidation>
    <dataValidation type="decimal" allowBlank="1" showDropDown="1" showInputMessage="1" showErrorMessage="1" error="Enter Percentage" prompt="Enter Percentage" sqref="W105 W116:W117" xr:uid="{00000000-0002-0000-0700-000016000000}">
      <formula1>0</formula1>
      <formula2>1</formula2>
    </dataValidation>
    <dataValidation type="whole" allowBlank="1" showDropDown="1" showInputMessage="1" showErrorMessage="1" error="Enter a whole number" prompt="Enter number of timers" sqref="W198" xr:uid="{00000000-0002-0000-0700-000017000000}">
      <formula1>0</formula1>
      <formula2>10</formula2>
    </dataValidation>
    <dataValidation type="whole" allowBlank="1" showDropDown="1" showInputMessage="1" showErrorMessage="1" error="Enter a whole number" prompt="Enter number of humidistats" sqref="W200" xr:uid="{00000000-0002-0000-0700-000018000000}">
      <formula1>0</formula1>
      <formula2>10</formula2>
    </dataValidation>
    <dataValidation type="list" allowBlank="1" showInputMessage="1" showErrorMessage="1" error="Please use the dropdown." sqref="W170" xr:uid="{00000000-0002-0000-0700-000019000000}">
      <formula1>INDIRECT($U$170)</formula1>
    </dataValidation>
    <dataValidation type="whole" allowBlank="1" showDropDown="1" showInputMessage="1" showErrorMessage="1" error="Enter a whole number" prompt="Enter number of fans" sqref="W207 W209" xr:uid="{00000000-0002-0000-0700-00001A000000}">
      <formula1>0</formula1>
      <formula2>10</formula2>
    </dataValidation>
    <dataValidation type="list" allowBlank="1" showInputMessage="1" showErrorMessage="1" error="Please use the dropdown." sqref="W148" xr:uid="{00000000-0002-0000-0700-00001B000000}">
      <formula1>INDIRECT($U$148)</formula1>
    </dataValidation>
  </dataValidations>
  <hyperlinks>
    <hyperlink ref="L136" location="'Table 11.901.9.1'!A1" display="See Table 11.901.9.1" xr:uid="{00000000-0004-0000-0700-000000000000}"/>
    <hyperlink ref="L141" location="'Table 11.901.9.2'!A1" display="See Table 11.901.9.2" xr:uid="{00000000-0004-0000-0700-000001000000}"/>
    <hyperlink ref="L164" location="'Table 11.901.10(3)'!A1" display="See Table 11.901.10(3)" xr:uid="{00000000-0004-0000-0700-000002000000}"/>
    <hyperlink ref="X291" location="'Ch10'!A1" display="CLICK TO PROCEED TO CHAPTER 10 &gt;&gt;" xr:uid="{00000000-0004-0000-0700-000003000000}"/>
  </hyperlinks>
  <pageMargins left="0.7" right="0.7" top="0.75" bottom="0.75" header="0.3" footer="0.3"/>
  <pageSetup scale="44" fitToHeight="0" orientation="portrait" r:id="rId1"/>
  <rowBreaks count="3" manualBreakCount="3">
    <brk id="97" max="16383" man="1"/>
    <brk id="183" max="16383" man="1"/>
    <brk id="256"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177"/>
  <sheetViews>
    <sheetView showGridLines="0" topLeftCell="H1" zoomScaleNormal="100" zoomScaleSheetLayoutView="80" workbookViewId="0">
      <pane ySplit="7" topLeftCell="A8" activePane="bottomLeft" state="frozen"/>
      <selection activeCell="E7" sqref="E7:F7"/>
      <selection pane="bottomLeft" activeCell="W15" sqref="W15"/>
    </sheetView>
  </sheetViews>
  <sheetFormatPr baseColWidth="10" defaultColWidth="9.16406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47" customWidth="1"/>
    <col min="10" max="11" width="3.83203125" style="47" customWidth="1"/>
    <col min="12" max="12" width="71.6640625" style="47" customWidth="1"/>
    <col min="13" max="13" width="13.5" style="42" customWidth="1"/>
    <col min="14" max="14" width="7.6640625" style="47" hidden="1" customWidth="1"/>
    <col min="15" max="15" width="7.6640625" style="47" customWidth="1"/>
    <col min="16" max="21" width="8.83203125" style="47" hidden="1" customWidth="1"/>
    <col min="22" max="22" width="3" style="47" hidden="1" customWidth="1"/>
    <col min="23" max="23" width="21.5" style="47" customWidth="1"/>
    <col min="24" max="24" width="69" style="47" customWidth="1"/>
    <col min="25" max="25" width="34.83203125" style="447" hidden="1" customWidth="1"/>
    <col min="26" max="26" width="34.83203125" style="47" hidden="1" customWidth="1"/>
    <col min="27" max="27" width="9.1640625" style="448" hidden="1" customWidth="1"/>
    <col min="28" max="37" width="9.1640625" style="47" hidden="1" customWidth="1"/>
    <col min="38" max="38" width="12.6640625" style="47" hidden="1" customWidth="1"/>
    <col min="39" max="39" width="2.1640625" style="47" hidden="1" customWidth="1"/>
    <col min="40" max="40" width="12.5" style="47" hidden="1" customWidth="1"/>
    <col min="41" max="41" width="2.1640625" style="47" hidden="1" customWidth="1"/>
    <col min="42" max="42" width="13.6640625" style="47" hidden="1" customWidth="1"/>
    <col min="43" max="43" width="2.1640625" style="47" hidden="1" customWidth="1"/>
    <col min="44" max="44" width="13.5" style="47" hidden="1" customWidth="1"/>
    <col min="45" max="45" width="2.1640625" style="47" hidden="1" customWidth="1"/>
    <col min="46" max="61" width="9.1640625" style="47" hidden="1" customWidth="1"/>
    <col min="62" max="16384" width="9.1640625" style="47"/>
  </cols>
  <sheetData>
    <row r="1" spans="1:61" x14ac:dyDescent="0.2">
      <c r="H1" s="805" t="s">
        <v>2149</v>
      </c>
      <c r="I1" s="768" t="str">
        <f ca="1">IF(OR(AG3,AI3),"Errors on page, no Level reached","Total Chapter Points: "&amp;AG2)</f>
        <v>Errors on page, no Level reached</v>
      </c>
      <c r="J1" s="768"/>
      <c r="K1" s="768"/>
      <c r="L1" s="768"/>
      <c r="M1" s="806"/>
      <c r="N1" s="806"/>
      <c r="O1" s="806"/>
      <c r="P1" s="806"/>
      <c r="Q1" s="806"/>
      <c r="R1" s="806"/>
      <c r="S1" s="806"/>
      <c r="T1" s="806"/>
      <c r="U1" s="806"/>
      <c r="V1" s="806"/>
      <c r="W1" s="806"/>
      <c r="X1" s="337" t="s">
        <v>2150</v>
      </c>
      <c r="Y1" s="562"/>
      <c r="Z1" s="562"/>
      <c r="AA1" s="562"/>
      <c r="AB1" s="562"/>
      <c r="AC1" s="562"/>
      <c r="AD1" s="562"/>
      <c r="AE1" s="562"/>
      <c r="AF1" s="594" t="s">
        <v>3221</v>
      </c>
      <c r="AG1" s="562" t="str">
        <f ca="1">IF(OR(AG3,AI3),"None",Ch10Level)</f>
        <v>None</v>
      </c>
      <c r="AH1" s="562"/>
      <c r="AI1" s="562"/>
      <c r="AJ1" s="562"/>
      <c r="AK1" s="562"/>
      <c r="AL1" s="562"/>
      <c r="AM1" s="562"/>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x14ac:dyDescent="0.2">
      <c r="H2" s="805"/>
      <c r="I2" s="769" t="str">
        <f ca="1">IF(OR(AG3,AI3),"Errors on page, no Level reached","Total Project Points: "&amp;Dpoints)</f>
        <v>Errors on page, no Level reached</v>
      </c>
      <c r="J2" s="769"/>
      <c r="K2" s="769"/>
      <c r="L2" s="769"/>
      <c r="M2" s="806"/>
      <c r="N2" s="806"/>
      <c r="O2" s="806"/>
      <c r="P2" s="806"/>
      <c r="Q2" s="806"/>
      <c r="R2" s="806"/>
      <c r="S2" s="806"/>
      <c r="T2" s="806"/>
      <c r="U2" s="806"/>
      <c r="V2" s="806"/>
      <c r="W2" s="806"/>
      <c r="X2" s="337" t="s">
        <v>2152</v>
      </c>
      <c r="Y2" s="562"/>
      <c r="Z2" s="562"/>
      <c r="AA2" s="562"/>
      <c r="AB2" s="562"/>
      <c r="AC2" s="562"/>
      <c r="AD2" s="562"/>
      <c r="AE2" s="562"/>
      <c r="AF2" s="594" t="s">
        <v>3222</v>
      </c>
      <c r="AG2" s="562">
        <f ca="1">INDIRECT(AF2)</f>
        <v>0</v>
      </c>
      <c r="AH2" s="562" t="s">
        <v>3223</v>
      </c>
      <c r="AI2" s="562" t="e">
        <f ca="1">INDIRECT(AH2)</f>
        <v>#REF!</v>
      </c>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H3" s="805"/>
      <c r="I3" s="769" t="str">
        <f ca="1">IF(OR(AG3,AI3),"Errors on page, no Level reached","Total Project Level: "&amp;Dlevel)</f>
        <v>Errors on page, no Level reached</v>
      </c>
      <c r="J3" s="769"/>
      <c r="K3" s="769"/>
      <c r="L3" s="769"/>
      <c r="M3" s="806"/>
      <c r="N3" s="806"/>
      <c r="O3" s="806"/>
      <c r="P3" s="806"/>
      <c r="Q3" s="806"/>
      <c r="R3" s="806"/>
      <c r="S3" s="806"/>
      <c r="T3" s="806"/>
      <c r="U3" s="806"/>
      <c r="V3" s="806"/>
      <c r="W3" s="806"/>
      <c r="X3" s="337" t="s">
        <v>2154</v>
      </c>
      <c r="Y3" s="562"/>
      <c r="Z3" s="562"/>
      <c r="AA3" s="562"/>
      <c r="AB3" s="562"/>
      <c r="AC3" s="562"/>
      <c r="AD3" s="562"/>
      <c r="AE3" s="562"/>
      <c r="AF3" s="594" t="s">
        <v>3224</v>
      </c>
      <c r="AG3" s="562" t="b">
        <f ca="1">OR(AE:AE)</f>
        <v>1</v>
      </c>
      <c r="AH3" s="594" t="s">
        <v>3225</v>
      </c>
      <c r="AI3" s="562" t="b">
        <f>OR(AD:AD)</f>
        <v>0</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x14ac:dyDescent="0.2">
      <c r="H4" s="805"/>
      <c r="I4" s="778"/>
      <c r="J4" s="779"/>
      <c r="K4" s="779"/>
      <c r="L4" s="780"/>
      <c r="M4" s="806"/>
      <c r="N4" s="806"/>
      <c r="O4" s="806"/>
      <c r="P4" s="806"/>
      <c r="Q4" s="806"/>
      <c r="R4" s="806"/>
      <c r="S4" s="806"/>
      <c r="T4" s="806"/>
      <c r="U4" s="806"/>
      <c r="V4" s="806"/>
      <c r="W4" s="806"/>
      <c r="X4" s="715" t="s">
        <v>46</v>
      </c>
      <c r="Y4" s="562"/>
      <c r="Z4" s="56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x14ac:dyDescent="0.2">
      <c r="H5" s="805"/>
      <c r="I5" s="781" t="str">
        <f>"Revision Date:  "&amp;TEXT('Info &amp; Intro'!E7,"m/d/yyyy")</f>
        <v>Revision Date:  11/30/2020</v>
      </c>
      <c r="J5" s="782"/>
      <c r="K5" s="782"/>
      <c r="L5" s="783"/>
      <c r="M5" s="806"/>
      <c r="N5" s="806"/>
      <c r="O5" s="806"/>
      <c r="P5" s="806"/>
      <c r="Q5" s="806"/>
      <c r="R5" s="806"/>
      <c r="S5" s="806"/>
      <c r="T5" s="806"/>
      <c r="U5" s="806"/>
      <c r="V5" s="806"/>
      <c r="W5" s="806"/>
      <c r="X5" s="715"/>
      <c r="Y5" s="562"/>
      <c r="Z5" s="56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x14ac:dyDescent="0.2">
      <c r="H6" s="805"/>
      <c r="I6" s="788" t="s">
        <v>2157</v>
      </c>
      <c r="J6" s="789"/>
      <c r="K6" s="790"/>
      <c r="L6" s="784" t="s">
        <v>3226</v>
      </c>
      <c r="M6" s="784" t="s">
        <v>2159</v>
      </c>
      <c r="N6" s="784"/>
      <c r="O6" s="23" t="s">
        <v>2160</v>
      </c>
      <c r="P6" s="784" t="s">
        <v>2161</v>
      </c>
      <c r="Q6" s="784" t="s">
        <v>2162</v>
      </c>
      <c r="R6" s="784" t="s">
        <v>2163</v>
      </c>
      <c r="S6" s="784" t="s">
        <v>2164</v>
      </c>
      <c r="T6" s="784" t="s">
        <v>2165</v>
      </c>
      <c r="U6" s="784" t="s">
        <v>2166</v>
      </c>
      <c r="V6" s="784"/>
      <c r="W6" s="784" t="s">
        <v>2167</v>
      </c>
      <c r="X6" s="770" t="s">
        <v>2168</v>
      </c>
      <c r="Y6" s="562"/>
      <c r="Z6" s="562"/>
      <c r="AA6" s="562"/>
      <c r="AB6" s="562"/>
      <c r="AC6" s="588" t="s">
        <v>2169</v>
      </c>
      <c r="AD6" s="588" t="s">
        <v>2165</v>
      </c>
      <c r="AE6" s="588" t="s">
        <v>2170</v>
      </c>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x14ac:dyDescent="0.2">
      <c r="H7" s="805"/>
      <c r="I7" s="788"/>
      <c r="J7" s="789"/>
      <c r="K7" s="790"/>
      <c r="L7" s="785"/>
      <c r="M7" s="785"/>
      <c r="N7" s="785"/>
      <c r="O7" s="23" t="s">
        <v>2171</v>
      </c>
      <c r="P7" s="785"/>
      <c r="Q7" s="785"/>
      <c r="R7" s="785"/>
      <c r="S7" s="785"/>
      <c r="T7" s="785"/>
      <c r="U7" s="785"/>
      <c r="V7" s="785"/>
      <c r="W7" s="785"/>
      <c r="X7" s="771"/>
      <c r="Y7" s="562"/>
      <c r="Z7" s="562"/>
      <c r="AA7" s="562"/>
      <c r="AB7" s="562"/>
      <c r="AC7" s="588" t="s">
        <v>2169</v>
      </c>
      <c r="AD7" s="588" t="s">
        <v>2165</v>
      </c>
      <c r="AE7" s="588" t="s">
        <v>2170</v>
      </c>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s="439" customFormat="1" hidden="1" x14ac:dyDescent="0.2">
      <c r="A8" s="13"/>
      <c r="B8" s="13"/>
      <c r="C8" s="13"/>
      <c r="D8" s="13"/>
      <c r="E8" s="13"/>
      <c r="F8" s="13"/>
      <c r="G8" s="13"/>
      <c r="H8" s="13"/>
      <c r="I8" s="604"/>
      <c r="J8" s="604"/>
      <c r="K8" s="604"/>
      <c r="L8" s="602"/>
      <c r="M8" s="602"/>
      <c r="N8" s="602"/>
      <c r="O8" s="23"/>
      <c r="P8" s="602"/>
      <c r="Q8" s="602"/>
      <c r="R8" s="602"/>
      <c r="S8" s="602"/>
      <c r="T8" s="602"/>
      <c r="U8" s="602"/>
      <c r="V8" s="602"/>
      <c r="W8" s="602"/>
      <c r="X8" s="604"/>
      <c r="Y8" s="562"/>
      <c r="Z8" s="562"/>
      <c r="AA8" s="562"/>
      <c r="AB8" s="562"/>
      <c r="AC8" s="588"/>
      <c r="AD8" s="588"/>
      <c r="AE8" s="588"/>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ht="19" x14ac:dyDescent="0.25">
      <c r="A9" s="13" t="s">
        <v>48</v>
      </c>
      <c r="B9" s="13" t="s">
        <v>48</v>
      </c>
      <c r="C9" s="13" t="s">
        <v>48</v>
      </c>
      <c r="D9" s="13" t="s">
        <v>48</v>
      </c>
      <c r="E9" s="13" t="s">
        <v>48</v>
      </c>
      <c r="F9" s="13" t="s">
        <v>48</v>
      </c>
      <c r="G9" s="13" t="s">
        <v>48</v>
      </c>
      <c r="H9" s="443"/>
      <c r="I9" s="15" t="s">
        <v>3227</v>
      </c>
      <c r="J9" s="15"/>
      <c r="K9" s="15"/>
      <c r="L9" s="16"/>
      <c r="M9" s="17"/>
      <c r="N9" s="562" t="s">
        <v>48</v>
      </c>
      <c r="O9" s="17"/>
      <c r="P9" s="562" t="s">
        <v>48</v>
      </c>
      <c r="Q9" s="562" t="s">
        <v>48</v>
      </c>
      <c r="R9" s="562" t="s">
        <v>48</v>
      </c>
      <c r="S9" s="562" t="s">
        <v>48</v>
      </c>
      <c r="T9" s="562" t="s">
        <v>48</v>
      </c>
      <c r="U9" s="562" t="s">
        <v>48</v>
      </c>
      <c r="V9" s="562" t="s">
        <v>48</v>
      </c>
      <c r="W9" s="16"/>
      <c r="X9" s="16"/>
      <c r="Y9" s="586" t="s">
        <v>48</v>
      </c>
      <c r="Z9" s="586" t="s">
        <v>48</v>
      </c>
      <c r="AA9" s="586" t="s">
        <v>48</v>
      </c>
      <c r="AB9" s="586" t="s">
        <v>48</v>
      </c>
      <c r="AC9" s="586" t="s">
        <v>48</v>
      </c>
      <c r="AD9" s="586" t="s">
        <v>48</v>
      </c>
      <c r="AE9" s="586" t="s">
        <v>48</v>
      </c>
      <c r="AF9" s="586" t="s">
        <v>48</v>
      </c>
      <c r="AG9" s="586" t="s">
        <v>48</v>
      </c>
      <c r="AH9" s="586" t="s">
        <v>48</v>
      </c>
      <c r="AI9" s="586" t="s">
        <v>48</v>
      </c>
      <c r="AJ9" s="586" t="s">
        <v>48</v>
      </c>
      <c r="AK9" s="586" t="s">
        <v>48</v>
      </c>
      <c r="AL9" s="586" t="s">
        <v>48</v>
      </c>
      <c r="AM9" s="586" t="s">
        <v>48</v>
      </c>
      <c r="AN9" s="586" t="s">
        <v>48</v>
      </c>
      <c r="AO9" s="586" t="s">
        <v>48</v>
      </c>
      <c r="AP9" s="586" t="s">
        <v>48</v>
      </c>
      <c r="AQ9" s="586" t="s">
        <v>48</v>
      </c>
      <c r="AR9" s="586" t="s">
        <v>48</v>
      </c>
      <c r="AS9" s="586" t="s">
        <v>48</v>
      </c>
      <c r="AT9" s="586" t="s">
        <v>48</v>
      </c>
      <c r="AU9" s="586" t="s">
        <v>48</v>
      </c>
      <c r="AV9" s="586" t="s">
        <v>48</v>
      </c>
      <c r="AW9" s="586" t="s">
        <v>48</v>
      </c>
      <c r="AX9" s="586" t="s">
        <v>48</v>
      </c>
      <c r="AY9" s="586" t="s">
        <v>48</v>
      </c>
      <c r="AZ9" s="586" t="s">
        <v>48</v>
      </c>
      <c r="BA9" s="586" t="s">
        <v>48</v>
      </c>
      <c r="BB9" s="586" t="s">
        <v>48</v>
      </c>
      <c r="BC9" s="586" t="s">
        <v>48</v>
      </c>
      <c r="BD9" s="586" t="s">
        <v>48</v>
      </c>
      <c r="BE9" s="586" t="s">
        <v>48</v>
      </c>
      <c r="BF9" s="586" t="s">
        <v>48</v>
      </c>
      <c r="BG9" s="586" t="s">
        <v>48</v>
      </c>
      <c r="BH9" s="586" t="s">
        <v>48</v>
      </c>
      <c r="BI9" s="586" t="s">
        <v>48</v>
      </c>
    </row>
    <row r="10" spans="1:61" x14ac:dyDescent="0.2">
      <c r="B10" s="358" t="s">
        <v>3228</v>
      </c>
      <c r="C10" s="14"/>
      <c r="D10" s="14"/>
      <c r="E10" s="14"/>
      <c r="F10" s="14"/>
      <c r="G10" s="14"/>
      <c r="H10" s="441"/>
      <c r="I10" s="184" t="s">
        <v>3229</v>
      </c>
      <c r="J10" s="98"/>
      <c r="K10" s="98"/>
      <c r="L10" s="820" t="s">
        <v>3230</v>
      </c>
      <c r="M10" s="607"/>
      <c r="N10" s="64"/>
      <c r="O10" s="64"/>
      <c r="P10" s="64"/>
      <c r="Q10" s="64"/>
      <c r="R10" s="64"/>
      <c r="S10" s="64"/>
      <c r="T10" s="64"/>
      <c r="U10" s="64"/>
      <c r="V10" s="64"/>
      <c r="W10" s="64"/>
      <c r="X10" s="64"/>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ht="16" thickBot="1" x14ac:dyDescent="0.25">
      <c r="B11" s="358" t="s">
        <v>3228</v>
      </c>
      <c r="C11" s="14"/>
      <c r="D11" s="14"/>
      <c r="E11" s="14"/>
      <c r="F11" s="14"/>
      <c r="G11" s="14"/>
      <c r="H11" s="441"/>
      <c r="I11" s="185"/>
      <c r="J11" s="185"/>
      <c r="K11" s="185"/>
      <c r="L11" s="822"/>
      <c r="M11" s="622"/>
      <c r="N11" s="68"/>
      <c r="O11" s="68"/>
      <c r="P11" s="68"/>
      <c r="Q11" s="68"/>
      <c r="R11" s="68"/>
      <c r="S11" s="68"/>
      <c r="T11" s="68"/>
      <c r="U11" s="68"/>
      <c r="V11" s="68"/>
      <c r="W11" s="68"/>
      <c r="X11" s="68"/>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94" t="str">
        <f>'Overview (Design)'!A8</f>
        <v>Builder Name:</v>
      </c>
      <c r="AY11" s="562" t="str">
        <f>'Overview (Design)'!G8</f>
        <v>AAA Green Builders</v>
      </c>
      <c r="AZ11" s="562"/>
      <c r="BA11" s="562"/>
      <c r="BB11" s="562"/>
      <c r="BC11" s="562"/>
      <c r="BD11" s="562"/>
      <c r="BE11" s="562"/>
      <c r="BF11" s="562"/>
      <c r="BG11" s="562"/>
      <c r="BH11" s="562"/>
      <c r="BI11" s="562"/>
    </row>
    <row r="12" spans="1:61" ht="16" thickTop="1" x14ac:dyDescent="0.2">
      <c r="B12" s="358">
        <v>1001.1</v>
      </c>
      <c r="C12" s="14"/>
      <c r="D12" s="14"/>
      <c r="E12" s="14"/>
      <c r="F12" s="14"/>
      <c r="G12" s="14"/>
      <c r="H12" s="441"/>
      <c r="I12" s="107" t="s">
        <v>3231</v>
      </c>
      <c r="J12" s="3"/>
      <c r="K12" s="3"/>
      <c r="L12" s="775" t="s">
        <v>3232</v>
      </c>
      <c r="M12" s="864" t="s">
        <v>3055</v>
      </c>
      <c r="N12" s="3"/>
      <c r="O12" s="795">
        <f>MIN(IF(AND(COUNTIF(W15:W17,TRUE)=3,S15),ROUNDDOWN(COUNTIF(W21:W61,TRUE)/2,0),0),8)</f>
        <v>0</v>
      </c>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190" t="str">
        <f>SUBSTITUTE(SUBSTITUTE(SUBSTITUTE("dpa"&amp;$B12&amp;$C12&amp;$D12&amp;$E12&amp;$F12,".","_"),"(","_"),")","")</f>
        <v>dpa1001,1</v>
      </c>
      <c r="AM12" s="190" t="str">
        <f>M12</f>
        <v>1
8 Max</v>
      </c>
      <c r="AN12" s="190" t="str">
        <f>SUBSTITUTE(SUBSTITUTE(SUBSTITUTE("dpc"&amp;$B12&amp;$C12&amp;$D12&amp;$E12&amp;$F12,".","_"),"(","_"),")","")</f>
        <v>dpc1001,1</v>
      </c>
      <c r="AO12" s="190">
        <f>O12</f>
        <v>0</v>
      </c>
      <c r="AP12" s="562"/>
      <c r="AQ12" s="562"/>
      <c r="AR12" s="562"/>
      <c r="AS12" s="562"/>
      <c r="AT12" s="562"/>
      <c r="AU12" s="562"/>
      <c r="AV12" s="562"/>
      <c r="AW12" s="562"/>
      <c r="AX12" s="594" t="str">
        <f>'Overview (Design)'!A9</f>
        <v>Physical Address of Home:</v>
      </c>
      <c r="AY12" s="562" t="str">
        <f>'Overview (Design)'!G9</f>
        <v>6666 Oak St.</v>
      </c>
      <c r="AZ12" s="562"/>
      <c r="BA12" s="562"/>
      <c r="BB12" s="562"/>
      <c r="BC12" s="562"/>
      <c r="BD12" s="562"/>
      <c r="BE12" s="562"/>
      <c r="BF12" s="562"/>
      <c r="BG12" s="562"/>
      <c r="BH12" s="562"/>
      <c r="BI12" s="562"/>
    </row>
    <row r="13" spans="1:61" x14ac:dyDescent="0.2">
      <c r="B13" s="358">
        <v>1001.1</v>
      </c>
      <c r="C13" s="14"/>
      <c r="D13" s="14"/>
      <c r="E13" s="14"/>
      <c r="F13" s="14"/>
      <c r="G13" s="14"/>
      <c r="H13" s="441"/>
      <c r="I13" s="3"/>
      <c r="J13" s="3"/>
      <c r="K13" s="3"/>
      <c r="L13" s="775"/>
      <c r="M13" s="864"/>
      <c r="N13" s="3"/>
      <c r="O13" s="795"/>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190"/>
      <c r="AM13" s="190"/>
      <c r="AN13" s="190"/>
      <c r="AO13" s="190"/>
      <c r="AP13" s="190"/>
      <c r="AQ13" s="190"/>
      <c r="AR13" s="190"/>
      <c r="AS13" s="190"/>
      <c r="AT13" s="562"/>
      <c r="AU13" s="562"/>
      <c r="AV13" s="562"/>
      <c r="AW13" s="562"/>
      <c r="AX13" s="594" t="str">
        <f>'Overview (Design)'!A10</f>
        <v>Community/Lot #:</v>
      </c>
      <c r="AY13" s="562">
        <f>'Overview (Design)'!G10</f>
        <v>0</v>
      </c>
      <c r="AZ13" s="562"/>
      <c r="BA13" s="562"/>
      <c r="BB13" s="562"/>
      <c r="BC13" s="562"/>
      <c r="BD13" s="562"/>
      <c r="BE13" s="562"/>
      <c r="BF13" s="562"/>
      <c r="BG13" s="562"/>
      <c r="BH13" s="562"/>
      <c r="BI13" s="562"/>
    </row>
    <row r="14" spans="1:61" x14ac:dyDescent="0.2">
      <c r="B14" s="358">
        <v>1001.1</v>
      </c>
      <c r="C14" s="14"/>
      <c r="D14" s="14"/>
      <c r="E14" s="14"/>
      <c r="F14" s="14"/>
      <c r="G14" s="14"/>
      <c r="H14" s="441"/>
      <c r="I14" s="3"/>
      <c r="J14" s="3"/>
      <c r="K14" s="3"/>
      <c r="L14" s="175" t="s">
        <v>3233</v>
      </c>
      <c r="M14" s="864"/>
      <c r="N14" s="3"/>
      <c r="O14" s="795"/>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94" t="str">
        <f>'Overview (Design)'!A11</f>
        <v>City:</v>
      </c>
      <c r="AY14" s="562" t="str">
        <f>'Overview (Design)'!G11</f>
        <v>Raleigh</v>
      </c>
      <c r="AZ14" s="562"/>
      <c r="BA14" s="562"/>
      <c r="BB14" s="562"/>
      <c r="BC14" s="562"/>
      <c r="BD14" s="562"/>
      <c r="BE14" s="562"/>
      <c r="BF14" s="562"/>
      <c r="BG14" s="562"/>
      <c r="BH14" s="562"/>
      <c r="BI14" s="562"/>
    </row>
    <row r="15" spans="1:61" x14ac:dyDescent="0.2">
      <c r="B15" s="358">
        <v>1001.1</v>
      </c>
      <c r="C15" s="14"/>
      <c r="D15" s="14"/>
      <c r="E15" s="14" t="s">
        <v>2181</v>
      </c>
      <c r="F15" s="14"/>
      <c r="G15" s="14"/>
      <c r="H15" s="441"/>
      <c r="I15" s="3"/>
      <c r="J15" s="159" t="s">
        <v>2181</v>
      </c>
      <c r="K15" s="165"/>
      <c r="L15" s="599" t="s">
        <v>3234</v>
      </c>
      <c r="M15" s="636" t="str">
        <f t="shared" ref="M15:M20" si="0">IF(R15,"Mandatory","N/A")</f>
        <v>Mandatory</v>
      </c>
      <c r="N15" s="3"/>
      <c r="O15" s="609"/>
      <c r="P15" s="562" t="b">
        <v>0</v>
      </c>
      <c r="Q15" s="562" t="b">
        <v>1</v>
      </c>
      <c r="R15" s="562" t="b">
        <f>S15</f>
        <v>1</v>
      </c>
      <c r="S15" s="562" t="b">
        <f>IF(AY19=INDEX(ddSingleOrMulti,1),TRUE,FALSE)</f>
        <v>1</v>
      </c>
      <c r="T15" s="64" t="b">
        <f>AND(NOT(S15),W15=TRUE)</f>
        <v>0</v>
      </c>
      <c r="U15" s="562"/>
      <c r="V15" s="562"/>
      <c r="W15" s="18"/>
      <c r="X15" s="563"/>
      <c r="Y15" s="562"/>
      <c r="Z15" s="562"/>
      <c r="AA15" s="562"/>
      <c r="AB15" s="562"/>
      <c r="AC15" s="562" t="b">
        <f>OR(AD15:AE15)</f>
        <v>1</v>
      </c>
      <c r="AD15" s="562" t="b">
        <f>T15</f>
        <v>0</v>
      </c>
      <c r="AE15" s="562" t="b">
        <f>AND(R15,NOT(W15=TRUE))</f>
        <v>1</v>
      </c>
      <c r="AF15" s="562"/>
      <c r="AG15" s="562"/>
      <c r="AH15" s="562"/>
      <c r="AI15" s="562"/>
      <c r="AJ15" s="562"/>
      <c r="AK15" s="562"/>
      <c r="AL15" s="190" t="str">
        <f t="shared" ref="AL15:AL17" si="1">SUBSTITUTE(SUBSTITUTE(SUBSTITUTE("dpa"&amp;$B15&amp;$C15&amp;$D15&amp;$E15&amp;$F15,".","_"),"(","_"),")","")</f>
        <v>dpa1001,1_1</v>
      </c>
      <c r="AM15" s="190" t="str">
        <f>M15</f>
        <v>Mandatory</v>
      </c>
      <c r="AN15" s="190"/>
      <c r="AO15" s="190"/>
      <c r="AP15" s="190" t="str">
        <f t="shared" ref="AP15:AP17" si="2">SUBSTITUTE(SUBSTITUTE(SUBSTITUTE("dch"&amp;$B15&amp;$C15&amp;$D15&amp;$E15&amp;$F15,".","_"),"(","_"),")","")</f>
        <v>dch1001,1_1</v>
      </c>
      <c r="AQ15" s="190">
        <f>W15</f>
        <v>0</v>
      </c>
      <c r="AR15" s="190" t="str">
        <f>SUBSTITUTE(SUBSTITUTE(SUBSTITUTE("dnt"&amp;$B15&amp;$C15&amp;$D15&amp;$E15&amp;$F15,".","_"),"(","_"),")","")</f>
        <v>dnt1001,1_1</v>
      </c>
      <c r="AS15" s="190">
        <f>X15</f>
        <v>0</v>
      </c>
      <c r="AT15" s="562"/>
      <c r="AU15" s="562"/>
      <c r="AV15" s="562"/>
      <c r="AW15" s="562"/>
      <c r="AX15" s="594" t="str">
        <f>'Overview (Design)'!A12</f>
        <v>State:</v>
      </c>
      <c r="AY15" s="562" t="str">
        <f>'Overview (Design)'!G12</f>
        <v>North Carolina</v>
      </c>
      <c r="AZ15" s="562"/>
      <c r="BA15" s="562"/>
      <c r="BB15" s="562"/>
      <c r="BC15" s="562" t="str">
        <f>'Overview (Design)'!K12</f>
        <v>State</v>
      </c>
      <c r="BD15" s="562" t="str">
        <f>'Overview (Design)'!L12</f>
        <v>County</v>
      </c>
      <c r="BE15" s="562" t="str">
        <f>'Overview (Design)'!M12</f>
        <v>Radon</v>
      </c>
      <c r="BF15" s="562" t="str">
        <f>'Overview (Design)'!N12</f>
        <v>Climate</v>
      </c>
      <c r="BG15" s="562" t="str">
        <f>'Overview (Design)'!O12</f>
        <v>Moist</v>
      </c>
      <c r="BH15" s="562" t="str">
        <f>'Overview (Design)'!P12</f>
        <v>WarmHumid</v>
      </c>
      <c r="BI15" s="562" t="str">
        <f>'Overview (Design)'!Q12</f>
        <v>Tropical</v>
      </c>
    </row>
    <row r="16" spans="1:61" x14ac:dyDescent="0.2">
      <c r="B16" s="358">
        <v>1001.1</v>
      </c>
      <c r="C16" s="14"/>
      <c r="D16" s="14"/>
      <c r="E16" s="14" t="s">
        <v>2183</v>
      </c>
      <c r="F16" s="14"/>
      <c r="G16" s="14"/>
      <c r="H16" s="441"/>
      <c r="I16" s="3"/>
      <c r="J16" s="161" t="s">
        <v>2183</v>
      </c>
      <c r="K16" s="186"/>
      <c r="L16" s="205" t="s">
        <v>3235</v>
      </c>
      <c r="M16" s="630" t="str">
        <f t="shared" si="0"/>
        <v>Mandatory</v>
      </c>
      <c r="N16" s="3"/>
      <c r="O16" s="609"/>
      <c r="P16" s="562" t="b">
        <v>0</v>
      </c>
      <c r="Q16" s="562" t="b">
        <v>1</v>
      </c>
      <c r="R16" s="562" t="b">
        <f>S16</f>
        <v>1</v>
      </c>
      <c r="S16" s="562" t="b">
        <f>IF(AY19=INDEX(ddSingleOrMulti,1),TRUE,FALSE)</f>
        <v>1</v>
      </c>
      <c r="T16" s="64" t="b">
        <f>AND(NOT(S16),W16=TRUE)</f>
        <v>0</v>
      </c>
      <c r="U16" s="562"/>
      <c r="V16" s="562"/>
      <c r="W16" s="18"/>
      <c r="X16" s="563"/>
      <c r="Y16" s="562"/>
      <c r="Z16" s="562"/>
      <c r="AA16" s="562"/>
      <c r="AB16" s="562"/>
      <c r="AC16" s="562" t="b">
        <f>OR(AD16:AE16)</f>
        <v>1</v>
      </c>
      <c r="AD16" s="562" t="b">
        <f>T16</f>
        <v>0</v>
      </c>
      <c r="AE16" s="562" t="b">
        <f>AND(R16,NOT(W16=TRUE))</f>
        <v>1</v>
      </c>
      <c r="AF16" s="562"/>
      <c r="AG16" s="562"/>
      <c r="AH16" s="562"/>
      <c r="AI16" s="562"/>
      <c r="AJ16" s="562"/>
      <c r="AK16" s="562"/>
      <c r="AL16" s="190" t="str">
        <f t="shared" si="1"/>
        <v>dpa1001,1_2</v>
      </c>
      <c r="AM16" s="190" t="str">
        <f>M16</f>
        <v>Mandatory</v>
      </c>
      <c r="AN16" s="562"/>
      <c r="AO16" s="562"/>
      <c r="AP16" s="190" t="str">
        <f t="shared" si="2"/>
        <v>dch1001,1_2</v>
      </c>
      <c r="AQ16" s="190">
        <f>W16</f>
        <v>0</v>
      </c>
      <c r="AR16" s="190" t="str">
        <f>SUBSTITUTE(SUBSTITUTE(SUBSTITUTE("dnt"&amp;$B16&amp;$C16&amp;$D16&amp;$E16&amp;$F16,".","_"),"(","_"),")","")</f>
        <v>dnt1001,1_2</v>
      </c>
      <c r="AS16" s="190">
        <f>X16</f>
        <v>0</v>
      </c>
      <c r="AT16" s="562"/>
      <c r="AU16" s="562"/>
      <c r="AV16" s="562"/>
      <c r="AW16" s="562"/>
      <c r="AX16" s="594" t="str">
        <f>'Overview (Design)'!A13</f>
        <v>County:</v>
      </c>
      <c r="AY16" s="562">
        <f>'Overview (Design)'!G13</f>
        <v>0</v>
      </c>
      <c r="AZ16" s="562"/>
      <c r="BA16" s="562"/>
      <c r="BB16" s="562"/>
      <c r="BC16" s="562" t="str">
        <f>'Overview (Design)'!K13</f>
        <v>North Carolina</v>
      </c>
      <c r="BD16" s="562" t="str">
        <f>'Overview (Design)'!L13</f>
        <v/>
      </c>
      <c r="BE16" s="562" t="str">
        <f>'Overview (Design)'!M13</f>
        <v>!!</v>
      </c>
      <c r="BF16" s="562" t="str">
        <f>'Overview (Design)'!N13</f>
        <v>!!</v>
      </c>
      <c r="BG16" s="562" t="str">
        <f>'Overview (Design)'!O13</f>
        <v>!!</v>
      </c>
      <c r="BH16" s="562" t="str">
        <f>'Overview (Design)'!P13</f>
        <v>!!</v>
      </c>
      <c r="BI16" s="562" t="str">
        <f>'Overview (Design)'!Q13</f>
        <v>!!</v>
      </c>
    </row>
    <row r="17" spans="1:51" x14ac:dyDescent="0.2">
      <c r="B17" s="358">
        <v>1001.1</v>
      </c>
      <c r="C17" s="14"/>
      <c r="D17" s="14"/>
      <c r="E17" s="14" t="s">
        <v>2185</v>
      </c>
      <c r="F17" s="14"/>
      <c r="G17" s="14"/>
      <c r="H17" s="441"/>
      <c r="I17" s="3"/>
      <c r="J17" s="164" t="s">
        <v>2185</v>
      </c>
      <c r="K17" s="146"/>
      <c r="L17" s="831" t="s">
        <v>3236</v>
      </c>
      <c r="M17" s="867" t="str">
        <f t="shared" si="0"/>
        <v>Mandatory</v>
      </c>
      <c r="N17" s="3"/>
      <c r="O17" s="609"/>
      <c r="P17" s="562" t="b">
        <v>0</v>
      </c>
      <c r="Q17" s="562" t="b">
        <v>1</v>
      </c>
      <c r="R17" s="562" t="b">
        <f>S17</f>
        <v>1</v>
      </c>
      <c r="S17" s="562" t="b">
        <f>IF(AY19=INDEX(ddSingleOrMulti,1),TRUE,FALSE)</f>
        <v>1</v>
      </c>
      <c r="T17" s="64" t="b">
        <f>AND(NOT(S17),W17=TRUE)</f>
        <v>0</v>
      </c>
      <c r="U17" s="562"/>
      <c r="V17" s="562"/>
      <c r="W17" s="18"/>
      <c r="X17" s="825"/>
      <c r="Y17" s="562"/>
      <c r="Z17" s="562"/>
      <c r="AA17" s="562"/>
      <c r="AB17" s="562"/>
      <c r="AC17" s="562" t="b">
        <f>OR(AD17:AE17)</f>
        <v>1</v>
      </c>
      <c r="AD17" s="562" t="b">
        <f>T17</f>
        <v>0</v>
      </c>
      <c r="AE17" s="562" t="b">
        <f>AND(R17,NOT(W17=TRUE))</f>
        <v>1</v>
      </c>
      <c r="AF17" s="562"/>
      <c r="AG17" s="562"/>
      <c r="AH17" s="562"/>
      <c r="AI17" s="562"/>
      <c r="AJ17" s="562"/>
      <c r="AK17" s="562"/>
      <c r="AL17" s="190" t="str">
        <f t="shared" si="1"/>
        <v>dpa1001,1_3</v>
      </c>
      <c r="AM17" s="190" t="str">
        <f>M17</f>
        <v>Mandatory</v>
      </c>
      <c r="AN17" s="562"/>
      <c r="AO17" s="562"/>
      <c r="AP17" s="190" t="str">
        <f t="shared" si="2"/>
        <v>dch1001,1_3</v>
      </c>
      <c r="AQ17" s="190">
        <f>W17</f>
        <v>0</v>
      </c>
      <c r="AR17" s="190" t="str">
        <f>SUBSTITUTE(SUBSTITUTE(SUBSTITUTE("dnt"&amp;$B17&amp;$C17&amp;$D17&amp;$E17&amp;$F17,".","_"),"(","_"),")","")</f>
        <v>dnt1001,1_3</v>
      </c>
      <c r="AS17" s="190">
        <f>X17</f>
        <v>0</v>
      </c>
      <c r="AT17" s="562"/>
      <c r="AU17" s="562"/>
      <c r="AV17" s="562"/>
      <c r="AW17" s="562"/>
      <c r="AX17" s="594" t="str">
        <f>'Overview (Design)'!A14</f>
        <v>Zip:</v>
      </c>
      <c r="AY17" s="562" t="str">
        <f>'Overview (Design)'!G14</f>
        <v>99999</v>
      </c>
    </row>
    <row r="18" spans="1:51" x14ac:dyDescent="0.2">
      <c r="B18" s="358">
        <v>1001.1</v>
      </c>
      <c r="C18" s="14"/>
      <c r="D18" s="14"/>
      <c r="E18" s="14" t="s">
        <v>2185</v>
      </c>
      <c r="F18" s="14"/>
      <c r="G18" s="14"/>
      <c r="H18" s="441"/>
      <c r="I18" s="3"/>
      <c r="J18" s="134"/>
      <c r="K18" s="98"/>
      <c r="L18" s="791"/>
      <c r="M18" s="838" t="str">
        <f t="shared" si="0"/>
        <v>N/A</v>
      </c>
      <c r="N18" s="3"/>
      <c r="O18" s="609"/>
      <c r="P18" s="562"/>
      <c r="Q18" s="562"/>
      <c r="R18" s="562"/>
      <c r="S18" s="562"/>
      <c r="T18" s="562"/>
      <c r="U18" s="562"/>
      <c r="V18" s="562"/>
      <c r="W18" s="562"/>
      <c r="X18" s="797"/>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94"/>
      <c r="AY18" s="562"/>
    </row>
    <row r="19" spans="1:51" x14ac:dyDescent="0.2">
      <c r="B19" s="358">
        <v>1001.1</v>
      </c>
      <c r="C19" s="14"/>
      <c r="D19" s="14"/>
      <c r="E19" s="14" t="s">
        <v>2185</v>
      </c>
      <c r="F19" s="14"/>
      <c r="G19" s="14"/>
      <c r="H19" s="441"/>
      <c r="I19" s="3"/>
      <c r="J19" s="134"/>
      <c r="K19" s="98"/>
      <c r="L19" s="791"/>
      <c r="M19" s="838" t="str">
        <f t="shared" si="0"/>
        <v>N/A</v>
      </c>
      <c r="N19" s="3"/>
      <c r="O19" s="609"/>
      <c r="P19" s="562"/>
      <c r="Q19" s="562"/>
      <c r="R19" s="562"/>
      <c r="S19" s="562"/>
      <c r="T19" s="562"/>
      <c r="U19" s="562"/>
      <c r="V19" s="562"/>
      <c r="W19" s="562"/>
      <c r="X19" s="797"/>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94" t="str">
        <f>'Overview (Design)'!A16</f>
        <v>Single-Family or Multifamily:</v>
      </c>
      <c r="AY19" s="562" t="str">
        <f>'Overview (Design)'!G16</f>
        <v>Single-Family</v>
      </c>
    </row>
    <row r="20" spans="1:51" x14ac:dyDescent="0.2">
      <c r="B20" s="358">
        <v>1001.1</v>
      </c>
      <c r="C20" s="14"/>
      <c r="D20" s="14"/>
      <c r="E20" s="14" t="s">
        <v>2185</v>
      </c>
      <c r="F20" s="14"/>
      <c r="G20" s="14"/>
      <c r="H20" s="441"/>
      <c r="I20" s="3"/>
      <c r="J20" s="159"/>
      <c r="K20" s="165"/>
      <c r="L20" s="792"/>
      <c r="M20" s="854" t="str">
        <f t="shared" si="0"/>
        <v>N/A</v>
      </c>
      <c r="N20" s="3"/>
      <c r="O20" s="609"/>
      <c r="P20" s="562"/>
      <c r="Q20" s="562"/>
      <c r="R20" s="562"/>
      <c r="S20" s="562"/>
      <c r="T20" s="562"/>
      <c r="U20" s="562"/>
      <c r="V20" s="562"/>
      <c r="W20" s="562"/>
      <c r="X20" s="786"/>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94" t="str">
        <f>'Overview (Design)'!A17</f>
        <v>Number of Units:</v>
      </c>
      <c r="AY20" s="562">
        <f>'Overview (Design)'!G17</f>
        <v>0</v>
      </c>
    </row>
    <row r="21" spans="1:51" x14ac:dyDescent="0.2">
      <c r="B21" s="358">
        <v>1001.1</v>
      </c>
      <c r="C21" s="14"/>
      <c r="D21" s="14"/>
      <c r="E21" s="14" t="s">
        <v>2192</v>
      </c>
      <c r="F21" s="14"/>
      <c r="G21" s="14"/>
      <c r="H21" s="441"/>
      <c r="I21" s="3"/>
      <c r="J21" s="161" t="s">
        <v>2192</v>
      </c>
      <c r="K21" s="186"/>
      <c r="L21" s="205" t="s">
        <v>3237</v>
      </c>
      <c r="M21" s="609"/>
      <c r="N21" s="3"/>
      <c r="O21" s="609"/>
      <c r="P21" s="562" t="b">
        <v>0</v>
      </c>
      <c r="Q21" s="562" t="b">
        <v>1</v>
      </c>
      <c r="R21" s="562" t="b">
        <v>0</v>
      </c>
      <c r="S21" s="562" t="b">
        <f>IF(AY19=INDEX(ddSingleOrMulti,1),TRUE,FALSE)</f>
        <v>1</v>
      </c>
      <c r="T21" s="64" t="b">
        <f>AND(NOT(S21),W21=TRUE)</f>
        <v>0</v>
      </c>
      <c r="U21" s="562"/>
      <c r="V21" s="562"/>
      <c r="W21" s="18"/>
      <c r="X21" s="563"/>
      <c r="Y21" s="562"/>
      <c r="Z21" s="562"/>
      <c r="AA21" s="562"/>
      <c r="AB21" s="562"/>
      <c r="AC21" s="562" t="b">
        <f>OR(AD21:AE21)</f>
        <v>0</v>
      </c>
      <c r="AD21" s="562" t="b">
        <f>T21</f>
        <v>0</v>
      </c>
      <c r="AE21" s="562"/>
      <c r="AF21" s="562"/>
      <c r="AG21" s="562"/>
      <c r="AH21" s="562"/>
      <c r="AI21" s="562"/>
      <c r="AJ21" s="562"/>
      <c r="AK21" s="562"/>
      <c r="AL21" s="562"/>
      <c r="AM21" s="562"/>
      <c r="AN21" s="562"/>
      <c r="AO21" s="562"/>
      <c r="AP21" s="190" t="str">
        <f t="shared" ref="AP21:AP23" si="3">SUBSTITUTE(SUBSTITUTE(SUBSTITUTE("dch"&amp;$B21&amp;$C21&amp;$D21&amp;$E21&amp;$F21,".","_"),"(","_"),")","")</f>
        <v>dch1001,1_4</v>
      </c>
      <c r="AQ21" s="190">
        <f>W21</f>
        <v>0</v>
      </c>
      <c r="AR21" s="190" t="str">
        <f>SUBSTITUTE(SUBSTITUTE(SUBSTITUTE("dnt"&amp;$B21&amp;$C21&amp;$D21&amp;$E21&amp;$F21,".","_"),"(","_"),")","")</f>
        <v>dnt1001,1_4</v>
      </c>
      <c r="AS21" s="190">
        <f>X21</f>
        <v>0</v>
      </c>
      <c r="AT21" s="562"/>
      <c r="AU21" s="562"/>
      <c r="AV21" s="562"/>
      <c r="AW21" s="562"/>
      <c r="AX21" s="594" t="str">
        <f>'Overview (Design)'!A18</f>
        <v>Project Name:</v>
      </c>
      <c r="AY21" s="562">
        <f>'Overview (Design)'!G18</f>
        <v>0</v>
      </c>
    </row>
    <row r="22" spans="1:51" x14ac:dyDescent="0.2">
      <c r="B22" s="358">
        <v>1001.1</v>
      </c>
      <c r="C22" s="14"/>
      <c r="D22" s="14"/>
      <c r="E22" s="14" t="s">
        <v>2194</v>
      </c>
      <c r="F22" s="14"/>
      <c r="G22" s="14"/>
      <c r="H22" s="441"/>
      <c r="I22" s="3"/>
      <c r="J22" s="161" t="s">
        <v>2194</v>
      </c>
      <c r="K22" s="186"/>
      <c r="L22" s="205" t="s">
        <v>3238</v>
      </c>
      <c r="M22" s="609"/>
      <c r="N22" s="3"/>
      <c r="O22" s="609"/>
      <c r="P22" s="562" t="b">
        <v>0</v>
      </c>
      <c r="Q22" s="562" t="b">
        <v>1</v>
      </c>
      <c r="R22" s="562" t="b">
        <v>0</v>
      </c>
      <c r="S22" s="562" t="b">
        <f>IF(AY19=INDEX(ddSingleOrMulti,1),TRUE,FALSE)</f>
        <v>1</v>
      </c>
      <c r="T22" s="64" t="b">
        <f>AND(NOT(S22),W22=TRUE)</f>
        <v>0</v>
      </c>
      <c r="U22" s="562"/>
      <c r="V22" s="562"/>
      <c r="W22" s="18"/>
      <c r="X22" s="563"/>
      <c r="Y22" s="562"/>
      <c r="Z22" s="562"/>
      <c r="AA22" s="562"/>
      <c r="AB22" s="562"/>
      <c r="AC22" s="562" t="b">
        <f>OR(AD22:AE22)</f>
        <v>0</v>
      </c>
      <c r="AD22" s="562" t="b">
        <f>T22</f>
        <v>0</v>
      </c>
      <c r="AE22" s="562"/>
      <c r="AF22" s="562"/>
      <c r="AG22" s="562"/>
      <c r="AH22" s="562"/>
      <c r="AI22" s="562"/>
      <c r="AJ22" s="562"/>
      <c r="AK22" s="562"/>
      <c r="AL22" s="562"/>
      <c r="AM22" s="562"/>
      <c r="AN22" s="562"/>
      <c r="AO22" s="562"/>
      <c r="AP22" s="190" t="str">
        <f t="shared" si="3"/>
        <v>dch1001,1_5</v>
      </c>
      <c r="AQ22" s="190">
        <f>W22</f>
        <v>0</v>
      </c>
      <c r="AR22" s="190" t="str">
        <f>SUBSTITUTE(SUBSTITUTE(SUBSTITUTE("dnt"&amp;$B22&amp;$C22&amp;$D22&amp;$E22&amp;$F22,".","_"),"(","_"),")","")</f>
        <v>dnt1001,1_5</v>
      </c>
      <c r="AS22" s="190">
        <f>X22</f>
        <v>0</v>
      </c>
      <c r="AT22" s="562"/>
      <c r="AU22" s="562"/>
      <c r="AV22" s="562"/>
      <c r="AW22" s="562"/>
      <c r="AX22" s="562"/>
      <c r="AY22" s="562"/>
    </row>
    <row r="23" spans="1:51" x14ac:dyDescent="0.2">
      <c r="B23" s="358">
        <v>1001.1</v>
      </c>
      <c r="C23" s="14"/>
      <c r="D23" s="14"/>
      <c r="E23" s="14" t="s">
        <v>2221</v>
      </c>
      <c r="F23" s="14"/>
      <c r="G23" s="14"/>
      <c r="H23" s="441"/>
      <c r="I23" s="3"/>
      <c r="J23" s="164" t="s">
        <v>2221</v>
      </c>
      <c r="K23" s="146"/>
      <c r="L23" s="831" t="s">
        <v>3239</v>
      </c>
      <c r="M23" s="609"/>
      <c r="N23" s="3"/>
      <c r="O23" s="609"/>
      <c r="P23" s="562" t="b">
        <v>0</v>
      </c>
      <c r="Q23" s="562" t="b">
        <v>1</v>
      </c>
      <c r="R23" s="562" t="b">
        <v>0</v>
      </c>
      <c r="S23" s="562" t="b">
        <f>IF(AY19=INDEX(ddSingleOrMulti,1),TRUE,FALSE)</f>
        <v>1</v>
      </c>
      <c r="T23" s="64" t="b">
        <f>AND(NOT(S23),W23=TRUE)</f>
        <v>0</v>
      </c>
      <c r="U23" s="562"/>
      <c r="V23" s="562"/>
      <c r="W23" s="18"/>
      <c r="X23" s="787"/>
      <c r="Y23" s="562"/>
      <c r="Z23" s="562"/>
      <c r="AA23" s="562"/>
      <c r="AB23" s="562"/>
      <c r="AC23" s="562" t="b">
        <f>OR(AD23:AE23)</f>
        <v>0</v>
      </c>
      <c r="AD23" s="562" t="b">
        <f>T23</f>
        <v>0</v>
      </c>
      <c r="AE23" s="562"/>
      <c r="AF23" s="562"/>
      <c r="AG23" s="562"/>
      <c r="AH23" s="562"/>
      <c r="AI23" s="562"/>
      <c r="AJ23" s="562"/>
      <c r="AK23" s="562"/>
      <c r="AL23" s="562"/>
      <c r="AM23" s="562"/>
      <c r="AN23" s="562"/>
      <c r="AO23" s="562"/>
      <c r="AP23" s="190" t="str">
        <f t="shared" si="3"/>
        <v>dch1001,1_6</v>
      </c>
      <c r="AQ23" s="190">
        <f>W23</f>
        <v>0</v>
      </c>
      <c r="AR23" s="190" t="str">
        <f>SUBSTITUTE(SUBSTITUTE(SUBSTITUTE("dnt"&amp;$B23&amp;$C23&amp;$D23&amp;$E23&amp;$F23,".","_"),"(","_"),")","")</f>
        <v>dnt1001,1_6</v>
      </c>
      <c r="AS23" s="190">
        <f>X23</f>
        <v>0</v>
      </c>
      <c r="AT23" s="562"/>
      <c r="AU23" s="562"/>
      <c r="AV23" s="562"/>
      <c r="AW23" s="562"/>
      <c r="AX23" s="594" t="str">
        <f>'Overview (Design)'!A20</f>
        <v>Year Built:</v>
      </c>
      <c r="AY23" s="562">
        <f>'Overview (Design)'!G20</f>
        <v>0</v>
      </c>
    </row>
    <row r="24" spans="1:51" x14ac:dyDescent="0.2">
      <c r="B24" s="358">
        <v>1001.1</v>
      </c>
      <c r="C24" s="14"/>
      <c r="D24" s="14"/>
      <c r="E24" s="14" t="s">
        <v>2221</v>
      </c>
      <c r="F24" s="14"/>
      <c r="G24" s="14"/>
      <c r="H24" s="441"/>
      <c r="I24" s="3"/>
      <c r="J24" s="159"/>
      <c r="K24" s="165"/>
      <c r="L24" s="792"/>
      <c r="M24" s="609"/>
      <c r="N24" s="3"/>
      <c r="O24" s="609"/>
      <c r="P24" s="562"/>
      <c r="Q24" s="562"/>
      <c r="R24" s="562"/>
      <c r="S24" s="562"/>
      <c r="T24" s="562"/>
      <c r="U24" s="562"/>
      <c r="V24" s="562"/>
      <c r="W24" s="562"/>
      <c r="X24" s="787"/>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94" t="str">
        <f>'Overview (Design)'!A21</f>
        <v>Above grade plane finished floor area:</v>
      </c>
      <c r="AY24" s="562">
        <f>'Overview (Design)'!G21</f>
        <v>0</v>
      </c>
    </row>
    <row r="25" spans="1:51" x14ac:dyDescent="0.2">
      <c r="B25" s="358">
        <v>1001.1</v>
      </c>
      <c r="C25" s="14"/>
      <c r="D25" s="14"/>
      <c r="E25" s="14" t="s">
        <v>2223</v>
      </c>
      <c r="F25" s="14"/>
      <c r="G25" s="14"/>
      <c r="H25" s="441"/>
      <c r="I25" s="3"/>
      <c r="J25" s="164" t="s">
        <v>2223</v>
      </c>
      <c r="K25" s="146"/>
      <c r="L25" s="831" t="s">
        <v>3240</v>
      </c>
      <c r="M25" s="609"/>
      <c r="N25" s="3"/>
      <c r="O25" s="609"/>
      <c r="P25" s="562" t="b">
        <v>0</v>
      </c>
      <c r="Q25" s="562" t="b">
        <v>1</v>
      </c>
      <c r="R25" s="562" t="b">
        <v>0</v>
      </c>
      <c r="S25" s="562" t="b">
        <f>IF(AY19=INDEX(ddSingleOrMulti,1),TRUE,FALSE)</f>
        <v>1</v>
      </c>
      <c r="T25" s="64" t="b">
        <f>AND(NOT(S25),W25=TRUE)</f>
        <v>0</v>
      </c>
      <c r="U25" s="562"/>
      <c r="V25" s="562"/>
      <c r="W25" s="18"/>
      <c r="X25" s="787"/>
      <c r="Y25" s="562"/>
      <c r="Z25" s="562"/>
      <c r="AA25" s="562"/>
      <c r="AB25" s="562"/>
      <c r="AC25" s="562" t="b">
        <f>OR(AD25:AE25)</f>
        <v>0</v>
      </c>
      <c r="AD25" s="562" t="b">
        <f>T25</f>
        <v>0</v>
      </c>
      <c r="AE25" s="562"/>
      <c r="AF25" s="562"/>
      <c r="AG25" s="562"/>
      <c r="AH25" s="562"/>
      <c r="AI25" s="562"/>
      <c r="AJ25" s="562"/>
      <c r="AK25" s="562"/>
      <c r="AL25" s="562"/>
      <c r="AM25" s="562"/>
      <c r="AN25" s="562"/>
      <c r="AO25" s="562"/>
      <c r="AP25" s="190" t="str">
        <f>SUBSTITUTE(SUBSTITUTE(SUBSTITUTE("dch"&amp;$B25&amp;$C25&amp;$D25&amp;$E25&amp;$F25,".","_"),"(","_"),")","")</f>
        <v>dch1001,1_7</v>
      </c>
      <c r="AQ25" s="190">
        <f>W25</f>
        <v>0</v>
      </c>
      <c r="AR25" s="190" t="str">
        <f>SUBSTITUTE(SUBSTITUTE(SUBSTITUTE("dnt"&amp;$B25&amp;$C25&amp;$D25&amp;$E25&amp;$F25,".","_"),"(","_"),")","")</f>
        <v>dnt1001,1_7</v>
      </c>
      <c r="AS25" s="190">
        <f>X25</f>
        <v>0</v>
      </c>
      <c r="AT25" s="562"/>
      <c r="AU25" s="562"/>
      <c r="AV25" s="562"/>
      <c r="AW25" s="562"/>
      <c r="AX25" s="594" t="str">
        <f>'Overview (Design)'!A22</f>
        <v>Total conditioned floor area:</v>
      </c>
      <c r="AY25" s="562">
        <f>'Overview (Design)'!G22</f>
        <v>0</v>
      </c>
    </row>
    <row r="26" spans="1:51" x14ac:dyDescent="0.2">
      <c r="B26" s="358">
        <v>1001.1</v>
      </c>
      <c r="C26" s="14"/>
      <c r="D26" s="14"/>
      <c r="E26" s="14" t="s">
        <v>2223</v>
      </c>
      <c r="F26" s="14"/>
      <c r="G26" s="14"/>
      <c r="H26" s="441"/>
      <c r="I26" s="3"/>
      <c r="J26" s="159"/>
      <c r="K26" s="165"/>
      <c r="L26" s="792"/>
      <c r="M26" s="609"/>
      <c r="N26" s="3"/>
      <c r="O26" s="609"/>
      <c r="P26" s="562"/>
      <c r="Q26" s="562"/>
      <c r="R26" s="562"/>
      <c r="S26" s="562"/>
      <c r="T26" s="562"/>
      <c r="U26" s="562"/>
      <c r="V26" s="562"/>
      <c r="W26" s="562"/>
      <c r="X26" s="787"/>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94" t="str">
        <f>'Overview (Design)'!A23</f>
        <v>Stories above grade:</v>
      </c>
      <c r="AY26" s="562">
        <f>'Overview (Design)'!G23</f>
        <v>0</v>
      </c>
    </row>
    <row r="27" spans="1:51" x14ac:dyDescent="0.2">
      <c r="B27" s="358">
        <v>1001.1</v>
      </c>
      <c r="C27" s="14"/>
      <c r="D27" s="14"/>
      <c r="E27" s="14" t="s">
        <v>2282</v>
      </c>
      <c r="F27" s="14"/>
      <c r="G27" s="14"/>
      <c r="H27" s="441"/>
      <c r="I27" s="3"/>
      <c r="J27" s="161" t="s">
        <v>2282</v>
      </c>
      <c r="K27" s="186"/>
      <c r="L27" s="205" t="s">
        <v>3241</v>
      </c>
      <c r="M27" s="609"/>
      <c r="N27" s="3"/>
      <c r="O27" s="609"/>
      <c r="P27" s="562" t="b">
        <v>0</v>
      </c>
      <c r="Q27" s="562" t="b">
        <v>1</v>
      </c>
      <c r="R27" s="562" t="b">
        <v>0</v>
      </c>
      <c r="S27" s="562" t="b">
        <f>IF(AY19=INDEX(ddSingleOrMulti,1),TRUE,FALSE)</f>
        <v>1</v>
      </c>
      <c r="T27" s="64" t="b">
        <f>AND(NOT(S27),W27=TRUE)</f>
        <v>0</v>
      </c>
      <c r="U27" s="562"/>
      <c r="V27" s="562"/>
      <c r="W27" s="18"/>
      <c r="X27" s="563"/>
      <c r="Y27" s="562"/>
      <c r="Z27" s="562"/>
      <c r="AA27" s="562"/>
      <c r="AB27" s="562"/>
      <c r="AC27" s="562" t="b">
        <f>OR(AD27:AE27)</f>
        <v>0</v>
      </c>
      <c r="AD27" s="562" t="b">
        <f>T27</f>
        <v>0</v>
      </c>
      <c r="AE27" s="562"/>
      <c r="AF27" s="562"/>
      <c r="AG27" s="562"/>
      <c r="AH27" s="562"/>
      <c r="AI27" s="562"/>
      <c r="AJ27" s="562"/>
      <c r="AK27" s="562"/>
      <c r="AL27" s="562"/>
      <c r="AM27" s="562"/>
      <c r="AN27" s="562"/>
      <c r="AO27" s="562"/>
      <c r="AP27" s="190" t="str">
        <f t="shared" ref="AP27:AP32" si="4">SUBSTITUTE(SUBSTITUTE(SUBSTITUTE("dch"&amp;$B27&amp;$C27&amp;$D27&amp;$E27&amp;$F27,".","_"),"(","_"),")","")</f>
        <v>dch1001,1_8</v>
      </c>
      <c r="AQ27" s="190">
        <f>W27</f>
        <v>0</v>
      </c>
      <c r="AR27" s="190" t="str">
        <f>SUBSTITUTE(SUBSTITUTE(SUBSTITUTE("dnt"&amp;$B27&amp;$C27&amp;$D27&amp;$E27&amp;$F27,".","_"),"(","_"),")","")</f>
        <v>dnt1001,1_8</v>
      </c>
      <c r="AS27" s="190">
        <f>X27</f>
        <v>0</v>
      </c>
      <c r="AT27" s="562"/>
      <c r="AU27" s="562"/>
      <c r="AV27" s="562"/>
      <c r="AW27" s="562"/>
      <c r="AX27" s="562"/>
      <c r="AY27" s="562"/>
    </row>
    <row r="28" spans="1:51" ht="15" customHeight="1" x14ac:dyDescent="0.2">
      <c r="B28" s="358">
        <v>1001.1</v>
      </c>
      <c r="C28" s="14"/>
      <c r="D28" s="14"/>
      <c r="E28" s="14" t="s">
        <v>2284</v>
      </c>
      <c r="F28" s="14"/>
      <c r="G28" s="14"/>
      <c r="H28" s="441"/>
      <c r="I28" s="3"/>
      <c r="J28" s="20" t="s">
        <v>2284</v>
      </c>
      <c r="K28" s="3"/>
      <c r="L28" s="857" t="s">
        <v>3242</v>
      </c>
      <c r="M28" s="829" t="str">
        <f ca="1">IF(R28,"Mandatory per 902.2.1","N/A")</f>
        <v>N/A</v>
      </c>
      <c r="N28" s="3"/>
      <c r="O28" s="609"/>
      <c r="P28" s="562" t="b">
        <v>0</v>
      </c>
      <c r="Q28" s="562" t="b">
        <v>1</v>
      </c>
      <c r="R28" s="1" t="b">
        <f ca="1">AND(S28,OR('Ch9'!O220&gt;0,'Ch9'!R220))</f>
        <v>0</v>
      </c>
      <c r="S28" s="562" t="b">
        <f>IF(AY19=INDEX(ddSingleOrMulti,1),TRUE,FALSE)</f>
        <v>1</v>
      </c>
      <c r="T28" s="64" t="b">
        <f>AND(NOT(S28),W28=TRUE)</f>
        <v>0</v>
      </c>
      <c r="U28" s="562"/>
      <c r="V28" s="562"/>
      <c r="W28" s="18"/>
      <c r="X28" s="825"/>
      <c r="Y28" s="562"/>
      <c r="Z28" s="562"/>
      <c r="AA28" s="562"/>
      <c r="AB28" s="562"/>
      <c r="AC28" s="562" t="b">
        <f ca="1">OR(AD28:AE28)</f>
        <v>0</v>
      </c>
      <c r="AD28" s="562" t="b">
        <f>T28</f>
        <v>0</v>
      </c>
      <c r="AE28" s="562" t="b">
        <f ca="1">AND(R28,NOT(W28=TRUE))</f>
        <v>0</v>
      </c>
      <c r="AF28" s="562"/>
      <c r="AG28" s="562"/>
      <c r="AH28" s="562"/>
      <c r="AI28" s="562"/>
      <c r="AJ28" s="562"/>
      <c r="AK28" s="562"/>
      <c r="AL28" s="562"/>
      <c r="AM28" s="562"/>
      <c r="AN28" s="562"/>
      <c r="AO28" s="562"/>
      <c r="AP28" s="190" t="str">
        <f t="shared" si="4"/>
        <v>dch1001,1_9</v>
      </c>
      <c r="AQ28" s="190">
        <f>W28</f>
        <v>0</v>
      </c>
      <c r="AR28" s="190" t="str">
        <f>SUBSTITUTE(SUBSTITUTE(SUBSTITUTE("dnt"&amp;$B28&amp;$C28&amp;$D28&amp;$E28&amp;$F28,".","_"),"(","_"),")","")</f>
        <v>dnt1001,1_9</v>
      </c>
      <c r="AS28" s="190">
        <f>X28</f>
        <v>0</v>
      </c>
      <c r="AT28" s="562"/>
      <c r="AU28" s="562"/>
      <c r="AV28" s="562"/>
      <c r="AW28" s="562"/>
      <c r="AX28" s="594" t="str">
        <f>'Overview (Design)'!A25</f>
        <v xml:space="preserve">Project Description (optional): </v>
      </c>
      <c r="AY28" s="562">
        <f>'Overview (Design)'!G25</f>
        <v>0</v>
      </c>
    </row>
    <row r="29" spans="1:51" s="438" customFormat="1" ht="15" customHeight="1" x14ac:dyDescent="0.2">
      <c r="A29" s="13"/>
      <c r="B29" s="358">
        <v>1001.1</v>
      </c>
      <c r="C29" s="14"/>
      <c r="D29" s="14"/>
      <c r="E29" s="14" t="s">
        <v>2284</v>
      </c>
      <c r="F29" s="14"/>
      <c r="G29" s="14"/>
      <c r="H29" s="441"/>
      <c r="I29" s="3"/>
      <c r="J29" s="20"/>
      <c r="K29" s="3"/>
      <c r="L29" s="777"/>
      <c r="M29" s="829"/>
      <c r="N29" s="3"/>
      <c r="O29" s="609"/>
      <c r="P29" s="562"/>
      <c r="Q29" s="562"/>
      <c r="R29" s="562"/>
      <c r="S29" s="562"/>
      <c r="T29" s="64"/>
      <c r="U29" s="562"/>
      <c r="V29" s="562"/>
      <c r="W29" s="562"/>
      <c r="X29" s="786"/>
      <c r="Y29" s="562"/>
      <c r="Z29" s="562"/>
      <c r="AA29" s="562"/>
      <c r="AB29" s="562"/>
      <c r="AC29" s="562"/>
      <c r="AD29" s="562"/>
      <c r="AE29" s="562"/>
      <c r="AF29" s="562"/>
      <c r="AG29" s="562"/>
      <c r="AH29" s="562"/>
      <c r="AI29" s="562"/>
      <c r="AJ29" s="562"/>
      <c r="AK29" s="562"/>
      <c r="AL29" s="562"/>
      <c r="AM29" s="562"/>
      <c r="AN29" s="562"/>
      <c r="AO29" s="562"/>
      <c r="AP29" s="190"/>
      <c r="AQ29" s="190"/>
      <c r="AR29" s="190"/>
      <c r="AS29" s="190"/>
      <c r="AT29" s="562"/>
      <c r="AU29" s="562"/>
      <c r="AV29" s="562"/>
      <c r="AW29" s="562"/>
      <c r="AX29" s="562"/>
      <c r="AY29" s="562"/>
    </row>
    <row r="30" spans="1:51" ht="15" customHeight="1" x14ac:dyDescent="0.2">
      <c r="B30" s="358">
        <v>1001.1</v>
      </c>
      <c r="C30" s="14"/>
      <c r="D30" s="14"/>
      <c r="E30" s="14" t="s">
        <v>2286</v>
      </c>
      <c r="F30" s="14"/>
      <c r="G30" s="14"/>
      <c r="H30" s="441"/>
      <c r="I30" s="3"/>
      <c r="J30" s="161" t="s">
        <v>2286</v>
      </c>
      <c r="K30" s="186"/>
      <c r="L30" s="205" t="s">
        <v>3243</v>
      </c>
      <c r="M30" s="609"/>
      <c r="N30" s="3"/>
      <c r="O30" s="609"/>
      <c r="P30" s="562" t="b">
        <v>0</v>
      </c>
      <c r="Q30" s="562" t="b">
        <v>1</v>
      </c>
      <c r="R30" s="562" t="b">
        <v>0</v>
      </c>
      <c r="S30" s="562" t="b">
        <f>IF(AY19=INDEX(ddSingleOrMulti,1),TRUE,FALSE)</f>
        <v>1</v>
      </c>
      <c r="T30" s="64" t="b">
        <f>AND(NOT(S30),W30=TRUE)</f>
        <v>0</v>
      </c>
      <c r="U30" s="562"/>
      <c r="V30" s="562"/>
      <c r="W30" s="18"/>
      <c r="X30" s="563"/>
      <c r="Y30" s="562"/>
      <c r="Z30" s="562"/>
      <c r="AA30" s="562"/>
      <c r="AB30" s="562"/>
      <c r="AC30" s="562" t="b">
        <f>OR(AD30:AE30)</f>
        <v>0</v>
      </c>
      <c r="AD30" s="562" t="b">
        <f>T30</f>
        <v>0</v>
      </c>
      <c r="AE30" s="562"/>
      <c r="AF30" s="562"/>
      <c r="AG30" s="562"/>
      <c r="AH30" s="562"/>
      <c r="AI30" s="562"/>
      <c r="AJ30" s="562"/>
      <c r="AK30" s="562"/>
      <c r="AL30" s="562"/>
      <c r="AM30" s="562"/>
      <c r="AN30" s="562"/>
      <c r="AO30" s="562"/>
      <c r="AP30" s="190" t="str">
        <f t="shared" si="4"/>
        <v>dch1001,1_10</v>
      </c>
      <c r="AQ30" s="190">
        <f>W30</f>
        <v>0</v>
      </c>
      <c r="AR30" s="190" t="str">
        <f>SUBSTITUTE(SUBSTITUTE(SUBSTITUTE("dnt"&amp;$B30&amp;$C30&amp;$D30&amp;$E30&amp;$F30,".","_"),"(","_"),")","")</f>
        <v>dnt1001,1_10</v>
      </c>
      <c r="AS30" s="190">
        <f>X30</f>
        <v>0</v>
      </c>
      <c r="AT30" s="562"/>
      <c r="AU30" s="562"/>
      <c r="AV30" s="562"/>
      <c r="AW30" s="562"/>
      <c r="AX30" s="562"/>
      <c r="AY30" s="562"/>
    </row>
    <row r="31" spans="1:51" ht="15" customHeight="1" x14ac:dyDescent="0.2">
      <c r="B31" s="358">
        <v>1001.1</v>
      </c>
      <c r="C31" s="14"/>
      <c r="D31" s="14"/>
      <c r="E31" s="14" t="s">
        <v>2288</v>
      </c>
      <c r="F31" s="14"/>
      <c r="G31" s="14"/>
      <c r="H31" s="441"/>
      <c r="I31" s="3"/>
      <c r="J31" s="20" t="s">
        <v>2288</v>
      </c>
      <c r="K31" s="3"/>
      <c r="L31" s="632" t="s">
        <v>3244</v>
      </c>
      <c r="M31" s="609"/>
      <c r="N31" s="3"/>
      <c r="O31" s="609"/>
      <c r="P31" s="562" t="b">
        <v>0</v>
      </c>
      <c r="Q31" s="562" t="b">
        <v>1</v>
      </c>
      <c r="R31" s="562" t="b">
        <v>0</v>
      </c>
      <c r="S31" s="562" t="b">
        <f>IF(AY19=INDEX(ddSingleOrMulti,1),TRUE,FALSE)</f>
        <v>1</v>
      </c>
      <c r="T31" s="64" t="b">
        <f>AND(NOT(S31),W31=TRUE)</f>
        <v>0</v>
      </c>
      <c r="U31" s="562"/>
      <c r="V31" s="562"/>
      <c r="W31" s="18"/>
      <c r="X31" s="563"/>
      <c r="Y31" s="562"/>
      <c r="Z31" s="562"/>
      <c r="AA31" s="562"/>
      <c r="AB31" s="562"/>
      <c r="AC31" s="562" t="b">
        <f>OR(AD31:AE31)</f>
        <v>0</v>
      </c>
      <c r="AD31" s="562" t="b">
        <f>T31</f>
        <v>0</v>
      </c>
      <c r="AE31" s="562"/>
      <c r="AF31" s="562"/>
      <c r="AG31" s="562"/>
      <c r="AH31" s="562"/>
      <c r="AI31" s="562"/>
      <c r="AJ31" s="562"/>
      <c r="AK31" s="562"/>
      <c r="AL31" s="562"/>
      <c r="AM31" s="562"/>
      <c r="AN31" s="562"/>
      <c r="AO31" s="562"/>
      <c r="AP31" s="190" t="str">
        <f t="shared" si="4"/>
        <v>dch1001,1_11</v>
      </c>
      <c r="AQ31" s="190">
        <f>W31</f>
        <v>0</v>
      </c>
      <c r="AR31" s="190" t="str">
        <f>SUBSTITUTE(SUBSTITUTE(SUBSTITUTE("dnt"&amp;$B31&amp;$C31&amp;$D31&amp;$E31&amp;$F31,".","_"),"(","_"),")","")</f>
        <v>dnt1001,1_11</v>
      </c>
      <c r="AS31" s="190">
        <f>X31</f>
        <v>0</v>
      </c>
      <c r="AT31" s="562"/>
      <c r="AU31" s="562"/>
      <c r="AV31" s="562"/>
      <c r="AW31" s="562"/>
      <c r="AX31" s="594" t="str">
        <f>'Overview (Design)'!A27</f>
        <v>HERS Index (if available):</v>
      </c>
      <c r="AY31" s="562">
        <f>'Overview (Design)'!G27</f>
        <v>0</v>
      </c>
    </row>
    <row r="32" spans="1:51" ht="15" customHeight="1" x14ac:dyDescent="0.2">
      <c r="B32" s="358">
        <v>1001.1</v>
      </c>
      <c r="C32" s="14"/>
      <c r="D32" s="14"/>
      <c r="E32" s="14" t="s">
        <v>2290</v>
      </c>
      <c r="F32" s="14"/>
      <c r="G32" s="14"/>
      <c r="H32" s="441"/>
      <c r="I32" s="3"/>
      <c r="J32" s="164" t="s">
        <v>2290</v>
      </c>
      <c r="K32" s="146"/>
      <c r="L32" s="831" t="s">
        <v>3245</v>
      </c>
      <c r="M32" s="609"/>
      <c r="N32" s="3"/>
      <c r="O32" s="609"/>
      <c r="P32" s="562" t="b">
        <v>0</v>
      </c>
      <c r="Q32" s="562" t="b">
        <v>1</v>
      </c>
      <c r="R32" s="562" t="b">
        <v>0</v>
      </c>
      <c r="S32" s="562" t="b">
        <f>IF(AY19=INDEX(ddSingleOrMulti,1),TRUE,FALSE)</f>
        <v>1</v>
      </c>
      <c r="T32" s="64" t="b">
        <f>AND(NOT(S32),W32=TRUE)</f>
        <v>0</v>
      </c>
      <c r="U32" s="562"/>
      <c r="V32" s="562"/>
      <c r="W32" s="18"/>
      <c r="X32" s="787"/>
      <c r="Y32" s="562"/>
      <c r="Z32" s="562"/>
      <c r="AA32" s="562"/>
      <c r="AB32" s="562"/>
      <c r="AC32" s="562" t="b">
        <f>OR(AD32:AE32)</f>
        <v>0</v>
      </c>
      <c r="AD32" s="562" t="b">
        <f>T32</f>
        <v>0</v>
      </c>
      <c r="AE32" s="562"/>
      <c r="AF32" s="562"/>
      <c r="AG32" s="562"/>
      <c r="AH32" s="562"/>
      <c r="AI32" s="562"/>
      <c r="AJ32" s="562"/>
      <c r="AK32" s="562"/>
      <c r="AL32" s="562"/>
      <c r="AM32" s="562"/>
      <c r="AN32" s="562"/>
      <c r="AO32" s="562"/>
      <c r="AP32" s="190" t="str">
        <f t="shared" si="4"/>
        <v>dch1001,1_12</v>
      </c>
      <c r="AQ32" s="190">
        <f>W32</f>
        <v>0</v>
      </c>
      <c r="AR32" s="190" t="str">
        <f>SUBSTITUTE(SUBSTITUTE(SUBSTITUTE("dnt"&amp;$B32&amp;$C32&amp;$D32&amp;$E32&amp;$F32,".","_"),"(","_"),")","")</f>
        <v>dnt1001,1_12</v>
      </c>
      <c r="AS32" s="190">
        <f>X32</f>
        <v>0</v>
      </c>
      <c r="AT32" s="562"/>
      <c r="AU32" s="562"/>
      <c r="AV32" s="562"/>
      <c r="AW32" s="562"/>
      <c r="AX32" s="594" t="str">
        <f>'Overview (Design)'!A28</f>
        <v>Foundation Type:</v>
      </c>
      <c r="AY32" s="562">
        <f>'Overview (Design)'!G28</f>
        <v>0</v>
      </c>
    </row>
    <row r="33" spans="2:51" x14ac:dyDescent="0.2">
      <c r="B33" s="358">
        <v>1001.1</v>
      </c>
      <c r="C33" s="14"/>
      <c r="D33" s="14"/>
      <c r="E33" s="14" t="s">
        <v>2290</v>
      </c>
      <c r="F33" s="14"/>
      <c r="G33" s="14"/>
      <c r="H33" s="441"/>
      <c r="I33" s="3"/>
      <c r="J33" s="98"/>
      <c r="K33" s="98"/>
      <c r="L33" s="791"/>
      <c r="M33" s="609"/>
      <c r="N33" s="3"/>
      <c r="O33" s="609"/>
      <c r="P33" s="562"/>
      <c r="Q33" s="562"/>
      <c r="R33" s="562"/>
      <c r="S33" s="562"/>
      <c r="T33" s="562"/>
      <c r="U33" s="562"/>
      <c r="V33" s="562"/>
      <c r="W33" s="562"/>
      <c r="X33" s="787"/>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94"/>
      <c r="AY33" s="562"/>
    </row>
    <row r="34" spans="2:51" x14ac:dyDescent="0.2">
      <c r="B34" s="358">
        <v>1001.1</v>
      </c>
      <c r="C34" s="14"/>
      <c r="D34" s="14"/>
      <c r="E34" s="14" t="s">
        <v>2290</v>
      </c>
      <c r="F34" s="14" t="s">
        <v>2196</v>
      </c>
      <c r="G34" s="14"/>
      <c r="H34" s="441"/>
      <c r="I34" s="3"/>
      <c r="J34" s="98"/>
      <c r="K34" s="134" t="s">
        <v>2196</v>
      </c>
      <c r="L34" s="598" t="s">
        <v>3246</v>
      </c>
      <c r="M34" s="609"/>
      <c r="N34" s="3"/>
      <c r="O34" s="609"/>
      <c r="P34" s="562"/>
      <c r="Q34" s="562"/>
      <c r="R34" s="562"/>
      <c r="S34" s="562"/>
      <c r="T34" s="562"/>
      <c r="U34" s="562"/>
      <c r="V34" s="562"/>
      <c r="W34" s="562"/>
      <c r="X34" s="787"/>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94" t="str">
        <f>'Overview (Design)'!A30</f>
        <v>Type of Heating System (main system):</v>
      </c>
      <c r="AY34" s="562">
        <f>'Overview (Design)'!G30</f>
        <v>0</v>
      </c>
    </row>
    <row r="35" spans="2:51" x14ac:dyDescent="0.2">
      <c r="B35" s="358">
        <v>1001.1</v>
      </c>
      <c r="C35" s="14"/>
      <c r="D35" s="14"/>
      <c r="E35" s="14" t="s">
        <v>2290</v>
      </c>
      <c r="F35" s="14" t="s">
        <v>2198</v>
      </c>
      <c r="G35" s="14"/>
      <c r="H35" s="441"/>
      <c r="I35" s="3"/>
      <c r="J35" s="98"/>
      <c r="K35" s="134" t="s">
        <v>2198</v>
      </c>
      <c r="L35" s="598" t="s">
        <v>3247</v>
      </c>
      <c r="M35" s="609"/>
      <c r="N35" s="3"/>
      <c r="O35" s="609"/>
      <c r="P35" s="562"/>
      <c r="Q35" s="562"/>
      <c r="R35" s="562"/>
      <c r="S35" s="562"/>
      <c r="T35" s="562"/>
      <c r="U35" s="562"/>
      <c r="V35" s="562"/>
      <c r="W35" s="562"/>
      <c r="X35" s="787"/>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94" t="str">
        <f>'Overview (Design)'!A31</f>
        <v>Type of Heating System (system 2):</v>
      </c>
      <c r="AY35" s="562">
        <f>'Overview (Design)'!G31</f>
        <v>0</v>
      </c>
    </row>
    <row r="36" spans="2:51" x14ac:dyDescent="0.2">
      <c r="B36" s="358">
        <v>1001.1</v>
      </c>
      <c r="C36" s="14"/>
      <c r="D36" s="14"/>
      <c r="E36" s="14" t="s">
        <v>2290</v>
      </c>
      <c r="F36" s="14" t="s">
        <v>2200</v>
      </c>
      <c r="G36" s="14"/>
      <c r="H36" s="441"/>
      <c r="I36" s="3"/>
      <c r="J36" s="98"/>
      <c r="K36" s="134" t="s">
        <v>2200</v>
      </c>
      <c r="L36" s="791" t="s">
        <v>3248</v>
      </c>
      <c r="M36" s="609"/>
      <c r="N36" s="3"/>
      <c r="O36" s="609"/>
      <c r="P36" s="562"/>
      <c r="Q36" s="562"/>
      <c r="R36" s="562"/>
      <c r="S36" s="562"/>
      <c r="T36" s="562"/>
      <c r="U36" s="562"/>
      <c r="V36" s="562"/>
      <c r="W36" s="562"/>
      <c r="X36" s="787"/>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94" t="str">
        <f>'Overview (Design)'!A32</f>
        <v>Type of Heating System (system 3):</v>
      </c>
      <c r="AY36" s="562">
        <f>'Overview (Design)'!G32</f>
        <v>0</v>
      </c>
    </row>
    <row r="37" spans="2:51" x14ac:dyDescent="0.2">
      <c r="B37" s="358">
        <v>1001.1</v>
      </c>
      <c r="C37" s="14"/>
      <c r="D37" s="14"/>
      <c r="E37" s="14" t="s">
        <v>2290</v>
      </c>
      <c r="F37" s="14"/>
      <c r="G37" s="14"/>
      <c r="H37" s="441"/>
      <c r="I37" s="3"/>
      <c r="J37" s="165"/>
      <c r="K37" s="165"/>
      <c r="L37" s="792"/>
      <c r="M37" s="609"/>
      <c r="N37" s="3"/>
      <c r="O37" s="609"/>
      <c r="P37" s="562"/>
      <c r="Q37" s="562"/>
      <c r="R37" s="562"/>
      <c r="S37" s="562"/>
      <c r="T37" s="562"/>
      <c r="U37" s="562"/>
      <c r="V37" s="562"/>
      <c r="W37" s="562"/>
      <c r="X37" s="787"/>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94" t="str">
        <f>'Overview (Design)'!A33</f>
        <v>Heating Fuel:</v>
      </c>
      <c r="AY37" s="562">
        <f>'Overview (Design)'!G33</f>
        <v>0</v>
      </c>
    </row>
    <row r="38" spans="2:51" x14ac:dyDescent="0.2">
      <c r="B38" s="358">
        <v>1001.1</v>
      </c>
      <c r="C38" s="14"/>
      <c r="D38" s="14"/>
      <c r="E38" s="14" t="s">
        <v>3249</v>
      </c>
      <c r="F38" s="14"/>
      <c r="G38" s="14"/>
      <c r="H38" s="441"/>
      <c r="I38" s="3"/>
      <c r="J38" s="164" t="s">
        <v>3249</v>
      </c>
      <c r="K38" s="146"/>
      <c r="L38" s="831" t="s">
        <v>3250</v>
      </c>
      <c r="M38" s="609"/>
      <c r="N38" s="3"/>
      <c r="O38" s="609"/>
      <c r="P38" s="562" t="b">
        <v>0</v>
      </c>
      <c r="Q38" s="562" t="b">
        <v>1</v>
      </c>
      <c r="R38" s="562" t="b">
        <v>0</v>
      </c>
      <c r="S38" s="562" t="b">
        <f>IF(AY19=INDEX(ddSingleOrMulti,1),TRUE,FALSE)</f>
        <v>1</v>
      </c>
      <c r="T38" s="64" t="b">
        <f>AND(NOT(S38),W38=TRUE)</f>
        <v>0</v>
      </c>
      <c r="U38" s="562"/>
      <c r="V38" s="562"/>
      <c r="W38" s="18"/>
      <c r="X38" s="787"/>
      <c r="Y38" s="562"/>
      <c r="Z38" s="562"/>
      <c r="AA38" s="562"/>
      <c r="AB38" s="562"/>
      <c r="AC38" s="562" t="b">
        <f>OR(AD38:AE38)</f>
        <v>0</v>
      </c>
      <c r="AD38" s="562" t="b">
        <f>T38</f>
        <v>0</v>
      </c>
      <c r="AE38" s="562"/>
      <c r="AF38" s="562"/>
      <c r="AG38" s="562"/>
      <c r="AH38" s="562"/>
      <c r="AI38" s="562"/>
      <c r="AJ38" s="562"/>
      <c r="AK38" s="562"/>
      <c r="AL38" s="562"/>
      <c r="AM38" s="562"/>
      <c r="AN38" s="562"/>
      <c r="AO38" s="562"/>
      <c r="AP38" s="190" t="str">
        <f>SUBSTITUTE(SUBSTITUTE(SUBSTITUTE("dch"&amp;$B38&amp;$C38&amp;$D38&amp;$E38&amp;$F38,".","_"),"(","_"),")","")</f>
        <v>dch1001,1_13</v>
      </c>
      <c r="AQ38" s="190">
        <f>W38</f>
        <v>0</v>
      </c>
      <c r="AR38" s="190" t="str">
        <f>SUBSTITUTE(SUBSTITUTE(SUBSTITUTE("dnt"&amp;$B38&amp;$C38&amp;$D38&amp;$E38&amp;$F38,".","_"),"(","_"),")","")</f>
        <v>dnt1001,1_13</v>
      </c>
      <c r="AS38" s="190">
        <f>X38</f>
        <v>0</v>
      </c>
      <c r="AT38" s="562"/>
      <c r="AU38" s="562"/>
      <c r="AV38" s="562"/>
      <c r="AW38" s="562"/>
      <c r="AX38" s="594" t="str">
        <f>'Overview (Design)'!A34</f>
        <v>Heating Ducts:</v>
      </c>
      <c r="AY38" s="562">
        <f>'Overview (Design)'!G34</f>
        <v>0</v>
      </c>
    </row>
    <row r="39" spans="2:51" x14ac:dyDescent="0.2">
      <c r="B39" s="358">
        <v>1001.1</v>
      </c>
      <c r="C39" s="14"/>
      <c r="D39" s="14"/>
      <c r="E39" s="14" t="s">
        <v>3249</v>
      </c>
      <c r="F39" s="14"/>
      <c r="G39" s="14"/>
      <c r="H39" s="441"/>
      <c r="I39" s="3"/>
      <c r="J39" s="98"/>
      <c r="K39" s="98"/>
      <c r="L39" s="791"/>
      <c r="M39" s="609"/>
      <c r="N39" s="3"/>
      <c r="O39" s="609"/>
      <c r="P39" s="562"/>
      <c r="Q39" s="562"/>
      <c r="R39" s="562"/>
      <c r="S39" s="562"/>
      <c r="T39" s="562"/>
      <c r="U39" s="562"/>
      <c r="V39" s="562"/>
      <c r="W39" s="562"/>
      <c r="X39" s="787"/>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94" t="str">
        <f>'Overview (Design)'!A35</f>
        <v>Type of Cooling System (main system):</v>
      </c>
      <c r="AY39" s="562">
        <f>'Overview (Design)'!G35</f>
        <v>0</v>
      </c>
    </row>
    <row r="40" spans="2:51" x14ac:dyDescent="0.2">
      <c r="B40" s="358">
        <v>1001.1</v>
      </c>
      <c r="C40" s="14"/>
      <c r="D40" s="14"/>
      <c r="E40" s="14" t="s">
        <v>3249</v>
      </c>
      <c r="F40" s="14"/>
      <c r="G40" s="14"/>
      <c r="H40" s="441"/>
      <c r="I40" s="3"/>
      <c r="J40" s="98"/>
      <c r="K40" s="98"/>
      <c r="L40" s="791"/>
      <c r="M40" s="609"/>
      <c r="N40" s="3"/>
      <c r="O40" s="609"/>
      <c r="P40" s="562"/>
      <c r="Q40" s="562"/>
      <c r="R40" s="562"/>
      <c r="S40" s="562"/>
      <c r="T40" s="562"/>
      <c r="U40" s="562"/>
      <c r="V40" s="562"/>
      <c r="W40" s="562"/>
      <c r="X40" s="787"/>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94" t="str">
        <f>'Overview (Design)'!A36</f>
        <v>Type of Cooling System (system 2):</v>
      </c>
      <c r="AY40" s="562">
        <f>'Overview (Design)'!G36</f>
        <v>0</v>
      </c>
    </row>
    <row r="41" spans="2:51" x14ac:dyDescent="0.2">
      <c r="B41" s="358">
        <v>1001.1</v>
      </c>
      <c r="C41" s="14"/>
      <c r="D41" s="14"/>
      <c r="E41" s="14" t="s">
        <v>3249</v>
      </c>
      <c r="F41" s="14"/>
      <c r="G41" s="14"/>
      <c r="H41" s="441"/>
      <c r="I41" s="3"/>
      <c r="J41" s="165"/>
      <c r="K41" s="165"/>
      <c r="L41" s="792"/>
      <c r="M41" s="609"/>
      <c r="N41" s="3"/>
      <c r="O41" s="609"/>
      <c r="P41" s="562"/>
      <c r="Q41" s="562"/>
      <c r="R41" s="562"/>
      <c r="S41" s="562"/>
      <c r="T41" s="562"/>
      <c r="U41" s="562"/>
      <c r="V41" s="562"/>
      <c r="W41" s="562"/>
      <c r="X41" s="787"/>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94" t="str">
        <f>'Overview (Design)'!A37</f>
        <v>Type of Cooling System (system 3):</v>
      </c>
      <c r="AY41" s="562">
        <f>'Overview (Design)'!G37</f>
        <v>0</v>
      </c>
    </row>
    <row r="42" spans="2:51" x14ac:dyDescent="0.2">
      <c r="B42" s="358">
        <v>1001.1</v>
      </c>
      <c r="C42" s="14"/>
      <c r="D42" s="14"/>
      <c r="E42" s="14" t="s">
        <v>3251</v>
      </c>
      <c r="F42" s="14"/>
      <c r="G42" s="14"/>
      <c r="H42" s="441"/>
      <c r="I42" s="3"/>
      <c r="J42" s="164" t="s">
        <v>3251</v>
      </c>
      <c r="K42" s="146"/>
      <c r="L42" s="831" t="s">
        <v>3252</v>
      </c>
      <c r="M42" s="609"/>
      <c r="N42" s="3"/>
      <c r="O42" s="609"/>
      <c r="P42" s="562" t="b">
        <v>0</v>
      </c>
      <c r="Q42" s="562" t="b">
        <v>1</v>
      </c>
      <c r="R42" s="562" t="b">
        <v>0</v>
      </c>
      <c r="S42" s="562" t="b">
        <f>IF(AY19=INDEX(ddSingleOrMulti,1),TRUE,FALSE)</f>
        <v>1</v>
      </c>
      <c r="T42" s="64" t="b">
        <f>AND(NOT(S42),W42=TRUE)</f>
        <v>0</v>
      </c>
      <c r="U42" s="562"/>
      <c r="V42" s="562"/>
      <c r="W42" s="18"/>
      <c r="X42" s="787"/>
      <c r="Y42" s="562"/>
      <c r="Z42" s="562"/>
      <c r="AA42" s="562"/>
      <c r="AB42" s="562"/>
      <c r="AC42" s="562" t="b">
        <f>OR(AD42:AE42)</f>
        <v>0</v>
      </c>
      <c r="AD42" s="562" t="b">
        <f>T42</f>
        <v>0</v>
      </c>
      <c r="AE42" s="562"/>
      <c r="AF42" s="562"/>
      <c r="AG42" s="562"/>
      <c r="AH42" s="562"/>
      <c r="AI42" s="562"/>
      <c r="AJ42" s="562"/>
      <c r="AK42" s="562"/>
      <c r="AL42" s="562"/>
      <c r="AM42" s="562"/>
      <c r="AN42" s="562"/>
      <c r="AO42" s="562"/>
      <c r="AP42" s="190" t="str">
        <f>SUBSTITUTE(SUBSTITUTE(SUBSTITUTE("dch"&amp;$B42&amp;$C42&amp;$D42&amp;$E42&amp;$F42,".","_"),"(","_"),")","")</f>
        <v>dch1001,1_14</v>
      </c>
      <c r="AQ42" s="190">
        <f>W42</f>
        <v>0</v>
      </c>
      <c r="AR42" s="190" t="str">
        <f>SUBSTITUTE(SUBSTITUTE(SUBSTITUTE("dnt"&amp;$B42&amp;$C42&amp;$D42&amp;$E42&amp;$F42,".","_"),"(","_"),")","")</f>
        <v>dnt1001,1_14</v>
      </c>
      <c r="AS42" s="190">
        <f>X42</f>
        <v>0</v>
      </c>
      <c r="AT42" s="562"/>
      <c r="AU42" s="562"/>
      <c r="AV42" s="562"/>
      <c r="AW42" s="562"/>
      <c r="AX42" s="594" t="str">
        <f>'Overview (Design)'!A38</f>
        <v>Cooling Ducts:</v>
      </c>
      <c r="AY42" s="562">
        <f>'Overview (Design)'!G38</f>
        <v>0</v>
      </c>
    </row>
    <row r="43" spans="2:51" x14ac:dyDescent="0.2">
      <c r="B43" s="358">
        <v>1001.1</v>
      </c>
      <c r="C43" s="14"/>
      <c r="D43" s="14"/>
      <c r="E43" s="14" t="s">
        <v>3251</v>
      </c>
      <c r="F43" s="14"/>
      <c r="G43" s="14"/>
      <c r="H43" s="441"/>
      <c r="I43" s="3"/>
      <c r="J43" s="165"/>
      <c r="K43" s="165"/>
      <c r="L43" s="792"/>
      <c r="M43" s="609"/>
      <c r="N43" s="3"/>
      <c r="O43" s="609"/>
      <c r="P43" s="562"/>
      <c r="Q43" s="562"/>
      <c r="R43" s="562"/>
      <c r="S43" s="562"/>
      <c r="T43" s="562"/>
      <c r="U43" s="562"/>
      <c r="V43" s="562"/>
      <c r="W43" s="562"/>
      <c r="X43" s="787"/>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94"/>
      <c r="AY43" s="562"/>
    </row>
    <row r="44" spans="2:51" x14ac:dyDescent="0.2">
      <c r="B44" s="358">
        <v>1001.1</v>
      </c>
      <c r="C44" s="14"/>
      <c r="D44" s="14"/>
      <c r="E44" s="14" t="s">
        <v>3253</v>
      </c>
      <c r="F44" s="14"/>
      <c r="G44" s="14"/>
      <c r="H44" s="441"/>
      <c r="I44" s="3"/>
      <c r="J44" s="164" t="s">
        <v>3253</v>
      </c>
      <c r="K44" s="146"/>
      <c r="L44" s="831" t="s">
        <v>3254</v>
      </c>
      <c r="M44" s="609"/>
      <c r="N44" s="3"/>
      <c r="O44" s="609"/>
      <c r="P44" s="562" t="b">
        <v>0</v>
      </c>
      <c r="Q44" s="562" t="b">
        <v>1</v>
      </c>
      <c r="R44" s="562" t="b">
        <v>0</v>
      </c>
      <c r="S44" s="562" t="b">
        <f>IF(AY19=INDEX(ddSingleOrMulti,1),TRUE,FALSE)</f>
        <v>1</v>
      </c>
      <c r="T44" s="64" t="b">
        <f>AND(NOT(S44),W44=TRUE)</f>
        <v>0</v>
      </c>
      <c r="U44" s="562"/>
      <c r="V44" s="562"/>
      <c r="W44" s="18"/>
      <c r="X44" s="787"/>
      <c r="Y44" s="562"/>
      <c r="Z44" s="562"/>
      <c r="AA44" s="562"/>
      <c r="AB44" s="562"/>
      <c r="AC44" s="562" t="b">
        <f>OR(AD44:AE44)</f>
        <v>0</v>
      </c>
      <c r="AD44" s="562" t="b">
        <f>T44</f>
        <v>0</v>
      </c>
      <c r="AE44" s="562"/>
      <c r="AF44" s="562"/>
      <c r="AG44" s="562"/>
      <c r="AH44" s="562"/>
      <c r="AI44" s="562"/>
      <c r="AJ44" s="562"/>
      <c r="AK44" s="562"/>
      <c r="AL44" s="562"/>
      <c r="AM44" s="562"/>
      <c r="AN44" s="562"/>
      <c r="AO44" s="562"/>
      <c r="AP44" s="190" t="str">
        <f>SUBSTITUTE(SUBSTITUTE(SUBSTITUTE("dch"&amp;$B44&amp;$C44&amp;$D44&amp;$E44&amp;$F44,".","_"),"(","_"),")","")</f>
        <v>dch1001,1_15</v>
      </c>
      <c r="AQ44" s="190">
        <f>W44</f>
        <v>0</v>
      </c>
      <c r="AR44" s="190" t="str">
        <f>SUBSTITUTE(SUBSTITUTE(SUBSTITUTE("dnt"&amp;$B44&amp;$C44&amp;$D44&amp;$E44&amp;$F44,".","_"),"(","_"),")","")</f>
        <v>dnt1001,1_15</v>
      </c>
      <c r="AS44" s="190">
        <f>X44</f>
        <v>0</v>
      </c>
      <c r="AT44" s="562"/>
      <c r="AU44" s="562"/>
      <c r="AV44" s="562"/>
      <c r="AW44" s="562"/>
      <c r="AX44" s="594" t="str">
        <f>'Overview (Design)'!A40</f>
        <v>Maximum window and door SHGC:</v>
      </c>
      <c r="AY44" s="562">
        <f>'Overview (Design)'!G40</f>
        <v>0</v>
      </c>
    </row>
    <row r="45" spans="2:51" x14ac:dyDescent="0.2">
      <c r="B45" s="358">
        <v>1001.1</v>
      </c>
      <c r="C45" s="14"/>
      <c r="D45" s="14"/>
      <c r="E45" s="14" t="s">
        <v>3253</v>
      </c>
      <c r="F45" s="14"/>
      <c r="G45" s="14"/>
      <c r="H45" s="441"/>
      <c r="I45" s="3"/>
      <c r="J45" s="165"/>
      <c r="K45" s="165"/>
      <c r="L45" s="792"/>
      <c r="M45" s="609"/>
      <c r="N45" s="3"/>
      <c r="O45" s="609"/>
      <c r="P45" s="562"/>
      <c r="Q45" s="562"/>
      <c r="R45" s="562"/>
      <c r="S45" s="562"/>
      <c r="T45" s="562"/>
      <c r="U45" s="562"/>
      <c r="V45" s="562"/>
      <c r="W45" s="562"/>
      <c r="X45" s="787"/>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94" t="str">
        <f>'Overview (Design)'!A41</f>
        <v>Maximum skylight SHGC:</v>
      </c>
      <c r="AY45" s="562">
        <f>'Overview (Design)'!G41</f>
        <v>0</v>
      </c>
    </row>
    <row r="46" spans="2:51" x14ac:dyDescent="0.2">
      <c r="B46" s="358">
        <v>1001.1</v>
      </c>
      <c r="C46" s="14"/>
      <c r="D46" s="14"/>
      <c r="E46" s="14" t="s">
        <v>3255</v>
      </c>
      <c r="F46" s="14"/>
      <c r="G46" s="14"/>
      <c r="H46" s="441"/>
      <c r="I46" s="3"/>
      <c r="J46" s="161" t="s">
        <v>3255</v>
      </c>
      <c r="K46" s="186"/>
      <c r="L46" s="205" t="s">
        <v>3256</v>
      </c>
      <c r="M46" s="609"/>
      <c r="N46" s="3"/>
      <c r="O46" s="609"/>
      <c r="P46" s="562" t="b">
        <v>0</v>
      </c>
      <c r="Q46" s="562" t="b">
        <v>1</v>
      </c>
      <c r="R46" s="562" t="b">
        <v>0</v>
      </c>
      <c r="S46" s="562" t="b">
        <f>IF(AY19=INDEX(ddSingleOrMulti,1),TRUE,FALSE)</f>
        <v>1</v>
      </c>
      <c r="T46" s="64" t="b">
        <f>AND(NOT(S46),W46=TRUE)</f>
        <v>0</v>
      </c>
      <c r="U46" s="562"/>
      <c r="V46" s="562"/>
      <c r="W46" s="18"/>
      <c r="X46" s="563"/>
      <c r="Y46" s="562"/>
      <c r="Z46" s="562"/>
      <c r="AA46" s="562"/>
      <c r="AB46" s="562"/>
      <c r="AC46" s="562" t="b">
        <f>OR(AD46:AE46)</f>
        <v>0</v>
      </c>
      <c r="AD46" s="562" t="b">
        <f>T46</f>
        <v>0</v>
      </c>
      <c r="AE46" s="562"/>
      <c r="AF46" s="562"/>
      <c r="AG46" s="562"/>
      <c r="AH46" s="562"/>
      <c r="AI46" s="562"/>
      <c r="AJ46" s="562"/>
      <c r="AK46" s="562"/>
      <c r="AL46" s="562"/>
      <c r="AM46" s="562"/>
      <c r="AN46" s="562"/>
      <c r="AO46" s="562"/>
      <c r="AP46" s="190" t="str">
        <f t="shared" ref="AP46:AP47" si="5">SUBSTITUTE(SUBSTITUTE(SUBSTITUTE("dch"&amp;$B46&amp;$C46&amp;$D46&amp;$E46&amp;$F46,".","_"),"(","_"),")","")</f>
        <v>dch1001,1_16</v>
      </c>
      <c r="AQ46" s="190">
        <f>W46</f>
        <v>0</v>
      </c>
      <c r="AR46" s="190" t="str">
        <f>SUBSTITUTE(SUBSTITUTE(SUBSTITUTE("dnt"&amp;$B46&amp;$C46&amp;$D46&amp;$E46&amp;$F46,".","_"),"(","_"),")","")</f>
        <v>dnt1001,1_16</v>
      </c>
      <c r="AS46" s="190">
        <f>X46</f>
        <v>0</v>
      </c>
      <c r="AT46" s="562"/>
      <c r="AU46" s="562"/>
      <c r="AV46" s="562"/>
      <c r="AW46" s="562"/>
      <c r="AX46" s="594" t="str">
        <f>'Overview (Design)'!A42</f>
        <v>Maximum window and door U-value:</v>
      </c>
      <c r="AY46" s="562">
        <f>'Overview (Design)'!G42</f>
        <v>0</v>
      </c>
    </row>
    <row r="47" spans="2:51" x14ac:dyDescent="0.2">
      <c r="B47" s="358">
        <v>1001.1</v>
      </c>
      <c r="C47" s="14"/>
      <c r="D47" s="14"/>
      <c r="E47" s="14" t="s">
        <v>3257</v>
      </c>
      <c r="F47" s="14"/>
      <c r="G47" s="14"/>
      <c r="H47" s="441"/>
      <c r="I47" s="3"/>
      <c r="J47" s="164" t="s">
        <v>3257</v>
      </c>
      <c r="K47" s="146"/>
      <c r="L47" s="857" t="s">
        <v>3258</v>
      </c>
      <c r="M47" s="609"/>
      <c r="N47" s="3"/>
      <c r="O47" s="609"/>
      <c r="P47" s="562" t="b">
        <v>0</v>
      </c>
      <c r="Q47" s="562" t="b">
        <v>1</v>
      </c>
      <c r="R47" s="562" t="b">
        <v>0</v>
      </c>
      <c r="S47" s="562" t="b">
        <f>IF(AY19=INDEX(ddSingleOrMulti,1),TRUE,FALSE)</f>
        <v>1</v>
      </c>
      <c r="T47" s="64" t="b">
        <f>AND(NOT(S47),W47=TRUE)</f>
        <v>0</v>
      </c>
      <c r="U47" s="562"/>
      <c r="V47" s="562"/>
      <c r="W47" s="18"/>
      <c r="X47" s="787"/>
      <c r="Y47" s="562"/>
      <c r="Z47" s="562"/>
      <c r="AA47" s="562"/>
      <c r="AB47" s="562"/>
      <c r="AC47" s="562" t="b">
        <f>OR(AD47:AE47)</f>
        <v>0</v>
      </c>
      <c r="AD47" s="562" t="b">
        <f>T47</f>
        <v>0</v>
      </c>
      <c r="AE47" s="562"/>
      <c r="AF47" s="562"/>
      <c r="AG47" s="562"/>
      <c r="AH47" s="562"/>
      <c r="AI47" s="562"/>
      <c r="AJ47" s="562"/>
      <c r="AK47" s="562"/>
      <c r="AL47" s="562"/>
      <c r="AM47" s="562"/>
      <c r="AN47" s="562"/>
      <c r="AO47" s="562"/>
      <c r="AP47" s="190" t="str">
        <f t="shared" si="5"/>
        <v>dch1001,1_17</v>
      </c>
      <c r="AQ47" s="190">
        <f>W47</f>
        <v>0</v>
      </c>
      <c r="AR47" s="190" t="str">
        <f>SUBSTITUTE(SUBSTITUTE(SUBSTITUTE("dnt"&amp;$B47&amp;$C47&amp;$D47&amp;$E47&amp;$F47,".","_"),"(","_"),")","")</f>
        <v>dnt1001,1_17</v>
      </c>
      <c r="AS47" s="190">
        <f>X47</f>
        <v>0</v>
      </c>
      <c r="AT47" s="562"/>
      <c r="AU47" s="562"/>
      <c r="AV47" s="562"/>
      <c r="AW47" s="562"/>
      <c r="AX47" s="594" t="str">
        <f>'Overview (Design)'!A43</f>
        <v>Maximum skylight U-value:</v>
      </c>
      <c r="AY47" s="562">
        <f>'Overview (Design)'!G43</f>
        <v>0</v>
      </c>
    </row>
    <row r="48" spans="2:51" x14ac:dyDescent="0.2">
      <c r="B48" s="358">
        <v>1001.1</v>
      </c>
      <c r="C48" s="14"/>
      <c r="D48" s="14"/>
      <c r="E48" s="14" t="s">
        <v>3257</v>
      </c>
      <c r="F48" s="14"/>
      <c r="G48" s="14"/>
      <c r="H48" s="441"/>
      <c r="I48" s="3"/>
      <c r="J48" s="159"/>
      <c r="K48" s="165"/>
      <c r="L48" s="777"/>
      <c r="M48" s="609"/>
      <c r="N48" s="3"/>
      <c r="O48" s="609"/>
      <c r="P48" s="562"/>
      <c r="Q48" s="562"/>
      <c r="R48" s="562"/>
      <c r="S48" s="562"/>
      <c r="T48" s="562"/>
      <c r="U48" s="562"/>
      <c r="V48" s="562"/>
      <c r="W48" s="562"/>
      <c r="X48" s="787"/>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94" t="str">
        <f>'Overview (Design)'!A44</f>
        <v>Renewable Energy:</v>
      </c>
      <c r="AY48" s="562">
        <f>'Overview (Design)'!G44</f>
        <v>0</v>
      </c>
    </row>
    <row r="49" spans="1:51" x14ac:dyDescent="0.2">
      <c r="B49" s="358">
        <v>1001.1</v>
      </c>
      <c r="C49" s="14"/>
      <c r="D49" s="14"/>
      <c r="E49" s="14" t="s">
        <v>3259</v>
      </c>
      <c r="F49" s="14"/>
      <c r="G49" s="14"/>
      <c r="H49" s="441"/>
      <c r="I49" s="3"/>
      <c r="J49" s="164" t="s">
        <v>3259</v>
      </c>
      <c r="K49" s="146"/>
      <c r="L49" s="831" t="s">
        <v>3260</v>
      </c>
      <c r="M49" s="609"/>
      <c r="N49" s="3"/>
      <c r="O49" s="609"/>
      <c r="P49" s="562" t="b">
        <v>0</v>
      </c>
      <c r="Q49" s="562" t="b">
        <v>1</v>
      </c>
      <c r="R49" s="562" t="b">
        <v>0</v>
      </c>
      <c r="S49" s="562" t="b">
        <f>IF(AY19=INDEX(ddSingleOrMulti,1),TRUE,FALSE)</f>
        <v>1</v>
      </c>
      <c r="T49" s="64" t="b">
        <f>AND(NOT(S49),W49=TRUE)</f>
        <v>0</v>
      </c>
      <c r="U49" s="562"/>
      <c r="V49" s="562"/>
      <c r="W49" s="18"/>
      <c r="X49" s="787"/>
      <c r="Y49" s="562"/>
      <c r="Z49" s="562"/>
      <c r="AA49" s="562"/>
      <c r="AB49" s="562"/>
      <c r="AC49" s="562" t="b">
        <f>OR(AD49:AE49)</f>
        <v>0</v>
      </c>
      <c r="AD49" s="562" t="b">
        <f>T49</f>
        <v>0</v>
      </c>
      <c r="AE49" s="562"/>
      <c r="AF49" s="562"/>
      <c r="AG49" s="562"/>
      <c r="AH49" s="562"/>
      <c r="AI49" s="562"/>
      <c r="AJ49" s="562"/>
      <c r="AK49" s="562"/>
      <c r="AL49" s="562"/>
      <c r="AM49" s="562"/>
      <c r="AN49" s="562"/>
      <c r="AO49" s="562"/>
      <c r="AP49" s="190" t="str">
        <f>SUBSTITUTE(SUBSTITUTE(SUBSTITUTE("dch"&amp;$B49&amp;$C49&amp;$D49&amp;$E49&amp;$F49,".","_"),"(","_"),")","")</f>
        <v>dch1001,1_18</v>
      </c>
      <c r="AQ49" s="190">
        <f>W49</f>
        <v>0</v>
      </c>
      <c r="AR49" s="190" t="str">
        <f>SUBSTITUTE(SUBSTITUTE(SUBSTITUTE("dnt"&amp;$B49&amp;$C49&amp;$D49&amp;$E49&amp;$F49,".","_"),"(","_"),")","")</f>
        <v>dnt1001,1_18</v>
      </c>
      <c r="AS49" s="190">
        <f>X49</f>
        <v>0</v>
      </c>
      <c r="AT49" s="562"/>
      <c r="AU49" s="562"/>
      <c r="AV49" s="562"/>
      <c r="AW49" s="562"/>
      <c r="AX49" s="594" t="str">
        <f>'Overview (Design)'!A45</f>
        <v>Thermal Envelope Insulation:</v>
      </c>
      <c r="AY49" s="562">
        <f>'Overview (Design)'!G45</f>
        <v>0</v>
      </c>
    </row>
    <row r="50" spans="1:51" x14ac:dyDescent="0.2">
      <c r="B50" s="358">
        <v>1001.1</v>
      </c>
      <c r="C50" s="14"/>
      <c r="D50" s="14"/>
      <c r="E50" s="14" t="s">
        <v>3259</v>
      </c>
      <c r="F50" s="14"/>
      <c r="G50" s="14"/>
      <c r="H50" s="441"/>
      <c r="I50" s="3"/>
      <c r="J50" s="165"/>
      <c r="K50" s="165"/>
      <c r="L50" s="792"/>
      <c r="M50" s="609"/>
      <c r="N50" s="3"/>
      <c r="O50" s="609"/>
      <c r="P50" s="562"/>
      <c r="Q50" s="562"/>
      <c r="R50" s="562"/>
      <c r="S50" s="562"/>
      <c r="T50" s="562"/>
      <c r="U50" s="562"/>
      <c r="V50" s="562"/>
      <c r="W50" s="562"/>
      <c r="X50" s="787"/>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94" t="str">
        <f>'Overview (Design)'!A46</f>
        <v>Attic Type:</v>
      </c>
      <c r="AY50" s="562">
        <f>'Overview (Design)'!G46</f>
        <v>0</v>
      </c>
    </row>
    <row r="51" spans="1:51" x14ac:dyDescent="0.2">
      <c r="B51" s="358">
        <v>1001.1</v>
      </c>
      <c r="C51" s="14"/>
      <c r="D51" s="14"/>
      <c r="E51" s="14" t="s">
        <v>3261</v>
      </c>
      <c r="F51" s="14"/>
      <c r="G51" s="14"/>
      <c r="H51" s="441"/>
      <c r="I51" s="3"/>
      <c r="J51" s="161" t="s">
        <v>3261</v>
      </c>
      <c r="K51" s="186"/>
      <c r="L51" s="205" t="s">
        <v>3262</v>
      </c>
      <c r="M51" s="609"/>
      <c r="N51" s="3"/>
      <c r="O51" s="609"/>
      <c r="P51" s="562" t="b">
        <v>0</v>
      </c>
      <c r="Q51" s="562" t="b">
        <v>1</v>
      </c>
      <c r="R51" s="562" t="b">
        <v>0</v>
      </c>
      <c r="S51" s="562" t="b">
        <f>IF(AY19=INDEX(ddSingleOrMulti,1),TRUE,FALSE)</f>
        <v>1</v>
      </c>
      <c r="T51" s="64" t="b">
        <f>AND(NOT(S51),W51=TRUE)</f>
        <v>0</v>
      </c>
      <c r="U51" s="562"/>
      <c r="V51" s="562"/>
      <c r="W51" s="18"/>
      <c r="X51" s="563"/>
      <c r="Y51" s="562"/>
      <c r="Z51" s="562"/>
      <c r="AA51" s="562"/>
      <c r="AB51" s="562"/>
      <c r="AC51" s="562" t="b">
        <f>OR(AD51:AE51)</f>
        <v>0</v>
      </c>
      <c r="AD51" s="562" t="b">
        <f>T51</f>
        <v>0</v>
      </c>
      <c r="AE51" s="562"/>
      <c r="AF51" s="562"/>
      <c r="AG51" s="562"/>
      <c r="AH51" s="562"/>
      <c r="AI51" s="562"/>
      <c r="AJ51" s="562"/>
      <c r="AK51" s="562"/>
      <c r="AL51" s="562"/>
      <c r="AM51" s="562"/>
      <c r="AN51" s="562"/>
      <c r="AO51" s="562"/>
      <c r="AP51" s="190" t="str">
        <f t="shared" ref="AP51:AP52" si="6">SUBSTITUTE(SUBSTITUTE(SUBSTITUTE("dch"&amp;$B51&amp;$C51&amp;$D51&amp;$E51&amp;$F51,".","_"),"(","_"),")","")</f>
        <v>dch1001,1_19</v>
      </c>
      <c r="AQ51" s="190">
        <f>W51</f>
        <v>0</v>
      </c>
      <c r="AR51" s="190" t="str">
        <f>SUBSTITUTE(SUBSTITUTE(SUBSTITUTE("dnt"&amp;$B51&amp;$C51&amp;$D51&amp;$E51&amp;$F51,".","_"),"(","_"),")","")</f>
        <v>dnt1001,1_19</v>
      </c>
      <c r="AS51" s="190">
        <f>X51</f>
        <v>0</v>
      </c>
      <c r="AT51" s="562"/>
      <c r="AU51" s="562"/>
      <c r="AV51" s="562"/>
      <c r="AW51" s="562"/>
      <c r="AX51" s="594" t="str">
        <f>'Overview (Design)'!A47</f>
        <v>Attached Garage:</v>
      </c>
      <c r="AY51" s="562">
        <f>'Overview (Design)'!G47</f>
        <v>0</v>
      </c>
    </row>
    <row r="52" spans="1:51" x14ac:dyDescent="0.2">
      <c r="B52" s="358">
        <v>1001.1</v>
      </c>
      <c r="C52" s="14"/>
      <c r="D52" s="14"/>
      <c r="E52" s="14" t="s">
        <v>3263</v>
      </c>
      <c r="F52" s="14"/>
      <c r="G52" s="14"/>
      <c r="H52" s="441"/>
      <c r="I52" s="3"/>
      <c r="J52" s="164" t="s">
        <v>3263</v>
      </c>
      <c r="K52" s="146"/>
      <c r="L52" s="831" t="s">
        <v>3264</v>
      </c>
      <c r="M52" s="609"/>
      <c r="N52" s="3"/>
      <c r="O52" s="609"/>
      <c r="P52" s="562" t="b">
        <v>0</v>
      </c>
      <c r="Q52" s="562" t="b">
        <v>1</v>
      </c>
      <c r="R52" s="562" t="b">
        <v>0</v>
      </c>
      <c r="S52" s="562" t="b">
        <f>IF(AY19=INDEX(ddSingleOrMulti,1),TRUE,FALSE)</f>
        <v>1</v>
      </c>
      <c r="T52" s="64" t="b">
        <f>AND(NOT(S52),W52=TRUE)</f>
        <v>0</v>
      </c>
      <c r="U52" s="562"/>
      <c r="V52" s="562"/>
      <c r="W52" s="18"/>
      <c r="X52" s="787"/>
      <c r="Y52" s="562"/>
      <c r="Z52" s="562"/>
      <c r="AA52" s="562"/>
      <c r="AB52" s="562"/>
      <c r="AC52" s="562" t="b">
        <f>OR(AD52:AE52)</f>
        <v>0</v>
      </c>
      <c r="AD52" s="562" t="b">
        <f>T52</f>
        <v>0</v>
      </c>
      <c r="AE52" s="562"/>
      <c r="AF52" s="562"/>
      <c r="AG52" s="562"/>
      <c r="AH52" s="562"/>
      <c r="AI52" s="562"/>
      <c r="AJ52" s="562"/>
      <c r="AK52" s="562"/>
      <c r="AL52" s="562"/>
      <c r="AM52" s="562"/>
      <c r="AN52" s="562"/>
      <c r="AO52" s="562"/>
      <c r="AP52" s="190" t="str">
        <f t="shared" si="6"/>
        <v>dch1001,1_20</v>
      </c>
      <c r="AQ52" s="190">
        <f>W52</f>
        <v>0</v>
      </c>
      <c r="AR52" s="190" t="str">
        <f>SUBSTITUTE(SUBSTITUTE(SUBSTITUTE("dnt"&amp;$B52&amp;$C52&amp;$D52&amp;$E52&amp;$F52,".","_"),"(","_"),")","")</f>
        <v>dnt1001,1_20</v>
      </c>
      <c r="AS52" s="190">
        <f>X52</f>
        <v>0</v>
      </c>
      <c r="AT52" s="562"/>
      <c r="AU52" s="562"/>
      <c r="AV52" s="562"/>
      <c r="AW52" s="562"/>
      <c r="AX52" s="594" t="str">
        <f>'Overview (Design)'!A48</f>
        <v>Recessed Lighting:</v>
      </c>
      <c r="AY52" s="562">
        <f>'Overview (Design)'!G48</f>
        <v>0</v>
      </c>
    </row>
    <row r="53" spans="1:51" x14ac:dyDescent="0.2">
      <c r="B53" s="358">
        <v>1001.1</v>
      </c>
      <c r="C53" s="14"/>
      <c r="D53" s="14"/>
      <c r="E53" s="14" t="s">
        <v>3263</v>
      </c>
      <c r="F53" s="14"/>
      <c r="G53" s="14"/>
      <c r="H53" s="441"/>
      <c r="I53" s="3"/>
      <c r="J53" s="165"/>
      <c r="K53" s="165"/>
      <c r="L53" s="792"/>
      <c r="M53" s="609"/>
      <c r="N53" s="3"/>
      <c r="O53" s="609"/>
      <c r="P53" s="562"/>
      <c r="Q53" s="562"/>
      <c r="R53" s="562"/>
      <c r="S53" s="562"/>
      <c r="T53" s="562"/>
      <c r="U53" s="562"/>
      <c r="V53" s="562"/>
      <c r="W53" s="562"/>
      <c r="X53" s="787"/>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94"/>
      <c r="AY53" s="562"/>
    </row>
    <row r="54" spans="1:51" x14ac:dyDescent="0.2">
      <c r="B54" s="358">
        <v>1001.1</v>
      </c>
      <c r="C54" s="14"/>
      <c r="D54" s="14"/>
      <c r="E54" s="14" t="s">
        <v>3265</v>
      </c>
      <c r="F54" s="14"/>
      <c r="G54" s="14"/>
      <c r="H54" s="441"/>
      <c r="I54" s="3"/>
      <c r="J54" s="164" t="s">
        <v>3265</v>
      </c>
      <c r="K54" s="146"/>
      <c r="L54" s="831" t="s">
        <v>3266</v>
      </c>
      <c r="M54" s="609"/>
      <c r="N54" s="3"/>
      <c r="O54" s="609"/>
      <c r="P54" s="562" t="b">
        <v>0</v>
      </c>
      <c r="Q54" s="562" t="b">
        <v>1</v>
      </c>
      <c r="R54" s="562" t="b">
        <v>0</v>
      </c>
      <c r="S54" s="562" t="b">
        <f>IF(AY19=INDEX(ddSingleOrMulti,1),TRUE,FALSE)</f>
        <v>1</v>
      </c>
      <c r="T54" s="64" t="b">
        <f>AND(NOT(S54),W54=TRUE)</f>
        <v>0</v>
      </c>
      <c r="U54" s="562"/>
      <c r="V54" s="562"/>
      <c r="W54" s="18"/>
      <c r="X54" s="787"/>
      <c r="Y54" s="562"/>
      <c r="Z54" s="562"/>
      <c r="AA54" s="562"/>
      <c r="AB54" s="562"/>
      <c r="AC54" s="562" t="b">
        <f>OR(AD54:AE54)</f>
        <v>0</v>
      </c>
      <c r="AD54" s="562" t="b">
        <f>T54</f>
        <v>0</v>
      </c>
      <c r="AE54" s="562"/>
      <c r="AF54" s="562"/>
      <c r="AG54" s="562"/>
      <c r="AH54" s="562"/>
      <c r="AI54" s="562"/>
      <c r="AJ54" s="562"/>
      <c r="AK54" s="562"/>
      <c r="AL54" s="562"/>
      <c r="AM54" s="562"/>
      <c r="AN54" s="562"/>
      <c r="AO54" s="562"/>
      <c r="AP54" s="190" t="str">
        <f>SUBSTITUTE(SUBSTITUTE(SUBSTITUTE("dch"&amp;$B54&amp;$C54&amp;$D54&amp;$E54&amp;$F54,".","_"),"(","_"),")","")</f>
        <v>dch1001,1_21</v>
      </c>
      <c r="AQ54" s="190">
        <f>W54</f>
        <v>0</v>
      </c>
      <c r="AR54" s="190" t="str">
        <f>SUBSTITUTE(SUBSTITUTE(SUBSTITUTE("dnt"&amp;$B54&amp;$C54&amp;$D54&amp;$E54&amp;$F54,".","_"),"(","_"),")","")</f>
        <v>dnt1001,1_21</v>
      </c>
      <c r="AS54" s="190">
        <f>X54</f>
        <v>0</v>
      </c>
      <c r="AT54" s="562"/>
      <c r="AU54" s="562"/>
      <c r="AV54" s="562"/>
      <c r="AW54" s="562"/>
      <c r="AX54" s="594" t="str">
        <f>'Overview (Design)'!A50</f>
        <v>Special Design Features:</v>
      </c>
      <c r="AY54" s="562">
        <f>'Overview (Design)'!G50</f>
        <v>0</v>
      </c>
    </row>
    <row r="55" spans="1:51" x14ac:dyDescent="0.2">
      <c r="B55" s="358">
        <v>1001.1</v>
      </c>
      <c r="C55" s="14"/>
      <c r="D55" s="14"/>
      <c r="E55" s="14" t="s">
        <v>3265</v>
      </c>
      <c r="F55" s="14"/>
      <c r="G55" s="14"/>
      <c r="H55" s="441"/>
      <c r="I55" s="3"/>
      <c r="J55" s="165"/>
      <c r="K55" s="165"/>
      <c r="L55" s="792"/>
      <c r="M55" s="609"/>
      <c r="N55" s="3"/>
      <c r="O55" s="609"/>
      <c r="P55" s="562"/>
      <c r="Q55" s="562"/>
      <c r="R55" s="562"/>
      <c r="S55" s="562"/>
      <c r="T55" s="562"/>
      <c r="U55" s="562"/>
      <c r="V55" s="562"/>
      <c r="W55" s="562"/>
      <c r="X55" s="787"/>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94" t="str">
        <f>'Overview (Design)'!A51</f>
        <v>Passive Solar:</v>
      </c>
      <c r="AY55" s="562">
        <f>'Overview (Design)'!G51</f>
        <v>0</v>
      </c>
    </row>
    <row r="56" spans="1:51" x14ac:dyDescent="0.2">
      <c r="B56" s="358">
        <v>1001.1</v>
      </c>
      <c r="C56" s="14"/>
      <c r="D56" s="14"/>
      <c r="E56" s="14" t="s">
        <v>3267</v>
      </c>
      <c r="F56" s="14"/>
      <c r="G56" s="14"/>
      <c r="H56" s="441"/>
      <c r="I56" s="3"/>
      <c r="J56" s="164" t="s">
        <v>3267</v>
      </c>
      <c r="K56" s="146"/>
      <c r="L56" s="831" t="s">
        <v>3268</v>
      </c>
      <c r="M56" s="609"/>
      <c r="N56" s="3"/>
      <c r="O56" s="609"/>
      <c r="P56" s="562" t="b">
        <v>0</v>
      </c>
      <c r="Q56" s="562" t="b">
        <v>1</v>
      </c>
      <c r="R56" s="562" t="b">
        <v>0</v>
      </c>
      <c r="S56" s="562" t="b">
        <f>IF(AY19=INDEX(ddSingleOrMulti,1),TRUE,FALSE)</f>
        <v>1</v>
      </c>
      <c r="T56" s="64" t="b">
        <f>AND(NOT(S56),W56=TRUE)</f>
        <v>0</v>
      </c>
      <c r="U56" s="562"/>
      <c r="V56" s="562"/>
      <c r="W56" s="18"/>
      <c r="X56" s="787"/>
      <c r="Y56" s="562"/>
      <c r="Z56" s="562"/>
      <c r="AA56" s="562"/>
      <c r="AB56" s="562"/>
      <c r="AC56" s="562" t="b">
        <f>OR(AD56:AE56)</f>
        <v>0</v>
      </c>
      <c r="AD56" s="562" t="b">
        <f>T56</f>
        <v>0</v>
      </c>
      <c r="AE56" s="562"/>
      <c r="AF56" s="562"/>
      <c r="AG56" s="562"/>
      <c r="AH56" s="562"/>
      <c r="AI56" s="562"/>
      <c r="AJ56" s="562"/>
      <c r="AK56" s="562"/>
      <c r="AL56" s="562"/>
      <c r="AM56" s="562"/>
      <c r="AN56" s="562"/>
      <c r="AO56" s="562"/>
      <c r="AP56" s="190" t="str">
        <f>SUBSTITUTE(SUBSTITUTE(SUBSTITUTE("dch"&amp;$B56&amp;$C56&amp;$D56&amp;$E56&amp;$F56,".","_"),"(","_"),")","")</f>
        <v>dch1001,1_22</v>
      </c>
      <c r="AQ56" s="190">
        <f>W56</f>
        <v>0</v>
      </c>
      <c r="AR56" s="190" t="str">
        <f>SUBSTITUTE(SUBSTITUTE(SUBSTITUTE("dnt"&amp;$B56&amp;$C56&amp;$D56&amp;$E56&amp;$F56,".","_"),"(","_"),")","")</f>
        <v>dnt1001,1_22</v>
      </c>
      <c r="AS56" s="190">
        <f>X56</f>
        <v>0</v>
      </c>
      <c r="AT56" s="562"/>
      <c r="AU56" s="562"/>
      <c r="AV56" s="562"/>
      <c r="AW56" s="562"/>
      <c r="AX56" s="594" t="str">
        <f>'Overview (Design)'!A52</f>
        <v>Mass Walls:</v>
      </c>
      <c r="AY56" s="562">
        <f>'Overview (Design)'!G52</f>
        <v>0</v>
      </c>
    </row>
    <row r="57" spans="1:51" x14ac:dyDescent="0.2">
      <c r="B57" s="358">
        <v>1001.1</v>
      </c>
      <c r="C57" s="14"/>
      <c r="D57" s="14"/>
      <c r="E57" s="14" t="s">
        <v>3267</v>
      </c>
      <c r="F57" s="14"/>
      <c r="G57" s="14"/>
      <c r="H57" s="441"/>
      <c r="I57" s="3"/>
      <c r="J57" s="165"/>
      <c r="K57" s="165"/>
      <c r="L57" s="792"/>
      <c r="M57" s="609"/>
      <c r="N57" s="3"/>
      <c r="O57" s="609"/>
      <c r="P57" s="562"/>
      <c r="Q57" s="562"/>
      <c r="R57" s="562"/>
      <c r="S57" s="562"/>
      <c r="T57" s="562"/>
      <c r="U57" s="562"/>
      <c r="V57" s="562"/>
      <c r="W57" s="562"/>
      <c r="X57" s="787"/>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94" t="str">
        <f>'Overview (Design)'!A53</f>
        <v>Ductless:</v>
      </c>
      <c r="AY57" s="562">
        <f>'Overview (Design)'!G53</f>
        <v>0</v>
      </c>
    </row>
    <row r="58" spans="1:51" s="497" customFormat="1" x14ac:dyDescent="0.2">
      <c r="A58" s="13"/>
      <c r="B58" s="358">
        <v>1001.1</v>
      </c>
      <c r="C58" s="14"/>
      <c r="D58" s="14"/>
      <c r="E58" s="14" t="s">
        <v>3269</v>
      </c>
      <c r="F58" s="14"/>
      <c r="G58" s="14"/>
      <c r="H58" s="441"/>
      <c r="I58" s="3"/>
      <c r="J58" s="164" t="s">
        <v>3269</v>
      </c>
      <c r="K58" s="146"/>
      <c r="L58" s="831" t="s">
        <v>3270</v>
      </c>
      <c r="M58" s="609"/>
      <c r="N58" s="3"/>
      <c r="O58" s="609"/>
      <c r="P58" s="562" t="b">
        <v>0</v>
      </c>
      <c r="Q58" s="562" t="b">
        <v>1</v>
      </c>
      <c r="R58" s="562" t="b">
        <v>0</v>
      </c>
      <c r="S58" s="1" t="b">
        <f>IF(AND(AY19=INDEX(ddSingleOrMulti,1),AY23&lt;1978),TRUE,FALSE)</f>
        <v>1</v>
      </c>
      <c r="T58" s="64" t="b">
        <f>AND(NOT(S58),W58=TRUE)</f>
        <v>0</v>
      </c>
      <c r="U58" s="562"/>
      <c r="V58" s="562"/>
      <c r="W58" s="18"/>
      <c r="X58" s="787"/>
      <c r="Y58" s="562"/>
      <c r="Z58" s="562"/>
      <c r="AA58" s="562"/>
      <c r="AB58" s="562"/>
      <c r="AC58" s="492" t="b">
        <f>OR(AD58:AE58)</f>
        <v>0</v>
      </c>
      <c r="AD58" s="492" t="b">
        <f>T58</f>
        <v>0</v>
      </c>
      <c r="AE58" s="562"/>
      <c r="AF58" s="562"/>
      <c r="AG58" s="562"/>
      <c r="AH58" s="562"/>
      <c r="AI58" s="562"/>
      <c r="AJ58" s="562"/>
      <c r="AK58" s="562"/>
      <c r="AL58" s="562"/>
      <c r="AM58" s="562"/>
      <c r="AN58" s="562"/>
      <c r="AO58" s="562"/>
      <c r="AP58" s="493" t="str">
        <f>SUBSTITUTE(SUBSTITUTE(SUBSTITUTE("dch"&amp;$B58&amp;$C58&amp;$D58&amp;$E58&amp;$F58,".","_"),"(","_"),")","")</f>
        <v>dch1001,1_23</v>
      </c>
      <c r="AQ58" s="493">
        <f>W58</f>
        <v>0</v>
      </c>
      <c r="AR58" s="493" t="str">
        <f>SUBSTITUTE(SUBSTITUTE(SUBSTITUTE("dnt"&amp;$B58&amp;$C58&amp;$D58&amp;$E58&amp;$F58,".","_"),"(","_"),")","")</f>
        <v>dnt1001,1_23</v>
      </c>
      <c r="AS58" s="493">
        <f>X58</f>
        <v>0</v>
      </c>
      <c r="AT58" s="562"/>
      <c r="AU58" s="562"/>
      <c r="AV58" s="562"/>
      <c r="AW58" s="562"/>
      <c r="AX58" s="594" t="str">
        <f>'Overview (Design)'!A54</f>
        <v>Radiant/Hydronic:</v>
      </c>
      <c r="AY58" s="562">
        <f>'Overview (Design)'!G54</f>
        <v>0</v>
      </c>
    </row>
    <row r="59" spans="1:51" s="497" customFormat="1" x14ac:dyDescent="0.2">
      <c r="A59" s="13"/>
      <c r="B59" s="358">
        <v>1001.1</v>
      </c>
      <c r="C59" s="14"/>
      <c r="D59" s="14"/>
      <c r="E59" s="14" t="s">
        <v>3269</v>
      </c>
      <c r="F59" s="14"/>
      <c r="G59" s="14"/>
      <c r="H59" s="441"/>
      <c r="I59" s="3"/>
      <c r="J59" s="165"/>
      <c r="K59" s="165"/>
      <c r="L59" s="792"/>
      <c r="M59" s="609"/>
      <c r="N59" s="3"/>
      <c r="O59" s="609"/>
      <c r="P59" s="562"/>
      <c r="Q59" s="562"/>
      <c r="R59" s="562"/>
      <c r="S59" s="562"/>
      <c r="T59" s="562"/>
      <c r="U59" s="562"/>
      <c r="V59" s="562"/>
      <c r="W59" s="562"/>
      <c r="X59" s="787"/>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94"/>
      <c r="AY59" s="562"/>
    </row>
    <row r="60" spans="1:51" s="467" customFormat="1" x14ac:dyDescent="0.2">
      <c r="A60" s="13"/>
      <c r="B60" s="358">
        <v>1001.1</v>
      </c>
      <c r="C60" s="14"/>
      <c r="D60" s="14"/>
      <c r="E60" s="14" t="s">
        <v>3271</v>
      </c>
      <c r="F60" s="14"/>
      <c r="G60" s="14"/>
      <c r="H60" s="441"/>
      <c r="I60" s="3"/>
      <c r="J60" s="161" t="s">
        <v>3271</v>
      </c>
      <c r="K60" s="186"/>
      <c r="L60" s="205" t="s">
        <v>3272</v>
      </c>
      <c r="M60" s="609"/>
      <c r="N60" s="3"/>
      <c r="O60" s="609"/>
      <c r="P60" s="562" t="b">
        <v>0</v>
      </c>
      <c r="Q60" s="562" t="b">
        <v>1</v>
      </c>
      <c r="R60" s="562" t="b">
        <v>0</v>
      </c>
      <c r="S60" s="562" t="b">
        <f>IF(AY19=INDEX(ddSingleOrMulti,1),TRUE,FALSE)</f>
        <v>1</v>
      </c>
      <c r="T60" s="64" t="b">
        <f>AND(NOT(S60),W60=TRUE)</f>
        <v>0</v>
      </c>
      <c r="U60" s="562"/>
      <c r="V60" s="562"/>
      <c r="W60" s="18"/>
      <c r="X60" s="563"/>
      <c r="Y60" s="562"/>
      <c r="Z60" s="562"/>
      <c r="AA60" s="562"/>
      <c r="AB60" s="562"/>
      <c r="AC60" s="562" t="b">
        <f>OR(AD60:AE60)</f>
        <v>0</v>
      </c>
      <c r="AD60" s="562" t="b">
        <f>T60</f>
        <v>0</v>
      </c>
      <c r="AE60" s="562"/>
      <c r="AF60" s="562"/>
      <c r="AG60" s="562"/>
      <c r="AH60" s="562"/>
      <c r="AI60" s="562"/>
      <c r="AJ60" s="562"/>
      <c r="AK60" s="562"/>
      <c r="AL60" s="562"/>
      <c r="AM60" s="562"/>
      <c r="AN60" s="562"/>
      <c r="AO60" s="562"/>
      <c r="AP60" s="190" t="str">
        <f t="shared" ref="AP60:AP61" si="7">SUBSTITUTE(SUBSTITUTE(SUBSTITUTE("dch"&amp;$B60&amp;$C60&amp;$D60&amp;$E60&amp;$F60,".","_"),"(","_"),")","")</f>
        <v>dch1001,1_24</v>
      </c>
      <c r="AQ60" s="190">
        <f>W60</f>
        <v>0</v>
      </c>
      <c r="AR60" s="190" t="str">
        <f>SUBSTITUTE(SUBSTITUTE(SUBSTITUTE("dnt"&amp;$B60&amp;$C60&amp;$D60&amp;$E60&amp;$F60,".","_"),"(","_"),")","")</f>
        <v>dnt1001,1_24</v>
      </c>
      <c r="AS60" s="190">
        <f>X60</f>
        <v>0</v>
      </c>
      <c r="AT60" s="562"/>
      <c r="AU60" s="562"/>
      <c r="AV60" s="562"/>
      <c r="AW60" s="562"/>
      <c r="AX60" s="594"/>
      <c r="AY60" s="562"/>
    </row>
    <row r="61" spans="1:51" s="467" customFormat="1" ht="16" thickBot="1" x14ac:dyDescent="0.25">
      <c r="A61" s="13"/>
      <c r="B61" s="358">
        <v>1001.1</v>
      </c>
      <c r="C61" s="14"/>
      <c r="D61" s="14"/>
      <c r="E61" s="14" t="s">
        <v>3273</v>
      </c>
      <c r="F61" s="14"/>
      <c r="G61" s="14"/>
      <c r="H61" s="441"/>
      <c r="I61" s="185"/>
      <c r="J61" s="143" t="s">
        <v>3273</v>
      </c>
      <c r="K61" s="185"/>
      <c r="L61" s="626" t="s">
        <v>3274</v>
      </c>
      <c r="M61" s="622"/>
      <c r="N61" s="185"/>
      <c r="O61" s="622"/>
      <c r="P61" s="562" t="b">
        <v>0</v>
      </c>
      <c r="Q61" s="562" t="b">
        <v>1</v>
      </c>
      <c r="R61" s="68" t="b">
        <v>0</v>
      </c>
      <c r="S61" s="68" t="b">
        <f>IF(AY19=INDEX(ddSingleOrMulti,1),TRUE,FALSE)</f>
        <v>1</v>
      </c>
      <c r="T61" s="68" t="b">
        <f>AND(NOT(S61),W61=TRUE)</f>
        <v>0</v>
      </c>
      <c r="U61" s="68"/>
      <c r="V61" s="68"/>
      <c r="W61" s="137"/>
      <c r="X61" s="565"/>
      <c r="Y61" s="562"/>
      <c r="Z61" s="562"/>
      <c r="AA61" s="562"/>
      <c r="AB61" s="562"/>
      <c r="AC61" s="562" t="b">
        <f>OR(AD61:AE61)</f>
        <v>0</v>
      </c>
      <c r="AD61" s="562" t="b">
        <f>T61</f>
        <v>0</v>
      </c>
      <c r="AE61" s="562"/>
      <c r="AF61" s="562"/>
      <c r="AG61" s="562"/>
      <c r="AH61" s="562"/>
      <c r="AI61" s="562"/>
      <c r="AJ61" s="562"/>
      <c r="AK61" s="562"/>
      <c r="AL61" s="562"/>
      <c r="AM61" s="562"/>
      <c r="AN61" s="562"/>
      <c r="AO61" s="562"/>
      <c r="AP61" s="190" t="str">
        <f t="shared" si="7"/>
        <v>dch1001,1_25</v>
      </c>
      <c r="AQ61" s="190">
        <f>W61</f>
        <v>0</v>
      </c>
      <c r="AR61" s="190" t="str">
        <f>SUBSTITUTE(SUBSTITUTE(SUBSTITUTE("dnt"&amp;$B61&amp;$C61&amp;$D61&amp;$E61&amp;$F61,".","_"),"(","_"),")","")</f>
        <v>dnt1001,1_25</v>
      </c>
      <c r="AS61" s="190">
        <f>X61</f>
        <v>0</v>
      </c>
      <c r="AT61" s="562"/>
      <c r="AU61" s="562"/>
      <c r="AV61" s="562"/>
      <c r="AW61" s="562"/>
      <c r="AX61" s="594" t="str">
        <f>'Overview (Design)'!A55</f>
        <v>Tankless Water Heater:</v>
      </c>
      <c r="AY61" s="562">
        <f>'Overview (Design)'!G55</f>
        <v>0</v>
      </c>
    </row>
    <row r="62" spans="1:51" ht="16" thickTop="1" x14ac:dyDescent="0.2">
      <c r="B62" s="358">
        <v>1001.2</v>
      </c>
      <c r="C62" s="14"/>
      <c r="D62" s="14"/>
      <c r="E62" s="14"/>
      <c r="F62" s="14"/>
      <c r="G62" s="14"/>
      <c r="H62" s="441"/>
      <c r="I62" s="40" t="s">
        <v>3275</v>
      </c>
      <c r="J62" s="3"/>
      <c r="K62" s="3"/>
      <c r="L62" s="775" t="s">
        <v>3276</v>
      </c>
      <c r="M62" s="843" t="str">
        <f>IF(R62,"Mandatory","N/A")</f>
        <v>Mandatory</v>
      </c>
      <c r="N62" s="3"/>
      <c r="O62" s="823">
        <f>M64*W62*S62</f>
        <v>0</v>
      </c>
      <c r="P62" s="562" t="b">
        <v>0</v>
      </c>
      <c r="Q62" s="562" t="b">
        <v>1</v>
      </c>
      <c r="R62" s="562" t="b">
        <f>S62</f>
        <v>1</v>
      </c>
      <c r="S62" s="562" t="b">
        <f>IF(AY19=INDEX(ddSingleOrMulti,1),TRUE,FALSE)</f>
        <v>1</v>
      </c>
      <c r="T62" s="64" t="b">
        <f>AND(NOT(S62),W62=TRUE)</f>
        <v>0</v>
      </c>
      <c r="U62" s="562"/>
      <c r="V62" s="562"/>
      <c r="W62" s="221"/>
      <c r="X62" s="786"/>
      <c r="Y62" s="562"/>
      <c r="Z62" s="562"/>
      <c r="AA62" s="562"/>
      <c r="AB62" s="562"/>
      <c r="AC62" s="562" t="b">
        <f>OR(AD62:AE62)</f>
        <v>1</v>
      </c>
      <c r="AD62" s="562" t="b">
        <f>T62</f>
        <v>0</v>
      </c>
      <c r="AE62" s="562" t="b">
        <f>AND(R62,NOT(W62=TRUE))</f>
        <v>1</v>
      </c>
      <c r="AF62" s="562"/>
      <c r="AG62" s="562"/>
      <c r="AH62" s="562"/>
      <c r="AI62" s="562"/>
      <c r="AJ62" s="562"/>
      <c r="AK62" s="562"/>
      <c r="AL62" s="190" t="str">
        <f>SUBSTITUTE(SUBSTITUTE(SUBSTITUTE("dpa"&amp;$B62&amp;$C62&amp;$D62&amp;$E62&amp;$F62,".","_"),"(","_"),")","")</f>
        <v>dpa1001,2</v>
      </c>
      <c r="AM62" s="190" t="str">
        <f>M62</f>
        <v>Mandatory</v>
      </c>
      <c r="AN62" s="562"/>
      <c r="AO62" s="562"/>
      <c r="AP62" s="190" t="str">
        <f t="shared" ref="AP62" si="8">SUBSTITUTE(SUBSTITUTE(SUBSTITUTE("dch"&amp;$B62&amp;$C62&amp;$D62&amp;$E62&amp;$F62,".","_"),"(","_"),")","")</f>
        <v>dch1001,2</v>
      </c>
      <c r="AQ62" s="190">
        <f>W62</f>
        <v>0</v>
      </c>
      <c r="AR62" s="190" t="str">
        <f>SUBSTITUTE(SUBSTITUTE(SUBSTITUTE("dnt"&amp;$B62&amp;$C62&amp;$D62&amp;$E62&amp;$F62,".","_"),"(","_"),")","")</f>
        <v>dnt1001,2</v>
      </c>
      <c r="AS62" s="190">
        <f>X62</f>
        <v>0</v>
      </c>
      <c r="AT62" s="562"/>
      <c r="AU62" s="562"/>
      <c r="AV62" s="562"/>
      <c r="AW62" s="562"/>
      <c r="AX62" s="594" t="str">
        <f>'Overview (Design)'!A56</f>
        <v>Composting Toilet:</v>
      </c>
      <c r="AY62" s="562">
        <f>'Overview (Design)'!G56</f>
        <v>0</v>
      </c>
    </row>
    <row r="63" spans="1:51" x14ac:dyDescent="0.2">
      <c r="B63" s="358">
        <v>1001.2</v>
      </c>
      <c r="C63" s="14"/>
      <c r="D63" s="14"/>
      <c r="E63" s="14"/>
      <c r="F63" s="14"/>
      <c r="G63" s="14"/>
      <c r="H63" s="441"/>
      <c r="I63" s="3"/>
      <c r="J63" s="3"/>
      <c r="K63" s="3"/>
      <c r="L63" s="775"/>
      <c r="M63" s="837"/>
      <c r="N63" s="3"/>
      <c r="O63" s="795"/>
      <c r="P63" s="562"/>
      <c r="Q63" s="562"/>
      <c r="R63" s="562"/>
      <c r="S63" s="562"/>
      <c r="T63" s="562"/>
      <c r="U63" s="562"/>
      <c r="V63" s="562"/>
      <c r="W63" s="562"/>
      <c r="X63" s="787"/>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94"/>
      <c r="AY63" s="562"/>
    </row>
    <row r="64" spans="1:51" x14ac:dyDescent="0.2">
      <c r="B64" s="358">
        <v>1001.2</v>
      </c>
      <c r="C64" s="14"/>
      <c r="D64" s="14"/>
      <c r="E64" s="14"/>
      <c r="F64" s="14"/>
      <c r="G64" s="14"/>
      <c r="H64" s="441"/>
      <c r="I64" s="3"/>
      <c r="J64" s="3"/>
      <c r="K64" s="3"/>
      <c r="L64" s="775"/>
      <c r="M64" s="887">
        <v>8</v>
      </c>
      <c r="N64" s="3"/>
      <c r="O64" s="795"/>
      <c r="P64" s="562"/>
      <c r="Q64" s="562"/>
      <c r="R64" s="562"/>
      <c r="S64" s="562"/>
      <c r="T64" s="562"/>
      <c r="U64" s="562"/>
      <c r="V64" s="562"/>
      <c r="W64" s="562"/>
      <c r="X64" s="787"/>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94" t="str">
        <f>'Overview (Design)'!A58</f>
        <v>Local Energy Code:</v>
      </c>
      <c r="AY64" s="562">
        <f>'Overview (Design)'!G58</f>
        <v>0</v>
      </c>
    </row>
    <row r="65" spans="2:51" x14ac:dyDescent="0.2">
      <c r="B65" s="358">
        <v>1001.2</v>
      </c>
      <c r="C65" s="14"/>
      <c r="D65" s="14"/>
      <c r="E65" s="14"/>
      <c r="F65" s="14"/>
      <c r="G65" s="14"/>
      <c r="H65" s="441"/>
      <c r="I65" s="3"/>
      <c r="J65" s="3"/>
      <c r="K65" s="3"/>
      <c r="L65" s="775"/>
      <c r="M65" s="887"/>
      <c r="N65" s="3"/>
      <c r="O65" s="795"/>
      <c r="P65" s="562"/>
      <c r="Q65" s="562"/>
      <c r="R65" s="562"/>
      <c r="S65" s="562"/>
      <c r="T65" s="562"/>
      <c r="U65" s="562"/>
      <c r="V65" s="562"/>
      <c r="W65" s="562"/>
      <c r="X65" s="787"/>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94" t="str">
        <f>'Overview (Design)'!A59</f>
        <v>Local Building Code:</v>
      </c>
      <c r="AY65" s="562">
        <f>'Overview (Design)'!G59</f>
        <v>0</v>
      </c>
    </row>
    <row r="66" spans="2:51" x14ac:dyDescent="0.2">
      <c r="B66" s="358">
        <v>1001.2</v>
      </c>
      <c r="C66" s="14"/>
      <c r="D66" s="14"/>
      <c r="E66" s="14" t="s">
        <v>2181</v>
      </c>
      <c r="F66" s="14"/>
      <c r="G66" s="14"/>
      <c r="H66" s="441"/>
      <c r="I66" s="3"/>
      <c r="J66" s="134" t="s">
        <v>2181</v>
      </c>
      <c r="K66" s="98"/>
      <c r="L66" s="659" t="s">
        <v>3277</v>
      </c>
      <c r="M66" s="609"/>
      <c r="N66" s="3"/>
      <c r="O66" s="609"/>
      <c r="P66" s="562"/>
      <c r="Q66" s="562"/>
      <c r="R66" s="562"/>
      <c r="S66" s="562"/>
      <c r="T66" s="562"/>
      <c r="U66" s="562"/>
      <c r="V66" s="562"/>
      <c r="W66" s="562"/>
      <c r="X66" s="787"/>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row>
    <row r="67" spans="2:51" x14ac:dyDescent="0.2">
      <c r="B67" s="358">
        <v>1001.2</v>
      </c>
      <c r="C67" s="14"/>
      <c r="D67" s="14"/>
      <c r="E67" s="14" t="s">
        <v>2183</v>
      </c>
      <c r="F67" s="14"/>
      <c r="G67" s="14"/>
      <c r="H67" s="441"/>
      <c r="I67" s="3"/>
      <c r="J67" s="134" t="s">
        <v>2183</v>
      </c>
      <c r="K67" s="98"/>
      <c r="L67" s="659" t="s">
        <v>3278</v>
      </c>
      <c r="M67" s="609"/>
      <c r="N67" s="3"/>
      <c r="O67" s="609"/>
      <c r="P67" s="562"/>
      <c r="Q67" s="562"/>
      <c r="R67" s="562"/>
      <c r="S67" s="562"/>
      <c r="T67" s="562"/>
      <c r="U67" s="562"/>
      <c r="V67" s="562"/>
      <c r="W67" s="562"/>
      <c r="X67" s="787"/>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row>
    <row r="68" spans="2:51" x14ac:dyDescent="0.2">
      <c r="B68" s="358">
        <v>1001.2</v>
      </c>
      <c r="C68" s="14"/>
      <c r="D68" s="14"/>
      <c r="E68" s="14" t="s">
        <v>2185</v>
      </c>
      <c r="F68" s="14"/>
      <c r="G68" s="14"/>
      <c r="H68" s="441"/>
      <c r="I68" s="3"/>
      <c r="J68" s="134" t="s">
        <v>2185</v>
      </c>
      <c r="K68" s="98"/>
      <c r="L68" s="659" t="s">
        <v>3279</v>
      </c>
      <c r="M68" s="609"/>
      <c r="N68" s="3"/>
      <c r="O68" s="609"/>
      <c r="P68" s="562"/>
      <c r="Q68" s="562"/>
      <c r="R68" s="562"/>
      <c r="S68" s="562"/>
      <c r="T68" s="562"/>
      <c r="U68" s="562"/>
      <c r="V68" s="562"/>
      <c r="W68" s="562"/>
      <c r="X68" s="787"/>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row>
    <row r="69" spans="2:51" x14ac:dyDescent="0.2">
      <c r="B69" s="358">
        <v>1001.2</v>
      </c>
      <c r="C69" s="14"/>
      <c r="D69" s="14"/>
      <c r="E69" s="14" t="s">
        <v>2192</v>
      </c>
      <c r="F69" s="14"/>
      <c r="G69" s="14"/>
      <c r="H69" s="441"/>
      <c r="I69" s="3"/>
      <c r="J69" s="134" t="s">
        <v>2192</v>
      </c>
      <c r="K69" s="98"/>
      <c r="L69" s="659" t="s">
        <v>3280</v>
      </c>
      <c r="M69" s="609"/>
      <c r="N69" s="3"/>
      <c r="O69" s="609"/>
      <c r="P69" s="562"/>
      <c r="Q69" s="562"/>
      <c r="R69" s="562"/>
      <c r="S69" s="562"/>
      <c r="T69" s="562"/>
      <c r="U69" s="562"/>
      <c r="V69" s="562"/>
      <c r="W69" s="562"/>
      <c r="X69" s="787"/>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row>
    <row r="70" spans="2:51" x14ac:dyDescent="0.2">
      <c r="B70" s="358">
        <v>1001.2</v>
      </c>
      <c r="C70" s="14"/>
      <c r="D70" s="14"/>
      <c r="E70" s="14" t="s">
        <v>2194</v>
      </c>
      <c r="F70" s="14"/>
      <c r="G70" s="14"/>
      <c r="H70" s="441"/>
      <c r="I70" s="3"/>
      <c r="J70" s="134" t="s">
        <v>2194</v>
      </c>
      <c r="K70" s="98"/>
      <c r="L70" s="659" t="s">
        <v>3281</v>
      </c>
      <c r="M70" s="609"/>
      <c r="N70" s="3"/>
      <c r="O70" s="609"/>
      <c r="P70" s="562"/>
      <c r="Q70" s="562"/>
      <c r="R70" s="562"/>
      <c r="S70" s="562"/>
      <c r="T70" s="562"/>
      <c r="U70" s="562"/>
      <c r="V70" s="562"/>
      <c r="W70" s="562"/>
      <c r="X70" s="787"/>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row>
    <row r="71" spans="2:51" x14ac:dyDescent="0.2">
      <c r="B71" s="358">
        <v>1001.2</v>
      </c>
      <c r="C71" s="14"/>
      <c r="D71" s="14"/>
      <c r="E71" s="14" t="s">
        <v>2221</v>
      </c>
      <c r="F71" s="14"/>
      <c r="G71" s="14"/>
      <c r="H71" s="441"/>
      <c r="I71" s="3"/>
      <c r="J71" s="134" t="s">
        <v>2221</v>
      </c>
      <c r="K71" s="98"/>
      <c r="L71" s="659" t="s">
        <v>3282</v>
      </c>
      <c r="M71" s="609"/>
      <c r="N71" s="3"/>
      <c r="O71" s="609"/>
      <c r="P71" s="562"/>
      <c r="Q71" s="562"/>
      <c r="R71" s="562"/>
      <c r="S71" s="562"/>
      <c r="T71" s="562"/>
      <c r="U71" s="562"/>
      <c r="V71" s="562"/>
      <c r="W71" s="562"/>
      <c r="X71" s="787"/>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row>
    <row r="72" spans="2:51" x14ac:dyDescent="0.2">
      <c r="B72" s="358">
        <v>1001.2</v>
      </c>
      <c r="C72" s="14"/>
      <c r="D72" s="14"/>
      <c r="E72" s="14" t="s">
        <v>2223</v>
      </c>
      <c r="F72" s="14"/>
      <c r="G72" s="14"/>
      <c r="H72" s="441"/>
      <c r="I72" s="3"/>
      <c r="J72" s="20" t="s">
        <v>2223</v>
      </c>
      <c r="K72" s="3"/>
      <c r="L72" s="661" t="s">
        <v>3283</v>
      </c>
      <c r="M72" s="609"/>
      <c r="N72" s="3"/>
      <c r="O72" s="609"/>
      <c r="P72" s="562"/>
      <c r="Q72" s="562"/>
      <c r="R72" s="562"/>
      <c r="S72" s="562"/>
      <c r="T72" s="562"/>
      <c r="U72" s="562"/>
      <c r="V72" s="562"/>
      <c r="W72" s="562"/>
      <c r="X72" s="787"/>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row>
    <row r="73" spans="2:51" ht="19" x14ac:dyDescent="0.25">
      <c r="B73" s="358">
        <v>1002</v>
      </c>
      <c r="C73" s="14"/>
      <c r="D73" s="14"/>
      <c r="E73" s="14"/>
      <c r="F73" s="14"/>
      <c r="G73" s="14"/>
      <c r="H73" s="441"/>
      <c r="I73" s="8" t="s">
        <v>3284</v>
      </c>
      <c r="J73" s="16"/>
      <c r="K73" s="16"/>
      <c r="L73" s="179"/>
      <c r="M73" s="264"/>
      <c r="N73" s="266"/>
      <c r="O73" s="264"/>
      <c r="P73" s="16"/>
      <c r="Q73" s="16"/>
      <c r="R73" s="16"/>
      <c r="S73" s="16"/>
      <c r="T73" s="16"/>
      <c r="U73" s="16"/>
      <c r="V73" s="16"/>
      <c r="W73" s="16"/>
      <c r="X73" s="16"/>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row>
    <row r="74" spans="2:51" x14ac:dyDescent="0.2">
      <c r="B74" s="358" t="s">
        <v>3285</v>
      </c>
      <c r="C74" s="14"/>
      <c r="D74" s="14"/>
      <c r="E74" s="14"/>
      <c r="F74" s="14"/>
      <c r="G74" s="14"/>
      <c r="H74" s="441"/>
      <c r="I74" s="184" t="s">
        <v>3286</v>
      </c>
      <c r="J74" s="98"/>
      <c r="K74" s="98"/>
      <c r="L74" s="820" t="s">
        <v>3287</v>
      </c>
      <c r="M74" s="607"/>
      <c r="N74" s="98"/>
      <c r="O74" s="607"/>
      <c r="P74" s="64"/>
      <c r="Q74" s="64"/>
      <c r="R74" s="64"/>
      <c r="S74" s="64"/>
      <c r="T74" s="64"/>
      <c r="U74" s="64"/>
      <c r="V74" s="64"/>
      <c r="W74" s="64"/>
      <c r="X74" s="64"/>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row>
    <row r="75" spans="2:51" x14ac:dyDescent="0.2">
      <c r="B75" s="358" t="s">
        <v>3285</v>
      </c>
      <c r="C75" s="14"/>
      <c r="D75" s="14"/>
      <c r="E75" s="14"/>
      <c r="F75" s="14"/>
      <c r="G75" s="14"/>
      <c r="H75" s="441"/>
      <c r="I75" s="98"/>
      <c r="J75" s="98"/>
      <c r="K75" s="98"/>
      <c r="L75" s="820"/>
      <c r="M75" s="607"/>
      <c r="N75" s="98"/>
      <c r="O75" s="607"/>
      <c r="P75" s="64"/>
      <c r="Q75" s="64"/>
      <c r="R75" s="64"/>
      <c r="S75" s="64"/>
      <c r="T75" s="64"/>
      <c r="U75" s="64"/>
      <c r="V75" s="64"/>
      <c r="W75" s="64"/>
      <c r="X75" s="64"/>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row>
    <row r="76" spans="2:51" x14ac:dyDescent="0.2">
      <c r="B76" s="358" t="s">
        <v>3285</v>
      </c>
      <c r="C76" s="14"/>
      <c r="D76" s="14"/>
      <c r="E76" s="14"/>
      <c r="F76" s="14"/>
      <c r="G76" s="14"/>
      <c r="H76" s="441"/>
      <c r="I76" s="98"/>
      <c r="J76" s="98"/>
      <c r="K76" s="98"/>
      <c r="L76" s="820"/>
      <c r="M76" s="607"/>
      <c r="N76" s="98"/>
      <c r="O76" s="607"/>
      <c r="P76" s="64"/>
      <c r="Q76" s="64"/>
      <c r="R76" s="64"/>
      <c r="S76" s="64"/>
      <c r="T76" s="64"/>
      <c r="U76" s="64"/>
      <c r="V76" s="64"/>
      <c r="W76" s="64"/>
      <c r="X76" s="64"/>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row>
    <row r="77" spans="2:51" x14ac:dyDescent="0.2">
      <c r="B77" s="358" t="s">
        <v>3285</v>
      </c>
      <c r="C77" s="14"/>
      <c r="D77" s="14"/>
      <c r="E77" s="14"/>
      <c r="F77" s="14"/>
      <c r="G77" s="14"/>
      <c r="H77" s="441"/>
      <c r="I77" s="98"/>
      <c r="J77" s="98"/>
      <c r="K77" s="98"/>
      <c r="L77" s="820"/>
      <c r="M77" s="607"/>
      <c r="N77" s="98"/>
      <c r="O77" s="607"/>
      <c r="P77" s="64"/>
      <c r="Q77" s="64"/>
      <c r="R77" s="64"/>
      <c r="S77" s="64"/>
      <c r="T77" s="64"/>
      <c r="U77" s="64"/>
      <c r="V77" s="64"/>
      <c r="W77" s="64"/>
      <c r="X77" s="64"/>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row>
    <row r="78" spans="2:51" x14ac:dyDescent="0.2">
      <c r="B78" s="358" t="s">
        <v>3285</v>
      </c>
      <c r="C78" s="14"/>
      <c r="D78" s="14"/>
      <c r="E78" s="14"/>
      <c r="F78" s="14"/>
      <c r="G78" s="14"/>
      <c r="H78" s="441"/>
      <c r="I78" s="98"/>
      <c r="J78" s="98"/>
      <c r="K78" s="98"/>
      <c r="L78" s="820"/>
      <c r="M78" s="607"/>
      <c r="N78" s="98"/>
      <c r="O78" s="607"/>
      <c r="P78" s="64"/>
      <c r="Q78" s="64"/>
      <c r="R78" s="64"/>
      <c r="S78" s="64"/>
      <c r="T78" s="64"/>
      <c r="U78" s="64"/>
      <c r="V78" s="64"/>
      <c r="W78" s="64"/>
      <c r="X78" s="64"/>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row>
    <row r="79" spans="2:51" ht="16" thickBot="1" x14ac:dyDescent="0.25">
      <c r="B79" s="358" t="s">
        <v>3285</v>
      </c>
      <c r="C79" s="14"/>
      <c r="D79" s="14"/>
      <c r="E79" s="14"/>
      <c r="F79" s="14"/>
      <c r="G79" s="14"/>
      <c r="H79" s="441"/>
      <c r="I79" s="185"/>
      <c r="J79" s="185"/>
      <c r="K79" s="185"/>
      <c r="L79" s="822"/>
      <c r="M79" s="622"/>
      <c r="N79" s="185"/>
      <c r="O79" s="622"/>
      <c r="P79" s="68"/>
      <c r="Q79" s="68"/>
      <c r="R79" s="68"/>
      <c r="S79" s="68"/>
      <c r="T79" s="68"/>
      <c r="U79" s="68"/>
      <c r="V79" s="68"/>
      <c r="W79" s="68"/>
      <c r="X79" s="68"/>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row>
    <row r="80" spans="2:51" ht="16" thickTop="1" x14ac:dyDescent="0.2">
      <c r="B80" s="358">
        <v>1002.1</v>
      </c>
      <c r="C80" s="14"/>
      <c r="D80" s="14"/>
      <c r="E80" s="14"/>
      <c r="F80" s="14"/>
      <c r="G80" s="14"/>
      <c r="H80" s="441"/>
      <c r="I80" s="40" t="s">
        <v>3288</v>
      </c>
      <c r="J80" s="3"/>
      <c r="K80" s="3"/>
      <c r="L80" s="775" t="s">
        <v>3289</v>
      </c>
      <c r="M80" s="814">
        <v>1</v>
      </c>
      <c r="N80" s="3"/>
      <c r="O80" s="885">
        <f>IF(AND(COUNTIF(W83:W89,TRUE)=3,COUNTIF(W91:W96,TRUE)&gt;1,S83),ROUNDDOWN(COUNTIF(W91:W96,TRUE)/2,0),0)</f>
        <v>0</v>
      </c>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190" t="str">
        <f>SUBSTITUTE(SUBSTITUTE(SUBSTITUTE("dpa"&amp;$B80&amp;$C80&amp;$D80&amp;$E80&amp;$F80,".","_"),"(","_"),")","")</f>
        <v>dpa1002,1</v>
      </c>
      <c r="AM80" s="190">
        <f>M80</f>
        <v>1</v>
      </c>
      <c r="AN80" s="190" t="str">
        <f>SUBSTITUTE(SUBSTITUTE(SUBSTITUTE("dpc"&amp;$B80&amp;$C80&amp;$D80&amp;$E80&amp;$F80,".","_"),"(","_"),")","")</f>
        <v>dpc1002,1</v>
      </c>
      <c r="AO80" s="190">
        <f>O80</f>
        <v>0</v>
      </c>
      <c r="AP80" s="562"/>
      <c r="AQ80" s="562"/>
      <c r="AR80" s="562"/>
      <c r="AS80" s="562"/>
      <c r="AT80" s="562"/>
      <c r="AU80" s="562"/>
      <c r="AV80" s="562"/>
      <c r="AW80" s="562"/>
      <c r="AX80" s="562"/>
      <c r="AY80" s="562"/>
    </row>
    <row r="81" spans="2:45" x14ac:dyDescent="0.2">
      <c r="B81" s="358">
        <v>1002.1</v>
      </c>
      <c r="C81" s="14"/>
      <c r="D81" s="14"/>
      <c r="E81" s="14"/>
      <c r="F81" s="14"/>
      <c r="G81" s="14"/>
      <c r="H81" s="441"/>
      <c r="I81" s="3"/>
      <c r="J81" s="3"/>
      <c r="K81" s="3"/>
      <c r="L81" s="775"/>
      <c r="M81" s="814"/>
      <c r="N81" s="3"/>
      <c r="O81" s="885"/>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row>
    <row r="82" spans="2:45" x14ac:dyDescent="0.2">
      <c r="B82" s="358">
        <v>1002.1</v>
      </c>
      <c r="C82" s="14"/>
      <c r="D82" s="14"/>
      <c r="E82" s="14"/>
      <c r="F82" s="14"/>
      <c r="G82" s="14"/>
      <c r="H82" s="441"/>
      <c r="I82" s="3"/>
      <c r="J82" s="3"/>
      <c r="K82" s="3"/>
      <c r="L82" s="176" t="s">
        <v>3290</v>
      </c>
      <c r="M82" s="814"/>
      <c r="N82" s="3"/>
      <c r="O82" s="885"/>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row>
    <row r="83" spans="2:45" x14ac:dyDescent="0.2">
      <c r="B83" s="358">
        <v>1002.1</v>
      </c>
      <c r="C83" s="14"/>
      <c r="D83" s="14"/>
      <c r="E83" s="14" t="s">
        <v>2181</v>
      </c>
      <c r="F83" s="14"/>
      <c r="G83" s="14"/>
      <c r="H83" s="441"/>
      <c r="I83" s="3"/>
      <c r="J83" s="20" t="s">
        <v>2181</v>
      </c>
      <c r="K83" s="3"/>
      <c r="L83" s="817" t="s">
        <v>3291</v>
      </c>
      <c r="M83" s="837" t="str">
        <f t="shared" ref="M83:M90" si="9">IF(R83,"Mandatory","N/A")</f>
        <v>N/A</v>
      </c>
      <c r="N83" s="3"/>
      <c r="O83" s="609"/>
      <c r="P83" s="562" t="b">
        <v>0</v>
      </c>
      <c r="Q83" s="562" t="b">
        <v>1</v>
      </c>
      <c r="R83" s="562" t="b">
        <f>S83</f>
        <v>0</v>
      </c>
      <c r="S83" s="562" t="b">
        <f>IF(AY19=INDEX(ddSingleOrMulti,2),TRUE,FALSE)</f>
        <v>0</v>
      </c>
      <c r="T83" s="64" t="b">
        <f>AND(NOT(S83),W83=TRUE)</f>
        <v>0</v>
      </c>
      <c r="U83" s="562"/>
      <c r="V83" s="562"/>
      <c r="W83" s="18"/>
      <c r="X83" s="787"/>
      <c r="Y83" s="562"/>
      <c r="Z83" s="562"/>
      <c r="AA83" s="562"/>
      <c r="AB83" s="562"/>
      <c r="AC83" s="562" t="b">
        <f>OR(AD83:AE83)</f>
        <v>0</v>
      </c>
      <c r="AD83" s="562" t="b">
        <f>T83</f>
        <v>0</v>
      </c>
      <c r="AE83" s="562" t="b">
        <f>AND(R83,O80&lt;1)</f>
        <v>0</v>
      </c>
      <c r="AF83" s="562"/>
      <c r="AG83" s="562"/>
      <c r="AH83" s="562"/>
      <c r="AI83" s="562"/>
      <c r="AJ83" s="562"/>
      <c r="AK83" s="562"/>
      <c r="AL83" s="190" t="str">
        <f>SUBSTITUTE(SUBSTITUTE(SUBSTITUTE("dpa"&amp;$B83&amp;$C83&amp;$D83&amp;$E83&amp;$F83,".","_"),"(","_"),")","")</f>
        <v>dpa1002,1_1</v>
      </c>
      <c r="AM83" s="190" t="str">
        <f>M83</f>
        <v>N/A</v>
      </c>
      <c r="AN83" s="562"/>
      <c r="AO83" s="562"/>
      <c r="AP83" s="190" t="str">
        <f>SUBSTITUTE(SUBSTITUTE(SUBSTITUTE("dch"&amp;$B83&amp;$C83&amp;$D83&amp;$E83&amp;$F83,".","_"),"(","_"),")","")</f>
        <v>dch1002,1_1</v>
      </c>
      <c r="AQ83" s="190">
        <f>W83</f>
        <v>0</v>
      </c>
      <c r="AR83" s="190" t="str">
        <f>SUBSTITUTE(SUBSTITUTE(SUBSTITUTE("dnt"&amp;$B83&amp;$C83&amp;$D83&amp;$E83&amp;$F83,".","_"),"(","_"),")","")</f>
        <v>dnt1002,1_1</v>
      </c>
      <c r="AS83" s="190">
        <f>X83</f>
        <v>0</v>
      </c>
    </row>
    <row r="84" spans="2:45" x14ac:dyDescent="0.2">
      <c r="B84" s="358">
        <v>1002.1</v>
      </c>
      <c r="C84" s="14"/>
      <c r="D84" s="14"/>
      <c r="E84" s="14" t="s">
        <v>2181</v>
      </c>
      <c r="F84" s="14"/>
      <c r="G84" s="14"/>
      <c r="H84" s="441"/>
      <c r="I84" s="3"/>
      <c r="J84" s="20"/>
      <c r="K84" s="3"/>
      <c r="L84" s="817"/>
      <c r="M84" s="837" t="str">
        <f t="shared" si="9"/>
        <v>N/A</v>
      </c>
      <c r="N84" s="3"/>
      <c r="O84" s="609"/>
      <c r="P84" s="562"/>
      <c r="Q84" s="562"/>
      <c r="R84" s="562"/>
      <c r="S84" s="562"/>
      <c r="T84" s="562"/>
      <c r="U84" s="562"/>
      <c r="V84" s="562"/>
      <c r="W84" s="562"/>
      <c r="X84" s="787"/>
      <c r="Y84" s="562"/>
      <c r="Z84" s="562"/>
      <c r="AA84" s="562"/>
      <c r="AB84" s="562"/>
      <c r="AC84" s="562"/>
      <c r="AD84" s="562"/>
      <c r="AE84" s="562"/>
      <c r="AF84" s="562"/>
      <c r="AG84" s="562"/>
      <c r="AH84" s="562"/>
      <c r="AI84" s="562"/>
      <c r="AJ84" s="562"/>
      <c r="AK84" s="562"/>
      <c r="AL84" s="562"/>
      <c r="AM84" s="562"/>
      <c r="AN84" s="562"/>
      <c r="AO84" s="562"/>
      <c r="AP84" s="562"/>
      <c r="AQ84" s="562"/>
      <c r="AR84" s="562"/>
      <c r="AS84" s="562"/>
    </row>
    <row r="85" spans="2:45" x14ac:dyDescent="0.2">
      <c r="B85" s="358">
        <v>1002.1</v>
      </c>
      <c r="C85" s="14"/>
      <c r="D85" s="14"/>
      <c r="E85" s="14" t="s">
        <v>2181</v>
      </c>
      <c r="F85" s="14"/>
      <c r="G85" s="14"/>
      <c r="H85" s="441"/>
      <c r="I85" s="3"/>
      <c r="J85" s="20"/>
      <c r="K85" s="3"/>
      <c r="L85" s="817"/>
      <c r="M85" s="837" t="str">
        <f t="shared" si="9"/>
        <v>N/A</v>
      </c>
      <c r="N85" s="3"/>
      <c r="O85" s="609"/>
      <c r="P85" s="562"/>
      <c r="Q85" s="562"/>
      <c r="R85" s="562"/>
      <c r="S85" s="562"/>
      <c r="T85" s="562"/>
      <c r="U85" s="562"/>
      <c r="V85" s="562"/>
      <c r="W85" s="562"/>
      <c r="X85" s="787"/>
      <c r="Y85" s="562"/>
      <c r="Z85" s="562"/>
      <c r="AA85" s="562"/>
      <c r="AB85" s="562"/>
      <c r="AC85" s="562"/>
      <c r="AD85" s="562"/>
      <c r="AE85" s="562"/>
      <c r="AF85" s="562"/>
      <c r="AG85" s="562"/>
      <c r="AH85" s="562"/>
      <c r="AI85" s="562"/>
      <c r="AJ85" s="562"/>
      <c r="AK85" s="562"/>
      <c r="AL85" s="562"/>
      <c r="AM85" s="562"/>
      <c r="AN85" s="562"/>
      <c r="AO85" s="562"/>
      <c r="AP85" s="562"/>
      <c r="AQ85" s="562"/>
      <c r="AR85" s="562"/>
      <c r="AS85" s="562"/>
    </row>
    <row r="86" spans="2:45" x14ac:dyDescent="0.2">
      <c r="B86" s="358">
        <v>1002.1</v>
      </c>
      <c r="C86" s="14"/>
      <c r="D86" s="14"/>
      <c r="E86" s="14" t="s">
        <v>2183</v>
      </c>
      <c r="F86" s="14"/>
      <c r="G86" s="14"/>
      <c r="H86" s="441"/>
      <c r="I86" s="3"/>
      <c r="J86" s="164" t="s">
        <v>2183</v>
      </c>
      <c r="K86" s="146"/>
      <c r="L86" s="831" t="s">
        <v>3292</v>
      </c>
      <c r="M86" s="867" t="str">
        <f t="shared" si="9"/>
        <v>N/A</v>
      </c>
      <c r="N86" s="3"/>
      <c r="O86" s="609"/>
      <c r="P86" s="562" t="b">
        <v>0</v>
      </c>
      <c r="Q86" s="562" t="b">
        <v>1</v>
      </c>
      <c r="R86" s="562" t="b">
        <f>S86</f>
        <v>0</v>
      </c>
      <c r="S86" s="562" t="b">
        <f>IF(AY19=INDEX(ddSingleOrMulti,2),TRUE,FALSE)</f>
        <v>0</v>
      </c>
      <c r="T86" s="64" t="b">
        <f>AND(NOT(S86),W86=TRUE)</f>
        <v>0</v>
      </c>
      <c r="U86" s="562"/>
      <c r="V86" s="562"/>
      <c r="W86" s="18"/>
      <c r="X86" s="787"/>
      <c r="Y86" s="562"/>
      <c r="Z86" s="562"/>
      <c r="AA86" s="562"/>
      <c r="AB86" s="562"/>
      <c r="AC86" s="562" t="b">
        <f>OR(AD86:AE86)</f>
        <v>0</v>
      </c>
      <c r="AD86" s="562" t="b">
        <f>T86</f>
        <v>0</v>
      </c>
      <c r="AE86" s="562" t="b">
        <f>AND(R86,NOT(W86=TRUE))</f>
        <v>0</v>
      </c>
      <c r="AF86" s="562"/>
      <c r="AG86" s="562"/>
      <c r="AH86" s="562"/>
      <c r="AI86" s="562"/>
      <c r="AJ86" s="562"/>
      <c r="AK86" s="562"/>
      <c r="AL86" s="190" t="str">
        <f>SUBSTITUTE(SUBSTITUTE(SUBSTITUTE("dpa"&amp;$B86&amp;$C86&amp;$D86&amp;$E86&amp;$F86,".","_"),"(","_"),")","")</f>
        <v>dpa1002,1_2</v>
      </c>
      <c r="AM86" s="190" t="str">
        <f>M86</f>
        <v>N/A</v>
      </c>
      <c r="AN86" s="562"/>
      <c r="AO86" s="562"/>
      <c r="AP86" s="190" t="str">
        <f>SUBSTITUTE(SUBSTITUTE(SUBSTITUTE("dch"&amp;$B86&amp;$C86&amp;$D86&amp;$E86&amp;$F86,".","_"),"(","_"),")","")</f>
        <v>dch1002,1_2</v>
      </c>
      <c r="AQ86" s="190">
        <f>W86</f>
        <v>0</v>
      </c>
      <c r="AR86" s="190" t="str">
        <f>SUBSTITUTE(SUBSTITUTE(SUBSTITUTE("dnt"&amp;$B86&amp;$C86&amp;$D86&amp;$E86&amp;$F86,".","_"),"(","_"),")","")</f>
        <v>dnt1002,1_2</v>
      </c>
      <c r="AS86" s="190">
        <f>X86</f>
        <v>0</v>
      </c>
    </row>
    <row r="87" spans="2:45" x14ac:dyDescent="0.2">
      <c r="B87" s="358">
        <v>1002.1</v>
      </c>
      <c r="C87" s="14"/>
      <c r="D87" s="14"/>
      <c r="E87" s="14" t="s">
        <v>2183</v>
      </c>
      <c r="F87" s="14"/>
      <c r="G87" s="14"/>
      <c r="H87" s="441"/>
      <c r="I87" s="3"/>
      <c r="J87" s="134"/>
      <c r="K87" s="98"/>
      <c r="L87" s="791"/>
      <c r="M87" s="838" t="str">
        <f t="shared" si="9"/>
        <v>N/A</v>
      </c>
      <c r="N87" s="3"/>
      <c r="O87" s="609"/>
      <c r="P87" s="562"/>
      <c r="Q87" s="562"/>
      <c r="R87" s="562"/>
      <c r="S87" s="562"/>
      <c r="T87" s="562"/>
      <c r="U87" s="562"/>
      <c r="V87" s="562"/>
      <c r="W87" s="562"/>
      <c r="X87" s="787"/>
      <c r="Y87" s="562"/>
      <c r="Z87" s="562"/>
      <c r="AA87" s="562"/>
      <c r="AB87" s="562"/>
      <c r="AC87" s="562"/>
      <c r="AD87" s="562"/>
      <c r="AE87" s="562"/>
      <c r="AF87" s="562"/>
      <c r="AG87" s="562"/>
      <c r="AH87" s="562"/>
      <c r="AI87" s="562"/>
      <c r="AJ87" s="562"/>
      <c r="AK87" s="562"/>
      <c r="AL87" s="562"/>
      <c r="AM87" s="562"/>
      <c r="AN87" s="562"/>
      <c r="AO87" s="562"/>
      <c r="AP87" s="562"/>
      <c r="AQ87" s="562"/>
      <c r="AR87" s="562"/>
      <c r="AS87" s="562"/>
    </row>
    <row r="88" spans="2:45" x14ac:dyDescent="0.2">
      <c r="B88" s="358">
        <v>1002.1</v>
      </c>
      <c r="C88" s="14"/>
      <c r="D88" s="14"/>
      <c r="E88" s="14" t="s">
        <v>2183</v>
      </c>
      <c r="F88" s="14"/>
      <c r="G88" s="14"/>
      <c r="H88" s="441"/>
      <c r="I88" s="3"/>
      <c r="J88" s="159"/>
      <c r="K88" s="165"/>
      <c r="L88" s="792"/>
      <c r="M88" s="854" t="str">
        <f t="shared" si="9"/>
        <v>N/A</v>
      </c>
      <c r="N88" s="3"/>
      <c r="O88" s="609"/>
      <c r="P88" s="562"/>
      <c r="Q88" s="562"/>
      <c r="R88" s="562"/>
      <c r="S88" s="562"/>
      <c r="T88" s="562"/>
      <c r="U88" s="562"/>
      <c r="V88" s="562"/>
      <c r="W88" s="562"/>
      <c r="X88" s="787"/>
      <c r="Y88" s="562"/>
      <c r="Z88" s="562"/>
      <c r="AA88" s="562"/>
      <c r="AB88" s="562"/>
      <c r="AC88" s="562"/>
      <c r="AD88" s="562"/>
      <c r="AE88" s="562"/>
      <c r="AF88" s="562"/>
      <c r="AG88" s="562"/>
      <c r="AH88" s="562"/>
      <c r="AI88" s="562"/>
      <c r="AJ88" s="562"/>
      <c r="AK88" s="562"/>
      <c r="AL88" s="562"/>
      <c r="AM88" s="562"/>
      <c r="AN88" s="562"/>
      <c r="AO88" s="562"/>
      <c r="AP88" s="562"/>
      <c r="AQ88" s="562"/>
      <c r="AR88" s="562"/>
      <c r="AS88" s="562"/>
    </row>
    <row r="89" spans="2:45" x14ac:dyDescent="0.2">
      <c r="B89" s="358">
        <v>1002.1</v>
      </c>
      <c r="C89" s="14"/>
      <c r="D89" s="14"/>
      <c r="E89" s="14" t="s">
        <v>2185</v>
      </c>
      <c r="F89" s="14"/>
      <c r="G89" s="14"/>
      <c r="H89" s="441"/>
      <c r="I89" s="3"/>
      <c r="J89" s="20" t="s">
        <v>2185</v>
      </c>
      <c r="K89" s="3"/>
      <c r="L89" s="817" t="s">
        <v>3293</v>
      </c>
      <c r="M89" s="837" t="str">
        <f t="shared" si="9"/>
        <v>N/A</v>
      </c>
      <c r="N89" s="3"/>
      <c r="O89" s="609"/>
      <c r="P89" s="562" t="b">
        <v>0</v>
      </c>
      <c r="Q89" s="562" t="b">
        <v>1</v>
      </c>
      <c r="R89" s="562" t="b">
        <f>S89</f>
        <v>0</v>
      </c>
      <c r="S89" s="562" t="b">
        <f>IF(AY19=INDEX(ddSingleOrMulti,2),TRUE,FALSE)</f>
        <v>0</v>
      </c>
      <c r="T89" s="64" t="b">
        <f>AND(NOT(S89),W89=TRUE)</f>
        <v>0</v>
      </c>
      <c r="U89" s="562"/>
      <c r="V89" s="562"/>
      <c r="W89" s="18"/>
      <c r="X89" s="787"/>
      <c r="Y89" s="562"/>
      <c r="Z89" s="562"/>
      <c r="AA89" s="562"/>
      <c r="AB89" s="562"/>
      <c r="AC89" s="562" t="b">
        <f>OR(AD89:AE89)</f>
        <v>0</v>
      </c>
      <c r="AD89" s="562" t="b">
        <f>T89</f>
        <v>0</v>
      </c>
      <c r="AE89" s="562" t="b">
        <f>AND(R89,NOT(W89=TRUE))</f>
        <v>0</v>
      </c>
      <c r="AF89" s="562"/>
      <c r="AG89" s="562"/>
      <c r="AH89" s="562"/>
      <c r="AI89" s="562"/>
      <c r="AJ89" s="562"/>
      <c r="AK89" s="562"/>
      <c r="AL89" s="190" t="str">
        <f>SUBSTITUTE(SUBSTITUTE(SUBSTITUTE("dpa"&amp;$B89&amp;$C89&amp;$D89&amp;$E89&amp;$F89,".","_"),"(","_"),")","")</f>
        <v>dpa1002,1_3</v>
      </c>
      <c r="AM89" s="190" t="str">
        <f>M89</f>
        <v>N/A</v>
      </c>
      <c r="AN89" s="562"/>
      <c r="AO89" s="562"/>
      <c r="AP89" s="190" t="str">
        <f>SUBSTITUTE(SUBSTITUTE(SUBSTITUTE("dch"&amp;$B89&amp;$C89&amp;$D89&amp;$E89&amp;$F89,".","_"),"(","_"),")","")</f>
        <v>dch1002,1_3</v>
      </c>
      <c r="AQ89" s="190">
        <f>W89</f>
        <v>0</v>
      </c>
      <c r="AR89" s="190" t="str">
        <f>SUBSTITUTE(SUBSTITUTE(SUBSTITUTE("dnt"&amp;$B89&amp;$C89&amp;$D89&amp;$E89&amp;$F89,".","_"),"(","_"),")","")</f>
        <v>dnt1002,1_3</v>
      </c>
      <c r="AS89" s="190">
        <f>X89</f>
        <v>0</v>
      </c>
    </row>
    <row r="90" spans="2:45" x14ac:dyDescent="0.2">
      <c r="B90" s="358">
        <v>1002.1</v>
      </c>
      <c r="C90" s="14"/>
      <c r="D90" s="14"/>
      <c r="E90" s="14" t="s">
        <v>2185</v>
      </c>
      <c r="F90" s="14"/>
      <c r="G90" s="14"/>
      <c r="H90" s="441"/>
      <c r="I90" s="3"/>
      <c r="J90" s="20"/>
      <c r="K90" s="3"/>
      <c r="L90" s="817"/>
      <c r="M90" s="837" t="str">
        <f t="shared" si="9"/>
        <v>N/A</v>
      </c>
      <c r="N90" s="3"/>
      <c r="O90" s="609"/>
      <c r="P90" s="562"/>
      <c r="Q90" s="562"/>
      <c r="R90" s="562"/>
      <c r="S90" s="562"/>
      <c r="T90" s="562"/>
      <c r="U90" s="562"/>
      <c r="V90" s="562"/>
      <c r="W90" s="562"/>
      <c r="X90" s="787"/>
      <c r="Y90" s="562"/>
      <c r="Z90" s="562"/>
      <c r="AA90" s="562"/>
      <c r="AB90" s="562"/>
      <c r="AC90" s="562"/>
      <c r="AD90" s="562"/>
      <c r="AE90" s="562"/>
      <c r="AF90" s="562"/>
      <c r="AG90" s="562"/>
      <c r="AH90" s="562"/>
      <c r="AI90" s="562"/>
      <c r="AJ90" s="562"/>
      <c r="AK90" s="562"/>
      <c r="AL90" s="562"/>
      <c r="AM90" s="562"/>
      <c r="AN90" s="562"/>
      <c r="AO90" s="562"/>
      <c r="AP90" s="562"/>
      <c r="AQ90" s="562"/>
      <c r="AR90" s="562"/>
      <c r="AS90" s="562"/>
    </row>
    <row r="91" spans="2:45" x14ac:dyDescent="0.2">
      <c r="B91" s="358">
        <v>1002.1</v>
      </c>
      <c r="C91" s="14"/>
      <c r="D91" s="14"/>
      <c r="E91" s="14" t="s">
        <v>2192</v>
      </c>
      <c r="F91" s="14"/>
      <c r="G91" s="14"/>
      <c r="H91" s="441"/>
      <c r="I91" s="3"/>
      <c r="J91" s="161" t="s">
        <v>2192</v>
      </c>
      <c r="K91" s="186"/>
      <c r="L91" s="187" t="s">
        <v>3294</v>
      </c>
      <c r="M91" s="617"/>
      <c r="N91" s="3"/>
      <c r="O91" s="609"/>
      <c r="P91" s="562" t="b">
        <v>0</v>
      </c>
      <c r="Q91" s="562" t="b">
        <v>1</v>
      </c>
      <c r="R91" s="562" t="b">
        <v>0</v>
      </c>
      <c r="S91" s="562" t="b">
        <f>IF(AY19=INDEX(ddSingleOrMulti,2),TRUE,FALSE)</f>
        <v>0</v>
      </c>
      <c r="T91" s="64" t="b">
        <f>AND(NOT(S91),W91=TRUE)</f>
        <v>0</v>
      </c>
      <c r="U91" s="562"/>
      <c r="V91" s="562"/>
      <c r="W91" s="18"/>
      <c r="X91" s="563"/>
      <c r="Y91" s="562"/>
      <c r="Z91" s="562"/>
      <c r="AA91" s="562"/>
      <c r="AB91" s="562"/>
      <c r="AC91" s="562" t="b">
        <f>OR(AD91:AE91)</f>
        <v>0</v>
      </c>
      <c r="AD91" s="562" t="b">
        <f>T91</f>
        <v>0</v>
      </c>
      <c r="AE91" s="562"/>
      <c r="AF91" s="562"/>
      <c r="AG91" s="562"/>
      <c r="AH91" s="562"/>
      <c r="AI91" s="562"/>
      <c r="AJ91" s="562"/>
      <c r="AK91" s="562"/>
      <c r="AL91" s="562"/>
      <c r="AM91" s="562"/>
      <c r="AN91" s="562"/>
      <c r="AO91" s="562"/>
      <c r="AP91" s="190" t="str">
        <f t="shared" ref="AP91:AP92" si="10">SUBSTITUTE(SUBSTITUTE(SUBSTITUTE("dch"&amp;$B91&amp;$C91&amp;$D91&amp;$E91&amp;$F91,".","_"),"(","_"),")","")</f>
        <v>dch1002,1_4</v>
      </c>
      <c r="AQ91" s="190">
        <f>W91</f>
        <v>0</v>
      </c>
      <c r="AR91" s="190" t="str">
        <f>SUBSTITUTE(SUBSTITUTE(SUBSTITUTE("dnt"&amp;$B91&amp;$C91&amp;$D91&amp;$E91&amp;$F91,".","_"),"(","_"),")","")</f>
        <v>dnt1002,1_4</v>
      </c>
      <c r="AS91" s="190">
        <f>X91</f>
        <v>0</v>
      </c>
    </row>
    <row r="92" spans="2:45" x14ac:dyDescent="0.2">
      <c r="B92" s="358">
        <v>1002.1</v>
      </c>
      <c r="C92" s="14"/>
      <c r="D92" s="14"/>
      <c r="E92" s="14" t="s">
        <v>2194</v>
      </c>
      <c r="F92" s="14"/>
      <c r="G92" s="14"/>
      <c r="H92" s="441"/>
      <c r="I92" s="3"/>
      <c r="J92" s="20" t="s">
        <v>2194</v>
      </c>
      <c r="K92" s="3"/>
      <c r="L92" s="817" t="s">
        <v>3295</v>
      </c>
      <c r="M92" s="607"/>
      <c r="N92" s="3"/>
      <c r="O92" s="609"/>
      <c r="P92" s="562" t="b">
        <v>0</v>
      </c>
      <c r="Q92" s="562" t="b">
        <v>1</v>
      </c>
      <c r="R92" s="562" t="b">
        <v>0</v>
      </c>
      <c r="S92" s="562" t="b">
        <f>IF(AY19=INDEX(ddSingleOrMulti,2),TRUE,FALSE)</f>
        <v>0</v>
      </c>
      <c r="T92" s="64" t="b">
        <f>AND(NOT(S92),W92=TRUE)</f>
        <v>0</v>
      </c>
      <c r="U92" s="562"/>
      <c r="V92" s="562"/>
      <c r="W92" s="18"/>
      <c r="X92" s="787"/>
      <c r="Y92" s="562"/>
      <c r="Z92" s="562"/>
      <c r="AA92" s="562"/>
      <c r="AB92" s="562"/>
      <c r="AC92" s="562" t="b">
        <f>OR(AD92:AE92)</f>
        <v>0</v>
      </c>
      <c r="AD92" s="562" t="b">
        <f>T92</f>
        <v>0</v>
      </c>
      <c r="AE92" s="562"/>
      <c r="AF92" s="562"/>
      <c r="AG92" s="562"/>
      <c r="AH92" s="562"/>
      <c r="AI92" s="562"/>
      <c r="AJ92" s="562"/>
      <c r="AK92" s="562"/>
      <c r="AL92" s="562"/>
      <c r="AM92" s="562"/>
      <c r="AN92" s="562"/>
      <c r="AO92" s="562"/>
      <c r="AP92" s="190" t="str">
        <f t="shared" si="10"/>
        <v>dch1002,1_5</v>
      </c>
      <c r="AQ92" s="190">
        <f>W92</f>
        <v>0</v>
      </c>
      <c r="AR92" s="190" t="str">
        <f>SUBSTITUTE(SUBSTITUTE(SUBSTITUTE("dnt"&amp;$B92&amp;$C92&amp;$D92&amp;$E92&amp;$F92,".","_"),"(","_"),")","")</f>
        <v>dnt1002,1_5</v>
      </c>
      <c r="AS92" s="190">
        <f>X92</f>
        <v>0</v>
      </c>
    </row>
    <row r="93" spans="2:45" x14ac:dyDescent="0.2">
      <c r="B93" s="358">
        <v>1002.1</v>
      </c>
      <c r="C93" s="14"/>
      <c r="D93" s="14"/>
      <c r="E93" s="14" t="s">
        <v>2194</v>
      </c>
      <c r="F93" s="14"/>
      <c r="G93" s="14"/>
      <c r="H93" s="441"/>
      <c r="I93" s="3"/>
      <c r="J93" s="20"/>
      <c r="K93" s="3"/>
      <c r="L93" s="817"/>
      <c r="M93" s="607"/>
      <c r="N93" s="3"/>
      <c r="O93" s="609"/>
      <c r="P93" s="562"/>
      <c r="Q93" s="562"/>
      <c r="R93" s="562"/>
      <c r="S93" s="562"/>
      <c r="T93" s="562"/>
      <c r="U93" s="562"/>
      <c r="V93" s="562"/>
      <c r="W93" s="562"/>
      <c r="X93" s="787"/>
      <c r="Y93" s="562"/>
      <c r="Z93" s="562"/>
      <c r="AA93" s="562"/>
      <c r="AB93" s="562"/>
      <c r="AC93" s="562"/>
      <c r="AD93" s="562"/>
      <c r="AE93" s="562"/>
      <c r="AF93" s="562"/>
      <c r="AG93" s="562"/>
      <c r="AH93" s="562"/>
      <c r="AI93" s="562"/>
      <c r="AJ93" s="562"/>
      <c r="AK93" s="562"/>
      <c r="AL93" s="562"/>
      <c r="AM93" s="562"/>
      <c r="AN93" s="562"/>
      <c r="AO93" s="562"/>
      <c r="AP93" s="562"/>
      <c r="AQ93" s="562"/>
      <c r="AR93" s="562"/>
      <c r="AS93" s="562"/>
    </row>
    <row r="94" spans="2:45" x14ac:dyDescent="0.2">
      <c r="B94" s="358">
        <v>1002.1</v>
      </c>
      <c r="C94" s="14"/>
      <c r="D94" s="14"/>
      <c r="E94" s="14" t="s">
        <v>2221</v>
      </c>
      <c r="F94" s="14"/>
      <c r="G94" s="14"/>
      <c r="H94" s="441"/>
      <c r="I94" s="3"/>
      <c r="J94" s="161" t="s">
        <v>2221</v>
      </c>
      <c r="K94" s="186"/>
      <c r="L94" s="187" t="s">
        <v>3244</v>
      </c>
      <c r="M94" s="607"/>
      <c r="N94" s="3"/>
      <c r="O94" s="609"/>
      <c r="P94" s="562" t="b">
        <v>0</v>
      </c>
      <c r="Q94" s="562" t="b">
        <v>1</v>
      </c>
      <c r="R94" s="562" t="b">
        <v>0</v>
      </c>
      <c r="S94" s="562" t="b">
        <f>IF(AY19=INDEX(ddSingleOrMulti,2),TRUE,FALSE)</f>
        <v>0</v>
      </c>
      <c r="T94" s="64" t="b">
        <f>AND(NOT(S94),W94=TRUE)</f>
        <v>0</v>
      </c>
      <c r="U94" s="562"/>
      <c r="V94" s="562"/>
      <c r="W94" s="18"/>
      <c r="X94" s="563"/>
      <c r="Y94" s="562"/>
      <c r="Z94" s="562"/>
      <c r="AA94" s="562"/>
      <c r="AB94" s="562"/>
      <c r="AC94" s="562" t="b">
        <f>OR(AD94:AE94)</f>
        <v>0</v>
      </c>
      <c r="AD94" s="562" t="b">
        <f>T94</f>
        <v>0</v>
      </c>
      <c r="AE94" s="562"/>
      <c r="AF94" s="562"/>
      <c r="AG94" s="562"/>
      <c r="AH94" s="562"/>
      <c r="AI94" s="562"/>
      <c r="AJ94" s="562"/>
      <c r="AK94" s="562"/>
      <c r="AL94" s="562"/>
      <c r="AM94" s="562"/>
      <c r="AN94" s="562"/>
      <c r="AO94" s="562"/>
      <c r="AP94" s="190" t="str">
        <f t="shared" ref="AP94:AP96" si="11">SUBSTITUTE(SUBSTITUTE(SUBSTITUTE("dch"&amp;$B94&amp;$C94&amp;$D94&amp;$E94&amp;$F94,".","_"),"(","_"),")","")</f>
        <v>dch1002,1_6</v>
      </c>
      <c r="AQ94" s="190">
        <f>W94</f>
        <v>0</v>
      </c>
      <c r="AR94" s="190" t="str">
        <f>SUBSTITUTE(SUBSTITUTE(SUBSTITUTE("dnt"&amp;$B94&amp;$C94&amp;$D94&amp;$E94&amp;$F94,".","_"),"(","_"),")","")</f>
        <v>dnt1002,1_6</v>
      </c>
      <c r="AS94" s="190">
        <f>X94</f>
        <v>0</v>
      </c>
    </row>
    <row r="95" spans="2:45" x14ac:dyDescent="0.2">
      <c r="B95" s="358">
        <v>1002.1</v>
      </c>
      <c r="C95" s="14"/>
      <c r="D95" s="14"/>
      <c r="E95" s="14" t="s">
        <v>2223</v>
      </c>
      <c r="F95" s="14"/>
      <c r="G95" s="14"/>
      <c r="H95" s="441"/>
      <c r="I95" s="3"/>
      <c r="J95" s="161" t="s">
        <v>2223</v>
      </c>
      <c r="K95" s="186"/>
      <c r="L95" s="187" t="s">
        <v>3296</v>
      </c>
      <c r="M95" s="607"/>
      <c r="N95" s="3"/>
      <c r="O95" s="609"/>
      <c r="P95" s="562" t="b">
        <v>0</v>
      </c>
      <c r="Q95" s="562" t="b">
        <v>1</v>
      </c>
      <c r="R95" s="562" t="b">
        <v>0</v>
      </c>
      <c r="S95" s="562" t="b">
        <f>IF(AY19=INDEX(ddSingleOrMulti,2),TRUE,FALSE)</f>
        <v>0</v>
      </c>
      <c r="T95" s="64" t="b">
        <f>AND(NOT(S95),W95=TRUE)</f>
        <v>0</v>
      </c>
      <c r="U95" s="562"/>
      <c r="V95" s="562"/>
      <c r="W95" s="18"/>
      <c r="X95" s="563"/>
      <c r="Y95" s="562"/>
      <c r="Z95" s="562"/>
      <c r="AA95" s="562"/>
      <c r="AB95" s="562"/>
      <c r="AC95" s="562" t="b">
        <f>OR(AD95:AE95)</f>
        <v>0</v>
      </c>
      <c r="AD95" s="562" t="b">
        <f>T95</f>
        <v>0</v>
      </c>
      <c r="AE95" s="562"/>
      <c r="AF95" s="562"/>
      <c r="AG95" s="562"/>
      <c r="AH95" s="562"/>
      <c r="AI95" s="562"/>
      <c r="AJ95" s="562"/>
      <c r="AK95" s="562"/>
      <c r="AL95" s="562"/>
      <c r="AM95" s="562"/>
      <c r="AN95" s="562"/>
      <c r="AO95" s="562"/>
      <c r="AP95" s="190" t="str">
        <f t="shared" si="11"/>
        <v>dch1002,1_7</v>
      </c>
      <c r="AQ95" s="190">
        <f>W95</f>
        <v>0</v>
      </c>
      <c r="AR95" s="190" t="str">
        <f>SUBSTITUTE(SUBSTITUTE(SUBSTITUTE("dnt"&amp;$B95&amp;$C95&amp;$D95&amp;$E95&amp;$F95,".","_"),"(","_"),")","")</f>
        <v>dnt1002,1_7</v>
      </c>
      <c r="AS95" s="190">
        <f>X95</f>
        <v>0</v>
      </c>
    </row>
    <row r="96" spans="2:45" ht="15" customHeight="1" x14ac:dyDescent="0.2">
      <c r="B96" s="358">
        <v>1002.1</v>
      </c>
      <c r="C96" s="14"/>
      <c r="D96" s="14"/>
      <c r="E96" s="14" t="s">
        <v>2282</v>
      </c>
      <c r="F96" s="14"/>
      <c r="G96" s="14"/>
      <c r="H96" s="441"/>
      <c r="I96" s="98"/>
      <c r="J96" s="134" t="s">
        <v>2282</v>
      </c>
      <c r="K96" s="98"/>
      <c r="L96" s="791" t="s">
        <v>3297</v>
      </c>
      <c r="M96" s="607"/>
      <c r="N96" s="98"/>
      <c r="O96" s="607"/>
      <c r="P96" s="562" t="b">
        <v>0</v>
      </c>
      <c r="Q96" s="562" t="b">
        <v>1</v>
      </c>
      <c r="R96" s="64" t="b">
        <v>0</v>
      </c>
      <c r="S96" s="64" t="b">
        <f>IF(AY19=INDEX(ddSingleOrMulti,2),TRUE,FALSE)</f>
        <v>0</v>
      </c>
      <c r="T96" s="64" t="b">
        <f>AND(NOT(S96),W96=TRUE)</f>
        <v>0</v>
      </c>
      <c r="U96" s="64"/>
      <c r="V96" s="64"/>
      <c r="W96" s="18"/>
      <c r="X96" s="798"/>
      <c r="Y96" s="562"/>
      <c r="Z96" s="562"/>
      <c r="AA96" s="562"/>
      <c r="AB96" s="562"/>
      <c r="AC96" s="562" t="b">
        <f>OR(AD96:AE96)</f>
        <v>0</v>
      </c>
      <c r="AD96" s="562" t="b">
        <f>T96</f>
        <v>0</v>
      </c>
      <c r="AE96" s="562"/>
      <c r="AF96" s="562"/>
      <c r="AG96" s="562"/>
      <c r="AH96" s="562"/>
      <c r="AI96" s="562"/>
      <c r="AJ96" s="562"/>
      <c r="AK96" s="562"/>
      <c r="AL96" s="562"/>
      <c r="AM96" s="562"/>
      <c r="AN96" s="562"/>
      <c r="AO96" s="562"/>
      <c r="AP96" s="190" t="str">
        <f t="shared" si="11"/>
        <v>dch1002,1_8</v>
      </c>
      <c r="AQ96" s="190">
        <f>W96</f>
        <v>0</v>
      </c>
      <c r="AR96" s="190" t="str">
        <f>SUBSTITUTE(SUBSTITUTE(SUBSTITUTE("dnt"&amp;$B96&amp;$C96&amp;$D96&amp;$E96&amp;$F96,".","_"),"(","_"),")","")</f>
        <v>dnt1002,1_8</v>
      </c>
      <c r="AS96" s="190">
        <f>X96</f>
        <v>0</v>
      </c>
    </row>
    <row r="97" spans="2:45" ht="15" customHeight="1" thickBot="1" x14ac:dyDescent="0.25">
      <c r="B97" s="358">
        <v>1002.1</v>
      </c>
      <c r="C97" s="14"/>
      <c r="D97" s="14"/>
      <c r="E97" s="14" t="s">
        <v>2282</v>
      </c>
      <c r="F97" s="14"/>
      <c r="G97" s="14"/>
      <c r="H97" s="441"/>
      <c r="I97" s="185"/>
      <c r="J97" s="185"/>
      <c r="K97" s="185"/>
      <c r="L97" s="818"/>
      <c r="M97" s="622"/>
      <c r="N97" s="185"/>
      <c r="O97" s="622"/>
      <c r="P97" s="68"/>
      <c r="Q97" s="68"/>
      <c r="R97" s="68"/>
      <c r="S97" s="68"/>
      <c r="T97" s="68"/>
      <c r="U97" s="68"/>
      <c r="V97" s="68"/>
      <c r="W97" s="68"/>
      <c r="X97" s="799"/>
      <c r="Y97" s="562"/>
      <c r="Z97" s="562"/>
      <c r="AA97" s="562"/>
      <c r="AB97" s="562"/>
      <c r="AC97" s="562"/>
      <c r="AD97" s="562"/>
      <c r="AE97" s="562"/>
      <c r="AF97" s="562"/>
      <c r="AG97" s="562"/>
      <c r="AH97" s="562"/>
      <c r="AI97" s="562"/>
      <c r="AJ97" s="562"/>
      <c r="AK97" s="562"/>
      <c r="AL97" s="562"/>
      <c r="AM97" s="562"/>
      <c r="AN97" s="562"/>
      <c r="AO97" s="562"/>
      <c r="AP97" s="562"/>
      <c r="AQ97" s="562"/>
      <c r="AR97" s="562"/>
      <c r="AS97" s="562"/>
    </row>
    <row r="98" spans="2:45" ht="16" thickTop="1" x14ac:dyDescent="0.2">
      <c r="B98" s="358">
        <v>1002.2</v>
      </c>
      <c r="C98" s="14"/>
      <c r="D98" s="14"/>
      <c r="E98" s="14"/>
      <c r="F98" s="14"/>
      <c r="G98" s="14"/>
      <c r="H98" s="441"/>
      <c r="I98" s="107" t="s">
        <v>3298</v>
      </c>
      <c r="J98" s="3"/>
      <c r="K98" s="3"/>
      <c r="L98" s="775" t="s">
        <v>3299</v>
      </c>
      <c r="M98" s="814">
        <v>1</v>
      </c>
      <c r="N98" s="3"/>
      <c r="O98" s="885">
        <f>IF(AND(COUNTIF(W102:W104,TRUE)=2,COUNTIF(W107:W123,TRUE)&gt;2,S102),ROUNDDOWN(COUNTIF(W107:W123,TRUE)/2,0),0)</f>
        <v>0</v>
      </c>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190" t="str">
        <f>SUBSTITUTE(SUBSTITUTE(SUBSTITUTE("dpa"&amp;$B98&amp;$C98&amp;$D98&amp;$E98&amp;$F98,".","_"),"(","_"),")","")</f>
        <v>dpa1002,2</v>
      </c>
      <c r="AM98" s="190">
        <f>M98</f>
        <v>1</v>
      </c>
      <c r="AN98" s="190" t="str">
        <f>SUBSTITUTE(SUBSTITUTE(SUBSTITUTE("dpc"&amp;$B98&amp;$C98&amp;$D98&amp;$E98&amp;$F98,".","_"),"(","_"),")","")</f>
        <v>dpc1002,2</v>
      </c>
      <c r="AO98" s="190">
        <f>O98</f>
        <v>0</v>
      </c>
      <c r="AP98" s="562"/>
      <c r="AQ98" s="562"/>
      <c r="AR98" s="562"/>
      <c r="AS98" s="562"/>
    </row>
    <row r="99" spans="2:45" x14ac:dyDescent="0.2">
      <c r="B99" s="358">
        <v>1002.2</v>
      </c>
      <c r="C99" s="14"/>
      <c r="D99" s="14"/>
      <c r="E99" s="14"/>
      <c r="F99" s="14"/>
      <c r="G99" s="14"/>
      <c r="H99" s="441"/>
      <c r="I99" s="3"/>
      <c r="J99" s="3"/>
      <c r="K99" s="3"/>
      <c r="L99" s="775"/>
      <c r="M99" s="814"/>
      <c r="N99" s="3"/>
      <c r="O99" s="885"/>
      <c r="P99" s="562"/>
      <c r="Q99" s="562"/>
      <c r="R99" s="562"/>
      <c r="S99" s="562"/>
      <c r="T99" s="562"/>
      <c r="U99" s="562"/>
      <c r="V99" s="562"/>
      <c r="W99" s="562"/>
      <c r="X99" s="562"/>
      <c r="Y99" s="562"/>
      <c r="Z99" s="562"/>
      <c r="AA99" s="562"/>
      <c r="AB99" s="562"/>
      <c r="AC99" s="562"/>
      <c r="AD99" s="562"/>
      <c r="AE99" s="562"/>
      <c r="AF99" s="562"/>
      <c r="AG99" s="562"/>
      <c r="AH99" s="562"/>
      <c r="AI99" s="562"/>
      <c r="AJ99" s="562"/>
      <c r="AK99" s="562"/>
      <c r="AL99" s="562"/>
      <c r="AM99" s="562"/>
      <c r="AN99" s="562"/>
      <c r="AO99" s="562"/>
      <c r="AP99" s="562"/>
      <c r="AQ99" s="562"/>
      <c r="AR99" s="562"/>
      <c r="AS99" s="562"/>
    </row>
    <row r="100" spans="2:45" x14ac:dyDescent="0.2">
      <c r="B100" s="358">
        <v>1002.2</v>
      </c>
      <c r="C100" s="14"/>
      <c r="D100" s="14"/>
      <c r="E100" s="14"/>
      <c r="F100" s="14"/>
      <c r="G100" s="14"/>
      <c r="H100" s="441"/>
      <c r="I100" s="3"/>
      <c r="J100" s="3"/>
      <c r="K100" s="3"/>
      <c r="L100" s="775"/>
      <c r="M100" s="814"/>
      <c r="N100" s="3"/>
      <c r="O100" s="885"/>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row>
    <row r="101" spans="2:45" x14ac:dyDescent="0.2">
      <c r="B101" s="358">
        <v>1002.2</v>
      </c>
      <c r="C101" s="14"/>
      <c r="D101" s="14"/>
      <c r="E101" s="14"/>
      <c r="F101" s="14"/>
      <c r="G101" s="14"/>
      <c r="H101" s="441"/>
      <c r="I101" s="3"/>
      <c r="J101" s="3"/>
      <c r="K101" s="3"/>
      <c r="L101" s="177" t="s">
        <v>3290</v>
      </c>
      <c r="M101" s="814"/>
      <c r="N101" s="3"/>
      <c r="O101" s="885"/>
      <c r="P101" s="562"/>
      <c r="Q101" s="562"/>
      <c r="R101" s="562"/>
      <c r="S101" s="562"/>
      <c r="T101" s="562"/>
      <c r="U101" s="562"/>
      <c r="V101" s="562"/>
      <c r="W101" s="562"/>
      <c r="X101" s="562"/>
      <c r="Y101" s="562"/>
      <c r="Z101" s="562"/>
      <c r="AA101" s="562"/>
      <c r="AB101" s="562"/>
      <c r="AC101" s="562"/>
      <c r="AD101" s="562"/>
      <c r="AE101" s="562"/>
      <c r="AF101" s="562"/>
      <c r="AG101" s="562"/>
      <c r="AH101" s="562"/>
      <c r="AI101" s="562"/>
      <c r="AJ101" s="562"/>
      <c r="AK101" s="562"/>
      <c r="AL101" s="562"/>
      <c r="AM101" s="562"/>
      <c r="AN101" s="562"/>
      <c r="AO101" s="562"/>
      <c r="AP101" s="562"/>
      <c r="AQ101" s="562"/>
      <c r="AR101" s="562"/>
      <c r="AS101" s="562"/>
    </row>
    <row r="102" spans="2:45" x14ac:dyDescent="0.2">
      <c r="B102" s="358">
        <v>1002.2</v>
      </c>
      <c r="C102" s="14"/>
      <c r="D102" s="14"/>
      <c r="E102" s="14" t="s">
        <v>2181</v>
      </c>
      <c r="F102" s="14"/>
      <c r="G102" s="14"/>
      <c r="H102" s="441"/>
      <c r="I102" s="3"/>
      <c r="J102" s="134" t="s">
        <v>2181</v>
      </c>
      <c r="K102" s="98"/>
      <c r="L102" s="791" t="s">
        <v>3300</v>
      </c>
      <c r="M102" s="838" t="str">
        <f>IF(R102,"Mandatory","N/A")</f>
        <v>N/A</v>
      </c>
      <c r="N102" s="3"/>
      <c r="O102" s="609"/>
      <c r="P102" s="562" t="b">
        <v>0</v>
      </c>
      <c r="Q102" s="562" t="b">
        <v>1</v>
      </c>
      <c r="R102" s="562" t="b">
        <f>S102</f>
        <v>0</v>
      </c>
      <c r="S102" s="562" t="b">
        <f>IF(AY19=INDEX(ddSingleOrMulti,2),TRUE,FALSE)</f>
        <v>0</v>
      </c>
      <c r="T102" s="64" t="b">
        <f>AND(NOT(S102),W102=TRUE)</f>
        <v>0</v>
      </c>
      <c r="U102" s="562"/>
      <c r="V102" s="562"/>
      <c r="W102" s="18"/>
      <c r="X102" s="787"/>
      <c r="Y102" s="562"/>
      <c r="Z102" s="562"/>
      <c r="AA102" s="562"/>
      <c r="AB102" s="562"/>
      <c r="AC102" s="562" t="b">
        <f>OR(AD102:AE102)</f>
        <v>0</v>
      </c>
      <c r="AD102" s="562" t="b">
        <f>T102</f>
        <v>0</v>
      </c>
      <c r="AE102" s="562" t="b">
        <f>AND(R102,NOT(W102=TRUE))</f>
        <v>0</v>
      </c>
      <c r="AF102" s="562"/>
      <c r="AG102" s="562"/>
      <c r="AH102" s="562"/>
      <c r="AI102" s="562"/>
      <c r="AJ102" s="562"/>
      <c r="AK102" s="562"/>
      <c r="AL102" s="190" t="str">
        <f>SUBSTITUTE(SUBSTITUTE(SUBSTITUTE("dpa"&amp;$B102&amp;$C102&amp;$D102&amp;$E102&amp;$F102,".","_"),"(","_"),")","")</f>
        <v>dpa1002,2_1</v>
      </c>
      <c r="AM102" s="190" t="str">
        <f>M102</f>
        <v>N/A</v>
      </c>
      <c r="AN102" s="562"/>
      <c r="AO102" s="562"/>
      <c r="AP102" s="190" t="str">
        <f>SUBSTITUTE(SUBSTITUTE(SUBSTITUTE("dch"&amp;$B102&amp;$C102&amp;$D102&amp;$E102&amp;$F102,".","_"),"(","_"),")","")</f>
        <v>dch1002,2_1</v>
      </c>
      <c r="AQ102" s="190">
        <f>W102</f>
        <v>0</v>
      </c>
      <c r="AR102" s="190" t="str">
        <f>SUBSTITUTE(SUBSTITUTE(SUBSTITUTE("dnt"&amp;$B102&amp;$C102&amp;$D102&amp;$E102&amp;$F102,".","_"),"(","_"),")","")</f>
        <v>dnt1002,2_1</v>
      </c>
      <c r="AS102" s="190">
        <f>X102</f>
        <v>0</v>
      </c>
    </row>
    <row r="103" spans="2:45" x14ac:dyDescent="0.2">
      <c r="B103" s="358">
        <v>1002.2</v>
      </c>
      <c r="C103" s="14"/>
      <c r="D103" s="14"/>
      <c r="E103" s="14" t="s">
        <v>2181</v>
      </c>
      <c r="F103" s="14"/>
      <c r="G103" s="14"/>
      <c r="H103" s="441"/>
      <c r="I103" s="3"/>
      <c r="J103" s="159"/>
      <c r="K103" s="165"/>
      <c r="L103" s="792"/>
      <c r="M103" s="854" t="str">
        <f>IF(R103,"Mandatory","N/A")</f>
        <v>N/A</v>
      </c>
      <c r="N103" s="3"/>
      <c r="O103" s="609"/>
      <c r="P103" s="562"/>
      <c r="Q103" s="562"/>
      <c r="R103" s="562"/>
      <c r="S103" s="562"/>
      <c r="T103" s="562"/>
      <c r="U103" s="562"/>
      <c r="V103" s="562"/>
      <c r="W103" s="562"/>
      <c r="X103" s="787"/>
      <c r="Y103" s="562"/>
      <c r="Z103" s="562"/>
      <c r="AA103" s="562"/>
      <c r="AB103" s="562"/>
      <c r="AC103" s="562"/>
      <c r="AD103" s="562"/>
      <c r="AE103" s="562"/>
      <c r="AF103" s="562"/>
      <c r="AG103" s="562"/>
      <c r="AH103" s="562"/>
      <c r="AI103" s="562"/>
      <c r="AJ103" s="562"/>
      <c r="AK103" s="562"/>
      <c r="AL103" s="562"/>
      <c r="AM103" s="562"/>
      <c r="AN103" s="562"/>
      <c r="AO103" s="562"/>
      <c r="AP103" s="562"/>
      <c r="AQ103" s="562"/>
      <c r="AR103" s="562"/>
      <c r="AS103" s="562"/>
    </row>
    <row r="104" spans="2:45" x14ac:dyDescent="0.2">
      <c r="B104" s="358">
        <v>1002.2</v>
      </c>
      <c r="C104" s="14"/>
      <c r="D104" s="14"/>
      <c r="E104" s="14" t="s">
        <v>2183</v>
      </c>
      <c r="F104" s="14"/>
      <c r="G104" s="14"/>
      <c r="H104" s="441"/>
      <c r="I104" s="3"/>
      <c r="J104" s="164" t="s">
        <v>2183</v>
      </c>
      <c r="K104" s="146"/>
      <c r="L104" s="831" t="s">
        <v>3301</v>
      </c>
      <c r="M104" s="867" t="str">
        <f>IF(R104,"Mandatory","N/A")</f>
        <v>N/A</v>
      </c>
      <c r="N104" s="3"/>
      <c r="O104" s="609"/>
      <c r="P104" s="562" t="b">
        <v>0</v>
      </c>
      <c r="Q104" s="562" t="b">
        <v>1</v>
      </c>
      <c r="R104" s="562" t="b">
        <f>S104</f>
        <v>0</v>
      </c>
      <c r="S104" s="562" t="b">
        <f>IF(AY19=INDEX(ddSingleOrMulti,2),TRUE,FALSE)</f>
        <v>0</v>
      </c>
      <c r="T104" s="64" t="b">
        <f>AND(NOT(S104),W104=TRUE)</f>
        <v>0</v>
      </c>
      <c r="U104" s="562"/>
      <c r="V104" s="562"/>
      <c r="W104" s="18"/>
      <c r="X104" s="787"/>
      <c r="Y104" s="562"/>
      <c r="Z104" s="562"/>
      <c r="AA104" s="562"/>
      <c r="AB104" s="562"/>
      <c r="AC104" s="562" t="b">
        <f>OR(AD104:AE104)</f>
        <v>0</v>
      </c>
      <c r="AD104" s="562" t="b">
        <f>T104</f>
        <v>0</v>
      </c>
      <c r="AE104" s="562" t="b">
        <f>AND(R104,NOT(W104=TRUE))</f>
        <v>0</v>
      </c>
      <c r="AF104" s="562"/>
      <c r="AG104" s="562"/>
      <c r="AH104" s="562"/>
      <c r="AI104" s="562"/>
      <c r="AJ104" s="562"/>
      <c r="AK104" s="562"/>
      <c r="AL104" s="190" t="str">
        <f>SUBSTITUTE(SUBSTITUTE(SUBSTITUTE("dpa"&amp;$B104&amp;$C104&amp;$D104&amp;$E104&amp;$F104,".","_"),"(","_"),")","")</f>
        <v>dpa1002,2_2</v>
      </c>
      <c r="AM104" s="190" t="str">
        <f>M104</f>
        <v>N/A</v>
      </c>
      <c r="AN104" s="562"/>
      <c r="AO104" s="562"/>
      <c r="AP104" s="190" t="str">
        <f>SUBSTITUTE(SUBSTITUTE(SUBSTITUTE("dch"&amp;$B104&amp;$C104&amp;$D104&amp;$E104&amp;$F104,".","_"),"(","_"),")","")</f>
        <v>dch1002,2_2</v>
      </c>
      <c r="AQ104" s="190">
        <f>W104</f>
        <v>0</v>
      </c>
      <c r="AR104" s="190" t="str">
        <f>SUBSTITUTE(SUBSTITUTE(SUBSTITUTE("dnt"&amp;$B104&amp;$C104&amp;$D104&amp;$E104&amp;$F104,".","_"),"(","_"),")","")</f>
        <v>dnt1002,2_2</v>
      </c>
      <c r="AS104" s="190">
        <f>X104</f>
        <v>0</v>
      </c>
    </row>
    <row r="105" spans="2:45" x14ac:dyDescent="0.2">
      <c r="B105" s="358">
        <v>1002.2</v>
      </c>
      <c r="C105" s="14"/>
      <c r="D105" s="14"/>
      <c r="E105" s="14" t="s">
        <v>2183</v>
      </c>
      <c r="F105" s="14"/>
      <c r="G105" s="14"/>
      <c r="H105" s="441"/>
      <c r="I105" s="3"/>
      <c r="J105" s="134"/>
      <c r="K105" s="98"/>
      <c r="L105" s="791"/>
      <c r="M105" s="838" t="str">
        <f>IF(R105,"Mandatory","N/A")</f>
        <v>N/A</v>
      </c>
      <c r="N105" s="3"/>
      <c r="O105" s="609"/>
      <c r="P105" s="562"/>
      <c r="Q105" s="562"/>
      <c r="R105" s="562"/>
      <c r="S105" s="562"/>
      <c r="T105" s="562"/>
      <c r="U105" s="562"/>
      <c r="V105" s="562"/>
      <c r="W105" s="562"/>
      <c r="X105" s="787"/>
      <c r="Y105" s="562"/>
      <c r="Z105" s="562"/>
      <c r="AA105" s="562"/>
      <c r="AB105" s="562"/>
      <c r="AC105" s="562"/>
      <c r="AD105" s="562"/>
      <c r="AE105" s="562"/>
      <c r="AF105" s="562"/>
      <c r="AG105" s="562"/>
      <c r="AH105" s="562"/>
      <c r="AI105" s="562"/>
      <c r="AJ105" s="562"/>
      <c r="AK105" s="562"/>
      <c r="AL105" s="562"/>
      <c r="AM105" s="562"/>
      <c r="AN105" s="562"/>
      <c r="AO105" s="562"/>
      <c r="AP105" s="562"/>
      <c r="AQ105" s="562"/>
      <c r="AR105" s="562"/>
      <c r="AS105" s="562"/>
    </row>
    <row r="106" spans="2:45" x14ac:dyDescent="0.2">
      <c r="B106" s="358">
        <v>1002.2</v>
      </c>
      <c r="C106" s="14"/>
      <c r="D106" s="14"/>
      <c r="E106" s="14" t="s">
        <v>2183</v>
      </c>
      <c r="F106" s="14"/>
      <c r="G106" s="14"/>
      <c r="H106" s="441"/>
      <c r="I106" s="3"/>
      <c r="J106" s="159"/>
      <c r="K106" s="165"/>
      <c r="L106" s="792"/>
      <c r="M106" s="854" t="str">
        <f>IF(R106,"Mandatory","N/A")</f>
        <v>N/A</v>
      </c>
      <c r="N106" s="3"/>
      <c r="O106" s="609"/>
      <c r="P106" s="562"/>
      <c r="Q106" s="562"/>
      <c r="R106" s="562"/>
      <c r="S106" s="562"/>
      <c r="T106" s="562"/>
      <c r="U106" s="562"/>
      <c r="V106" s="562"/>
      <c r="W106" s="562"/>
      <c r="X106" s="787"/>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row>
    <row r="107" spans="2:45" x14ac:dyDescent="0.2">
      <c r="B107" s="358">
        <v>1002.2</v>
      </c>
      <c r="C107" s="14"/>
      <c r="D107" s="14"/>
      <c r="E107" s="14" t="s">
        <v>2185</v>
      </c>
      <c r="F107" s="14"/>
      <c r="G107" s="14"/>
      <c r="H107" s="441"/>
      <c r="I107" s="3"/>
      <c r="J107" s="164" t="s">
        <v>2185</v>
      </c>
      <c r="K107" s="146"/>
      <c r="L107" s="831" t="s">
        <v>3260</v>
      </c>
      <c r="M107" s="609"/>
      <c r="N107" s="3"/>
      <c r="O107" s="609"/>
      <c r="P107" s="562" t="b">
        <v>0</v>
      </c>
      <c r="Q107" s="562" t="b">
        <v>1</v>
      </c>
      <c r="R107" s="562" t="b">
        <v>0</v>
      </c>
      <c r="S107" s="562" t="b">
        <f>IF(AY19=INDEX(ddSingleOrMulti,2),TRUE,FALSE)</f>
        <v>0</v>
      </c>
      <c r="T107" s="64" t="b">
        <f>AND(NOT(S107),W107=TRUE)</f>
        <v>0</v>
      </c>
      <c r="U107" s="562"/>
      <c r="V107" s="562"/>
      <c r="W107" s="18"/>
      <c r="X107" s="787"/>
      <c r="Y107" s="562"/>
      <c r="Z107" s="562"/>
      <c r="AA107" s="562"/>
      <c r="AB107" s="562"/>
      <c r="AC107" s="562" t="b">
        <f>OR(AD107:AE107)</f>
        <v>0</v>
      </c>
      <c r="AD107" s="562" t="b">
        <f>T107</f>
        <v>0</v>
      </c>
      <c r="AE107" s="562"/>
      <c r="AF107" s="562"/>
      <c r="AG107" s="562"/>
      <c r="AH107" s="562"/>
      <c r="AI107" s="562"/>
      <c r="AJ107" s="562"/>
      <c r="AK107" s="562"/>
      <c r="AL107" s="562"/>
      <c r="AM107" s="562"/>
      <c r="AN107" s="562"/>
      <c r="AO107" s="562"/>
      <c r="AP107" s="190" t="str">
        <f>SUBSTITUTE(SUBSTITUTE(SUBSTITUTE("dch"&amp;$B107&amp;$C107&amp;$D107&amp;$E107&amp;$F107,".","_"),"(","_"),")","")</f>
        <v>dch1002,2_3</v>
      </c>
      <c r="AQ107" s="190">
        <f>W107</f>
        <v>0</v>
      </c>
      <c r="AR107" s="190" t="str">
        <f>SUBSTITUTE(SUBSTITUTE(SUBSTITUTE("dnt"&amp;$B107&amp;$C107&amp;$D107&amp;$E107&amp;$F107,".","_"),"(","_"),")","")</f>
        <v>dnt1002,2_3</v>
      </c>
      <c r="AS107" s="190">
        <f>X107</f>
        <v>0</v>
      </c>
    </row>
    <row r="108" spans="2:45" x14ac:dyDescent="0.2">
      <c r="B108" s="358">
        <v>1002.2</v>
      </c>
      <c r="C108" s="14"/>
      <c r="D108" s="14"/>
      <c r="E108" s="14" t="s">
        <v>2185</v>
      </c>
      <c r="F108" s="14"/>
      <c r="G108" s="14"/>
      <c r="H108" s="441"/>
      <c r="I108" s="3"/>
      <c r="J108" s="165"/>
      <c r="K108" s="165"/>
      <c r="L108" s="792"/>
      <c r="M108" s="609"/>
      <c r="N108" s="3"/>
      <c r="O108" s="609"/>
      <c r="P108" s="562"/>
      <c r="Q108" s="562"/>
      <c r="R108" s="562"/>
      <c r="S108" s="562"/>
      <c r="T108" s="562"/>
      <c r="U108" s="562"/>
      <c r="V108" s="562"/>
      <c r="W108" s="562"/>
      <c r="X108" s="787"/>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row>
    <row r="109" spans="2:45" x14ac:dyDescent="0.2">
      <c r="B109" s="358">
        <v>1002.2</v>
      </c>
      <c r="C109" s="14"/>
      <c r="D109" s="14"/>
      <c r="E109" s="14" t="s">
        <v>2192</v>
      </c>
      <c r="F109" s="14"/>
      <c r="G109" s="14"/>
      <c r="H109" s="441"/>
      <c r="I109" s="3"/>
      <c r="J109" s="20" t="s">
        <v>2192</v>
      </c>
      <c r="K109" s="3"/>
      <c r="L109" s="817" t="s">
        <v>3302</v>
      </c>
      <c r="M109" s="609"/>
      <c r="N109" s="3"/>
      <c r="O109" s="609"/>
      <c r="P109" s="562" t="b">
        <v>0</v>
      </c>
      <c r="Q109" s="562" t="b">
        <v>1</v>
      </c>
      <c r="R109" s="562" t="b">
        <v>0</v>
      </c>
      <c r="S109" s="562" t="b">
        <f>IF(AY19=INDEX(ddSingleOrMulti,2),TRUE,FALSE)</f>
        <v>0</v>
      </c>
      <c r="T109" s="64" t="b">
        <f>AND(NOT(S109),W109=TRUE)</f>
        <v>0</v>
      </c>
      <c r="U109" s="562"/>
      <c r="V109" s="562"/>
      <c r="W109" s="18"/>
      <c r="X109" s="787"/>
      <c r="Y109" s="562"/>
      <c r="Z109" s="562"/>
      <c r="AA109" s="562"/>
      <c r="AB109" s="562"/>
      <c r="AC109" s="562" t="b">
        <f>OR(AD109:AE109)</f>
        <v>0</v>
      </c>
      <c r="AD109" s="562" t="b">
        <f>T109</f>
        <v>0</v>
      </c>
      <c r="AE109" s="562"/>
      <c r="AF109" s="562"/>
      <c r="AG109" s="562"/>
      <c r="AH109" s="562"/>
      <c r="AI109" s="562"/>
      <c r="AJ109" s="562"/>
      <c r="AK109" s="562"/>
      <c r="AL109" s="562"/>
      <c r="AM109" s="562"/>
      <c r="AN109" s="562"/>
      <c r="AO109" s="562"/>
      <c r="AP109" s="190" t="str">
        <f>SUBSTITUTE(SUBSTITUTE(SUBSTITUTE("dch"&amp;$B109&amp;$C109&amp;$D109&amp;$E109&amp;$F109,".","_"),"(","_"),")","")</f>
        <v>dch1002,2_4</v>
      </c>
      <c r="AQ109" s="190">
        <f>W109</f>
        <v>0</v>
      </c>
      <c r="AR109" s="190" t="str">
        <f>SUBSTITUTE(SUBSTITUTE(SUBSTITUTE("dnt"&amp;$B109&amp;$C109&amp;$D109&amp;$E109&amp;$F109,".","_"),"(","_"),")","")</f>
        <v>dnt1002,2_4</v>
      </c>
      <c r="AS109" s="190">
        <f>X109</f>
        <v>0</v>
      </c>
    </row>
    <row r="110" spans="2:45" x14ac:dyDescent="0.2">
      <c r="B110" s="358">
        <v>1002.2</v>
      </c>
      <c r="C110" s="14"/>
      <c r="D110" s="14"/>
      <c r="E110" s="14" t="s">
        <v>2192</v>
      </c>
      <c r="F110" s="14"/>
      <c r="G110" s="14"/>
      <c r="H110" s="441"/>
      <c r="I110" s="3"/>
      <c r="J110" s="3"/>
      <c r="K110" s="3"/>
      <c r="L110" s="817"/>
      <c r="M110" s="609"/>
      <c r="N110" s="3"/>
      <c r="O110" s="609"/>
      <c r="P110" s="562"/>
      <c r="Q110" s="562"/>
      <c r="R110" s="562"/>
      <c r="S110" s="562"/>
      <c r="T110" s="562"/>
      <c r="U110" s="562"/>
      <c r="V110" s="562"/>
      <c r="W110" s="562"/>
      <c r="X110" s="787"/>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row>
    <row r="111" spans="2:45" x14ac:dyDescent="0.2">
      <c r="B111" s="358">
        <v>1002.2</v>
      </c>
      <c r="C111" s="14"/>
      <c r="D111" s="14"/>
      <c r="E111" s="14" t="s">
        <v>2192</v>
      </c>
      <c r="F111" s="14"/>
      <c r="G111" s="14"/>
      <c r="H111" s="441"/>
      <c r="I111" s="3"/>
      <c r="J111" s="3"/>
      <c r="K111" s="3"/>
      <c r="L111" s="817"/>
      <c r="M111" s="609"/>
      <c r="N111" s="3"/>
      <c r="O111" s="609"/>
      <c r="P111" s="562"/>
      <c r="Q111" s="562"/>
      <c r="R111" s="562"/>
      <c r="S111" s="562"/>
      <c r="T111" s="562"/>
      <c r="U111" s="562"/>
      <c r="V111" s="562"/>
      <c r="W111" s="562"/>
      <c r="X111" s="787"/>
      <c r="Y111" s="562"/>
      <c r="Z111" s="562"/>
      <c r="AA111" s="562"/>
      <c r="AB111" s="562"/>
      <c r="AC111" s="562"/>
      <c r="AD111" s="562"/>
      <c r="AE111" s="562"/>
      <c r="AF111" s="562"/>
      <c r="AG111" s="562"/>
      <c r="AH111" s="562"/>
      <c r="AI111" s="562"/>
      <c r="AJ111" s="562"/>
      <c r="AK111" s="562"/>
      <c r="AL111" s="562"/>
      <c r="AM111" s="562"/>
      <c r="AN111" s="562"/>
      <c r="AO111" s="562"/>
      <c r="AP111" s="562"/>
      <c r="AQ111" s="562"/>
      <c r="AR111" s="562"/>
      <c r="AS111" s="562"/>
    </row>
    <row r="112" spans="2:45" x14ac:dyDescent="0.2">
      <c r="B112" s="358">
        <v>1002.2</v>
      </c>
      <c r="C112" s="14"/>
      <c r="D112" s="14"/>
      <c r="E112" s="14" t="s">
        <v>2194</v>
      </c>
      <c r="F112" s="14"/>
      <c r="G112" s="14"/>
      <c r="H112" s="441"/>
      <c r="I112" s="3"/>
      <c r="J112" s="164" t="s">
        <v>2194</v>
      </c>
      <c r="K112" s="146"/>
      <c r="L112" s="831" t="s">
        <v>3303</v>
      </c>
      <c r="M112" s="609"/>
      <c r="N112" s="3"/>
      <c r="O112" s="609"/>
      <c r="P112" s="562" t="b">
        <v>0</v>
      </c>
      <c r="Q112" s="562" t="b">
        <v>1</v>
      </c>
      <c r="R112" s="562" t="b">
        <v>0</v>
      </c>
      <c r="S112" s="562" t="b">
        <f>IF(AY19=INDEX(ddSingleOrMulti,2),TRUE,FALSE)</f>
        <v>0</v>
      </c>
      <c r="T112" s="64" t="b">
        <f>AND(NOT(S112),W112=TRUE)</f>
        <v>0</v>
      </c>
      <c r="U112" s="562"/>
      <c r="V112" s="562"/>
      <c r="W112" s="18"/>
      <c r="X112" s="787"/>
      <c r="Y112" s="562"/>
      <c r="Z112" s="562"/>
      <c r="AA112" s="562"/>
      <c r="AB112" s="562"/>
      <c r="AC112" s="562" t="b">
        <f>OR(AD112:AE112)</f>
        <v>0</v>
      </c>
      <c r="AD112" s="562" t="b">
        <f>T112</f>
        <v>0</v>
      </c>
      <c r="AE112" s="562"/>
      <c r="AF112" s="562"/>
      <c r="AG112" s="562"/>
      <c r="AH112" s="562"/>
      <c r="AI112" s="562"/>
      <c r="AJ112" s="562"/>
      <c r="AK112" s="562"/>
      <c r="AL112" s="562"/>
      <c r="AM112" s="562"/>
      <c r="AN112" s="562"/>
      <c r="AO112" s="562"/>
      <c r="AP112" s="190" t="str">
        <f>SUBSTITUTE(SUBSTITUTE(SUBSTITUTE("dch"&amp;$B112&amp;$C112&amp;$D112&amp;$E112&amp;$F112,".","_"),"(","_"),")","")</f>
        <v>dch1002,2_5</v>
      </c>
      <c r="AQ112" s="190">
        <f>W112</f>
        <v>0</v>
      </c>
      <c r="AR112" s="190" t="str">
        <f>SUBSTITUTE(SUBSTITUTE(SUBSTITUTE("dnt"&amp;$B112&amp;$C112&amp;$D112&amp;$E112&amp;$F112,".","_"),"(","_"),")","")</f>
        <v>dnt1002,2_5</v>
      </c>
      <c r="AS112" s="190">
        <f>X112</f>
        <v>0</v>
      </c>
    </row>
    <row r="113" spans="2:45" x14ac:dyDescent="0.2">
      <c r="B113" s="358">
        <v>1002.2</v>
      </c>
      <c r="C113" s="14"/>
      <c r="D113" s="14"/>
      <c r="E113" s="14" t="s">
        <v>2194</v>
      </c>
      <c r="F113" s="14"/>
      <c r="G113" s="14"/>
      <c r="H113" s="441"/>
      <c r="I113" s="3"/>
      <c r="J113" s="159"/>
      <c r="K113" s="165"/>
      <c r="L113" s="792"/>
      <c r="M113" s="609"/>
      <c r="N113" s="3"/>
      <c r="O113" s="609"/>
      <c r="P113" s="562"/>
      <c r="Q113" s="562"/>
      <c r="R113" s="562"/>
      <c r="S113" s="562"/>
      <c r="T113" s="562"/>
      <c r="U113" s="562"/>
      <c r="V113" s="562"/>
      <c r="W113" s="562"/>
      <c r="X113" s="787"/>
      <c r="Y113" s="562"/>
      <c r="Z113" s="562"/>
      <c r="AA113" s="562"/>
      <c r="AB113" s="562"/>
      <c r="AC113" s="562"/>
      <c r="AD113" s="562"/>
      <c r="AE113" s="562"/>
      <c r="AF113" s="562"/>
      <c r="AG113" s="562"/>
      <c r="AH113" s="562"/>
      <c r="AI113" s="562"/>
      <c r="AJ113" s="562"/>
      <c r="AK113" s="562"/>
      <c r="AL113" s="562"/>
      <c r="AM113" s="562"/>
      <c r="AN113" s="562"/>
      <c r="AO113" s="562"/>
      <c r="AP113" s="562"/>
      <c r="AQ113" s="562"/>
      <c r="AR113" s="562"/>
      <c r="AS113" s="562"/>
    </row>
    <row r="114" spans="2:45" x14ac:dyDescent="0.2">
      <c r="B114" s="358">
        <v>1002.2</v>
      </c>
      <c r="C114" s="14"/>
      <c r="D114" s="14"/>
      <c r="E114" s="14" t="s">
        <v>2221</v>
      </c>
      <c r="F114" s="14"/>
      <c r="G114" s="14"/>
      <c r="H114" s="441"/>
      <c r="I114" s="3"/>
      <c r="J114" s="20" t="s">
        <v>2221</v>
      </c>
      <c r="K114" s="3"/>
      <c r="L114" s="632" t="s">
        <v>3243</v>
      </c>
      <c r="M114" s="609"/>
      <c r="N114" s="3"/>
      <c r="O114" s="609"/>
      <c r="P114" s="562" t="b">
        <v>0</v>
      </c>
      <c r="Q114" s="562" t="b">
        <v>1</v>
      </c>
      <c r="R114" s="562" t="b">
        <v>0</v>
      </c>
      <c r="S114" s="562" t="b">
        <f>IF(AY19=INDEX(ddSingleOrMulti,2),TRUE,FALSE)</f>
        <v>0</v>
      </c>
      <c r="T114" s="64" t="b">
        <f>AND(NOT(S114),W114=TRUE)</f>
        <v>0</v>
      </c>
      <c r="U114" s="562"/>
      <c r="V114" s="562"/>
      <c r="W114" s="18"/>
      <c r="X114" s="563"/>
      <c r="Y114" s="562"/>
      <c r="Z114" s="562"/>
      <c r="AA114" s="562"/>
      <c r="AB114" s="562"/>
      <c r="AC114" s="562" t="b">
        <f>OR(AD114:AE114)</f>
        <v>0</v>
      </c>
      <c r="AD114" s="562" t="b">
        <f>T114</f>
        <v>0</v>
      </c>
      <c r="AE114" s="562"/>
      <c r="AF114" s="562"/>
      <c r="AG114" s="562"/>
      <c r="AH114" s="562"/>
      <c r="AI114" s="562"/>
      <c r="AJ114" s="562"/>
      <c r="AK114" s="562"/>
      <c r="AL114" s="562"/>
      <c r="AM114" s="562"/>
      <c r="AN114" s="562"/>
      <c r="AO114" s="562"/>
      <c r="AP114" s="190" t="str">
        <f t="shared" ref="AP114:AP115" si="12">SUBSTITUTE(SUBSTITUTE(SUBSTITUTE("dch"&amp;$B114&amp;$C114&amp;$D114&amp;$E114&amp;$F114,".","_"),"(","_"),")","")</f>
        <v>dch1002,2_6</v>
      </c>
      <c r="AQ114" s="190">
        <f>W114</f>
        <v>0</v>
      </c>
      <c r="AR114" s="190" t="str">
        <f>SUBSTITUTE(SUBSTITUTE(SUBSTITUTE("dnt"&amp;$B114&amp;$C114&amp;$D114&amp;$E114&amp;$F114,".","_"),"(","_"),")","")</f>
        <v>dnt1002,2_6</v>
      </c>
      <c r="AS114" s="190">
        <f>X114</f>
        <v>0</v>
      </c>
    </row>
    <row r="115" spans="2:45" x14ac:dyDescent="0.2">
      <c r="B115" s="358">
        <v>1002.2</v>
      </c>
      <c r="C115" s="14"/>
      <c r="D115" s="14"/>
      <c r="E115" s="14" t="s">
        <v>2223</v>
      </c>
      <c r="F115" s="14"/>
      <c r="G115" s="14"/>
      <c r="H115" s="441"/>
      <c r="I115" s="3"/>
      <c r="J115" s="164" t="s">
        <v>2223</v>
      </c>
      <c r="K115" s="146"/>
      <c r="L115" s="831" t="s">
        <v>3304</v>
      </c>
      <c r="M115" s="609"/>
      <c r="N115" s="3"/>
      <c r="O115" s="609"/>
      <c r="P115" s="562" t="b">
        <v>0</v>
      </c>
      <c r="Q115" s="562" t="b">
        <v>1</v>
      </c>
      <c r="R115" s="562" t="b">
        <v>0</v>
      </c>
      <c r="S115" s="562" t="b">
        <f>IF(AY19=INDEX(ddSingleOrMulti,2),TRUE,FALSE)</f>
        <v>0</v>
      </c>
      <c r="T115" s="64" t="b">
        <f>AND(NOT(S115),W115=TRUE)</f>
        <v>0</v>
      </c>
      <c r="U115" s="562"/>
      <c r="V115" s="562"/>
      <c r="W115" s="18"/>
      <c r="X115" s="787"/>
      <c r="Y115" s="562"/>
      <c r="Z115" s="562"/>
      <c r="AA115" s="562"/>
      <c r="AB115" s="562"/>
      <c r="AC115" s="562" t="b">
        <f>OR(AD115:AE115)</f>
        <v>0</v>
      </c>
      <c r="AD115" s="562" t="b">
        <f>T115</f>
        <v>0</v>
      </c>
      <c r="AE115" s="562"/>
      <c r="AF115" s="562"/>
      <c r="AG115" s="562"/>
      <c r="AH115" s="562"/>
      <c r="AI115" s="562"/>
      <c r="AJ115" s="562"/>
      <c r="AK115" s="562"/>
      <c r="AL115" s="562"/>
      <c r="AM115" s="562"/>
      <c r="AN115" s="562"/>
      <c r="AO115" s="562"/>
      <c r="AP115" s="190" t="str">
        <f t="shared" si="12"/>
        <v>dch1002,2_7</v>
      </c>
      <c r="AQ115" s="190">
        <f>W115</f>
        <v>0</v>
      </c>
      <c r="AR115" s="190" t="str">
        <f>SUBSTITUTE(SUBSTITUTE(SUBSTITUTE("dnt"&amp;$B115&amp;$C115&amp;$D115&amp;$E115&amp;$F115,".","_"),"(","_"),")","")</f>
        <v>dnt1002,2_7</v>
      </c>
      <c r="AS115" s="190">
        <f>X115</f>
        <v>0</v>
      </c>
    </row>
    <row r="116" spans="2:45" x14ac:dyDescent="0.2">
      <c r="B116" s="358">
        <v>1002.2</v>
      </c>
      <c r="C116" s="14"/>
      <c r="D116" s="14"/>
      <c r="E116" s="14" t="s">
        <v>2223</v>
      </c>
      <c r="F116" s="14"/>
      <c r="G116" s="14"/>
      <c r="H116" s="441"/>
      <c r="I116" s="3"/>
      <c r="J116" s="165"/>
      <c r="K116" s="165"/>
      <c r="L116" s="792"/>
      <c r="M116" s="609"/>
      <c r="N116" s="3"/>
      <c r="O116" s="609"/>
      <c r="P116" s="562"/>
      <c r="Q116" s="562"/>
      <c r="R116" s="562"/>
      <c r="S116" s="562"/>
      <c r="T116" s="562"/>
      <c r="U116" s="562"/>
      <c r="V116" s="562"/>
      <c r="W116" s="562"/>
      <c r="X116" s="787"/>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row>
    <row r="117" spans="2:45" x14ac:dyDescent="0.2">
      <c r="B117" s="358">
        <v>1002.2</v>
      </c>
      <c r="C117" s="14"/>
      <c r="D117" s="14"/>
      <c r="E117" s="14" t="s">
        <v>2282</v>
      </c>
      <c r="F117" s="14"/>
      <c r="G117" s="14"/>
      <c r="H117" s="441"/>
      <c r="I117" s="3"/>
      <c r="J117" s="20" t="s">
        <v>2282</v>
      </c>
      <c r="K117" s="3"/>
      <c r="L117" s="848" t="s">
        <v>3258</v>
      </c>
      <c r="M117" s="609"/>
      <c r="N117" s="3"/>
      <c r="O117" s="609"/>
      <c r="P117" s="562" t="b">
        <v>0</v>
      </c>
      <c r="Q117" s="562" t="b">
        <v>1</v>
      </c>
      <c r="R117" s="562" t="b">
        <v>0</v>
      </c>
      <c r="S117" s="562" t="b">
        <f>IF(AY19=INDEX(ddSingleOrMulti,2),TRUE,FALSE)</f>
        <v>0</v>
      </c>
      <c r="T117" s="64" t="b">
        <f>AND(NOT(S117),W117=TRUE)</f>
        <v>0</v>
      </c>
      <c r="U117" s="562"/>
      <c r="V117" s="562"/>
      <c r="W117" s="18"/>
      <c r="X117" s="787"/>
      <c r="Y117" s="562"/>
      <c r="Z117" s="562"/>
      <c r="AA117" s="562"/>
      <c r="AB117" s="562"/>
      <c r="AC117" s="562" t="b">
        <f>OR(AD117:AE117)</f>
        <v>0</v>
      </c>
      <c r="AD117" s="562" t="b">
        <f>T117</f>
        <v>0</v>
      </c>
      <c r="AE117" s="562"/>
      <c r="AF117" s="562"/>
      <c r="AG117" s="562"/>
      <c r="AH117" s="562"/>
      <c r="AI117" s="562"/>
      <c r="AJ117" s="562"/>
      <c r="AK117" s="562"/>
      <c r="AL117" s="562"/>
      <c r="AM117" s="562"/>
      <c r="AN117" s="562"/>
      <c r="AO117" s="562"/>
      <c r="AP117" s="190" t="str">
        <f>SUBSTITUTE(SUBSTITUTE(SUBSTITUTE("dch"&amp;$B117&amp;$C117&amp;$D117&amp;$E117&amp;$F117,".","_"),"(","_"),")","")</f>
        <v>dch1002,2_8</v>
      </c>
      <c r="AQ117" s="190">
        <f>W117</f>
        <v>0</v>
      </c>
      <c r="AR117" s="190" t="str">
        <f>SUBSTITUTE(SUBSTITUTE(SUBSTITUTE("dnt"&amp;$B117&amp;$C117&amp;$D117&amp;$E117&amp;$F117,".","_"),"(","_"),")","")</f>
        <v>dnt1002,2_8</v>
      </c>
      <c r="AS117" s="190">
        <f>X117</f>
        <v>0</v>
      </c>
    </row>
    <row r="118" spans="2:45" x14ac:dyDescent="0.2">
      <c r="B118" s="358">
        <v>1002.2</v>
      </c>
      <c r="C118" s="14"/>
      <c r="D118" s="14"/>
      <c r="E118" s="14" t="s">
        <v>2282</v>
      </c>
      <c r="F118" s="14"/>
      <c r="G118" s="14"/>
      <c r="H118" s="441"/>
      <c r="I118" s="3"/>
      <c r="J118" s="20"/>
      <c r="K118" s="3"/>
      <c r="L118" s="848"/>
      <c r="M118" s="609"/>
      <c r="N118" s="3"/>
      <c r="O118" s="609"/>
      <c r="P118" s="562"/>
      <c r="Q118" s="562"/>
      <c r="R118" s="562"/>
      <c r="S118" s="562"/>
      <c r="T118" s="562"/>
      <c r="U118" s="562"/>
      <c r="V118" s="562"/>
      <c r="W118" s="562"/>
      <c r="X118" s="787"/>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row>
    <row r="119" spans="2:45" x14ac:dyDescent="0.2">
      <c r="B119" s="358">
        <v>1002.2</v>
      </c>
      <c r="C119" s="14"/>
      <c r="D119" s="14"/>
      <c r="E119" s="14" t="s">
        <v>2284</v>
      </c>
      <c r="F119" s="14"/>
      <c r="G119" s="14"/>
      <c r="H119" s="441"/>
      <c r="I119" s="3"/>
      <c r="J119" s="164" t="s">
        <v>2284</v>
      </c>
      <c r="K119" s="146"/>
      <c r="L119" s="638" t="s">
        <v>3305</v>
      </c>
      <c r="M119" s="609"/>
      <c r="N119" s="3"/>
      <c r="O119" s="609"/>
      <c r="P119" s="562" t="b">
        <v>0</v>
      </c>
      <c r="Q119" s="562" t="b">
        <v>1</v>
      </c>
      <c r="R119" s="562" t="b">
        <v>0</v>
      </c>
      <c r="S119" s="562" t="b">
        <f>IF(AY19=INDEX(ddSingleOrMulti,2),TRUE,FALSE)</f>
        <v>0</v>
      </c>
      <c r="T119" s="64" t="b">
        <f>AND(NOT(S119),W119=TRUE)</f>
        <v>0</v>
      </c>
      <c r="U119" s="562"/>
      <c r="V119" s="562"/>
      <c r="W119" s="18"/>
      <c r="X119" s="563"/>
      <c r="Y119" s="562"/>
      <c r="Z119" s="562"/>
      <c r="AA119" s="562"/>
      <c r="AB119" s="562"/>
      <c r="AC119" s="562" t="b">
        <f>OR(AD119:AE119)</f>
        <v>0</v>
      </c>
      <c r="AD119" s="562" t="b">
        <f>T119</f>
        <v>0</v>
      </c>
      <c r="AE119" s="562"/>
      <c r="AF119" s="562"/>
      <c r="AG119" s="562"/>
      <c r="AH119" s="562"/>
      <c r="AI119" s="562"/>
      <c r="AJ119" s="562"/>
      <c r="AK119" s="562"/>
      <c r="AL119" s="562"/>
      <c r="AM119" s="562"/>
      <c r="AN119" s="562"/>
      <c r="AO119" s="562"/>
      <c r="AP119" s="190" t="str">
        <f t="shared" ref="AP119:AP120" si="13">SUBSTITUTE(SUBSTITUTE(SUBSTITUTE("dch"&amp;$B119&amp;$C119&amp;$D119&amp;$E119&amp;$F119,".","_"),"(","_"),")","")</f>
        <v>dch1002,2_9</v>
      </c>
      <c r="AQ119" s="190">
        <f>W119</f>
        <v>0</v>
      </c>
      <c r="AR119" s="190" t="str">
        <f>SUBSTITUTE(SUBSTITUTE(SUBSTITUTE("dnt"&amp;$B119&amp;$C119&amp;$D119&amp;$E119&amp;$F119,".","_"),"(","_"),")","")</f>
        <v>dnt1002,2_9</v>
      </c>
      <c r="AS119" s="190">
        <f>X119</f>
        <v>0</v>
      </c>
    </row>
    <row r="120" spans="2:45" x14ac:dyDescent="0.2">
      <c r="B120" s="358">
        <v>1002.2</v>
      </c>
      <c r="C120" s="14"/>
      <c r="D120" s="14"/>
      <c r="E120" s="14" t="s">
        <v>2286</v>
      </c>
      <c r="F120" s="14"/>
      <c r="G120" s="14"/>
      <c r="H120" s="441"/>
      <c r="I120" s="3"/>
      <c r="J120" s="164" t="s">
        <v>2286</v>
      </c>
      <c r="K120" s="146"/>
      <c r="L120" s="831" t="s">
        <v>3306</v>
      </c>
      <c r="M120" s="609"/>
      <c r="N120" s="3"/>
      <c r="O120" s="609"/>
      <c r="P120" s="562" t="b">
        <v>0</v>
      </c>
      <c r="Q120" s="562" t="b">
        <v>1</v>
      </c>
      <c r="R120" s="562" t="b">
        <v>0</v>
      </c>
      <c r="S120" s="562" t="b">
        <f>IF(AY19=INDEX(ddSingleOrMulti,2),TRUE,FALSE)</f>
        <v>0</v>
      </c>
      <c r="T120" s="64" t="b">
        <f>AND(NOT(S120),W120=TRUE)</f>
        <v>0</v>
      </c>
      <c r="U120" s="562"/>
      <c r="V120" s="562"/>
      <c r="W120" s="18"/>
      <c r="X120" s="787"/>
      <c r="Y120" s="562"/>
      <c r="Z120" s="562"/>
      <c r="AA120" s="562"/>
      <c r="AB120" s="562"/>
      <c r="AC120" s="562" t="b">
        <f>OR(AD120:AE120)</f>
        <v>0</v>
      </c>
      <c r="AD120" s="562" t="b">
        <f>T120</f>
        <v>0</v>
      </c>
      <c r="AE120" s="562"/>
      <c r="AF120" s="562"/>
      <c r="AG120" s="562"/>
      <c r="AH120" s="562"/>
      <c r="AI120" s="562"/>
      <c r="AJ120" s="562"/>
      <c r="AK120" s="562"/>
      <c r="AL120" s="562"/>
      <c r="AM120" s="562"/>
      <c r="AN120" s="562"/>
      <c r="AO120" s="562"/>
      <c r="AP120" s="190" t="str">
        <f t="shared" si="13"/>
        <v>dch1002,2_10</v>
      </c>
      <c r="AQ120" s="190">
        <f>W120</f>
        <v>0</v>
      </c>
      <c r="AR120" s="190" t="str">
        <f>SUBSTITUTE(SUBSTITUTE(SUBSTITUTE("dnt"&amp;$B120&amp;$C120&amp;$D120&amp;$E120&amp;$F120,".","_"),"(","_"),")","")</f>
        <v>dnt1002,2_10</v>
      </c>
      <c r="AS120" s="190">
        <f>X120</f>
        <v>0</v>
      </c>
    </row>
    <row r="121" spans="2:45" x14ac:dyDescent="0.2">
      <c r="B121" s="358">
        <v>1002.2</v>
      </c>
      <c r="C121" s="14"/>
      <c r="D121" s="14"/>
      <c r="E121" s="14" t="s">
        <v>2286</v>
      </c>
      <c r="F121" s="14"/>
      <c r="G121" s="14"/>
      <c r="H121" s="441"/>
      <c r="I121" s="3"/>
      <c r="J121" s="134"/>
      <c r="K121" s="98"/>
      <c r="L121" s="791"/>
      <c r="M121" s="609"/>
      <c r="N121" s="3"/>
      <c r="O121" s="609"/>
      <c r="P121" s="562"/>
      <c r="Q121" s="562"/>
      <c r="R121" s="562"/>
      <c r="S121" s="562"/>
      <c r="T121" s="562"/>
      <c r="U121" s="562"/>
      <c r="V121" s="562"/>
      <c r="W121" s="562"/>
      <c r="X121" s="787"/>
      <c r="Y121" s="562"/>
      <c r="Z121" s="562"/>
      <c r="AA121" s="562"/>
      <c r="AB121" s="562"/>
      <c r="AC121" s="562"/>
      <c r="AD121" s="562"/>
      <c r="AE121" s="562"/>
      <c r="AF121" s="562"/>
      <c r="AG121" s="562"/>
      <c r="AH121" s="562"/>
      <c r="AI121" s="562"/>
      <c r="AJ121" s="562"/>
      <c r="AK121" s="562"/>
      <c r="AL121" s="562"/>
      <c r="AM121" s="562"/>
      <c r="AN121" s="562"/>
      <c r="AO121" s="562"/>
      <c r="AP121" s="562"/>
      <c r="AQ121" s="562"/>
      <c r="AR121" s="562"/>
      <c r="AS121" s="562"/>
    </row>
    <row r="122" spans="2:45" x14ac:dyDescent="0.2">
      <c r="B122" s="358">
        <v>1002.2</v>
      </c>
      <c r="C122" s="14"/>
      <c r="D122" s="14"/>
      <c r="E122" s="14" t="s">
        <v>2286</v>
      </c>
      <c r="F122" s="14"/>
      <c r="G122" s="14"/>
      <c r="H122" s="441"/>
      <c r="I122" s="3"/>
      <c r="J122" s="159"/>
      <c r="K122" s="165"/>
      <c r="L122" s="792"/>
      <c r="M122" s="609"/>
      <c r="N122" s="3"/>
      <c r="O122" s="609"/>
      <c r="P122" s="562"/>
      <c r="Q122" s="562"/>
      <c r="R122" s="562"/>
      <c r="S122" s="562"/>
      <c r="T122" s="562"/>
      <c r="U122" s="562"/>
      <c r="V122" s="562"/>
      <c r="W122" s="562"/>
      <c r="X122" s="787"/>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row>
    <row r="123" spans="2:45" x14ac:dyDescent="0.2">
      <c r="B123" s="358">
        <v>1002.2</v>
      </c>
      <c r="C123" s="14"/>
      <c r="D123" s="14"/>
      <c r="E123" s="14" t="s">
        <v>2288</v>
      </c>
      <c r="F123" s="14"/>
      <c r="G123" s="14"/>
      <c r="H123" s="441"/>
      <c r="I123" s="98"/>
      <c r="J123" s="134" t="s">
        <v>2288</v>
      </c>
      <c r="K123" s="98"/>
      <c r="L123" s="776" t="s">
        <v>3307</v>
      </c>
      <c r="M123" s="829" t="str">
        <f ca="1">IF(R123,"Mandatory per 902.2.1","N/A")</f>
        <v>N/A</v>
      </c>
      <c r="N123" s="98"/>
      <c r="O123" s="607"/>
      <c r="P123" s="562" t="b">
        <v>0</v>
      </c>
      <c r="Q123" s="562" t="b">
        <v>1</v>
      </c>
      <c r="R123" s="150" t="b">
        <f ca="1">AND(S123,OR('Ch9'!O220&gt;0,'Ch9'!R220))</f>
        <v>0</v>
      </c>
      <c r="S123" s="64" t="b">
        <f>IF(AY19=INDEX(ddSingleOrMulti,2),TRUE,FALSE)</f>
        <v>0</v>
      </c>
      <c r="T123" s="64" t="b">
        <f>AND(NOT(S123),W123=TRUE)</f>
        <v>0</v>
      </c>
      <c r="U123" s="64"/>
      <c r="V123" s="64"/>
      <c r="W123" s="18"/>
      <c r="X123" s="798"/>
      <c r="Y123" s="562"/>
      <c r="Z123" s="562"/>
      <c r="AA123" s="562"/>
      <c r="AB123" s="562"/>
      <c r="AC123" s="562" t="b">
        <f ca="1">OR(AD123:AE123)</f>
        <v>0</v>
      </c>
      <c r="AD123" s="562" t="b">
        <f>T123</f>
        <v>0</v>
      </c>
      <c r="AE123" s="562" t="b">
        <f ca="1">AND(R123,NOT(W123=TRUE))</f>
        <v>0</v>
      </c>
      <c r="AF123" s="562"/>
      <c r="AG123" s="562"/>
      <c r="AH123" s="562"/>
      <c r="AI123" s="562"/>
      <c r="AJ123" s="562"/>
      <c r="AK123" s="562"/>
      <c r="AL123" s="562"/>
      <c r="AM123" s="562"/>
      <c r="AN123" s="562"/>
      <c r="AO123" s="562"/>
      <c r="AP123" s="190" t="str">
        <f>SUBSTITUTE(SUBSTITUTE(SUBSTITUTE("dch"&amp;$B123&amp;$C123&amp;$D123&amp;$E123&amp;$F123,".","_"),"(","_"),")","")</f>
        <v>dch1002,2_11</v>
      </c>
      <c r="AQ123" s="190">
        <f>W123</f>
        <v>0</v>
      </c>
      <c r="AR123" s="190" t="str">
        <f>SUBSTITUTE(SUBSTITUTE(SUBSTITUTE("dnt"&amp;$B123&amp;$C123&amp;$D123&amp;$E123&amp;$F123,".","_"),"(","_"),")","")</f>
        <v>dnt1002,2_11</v>
      </c>
      <c r="AS123" s="190">
        <f>X123</f>
        <v>0</v>
      </c>
    </row>
    <row r="124" spans="2:45" ht="16" thickBot="1" x14ac:dyDescent="0.25">
      <c r="B124" s="358">
        <v>1002.2</v>
      </c>
      <c r="C124" s="14"/>
      <c r="D124" s="14"/>
      <c r="E124" s="14" t="s">
        <v>2288</v>
      </c>
      <c r="F124" s="14"/>
      <c r="G124" s="14"/>
      <c r="H124" s="441"/>
      <c r="I124" s="185"/>
      <c r="J124" s="143"/>
      <c r="K124" s="185"/>
      <c r="L124" s="828"/>
      <c r="M124" s="886"/>
      <c r="N124" s="185"/>
      <c r="O124" s="622"/>
      <c r="P124" s="68"/>
      <c r="Q124" s="68"/>
      <c r="R124" s="68"/>
      <c r="S124" s="68"/>
      <c r="T124" s="68"/>
      <c r="U124" s="68"/>
      <c r="V124" s="68"/>
      <c r="W124" s="68"/>
      <c r="X124" s="799"/>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row>
    <row r="125" spans="2:45" ht="16" thickTop="1" x14ac:dyDescent="0.2">
      <c r="B125" s="358">
        <v>1002.3</v>
      </c>
      <c r="C125" s="14"/>
      <c r="D125" s="14"/>
      <c r="E125" s="14"/>
      <c r="F125" s="14"/>
      <c r="G125" s="14"/>
      <c r="H125" s="441"/>
      <c r="I125" s="107" t="s">
        <v>3308</v>
      </c>
      <c r="J125" s="3"/>
      <c r="K125" s="3"/>
      <c r="L125" s="775" t="s">
        <v>3309</v>
      </c>
      <c r="M125" s="814">
        <v>1</v>
      </c>
      <c r="N125" s="3"/>
      <c r="O125" s="885">
        <f>IF(AND(W129=TRUE,COUNTIF(W131:W150,TRUE)&gt;3,S129),ROUNDDOWN(COUNTIF(W131:W150,TRUE)/2,0),0)</f>
        <v>0</v>
      </c>
      <c r="P125" s="562"/>
      <c r="Q125" s="562"/>
      <c r="R125" s="562"/>
      <c r="S125" s="562"/>
      <c r="T125" s="562"/>
      <c r="U125" s="562"/>
      <c r="V125" s="562"/>
      <c r="W125" s="562"/>
      <c r="X125" s="562"/>
      <c r="Y125" s="562"/>
      <c r="Z125" s="562"/>
      <c r="AA125" s="562"/>
      <c r="AB125" s="562"/>
      <c r="AC125" s="562"/>
      <c r="AD125" s="562"/>
      <c r="AE125" s="562"/>
      <c r="AF125" s="562"/>
      <c r="AG125" s="562"/>
      <c r="AH125" s="562"/>
      <c r="AI125" s="562"/>
      <c r="AJ125" s="562"/>
      <c r="AK125" s="562"/>
      <c r="AL125" s="190" t="str">
        <f>SUBSTITUTE(SUBSTITUTE(SUBSTITUTE("dpa"&amp;$B125&amp;$C125&amp;$D125&amp;$E125&amp;$F125,".","_"),"(","_"),")","")</f>
        <v>dpa1002,3</v>
      </c>
      <c r="AM125" s="190">
        <f>M125</f>
        <v>1</v>
      </c>
      <c r="AN125" s="190" t="str">
        <f>SUBSTITUTE(SUBSTITUTE(SUBSTITUTE("dpc"&amp;$B125&amp;$C125&amp;$D125&amp;$E125&amp;$F125,".","_"),"(","_"),")","")</f>
        <v>dpc1002,3</v>
      </c>
      <c r="AO125" s="190">
        <f>O125</f>
        <v>0</v>
      </c>
      <c r="AP125" s="562"/>
      <c r="AQ125" s="562"/>
      <c r="AR125" s="562"/>
      <c r="AS125" s="562"/>
    </row>
    <row r="126" spans="2:45" x14ac:dyDescent="0.2">
      <c r="B126" s="358">
        <v>1002.3</v>
      </c>
      <c r="C126" s="14"/>
      <c r="D126" s="14"/>
      <c r="E126" s="14"/>
      <c r="F126" s="14"/>
      <c r="G126" s="14"/>
      <c r="H126" s="441"/>
      <c r="I126" s="3"/>
      <c r="J126" s="3"/>
      <c r="K126" s="3"/>
      <c r="L126" s="775"/>
      <c r="M126" s="814"/>
      <c r="N126" s="3"/>
      <c r="O126" s="885"/>
      <c r="P126" s="562"/>
      <c r="Q126" s="562"/>
      <c r="R126" s="562"/>
      <c r="S126" s="562"/>
      <c r="T126" s="562"/>
      <c r="U126" s="562"/>
      <c r="V126" s="562"/>
      <c r="W126" s="562"/>
      <c r="X126" s="562"/>
      <c r="Y126" s="562"/>
      <c r="Z126" s="562"/>
      <c r="AA126" s="562"/>
      <c r="AB126" s="562"/>
      <c r="AC126" s="562"/>
      <c r="AD126" s="562"/>
      <c r="AE126" s="562"/>
      <c r="AF126" s="562"/>
      <c r="AG126" s="562"/>
      <c r="AH126" s="562"/>
      <c r="AI126" s="562"/>
      <c r="AJ126" s="562"/>
      <c r="AK126" s="562"/>
      <c r="AL126" s="562"/>
      <c r="AM126" s="562"/>
      <c r="AN126" s="562"/>
      <c r="AO126" s="562"/>
      <c r="AP126" s="562"/>
      <c r="AQ126" s="562"/>
      <c r="AR126" s="562"/>
      <c r="AS126" s="562"/>
    </row>
    <row r="127" spans="2:45" x14ac:dyDescent="0.2">
      <c r="B127" s="358">
        <v>1002.3</v>
      </c>
      <c r="C127" s="14"/>
      <c r="D127" s="14"/>
      <c r="E127" s="14"/>
      <c r="F127" s="14"/>
      <c r="G127" s="14"/>
      <c r="H127" s="441"/>
      <c r="I127" s="3"/>
      <c r="J127" s="3"/>
      <c r="K127" s="3"/>
      <c r="L127" s="775"/>
      <c r="M127" s="814"/>
      <c r="N127" s="3"/>
      <c r="O127" s="885"/>
      <c r="P127" s="562"/>
      <c r="Q127" s="562"/>
      <c r="R127" s="562"/>
      <c r="S127" s="562"/>
      <c r="T127" s="562"/>
      <c r="U127" s="562"/>
      <c r="V127" s="562"/>
      <c r="W127" s="562"/>
      <c r="X127" s="562"/>
      <c r="Y127" s="562"/>
      <c r="Z127" s="562"/>
      <c r="AA127" s="562"/>
      <c r="AB127" s="562"/>
      <c r="AC127" s="562"/>
      <c r="AD127" s="562"/>
      <c r="AE127" s="562"/>
      <c r="AF127" s="562"/>
      <c r="AG127" s="562"/>
      <c r="AH127" s="562"/>
      <c r="AI127" s="562"/>
      <c r="AJ127" s="562"/>
      <c r="AK127" s="562"/>
      <c r="AL127" s="562"/>
      <c r="AM127" s="562"/>
      <c r="AN127" s="562"/>
      <c r="AO127" s="562"/>
      <c r="AP127" s="562"/>
      <c r="AQ127" s="562"/>
      <c r="AR127" s="562"/>
      <c r="AS127" s="562"/>
    </row>
    <row r="128" spans="2:45" x14ac:dyDescent="0.2">
      <c r="B128" s="358">
        <v>1002.3</v>
      </c>
      <c r="C128" s="14"/>
      <c r="D128" s="14"/>
      <c r="E128" s="14"/>
      <c r="F128" s="14"/>
      <c r="G128" s="14"/>
      <c r="H128" s="441"/>
      <c r="I128" s="3"/>
      <c r="J128" s="3"/>
      <c r="K128" s="3"/>
      <c r="L128" s="177" t="s">
        <v>3290</v>
      </c>
      <c r="M128" s="814"/>
      <c r="N128" s="3"/>
      <c r="O128" s="885"/>
      <c r="P128" s="562"/>
      <c r="Q128" s="562"/>
      <c r="R128" s="562"/>
      <c r="S128" s="562"/>
      <c r="T128" s="562"/>
      <c r="U128" s="562"/>
      <c r="V128" s="562"/>
      <c r="W128" s="562"/>
      <c r="X128" s="562"/>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row>
    <row r="129" spans="2:45" x14ac:dyDescent="0.2">
      <c r="B129" s="358">
        <v>1002.3</v>
      </c>
      <c r="C129" s="14"/>
      <c r="D129" s="14"/>
      <c r="E129" s="14" t="s">
        <v>2181</v>
      </c>
      <c r="F129" s="14"/>
      <c r="G129" s="14"/>
      <c r="H129" s="441"/>
      <c r="I129" s="3"/>
      <c r="J129" s="134" t="s">
        <v>2181</v>
      </c>
      <c r="K129" s="98"/>
      <c r="L129" s="791" t="s">
        <v>3310</v>
      </c>
      <c r="M129" s="838" t="str">
        <f>IF(R129,"Mandatory","N/A")</f>
        <v>N/A</v>
      </c>
      <c r="N129" s="3"/>
      <c r="O129" s="609"/>
      <c r="P129" s="562" t="b">
        <v>0</v>
      </c>
      <c r="Q129" s="562" t="b">
        <v>1</v>
      </c>
      <c r="R129" s="562" t="b">
        <f>S129</f>
        <v>0</v>
      </c>
      <c r="S129" s="562" t="b">
        <f>IF(AY19=INDEX(ddSingleOrMulti,2),TRUE,FALSE)</f>
        <v>0</v>
      </c>
      <c r="T129" s="64" t="b">
        <f>AND(NOT(S129),W129=TRUE)</f>
        <v>0</v>
      </c>
      <c r="U129" s="562"/>
      <c r="V129" s="562"/>
      <c r="W129" s="18"/>
      <c r="X129" s="787"/>
      <c r="Y129" s="562"/>
      <c r="Z129" s="562"/>
      <c r="AA129" s="562"/>
      <c r="AB129" s="562"/>
      <c r="AC129" s="562" t="b">
        <f>OR(AD129:AE129)</f>
        <v>0</v>
      </c>
      <c r="AD129" s="562" t="b">
        <f>T129</f>
        <v>0</v>
      </c>
      <c r="AE129" s="562" t="b">
        <f>AND(R129,O125&lt;1)</f>
        <v>0</v>
      </c>
      <c r="AF129" s="562"/>
      <c r="AG129" s="562"/>
      <c r="AH129" s="562"/>
      <c r="AI129" s="562"/>
      <c r="AJ129" s="562"/>
      <c r="AK129" s="562"/>
      <c r="AL129" s="190" t="str">
        <f>SUBSTITUTE(SUBSTITUTE(SUBSTITUTE("dpa"&amp;$B129&amp;$C129&amp;$D129&amp;$E129&amp;$F129,".","_"),"(","_"),")","")</f>
        <v>dpa1002,3_1</v>
      </c>
      <c r="AM129" s="190" t="str">
        <f>M129</f>
        <v>N/A</v>
      </c>
      <c r="AN129" s="562"/>
      <c r="AO129" s="562"/>
      <c r="AP129" s="190" t="str">
        <f>SUBSTITUTE(SUBSTITUTE(SUBSTITUTE("dch"&amp;$B129&amp;$C129&amp;$D129&amp;$E129&amp;$F129,".","_"),"(","_"),")","")</f>
        <v>dch1002,3_1</v>
      </c>
      <c r="AQ129" s="190">
        <f>W129</f>
        <v>0</v>
      </c>
      <c r="AR129" s="190" t="str">
        <f>SUBSTITUTE(SUBSTITUTE(SUBSTITUTE("dnt"&amp;$B129&amp;$C129&amp;$D129&amp;$E129&amp;$F129,".","_"),"(","_"),")","")</f>
        <v>dnt1002,3_1</v>
      </c>
      <c r="AS129" s="190">
        <f>X129</f>
        <v>0</v>
      </c>
    </row>
    <row r="130" spans="2:45" x14ac:dyDescent="0.2">
      <c r="B130" s="358">
        <v>1002.3</v>
      </c>
      <c r="C130" s="14"/>
      <c r="D130" s="14"/>
      <c r="E130" s="14" t="s">
        <v>2181</v>
      </c>
      <c r="F130" s="14"/>
      <c r="G130" s="14"/>
      <c r="H130" s="441"/>
      <c r="I130" s="3"/>
      <c r="J130" s="159"/>
      <c r="K130" s="165"/>
      <c r="L130" s="792"/>
      <c r="M130" s="854" t="str">
        <f>IF(R130,"Mandatory","N/A")</f>
        <v>N/A</v>
      </c>
      <c r="N130" s="3"/>
      <c r="O130" s="609"/>
      <c r="P130" s="562"/>
      <c r="Q130" s="562"/>
      <c r="R130" s="562"/>
      <c r="S130" s="562"/>
      <c r="T130" s="562"/>
      <c r="U130" s="562"/>
      <c r="V130" s="562"/>
      <c r="W130" s="562"/>
      <c r="X130" s="787"/>
      <c r="Y130" s="562"/>
      <c r="Z130" s="562"/>
      <c r="AA130" s="562"/>
      <c r="AB130" s="562"/>
      <c r="AC130" s="562"/>
      <c r="AD130" s="562"/>
      <c r="AE130" s="562"/>
      <c r="AF130" s="562"/>
      <c r="AG130" s="562"/>
      <c r="AH130" s="562"/>
      <c r="AI130" s="562"/>
      <c r="AJ130" s="562"/>
      <c r="AK130" s="562"/>
      <c r="AL130" s="562"/>
      <c r="AM130" s="562"/>
      <c r="AN130" s="562"/>
      <c r="AO130" s="562"/>
      <c r="AP130" s="562"/>
      <c r="AQ130" s="562"/>
      <c r="AR130" s="562"/>
      <c r="AS130" s="562"/>
    </row>
    <row r="131" spans="2:45" x14ac:dyDescent="0.2">
      <c r="B131" s="358">
        <v>1002.3</v>
      </c>
      <c r="C131" s="14"/>
      <c r="D131" s="14"/>
      <c r="E131" s="14" t="s">
        <v>2183</v>
      </c>
      <c r="F131" s="14"/>
      <c r="G131" s="14"/>
      <c r="H131" s="441"/>
      <c r="I131" s="3"/>
      <c r="J131" s="164" t="s">
        <v>2183</v>
      </c>
      <c r="K131" s="146"/>
      <c r="L131" s="831" t="s">
        <v>3250</v>
      </c>
      <c r="M131" s="609"/>
      <c r="N131" s="3"/>
      <c r="O131" s="609"/>
      <c r="P131" s="562" t="b">
        <v>0</v>
      </c>
      <c r="Q131" s="562" t="b">
        <v>1</v>
      </c>
      <c r="R131" s="562" t="b">
        <v>0</v>
      </c>
      <c r="S131" s="562" t="b">
        <f>IF(AY19=INDEX(ddSingleOrMulti,2),TRUE,FALSE)</f>
        <v>0</v>
      </c>
      <c r="T131" s="64" t="b">
        <f>AND(NOT(S131),W131=TRUE)</f>
        <v>0</v>
      </c>
      <c r="U131" s="562"/>
      <c r="V131" s="562"/>
      <c r="W131" s="18"/>
      <c r="X131" s="787"/>
      <c r="Y131" s="562"/>
      <c r="Z131" s="562"/>
      <c r="AA131" s="562"/>
      <c r="AB131" s="562"/>
      <c r="AC131" s="562" t="b">
        <f>OR(AD131:AE131)</f>
        <v>0</v>
      </c>
      <c r="AD131" s="562" t="b">
        <f>T131</f>
        <v>0</v>
      </c>
      <c r="AE131" s="562"/>
      <c r="AF131" s="562"/>
      <c r="AG131" s="562"/>
      <c r="AH131" s="562"/>
      <c r="AI131" s="562"/>
      <c r="AJ131" s="562"/>
      <c r="AK131" s="562"/>
      <c r="AL131" s="562"/>
      <c r="AM131" s="562"/>
      <c r="AN131" s="562"/>
      <c r="AO131" s="562"/>
      <c r="AP131" s="190" t="str">
        <f>SUBSTITUTE(SUBSTITUTE(SUBSTITUTE("dch"&amp;$B131&amp;$C131&amp;$D131&amp;$E131&amp;$F131,".","_"),"(","_"),")","")</f>
        <v>dch1002,3_2</v>
      </c>
      <c r="AQ131" s="190">
        <f>W131</f>
        <v>0</v>
      </c>
      <c r="AR131" s="190" t="str">
        <f>SUBSTITUTE(SUBSTITUTE(SUBSTITUTE("dnt"&amp;$B131&amp;$C131&amp;$D131&amp;$E131&amp;$F131,".","_"),"(","_"),")","")</f>
        <v>dnt1002,3_2</v>
      </c>
      <c r="AS131" s="190">
        <f>X131</f>
        <v>0</v>
      </c>
    </row>
    <row r="132" spans="2:45" x14ac:dyDescent="0.2">
      <c r="B132" s="358">
        <v>1002.3</v>
      </c>
      <c r="C132" s="14"/>
      <c r="D132" s="14"/>
      <c r="E132" s="14" t="s">
        <v>2183</v>
      </c>
      <c r="F132" s="14"/>
      <c r="G132" s="14"/>
      <c r="H132" s="441"/>
      <c r="I132" s="3"/>
      <c r="J132" s="98"/>
      <c r="K132" s="98"/>
      <c r="L132" s="791"/>
      <c r="M132" s="609"/>
      <c r="N132" s="3"/>
      <c r="O132" s="609"/>
      <c r="P132" s="562"/>
      <c r="Q132" s="562"/>
      <c r="R132" s="562"/>
      <c r="S132" s="562"/>
      <c r="T132" s="562"/>
      <c r="U132" s="562"/>
      <c r="V132" s="562"/>
      <c r="W132" s="562"/>
      <c r="X132" s="787"/>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row>
    <row r="133" spans="2:45" x14ac:dyDescent="0.2">
      <c r="B133" s="358">
        <v>1002.3</v>
      </c>
      <c r="C133" s="14"/>
      <c r="D133" s="14"/>
      <c r="E133" s="14" t="s">
        <v>2183</v>
      </c>
      <c r="F133" s="14"/>
      <c r="G133" s="14"/>
      <c r="H133" s="441"/>
      <c r="I133" s="3"/>
      <c r="J133" s="98"/>
      <c r="K133" s="98"/>
      <c r="L133" s="791"/>
      <c r="M133" s="609"/>
      <c r="N133" s="3"/>
      <c r="O133" s="609"/>
      <c r="P133" s="562"/>
      <c r="Q133" s="562"/>
      <c r="R133" s="562"/>
      <c r="S133" s="562"/>
      <c r="T133" s="562"/>
      <c r="U133" s="562"/>
      <c r="V133" s="562"/>
      <c r="W133" s="562"/>
      <c r="X133" s="787"/>
      <c r="Y133" s="562"/>
      <c r="Z133" s="562"/>
      <c r="AA133" s="562"/>
      <c r="AB133" s="562"/>
      <c r="AC133" s="562"/>
      <c r="AD133" s="562"/>
      <c r="AE133" s="562"/>
      <c r="AF133" s="562"/>
      <c r="AG133" s="562"/>
      <c r="AH133" s="562"/>
      <c r="AI133" s="562"/>
      <c r="AJ133" s="562"/>
      <c r="AK133" s="562"/>
      <c r="AL133" s="562"/>
      <c r="AM133" s="562"/>
      <c r="AN133" s="562"/>
      <c r="AO133" s="562"/>
      <c r="AP133" s="562"/>
      <c r="AQ133" s="562"/>
      <c r="AR133" s="562"/>
      <c r="AS133" s="562"/>
    </row>
    <row r="134" spans="2:45" x14ac:dyDescent="0.2">
      <c r="B134" s="358">
        <v>1002.3</v>
      </c>
      <c r="C134" s="14"/>
      <c r="D134" s="14"/>
      <c r="E134" s="14" t="s">
        <v>2183</v>
      </c>
      <c r="F134" s="14"/>
      <c r="G134" s="14"/>
      <c r="H134" s="441"/>
      <c r="I134" s="3"/>
      <c r="J134" s="165"/>
      <c r="K134" s="165"/>
      <c r="L134" s="792"/>
      <c r="M134" s="609"/>
      <c r="N134" s="3"/>
      <c r="O134" s="609"/>
      <c r="P134" s="562"/>
      <c r="Q134" s="562"/>
      <c r="R134" s="562"/>
      <c r="S134" s="562"/>
      <c r="T134" s="562"/>
      <c r="U134" s="562"/>
      <c r="V134" s="562"/>
      <c r="W134" s="562"/>
      <c r="X134" s="787"/>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row>
    <row r="135" spans="2:45" x14ac:dyDescent="0.2">
      <c r="B135" s="358">
        <v>1002.3</v>
      </c>
      <c r="C135" s="14"/>
      <c r="D135" s="14"/>
      <c r="E135" s="14" t="s">
        <v>2185</v>
      </c>
      <c r="F135" s="14"/>
      <c r="G135" s="14"/>
      <c r="H135" s="441"/>
      <c r="I135" s="3"/>
      <c r="J135" s="164" t="s">
        <v>2185</v>
      </c>
      <c r="K135" s="146"/>
      <c r="L135" s="657" t="s">
        <v>3311</v>
      </c>
      <c r="M135" s="609"/>
      <c r="N135" s="3"/>
      <c r="O135" s="609"/>
      <c r="P135" s="562" t="b">
        <v>0</v>
      </c>
      <c r="Q135" s="562" t="b">
        <v>1</v>
      </c>
      <c r="R135" s="562" t="b">
        <v>0</v>
      </c>
      <c r="S135" s="562" t="b">
        <f>IF(AY19=INDEX(ddSingleOrMulti,2),TRUE,FALSE)</f>
        <v>0</v>
      </c>
      <c r="T135" s="64" t="b">
        <f>AND(NOT(S135),W135=TRUE)</f>
        <v>0</v>
      </c>
      <c r="U135" s="562"/>
      <c r="V135" s="562"/>
      <c r="W135" s="18"/>
      <c r="X135" s="787"/>
      <c r="Y135" s="562"/>
      <c r="Z135" s="562"/>
      <c r="AA135" s="562"/>
      <c r="AB135" s="562"/>
      <c r="AC135" s="562" t="b">
        <f>OR(AD135:AE135)</f>
        <v>0</v>
      </c>
      <c r="AD135" s="562" t="b">
        <f>T135</f>
        <v>0</v>
      </c>
      <c r="AE135" s="562"/>
      <c r="AF135" s="562"/>
      <c r="AG135" s="562"/>
      <c r="AH135" s="562"/>
      <c r="AI135" s="562"/>
      <c r="AJ135" s="562"/>
      <c r="AK135" s="562"/>
      <c r="AL135" s="562"/>
      <c r="AM135" s="562"/>
      <c r="AN135" s="562"/>
      <c r="AO135" s="562"/>
      <c r="AP135" s="190" t="str">
        <f>SUBSTITUTE(SUBSTITUTE(SUBSTITUTE("dch"&amp;$B135&amp;$C135&amp;$D135&amp;$E135&amp;$F135,".","_"),"(","_"),")","")</f>
        <v>dch1002,3_3</v>
      </c>
      <c r="AQ135" s="190">
        <f>W135</f>
        <v>0</v>
      </c>
      <c r="AR135" s="190" t="str">
        <f>SUBSTITUTE(SUBSTITUTE(SUBSTITUTE("dnt"&amp;$B135&amp;$C135&amp;$D135&amp;$E135&amp;$F135,".","_"),"(","_"),")","")</f>
        <v>dnt1002,3_3</v>
      </c>
      <c r="AS135" s="190">
        <f>X135</f>
        <v>0</v>
      </c>
    </row>
    <row r="136" spans="2:45" x14ac:dyDescent="0.2">
      <c r="B136" s="358">
        <v>1002.3</v>
      </c>
      <c r="C136" s="14"/>
      <c r="D136" s="14"/>
      <c r="E136" s="14" t="s">
        <v>2185</v>
      </c>
      <c r="F136" s="14" t="s">
        <v>2196</v>
      </c>
      <c r="G136" s="14"/>
      <c r="H136" s="441"/>
      <c r="I136" s="3"/>
      <c r="J136" s="98"/>
      <c r="K136" s="134" t="s">
        <v>2196</v>
      </c>
      <c r="L136" s="659" t="s">
        <v>3312</v>
      </c>
      <c r="M136" s="609"/>
      <c r="N136" s="3"/>
      <c r="O136" s="609"/>
      <c r="P136" s="562"/>
      <c r="Q136" s="562"/>
      <c r="R136" s="562"/>
      <c r="S136" s="562"/>
      <c r="T136" s="562"/>
      <c r="U136" s="562"/>
      <c r="V136" s="562"/>
      <c r="W136" s="562"/>
      <c r="X136" s="787"/>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row>
    <row r="137" spans="2:45" x14ac:dyDescent="0.2">
      <c r="B137" s="358">
        <v>1002.3</v>
      </c>
      <c r="C137" s="14"/>
      <c r="D137" s="14"/>
      <c r="E137" s="14" t="s">
        <v>2185</v>
      </c>
      <c r="F137" s="14" t="s">
        <v>2198</v>
      </c>
      <c r="G137" s="14"/>
      <c r="H137" s="441"/>
      <c r="I137" s="3"/>
      <c r="J137" s="98"/>
      <c r="K137" s="134" t="s">
        <v>2198</v>
      </c>
      <c r="L137" s="659" t="s">
        <v>3313</v>
      </c>
      <c r="M137" s="609"/>
      <c r="N137" s="3"/>
      <c r="O137" s="609"/>
      <c r="P137" s="562"/>
      <c r="Q137" s="562"/>
      <c r="R137" s="562"/>
      <c r="S137" s="562"/>
      <c r="T137" s="562"/>
      <c r="U137" s="562"/>
      <c r="V137" s="562"/>
      <c r="W137" s="562"/>
      <c r="X137" s="787"/>
      <c r="Y137" s="562"/>
      <c r="Z137" s="562"/>
      <c r="AA137" s="562"/>
      <c r="AB137" s="562"/>
      <c r="AC137" s="562"/>
      <c r="AD137" s="562"/>
      <c r="AE137" s="562"/>
      <c r="AF137" s="562"/>
      <c r="AG137" s="562"/>
      <c r="AH137" s="562"/>
      <c r="AI137" s="562"/>
      <c r="AJ137" s="562"/>
      <c r="AK137" s="562"/>
      <c r="AL137" s="562"/>
      <c r="AM137" s="562"/>
      <c r="AN137" s="562"/>
      <c r="AO137" s="562"/>
      <c r="AP137" s="562"/>
      <c r="AQ137" s="562"/>
      <c r="AR137" s="562"/>
      <c r="AS137" s="562"/>
    </row>
    <row r="138" spans="2:45" x14ac:dyDescent="0.2">
      <c r="B138" s="358">
        <v>1002.3</v>
      </c>
      <c r="C138" s="14"/>
      <c r="D138" s="14"/>
      <c r="E138" s="14" t="s">
        <v>2185</v>
      </c>
      <c r="F138" s="14" t="s">
        <v>2200</v>
      </c>
      <c r="G138" s="14"/>
      <c r="H138" s="441"/>
      <c r="I138" s="3"/>
      <c r="J138" s="98"/>
      <c r="K138" s="134" t="s">
        <v>2200</v>
      </c>
      <c r="L138" s="659" t="s">
        <v>3314</v>
      </c>
      <c r="M138" s="609"/>
      <c r="N138" s="3"/>
      <c r="O138" s="609"/>
      <c r="P138" s="562"/>
      <c r="Q138" s="562"/>
      <c r="R138" s="562"/>
      <c r="S138" s="562"/>
      <c r="T138" s="562"/>
      <c r="U138" s="562"/>
      <c r="V138" s="562"/>
      <c r="W138" s="562"/>
      <c r="X138" s="787"/>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row>
    <row r="139" spans="2:45" x14ac:dyDescent="0.2">
      <c r="B139" s="358">
        <v>1002.3</v>
      </c>
      <c r="C139" s="14"/>
      <c r="D139" s="14"/>
      <c r="E139" s="14" t="s">
        <v>2185</v>
      </c>
      <c r="F139" s="14" t="s">
        <v>2247</v>
      </c>
      <c r="G139" s="14"/>
      <c r="H139" s="441"/>
      <c r="I139" s="3"/>
      <c r="J139" s="98"/>
      <c r="K139" s="134" t="s">
        <v>2247</v>
      </c>
      <c r="L139" s="659" t="s">
        <v>3315</v>
      </c>
      <c r="M139" s="609"/>
      <c r="N139" s="3"/>
      <c r="O139" s="609"/>
      <c r="P139" s="562"/>
      <c r="Q139" s="562"/>
      <c r="R139" s="562"/>
      <c r="S139" s="562"/>
      <c r="T139" s="562"/>
      <c r="U139" s="562"/>
      <c r="V139" s="562"/>
      <c r="W139" s="562"/>
      <c r="X139" s="787"/>
      <c r="Y139" s="562"/>
      <c r="Z139" s="562"/>
      <c r="AA139" s="562"/>
      <c r="AB139" s="562"/>
      <c r="AC139" s="562"/>
      <c r="AD139" s="562"/>
      <c r="AE139" s="562"/>
      <c r="AF139" s="562"/>
      <c r="AG139" s="562"/>
      <c r="AH139" s="562"/>
      <c r="AI139" s="562"/>
      <c r="AJ139" s="562"/>
      <c r="AK139" s="562"/>
      <c r="AL139" s="562"/>
      <c r="AM139" s="562"/>
      <c r="AN139" s="562"/>
      <c r="AO139" s="562"/>
      <c r="AP139" s="562"/>
      <c r="AQ139" s="562"/>
      <c r="AR139" s="562"/>
      <c r="AS139" s="562"/>
    </row>
    <row r="140" spans="2:45" x14ac:dyDescent="0.2">
      <c r="B140" s="358">
        <v>1002.3</v>
      </c>
      <c r="C140" s="14"/>
      <c r="D140" s="14"/>
      <c r="E140" s="14" t="s">
        <v>2185</v>
      </c>
      <c r="F140" s="14" t="s">
        <v>2444</v>
      </c>
      <c r="G140" s="14"/>
      <c r="H140" s="441"/>
      <c r="I140" s="3"/>
      <c r="J140" s="98"/>
      <c r="K140" s="134" t="s">
        <v>2444</v>
      </c>
      <c r="L140" s="659" t="s">
        <v>3316</v>
      </c>
      <c r="M140" s="609"/>
      <c r="N140" s="3"/>
      <c r="O140" s="609"/>
      <c r="P140" s="562"/>
      <c r="Q140" s="562"/>
      <c r="R140" s="562"/>
      <c r="S140" s="562"/>
      <c r="T140" s="562"/>
      <c r="U140" s="562"/>
      <c r="V140" s="562"/>
      <c r="W140" s="562"/>
      <c r="X140" s="787"/>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row>
    <row r="141" spans="2:45" x14ac:dyDescent="0.2">
      <c r="B141" s="358">
        <v>1002.3</v>
      </c>
      <c r="C141" s="14"/>
      <c r="D141" s="14"/>
      <c r="E141" s="14" t="s">
        <v>2185</v>
      </c>
      <c r="F141" s="14" t="s">
        <v>2540</v>
      </c>
      <c r="G141" s="14"/>
      <c r="H141" s="441"/>
      <c r="I141" s="3"/>
      <c r="J141" s="165"/>
      <c r="K141" s="159" t="s">
        <v>2540</v>
      </c>
      <c r="L141" s="658" t="s">
        <v>3317</v>
      </c>
      <c r="M141" s="609"/>
      <c r="N141" s="3"/>
      <c r="O141" s="609"/>
      <c r="P141" s="562"/>
      <c r="Q141" s="562"/>
      <c r="R141" s="562"/>
      <c r="S141" s="562"/>
      <c r="T141" s="562"/>
      <c r="U141" s="562"/>
      <c r="V141" s="562"/>
      <c r="W141" s="562"/>
      <c r="X141" s="787"/>
      <c r="Y141" s="562"/>
      <c r="Z141" s="562"/>
      <c r="AA141" s="562"/>
      <c r="AB141" s="562"/>
      <c r="AC141" s="562"/>
      <c r="AD141" s="562"/>
      <c r="AE141" s="562"/>
      <c r="AF141" s="562"/>
      <c r="AG141" s="562"/>
      <c r="AH141" s="562"/>
      <c r="AI141" s="562"/>
      <c r="AJ141" s="562"/>
      <c r="AK141" s="562"/>
      <c r="AL141" s="562"/>
      <c r="AM141" s="562"/>
      <c r="AN141" s="562"/>
      <c r="AO141" s="562"/>
      <c r="AP141" s="562"/>
      <c r="AQ141" s="562"/>
      <c r="AR141" s="562"/>
      <c r="AS141" s="562"/>
    </row>
    <row r="142" spans="2:45" x14ac:dyDescent="0.2">
      <c r="B142" s="358">
        <v>1002.3</v>
      </c>
      <c r="C142" s="14"/>
      <c r="D142" s="14"/>
      <c r="E142" s="14" t="s">
        <v>2192</v>
      </c>
      <c r="F142" s="14"/>
      <c r="G142" s="14"/>
      <c r="H142" s="441"/>
      <c r="I142" s="3"/>
      <c r="J142" s="20" t="s">
        <v>2192</v>
      </c>
      <c r="K142" s="3"/>
      <c r="L142" s="817" t="s">
        <v>3254</v>
      </c>
      <c r="M142" s="609"/>
      <c r="N142" s="3"/>
      <c r="O142" s="609"/>
      <c r="P142" s="562" t="b">
        <v>0</v>
      </c>
      <c r="Q142" s="562" t="b">
        <v>1</v>
      </c>
      <c r="R142" s="562" t="b">
        <v>0</v>
      </c>
      <c r="S142" s="562" t="b">
        <f>IF(AY19=INDEX(ddSingleOrMulti,2),TRUE,FALSE)</f>
        <v>0</v>
      </c>
      <c r="T142" s="64" t="b">
        <f>AND(NOT(S142),W142=TRUE)</f>
        <v>0</v>
      </c>
      <c r="U142" s="562"/>
      <c r="V142" s="562"/>
      <c r="W142" s="18"/>
      <c r="X142" s="787"/>
      <c r="Y142" s="562"/>
      <c r="Z142" s="562"/>
      <c r="AA142" s="562"/>
      <c r="AB142" s="562"/>
      <c r="AC142" s="562" t="b">
        <f>OR(AD142:AE142)</f>
        <v>0</v>
      </c>
      <c r="AD142" s="562" t="b">
        <f>T142</f>
        <v>0</v>
      </c>
      <c r="AE142" s="562"/>
      <c r="AF142" s="562"/>
      <c r="AG142" s="562"/>
      <c r="AH142" s="562"/>
      <c r="AI142" s="562"/>
      <c r="AJ142" s="562"/>
      <c r="AK142" s="562"/>
      <c r="AL142" s="562"/>
      <c r="AM142" s="562"/>
      <c r="AN142" s="562"/>
      <c r="AO142" s="562"/>
      <c r="AP142" s="190" t="str">
        <f>SUBSTITUTE(SUBSTITUTE(SUBSTITUTE("dch"&amp;$B142&amp;$C142&amp;$D142&amp;$E142&amp;$F142,".","_"),"(","_"),")","")</f>
        <v>dch1002,3_4</v>
      </c>
      <c r="AQ142" s="190">
        <f>W142</f>
        <v>0</v>
      </c>
      <c r="AR142" s="190" t="str">
        <f>SUBSTITUTE(SUBSTITUTE(SUBSTITUTE("dnt"&amp;$B142&amp;$C142&amp;$D142&amp;$E142&amp;$F142,".","_"),"(","_"),")","")</f>
        <v>dnt1002,3_4</v>
      </c>
      <c r="AS142" s="190">
        <f>X142</f>
        <v>0</v>
      </c>
    </row>
    <row r="143" spans="2:45" x14ac:dyDescent="0.2">
      <c r="B143" s="358">
        <v>1002.3</v>
      </c>
      <c r="C143" s="14"/>
      <c r="D143" s="14"/>
      <c r="E143" s="14" t="s">
        <v>2192</v>
      </c>
      <c r="F143" s="14"/>
      <c r="G143" s="14"/>
      <c r="H143" s="441"/>
      <c r="I143" s="3"/>
      <c r="J143" s="3"/>
      <c r="K143" s="3"/>
      <c r="L143" s="817"/>
      <c r="M143" s="609"/>
      <c r="N143" s="3"/>
      <c r="O143" s="609"/>
      <c r="P143" s="562"/>
      <c r="Q143" s="562"/>
      <c r="R143" s="562"/>
      <c r="S143" s="562"/>
      <c r="T143" s="562"/>
      <c r="U143" s="562"/>
      <c r="V143" s="562"/>
      <c r="W143" s="562"/>
      <c r="X143" s="787"/>
      <c r="Y143" s="562"/>
      <c r="Z143" s="562"/>
      <c r="AA143" s="562"/>
      <c r="AB143" s="562"/>
      <c r="AC143" s="562"/>
      <c r="AD143" s="562"/>
      <c r="AE143" s="562"/>
      <c r="AF143" s="562"/>
      <c r="AG143" s="562"/>
      <c r="AH143" s="562"/>
      <c r="AI143" s="562"/>
      <c r="AJ143" s="562"/>
      <c r="AK143" s="562"/>
      <c r="AL143" s="562"/>
      <c r="AM143" s="562"/>
      <c r="AN143" s="562"/>
      <c r="AO143" s="562"/>
      <c r="AP143" s="562"/>
      <c r="AQ143" s="562"/>
      <c r="AR143" s="562"/>
      <c r="AS143" s="562"/>
    </row>
    <row r="144" spans="2:45" x14ac:dyDescent="0.2">
      <c r="B144" s="358">
        <v>1002.3</v>
      </c>
      <c r="C144" s="14"/>
      <c r="D144" s="14"/>
      <c r="E144" s="14" t="s">
        <v>2194</v>
      </c>
      <c r="F144" s="14"/>
      <c r="G144" s="14"/>
      <c r="H144" s="441"/>
      <c r="I144" s="3"/>
      <c r="J144" s="161" t="s">
        <v>2194</v>
      </c>
      <c r="K144" s="186"/>
      <c r="L144" s="187" t="s">
        <v>3256</v>
      </c>
      <c r="M144" s="609"/>
      <c r="N144" s="3"/>
      <c r="O144" s="609"/>
      <c r="P144" s="562" t="b">
        <v>0</v>
      </c>
      <c r="Q144" s="562" t="b">
        <v>1</v>
      </c>
      <c r="R144" s="562" t="b">
        <v>0</v>
      </c>
      <c r="S144" s="562" t="b">
        <f>IF(AY19=INDEX(ddSingleOrMulti,2),TRUE,FALSE)</f>
        <v>0</v>
      </c>
      <c r="T144" s="64" t="b">
        <f>AND(NOT(S144),W144=TRUE)</f>
        <v>0</v>
      </c>
      <c r="U144" s="562"/>
      <c r="V144" s="562"/>
      <c r="W144" s="18"/>
      <c r="X144" s="563"/>
      <c r="Y144" s="562"/>
      <c r="Z144" s="562"/>
      <c r="AA144" s="562"/>
      <c r="AB144" s="562"/>
      <c r="AC144" s="562" t="b">
        <f>OR(AD144:AE144)</f>
        <v>0</v>
      </c>
      <c r="AD144" s="562" t="b">
        <f>T144</f>
        <v>0</v>
      </c>
      <c r="AE144" s="562"/>
      <c r="AF144" s="562"/>
      <c r="AG144" s="562"/>
      <c r="AH144" s="562"/>
      <c r="AI144" s="562"/>
      <c r="AJ144" s="562"/>
      <c r="AK144" s="562"/>
      <c r="AL144" s="562"/>
      <c r="AM144" s="562"/>
      <c r="AN144" s="562"/>
      <c r="AO144" s="562"/>
      <c r="AP144" s="190" t="str">
        <f t="shared" ref="AP144:AP145" si="14">SUBSTITUTE(SUBSTITUTE(SUBSTITUTE("dch"&amp;$B144&amp;$C144&amp;$D144&amp;$E144&amp;$F144,".","_"),"(","_"),")","")</f>
        <v>dch1002,3_5</v>
      </c>
      <c r="AQ144" s="190">
        <f>W144</f>
        <v>0</v>
      </c>
      <c r="AR144" s="190" t="str">
        <f>SUBSTITUTE(SUBSTITUTE(SUBSTITUTE("dnt"&amp;$B144&amp;$C144&amp;$D144&amp;$E144&amp;$F144,".","_"),"(","_"),")","")</f>
        <v>dnt1002,3_5</v>
      </c>
      <c r="AS144" s="190">
        <f>X144</f>
        <v>0</v>
      </c>
    </row>
    <row r="145" spans="2:45" x14ac:dyDescent="0.2">
      <c r="B145" s="358">
        <v>1002.3</v>
      </c>
      <c r="C145" s="14"/>
      <c r="D145" s="14"/>
      <c r="E145" s="14" t="s">
        <v>2221</v>
      </c>
      <c r="F145" s="14"/>
      <c r="G145" s="14"/>
      <c r="H145" s="441"/>
      <c r="I145" s="3"/>
      <c r="J145" s="20" t="s">
        <v>2221</v>
      </c>
      <c r="K145" s="3"/>
      <c r="L145" s="817" t="s">
        <v>3318</v>
      </c>
      <c r="M145" s="609"/>
      <c r="N145" s="3"/>
      <c r="O145" s="609"/>
      <c r="P145" s="562" t="b">
        <v>0</v>
      </c>
      <c r="Q145" s="562" t="b">
        <v>1</v>
      </c>
      <c r="R145" s="562" t="b">
        <v>0</v>
      </c>
      <c r="S145" s="562" t="b">
        <f>IF(AY19=INDEX(ddSingleOrMulti,2),TRUE,FALSE)</f>
        <v>0</v>
      </c>
      <c r="T145" s="64" t="b">
        <f>AND(NOT(S145),W145=TRUE)</f>
        <v>0</v>
      </c>
      <c r="U145" s="562"/>
      <c r="V145" s="562"/>
      <c r="W145" s="18"/>
      <c r="X145" s="787"/>
      <c r="Y145" s="562"/>
      <c r="Z145" s="562"/>
      <c r="AA145" s="562"/>
      <c r="AB145" s="562"/>
      <c r="AC145" s="562" t="b">
        <f>OR(AD145:AE145)</f>
        <v>0</v>
      </c>
      <c r="AD145" s="562" t="b">
        <f>T145</f>
        <v>0</v>
      </c>
      <c r="AE145" s="562"/>
      <c r="AF145" s="562"/>
      <c r="AG145" s="562"/>
      <c r="AH145" s="562"/>
      <c r="AI145" s="562"/>
      <c r="AJ145" s="562"/>
      <c r="AK145" s="562"/>
      <c r="AL145" s="562"/>
      <c r="AM145" s="562"/>
      <c r="AN145" s="562"/>
      <c r="AO145" s="562"/>
      <c r="AP145" s="190" t="str">
        <f t="shared" si="14"/>
        <v>dch1002,3_6</v>
      </c>
      <c r="AQ145" s="190">
        <f>W145</f>
        <v>0</v>
      </c>
      <c r="AR145" s="190" t="str">
        <f>SUBSTITUTE(SUBSTITUTE(SUBSTITUTE("dnt"&amp;$B145&amp;$C145&amp;$D145&amp;$E145&amp;$F145,".","_"),"(","_"),")","")</f>
        <v>dnt1002,3_6</v>
      </c>
      <c r="AS145" s="190">
        <f>X145</f>
        <v>0</v>
      </c>
    </row>
    <row r="146" spans="2:45" x14ac:dyDescent="0.2">
      <c r="B146" s="358">
        <v>1002.3</v>
      </c>
      <c r="C146" s="14"/>
      <c r="D146" s="14"/>
      <c r="E146" s="14" t="s">
        <v>2221</v>
      </c>
      <c r="F146" s="14"/>
      <c r="G146" s="14"/>
      <c r="H146" s="441"/>
      <c r="I146" s="3"/>
      <c r="J146" s="20"/>
      <c r="K146" s="3"/>
      <c r="L146" s="817"/>
      <c r="M146" s="609"/>
      <c r="N146" s="3"/>
      <c r="O146" s="609"/>
      <c r="P146" s="562"/>
      <c r="Q146" s="562"/>
      <c r="R146" s="562"/>
      <c r="S146" s="562"/>
      <c r="T146" s="562"/>
      <c r="U146" s="562"/>
      <c r="V146" s="562"/>
      <c r="W146" s="562"/>
      <c r="X146" s="787"/>
      <c r="Y146" s="562"/>
      <c r="Z146" s="562"/>
      <c r="AA146" s="562"/>
      <c r="AB146" s="562"/>
      <c r="AC146" s="562"/>
      <c r="AD146" s="562"/>
      <c r="AE146" s="562"/>
      <c r="AF146" s="562"/>
      <c r="AG146" s="562"/>
      <c r="AH146" s="562"/>
      <c r="AI146" s="562"/>
      <c r="AJ146" s="562"/>
      <c r="AK146" s="562"/>
      <c r="AL146" s="562"/>
      <c r="AM146" s="562"/>
      <c r="AN146" s="562"/>
      <c r="AO146" s="562"/>
      <c r="AP146" s="562"/>
      <c r="AQ146" s="562"/>
      <c r="AR146" s="562"/>
      <c r="AS146" s="562"/>
    </row>
    <row r="147" spans="2:45" x14ac:dyDescent="0.2">
      <c r="B147" s="358">
        <v>1002.3</v>
      </c>
      <c r="C147" s="14"/>
      <c r="D147" s="14"/>
      <c r="E147" s="14" t="s">
        <v>2223</v>
      </c>
      <c r="F147" s="14"/>
      <c r="G147" s="14"/>
      <c r="H147" s="441"/>
      <c r="I147" s="3"/>
      <c r="J147" s="161" t="s">
        <v>2223</v>
      </c>
      <c r="K147" s="186"/>
      <c r="L147" s="187" t="s">
        <v>3262</v>
      </c>
      <c r="M147" s="609"/>
      <c r="N147" s="3"/>
      <c r="O147" s="609"/>
      <c r="P147" s="562" t="b">
        <v>0</v>
      </c>
      <c r="Q147" s="562" t="b">
        <v>1</v>
      </c>
      <c r="R147" s="562" t="b">
        <v>0</v>
      </c>
      <c r="S147" s="562" t="b">
        <f>IF(AY19=INDEX(ddSingleOrMulti,2),TRUE,FALSE)</f>
        <v>0</v>
      </c>
      <c r="T147" s="64" t="b">
        <f>AND(NOT(S147),W147=TRUE)</f>
        <v>0</v>
      </c>
      <c r="U147" s="562"/>
      <c r="V147" s="562"/>
      <c r="W147" s="18"/>
      <c r="X147" s="563"/>
      <c r="Y147" s="562"/>
      <c r="Z147" s="562"/>
      <c r="AA147" s="562"/>
      <c r="AB147" s="562"/>
      <c r="AC147" s="562" t="b">
        <f>OR(AD147:AE147)</f>
        <v>0</v>
      </c>
      <c r="AD147" s="562" t="b">
        <f>T147</f>
        <v>0</v>
      </c>
      <c r="AE147" s="562"/>
      <c r="AF147" s="562"/>
      <c r="AG147" s="562"/>
      <c r="AH147" s="562"/>
      <c r="AI147" s="562"/>
      <c r="AJ147" s="562"/>
      <c r="AK147" s="562"/>
      <c r="AL147" s="562"/>
      <c r="AM147" s="562"/>
      <c r="AN147" s="562"/>
      <c r="AO147" s="562"/>
      <c r="AP147" s="190" t="str">
        <f t="shared" ref="AP147:AP151" si="15">SUBSTITUTE(SUBSTITUTE(SUBSTITUTE("dch"&amp;$B147&amp;$C147&amp;$D147&amp;$E147&amp;$F147,".","_"),"(","_"),")","")</f>
        <v>dch1002,3_7</v>
      </c>
      <c r="AQ147" s="190">
        <f>W147</f>
        <v>0</v>
      </c>
      <c r="AR147" s="190" t="str">
        <f>SUBSTITUTE(SUBSTITUTE(SUBSTITUTE("dnt"&amp;$B147&amp;$C147&amp;$D147&amp;$E147&amp;$F147,".","_"),"(","_"),")","")</f>
        <v>dnt1002,3_7</v>
      </c>
      <c r="AS147" s="190">
        <f>X147</f>
        <v>0</v>
      </c>
    </row>
    <row r="148" spans="2:45" x14ac:dyDescent="0.2">
      <c r="B148" s="358">
        <v>1002.3</v>
      </c>
      <c r="C148" s="14"/>
      <c r="D148" s="14"/>
      <c r="E148" s="14" t="s">
        <v>2282</v>
      </c>
      <c r="F148" s="14"/>
      <c r="G148" s="14"/>
      <c r="H148" s="441"/>
      <c r="I148" s="3"/>
      <c r="J148" s="20" t="s">
        <v>2282</v>
      </c>
      <c r="K148" s="3"/>
      <c r="L148" s="661" t="s">
        <v>3319</v>
      </c>
      <c r="M148" s="609"/>
      <c r="N148" s="3"/>
      <c r="O148" s="609"/>
      <c r="P148" s="562" t="b">
        <v>0</v>
      </c>
      <c r="Q148" s="562" t="b">
        <v>1</v>
      </c>
      <c r="R148" s="562" t="b">
        <v>0</v>
      </c>
      <c r="S148" s="562" t="b">
        <f>IF(AY19=INDEX(ddSingleOrMulti,2),TRUE,FALSE)</f>
        <v>0</v>
      </c>
      <c r="T148" s="64" t="b">
        <f>AND(NOT(S148),W148=TRUE)</f>
        <v>0</v>
      </c>
      <c r="U148" s="562"/>
      <c r="V148" s="562"/>
      <c r="W148" s="18"/>
      <c r="X148" s="563"/>
      <c r="Y148" s="562"/>
      <c r="Z148" s="562"/>
      <c r="AA148" s="562"/>
      <c r="AB148" s="562"/>
      <c r="AC148" s="562" t="b">
        <f>OR(AD148:AE148)</f>
        <v>0</v>
      </c>
      <c r="AD148" s="562" t="b">
        <f>T148</f>
        <v>0</v>
      </c>
      <c r="AE148" s="562"/>
      <c r="AF148" s="562"/>
      <c r="AG148" s="562"/>
      <c r="AH148" s="562"/>
      <c r="AI148" s="562"/>
      <c r="AJ148" s="562"/>
      <c r="AK148" s="562"/>
      <c r="AL148" s="562"/>
      <c r="AM148" s="562"/>
      <c r="AN148" s="562"/>
      <c r="AO148" s="562"/>
      <c r="AP148" s="190" t="str">
        <f t="shared" si="15"/>
        <v>dch1002,3_8</v>
      </c>
      <c r="AQ148" s="190">
        <f>W148</f>
        <v>0</v>
      </c>
      <c r="AR148" s="190" t="str">
        <f>SUBSTITUTE(SUBSTITUTE(SUBSTITUTE("dnt"&amp;$B148&amp;$C148&amp;$D148&amp;$E148&amp;$F148,".","_"),"(","_"),")","")</f>
        <v>dnt1002,3_8</v>
      </c>
      <c r="AS148" s="190">
        <f>X148</f>
        <v>0</v>
      </c>
    </row>
    <row r="149" spans="2:45" x14ac:dyDescent="0.2">
      <c r="B149" s="358">
        <v>1002.3</v>
      </c>
      <c r="C149" s="14"/>
      <c r="D149" s="14"/>
      <c r="E149" s="14" t="s">
        <v>2284</v>
      </c>
      <c r="F149" s="14"/>
      <c r="G149" s="14"/>
      <c r="H149" s="441"/>
      <c r="I149" s="3"/>
      <c r="J149" s="161" t="s">
        <v>2284</v>
      </c>
      <c r="K149" s="186"/>
      <c r="L149" s="187" t="s">
        <v>3320</v>
      </c>
      <c r="M149" s="609"/>
      <c r="N149" s="3"/>
      <c r="O149" s="609"/>
      <c r="P149" s="562" t="b">
        <v>0</v>
      </c>
      <c r="Q149" s="562" t="b">
        <v>1</v>
      </c>
      <c r="R149" s="562" t="b">
        <v>0</v>
      </c>
      <c r="S149" s="562" t="b">
        <f>IF(AY19=INDEX(ddSingleOrMulti,2),TRUE,FALSE)</f>
        <v>0</v>
      </c>
      <c r="T149" s="64" t="b">
        <f>AND(NOT(S149),W149=TRUE)</f>
        <v>0</v>
      </c>
      <c r="U149" s="562"/>
      <c r="V149" s="562"/>
      <c r="W149" s="18"/>
      <c r="X149" s="563"/>
      <c r="Y149" s="562"/>
      <c r="Z149" s="562"/>
      <c r="AA149" s="562"/>
      <c r="AB149" s="562"/>
      <c r="AC149" s="562" t="b">
        <f>OR(AD149:AE149)</f>
        <v>0</v>
      </c>
      <c r="AD149" s="562" t="b">
        <f>T149</f>
        <v>0</v>
      </c>
      <c r="AE149" s="562"/>
      <c r="AF149" s="562"/>
      <c r="AG149" s="562"/>
      <c r="AH149" s="562"/>
      <c r="AI149" s="562"/>
      <c r="AJ149" s="562"/>
      <c r="AK149" s="562"/>
      <c r="AL149" s="562"/>
      <c r="AM149" s="562"/>
      <c r="AN149" s="562"/>
      <c r="AO149" s="562"/>
      <c r="AP149" s="190" t="str">
        <f t="shared" si="15"/>
        <v>dch1002,3_9</v>
      </c>
      <c r="AQ149" s="190">
        <f>W149</f>
        <v>0</v>
      </c>
      <c r="AR149" s="190" t="str">
        <f>SUBSTITUTE(SUBSTITUTE(SUBSTITUTE("dnt"&amp;$B149&amp;$C149&amp;$D149&amp;$E149&amp;$F149,".","_"),"(","_"),")","")</f>
        <v>dnt1002,3_9</v>
      </c>
      <c r="AS149" s="190">
        <f>X149</f>
        <v>0</v>
      </c>
    </row>
    <row r="150" spans="2:45" ht="16" thickBot="1" x14ac:dyDescent="0.25">
      <c r="B150" s="358">
        <v>1002.3</v>
      </c>
      <c r="C150" s="14"/>
      <c r="D150" s="14"/>
      <c r="E150" s="14" t="s">
        <v>2286</v>
      </c>
      <c r="F150" s="14"/>
      <c r="G150" s="14"/>
      <c r="H150" s="441"/>
      <c r="I150" s="185"/>
      <c r="J150" s="143" t="s">
        <v>2286</v>
      </c>
      <c r="K150" s="185"/>
      <c r="L150" s="660" t="s">
        <v>3321</v>
      </c>
      <c r="M150" s="622"/>
      <c r="N150" s="185"/>
      <c r="O150" s="622"/>
      <c r="P150" s="562" t="b">
        <v>0</v>
      </c>
      <c r="Q150" s="562" t="b">
        <v>1</v>
      </c>
      <c r="R150" s="68" t="b">
        <v>0</v>
      </c>
      <c r="S150" s="68" t="b">
        <f>IF(AY19=INDEX(ddSingleOrMulti,2),TRUE,FALSE)</f>
        <v>0</v>
      </c>
      <c r="T150" s="68" t="b">
        <f>AND(NOT(S150),W150=TRUE)</f>
        <v>0</v>
      </c>
      <c r="U150" s="68"/>
      <c r="V150" s="68"/>
      <c r="W150" s="137"/>
      <c r="X150" s="565"/>
      <c r="Y150" s="562"/>
      <c r="Z150" s="562"/>
      <c r="AA150" s="562"/>
      <c r="AB150" s="562"/>
      <c r="AC150" s="562" t="b">
        <f>OR(AD150:AE150)</f>
        <v>0</v>
      </c>
      <c r="AD150" s="562" t="b">
        <f>T150</f>
        <v>0</v>
      </c>
      <c r="AE150" s="562"/>
      <c r="AF150" s="562"/>
      <c r="AG150" s="562"/>
      <c r="AH150" s="562"/>
      <c r="AI150" s="562"/>
      <c r="AJ150" s="562"/>
      <c r="AK150" s="562"/>
      <c r="AL150" s="562"/>
      <c r="AM150" s="562"/>
      <c r="AN150" s="562"/>
      <c r="AO150" s="562"/>
      <c r="AP150" s="190" t="str">
        <f t="shared" si="15"/>
        <v>dch1002,3_10</v>
      </c>
      <c r="AQ150" s="190">
        <f>W150</f>
        <v>0</v>
      </c>
      <c r="AR150" s="190" t="str">
        <f>SUBSTITUTE(SUBSTITUTE(SUBSTITUTE("dnt"&amp;$B150&amp;$C150&amp;$D150&amp;$E150&amp;$F150,".","_"),"(","_"),")","")</f>
        <v>dnt1002,3_10</v>
      </c>
      <c r="AS150" s="190">
        <f>X150</f>
        <v>0</v>
      </c>
    </row>
    <row r="151" spans="2:45" ht="16" thickTop="1" x14ac:dyDescent="0.2">
      <c r="B151" s="358">
        <v>1002.4</v>
      </c>
      <c r="C151" s="14"/>
      <c r="D151" s="14"/>
      <c r="E151" s="14"/>
      <c r="F151" s="14"/>
      <c r="G151" s="14"/>
      <c r="H151" s="441"/>
      <c r="I151" s="107" t="s">
        <v>3322</v>
      </c>
      <c r="J151" s="3"/>
      <c r="K151" s="3"/>
      <c r="L151" s="775" t="s">
        <v>3323</v>
      </c>
      <c r="M151" s="837" t="str">
        <f>IF(R151,"Mandatory","N/A")</f>
        <v>N/A</v>
      </c>
      <c r="N151" s="3"/>
      <c r="O151" s="609"/>
      <c r="P151" s="562" t="b">
        <v>0</v>
      </c>
      <c r="Q151" s="562" t="b">
        <v>1</v>
      </c>
      <c r="R151" s="562" t="b">
        <f>S151</f>
        <v>0</v>
      </c>
      <c r="S151" s="562" t="b">
        <f>IF(AY19=INDEX(ddSingleOrMulti,2),TRUE,FALSE)</f>
        <v>0</v>
      </c>
      <c r="T151" s="64" t="b">
        <f>AND(NOT(S151),W151=TRUE)</f>
        <v>0</v>
      </c>
      <c r="U151" s="562"/>
      <c r="V151" s="562"/>
      <c r="W151" s="221"/>
      <c r="X151" s="786"/>
      <c r="Y151" s="562"/>
      <c r="Z151" s="562"/>
      <c r="AA151" s="562"/>
      <c r="AB151" s="562"/>
      <c r="AC151" s="562" t="b">
        <f>OR(AD151:AE151)</f>
        <v>0</v>
      </c>
      <c r="AD151" s="562" t="b">
        <f>T151</f>
        <v>0</v>
      </c>
      <c r="AE151" s="562" t="b">
        <f>AND(R151,NOT(W151=TRUE))</f>
        <v>0</v>
      </c>
      <c r="AF151" s="562"/>
      <c r="AG151" s="562"/>
      <c r="AH151" s="562"/>
      <c r="AI151" s="562"/>
      <c r="AJ151" s="562"/>
      <c r="AK151" s="562"/>
      <c r="AL151" s="190" t="str">
        <f>SUBSTITUTE(SUBSTITUTE(SUBSTITUTE("dpa"&amp;$B151&amp;$C151&amp;$D151&amp;$E151&amp;$F151,".","_"),"(","_"),")","")</f>
        <v>dpa1002,4</v>
      </c>
      <c r="AM151" s="190" t="str">
        <f>M151</f>
        <v>N/A</v>
      </c>
      <c r="AN151" s="562"/>
      <c r="AO151" s="562"/>
      <c r="AP151" s="190" t="str">
        <f t="shared" si="15"/>
        <v>dch1002,4</v>
      </c>
      <c r="AQ151" s="190">
        <f>W151</f>
        <v>0</v>
      </c>
      <c r="AR151" s="190" t="str">
        <f>SUBSTITUTE(SUBSTITUTE(SUBSTITUTE("dnt"&amp;$B151&amp;$C151&amp;$D151&amp;$E151&amp;$F151,".","_"),"(","_"),")","")</f>
        <v>dnt1002,4</v>
      </c>
      <c r="AS151" s="190">
        <f>X151</f>
        <v>0</v>
      </c>
    </row>
    <row r="152" spans="2:45" x14ac:dyDescent="0.2">
      <c r="B152" s="358">
        <v>1002.4</v>
      </c>
      <c r="C152" s="14"/>
      <c r="D152" s="14"/>
      <c r="E152" s="14"/>
      <c r="F152" s="14"/>
      <c r="G152" s="14"/>
      <c r="H152" s="441"/>
      <c r="I152" s="3"/>
      <c r="J152" s="3"/>
      <c r="K152" s="3"/>
      <c r="L152" s="775"/>
      <c r="M152" s="837" t="str">
        <f>IF(R152,"Mandatory","N/A")</f>
        <v>N/A</v>
      </c>
      <c r="N152" s="3"/>
      <c r="O152" s="609"/>
      <c r="P152" s="562"/>
      <c r="Q152" s="562"/>
      <c r="R152" s="562"/>
      <c r="S152" s="562"/>
      <c r="T152" s="562"/>
      <c r="U152" s="562"/>
      <c r="V152" s="562"/>
      <c r="W152" s="562"/>
      <c r="X152" s="787"/>
      <c r="Y152" s="562"/>
      <c r="Z152" s="562"/>
      <c r="AA152" s="562"/>
      <c r="AB152" s="562"/>
      <c r="AC152" s="562"/>
      <c r="AD152" s="562"/>
      <c r="AE152" s="562"/>
      <c r="AF152" s="562"/>
      <c r="AG152" s="562"/>
      <c r="AH152" s="562"/>
      <c r="AI152" s="562"/>
      <c r="AJ152" s="562"/>
      <c r="AK152" s="562"/>
      <c r="AL152" s="562"/>
      <c r="AM152" s="562"/>
      <c r="AN152" s="562"/>
      <c r="AO152" s="562"/>
      <c r="AP152" s="562"/>
      <c r="AQ152" s="562"/>
      <c r="AR152" s="562"/>
      <c r="AS152" s="562"/>
    </row>
    <row r="153" spans="2:45" x14ac:dyDescent="0.2">
      <c r="B153" s="358">
        <v>1002.4</v>
      </c>
      <c r="C153" s="14"/>
      <c r="D153" s="14"/>
      <c r="E153" s="14"/>
      <c r="F153" s="14"/>
      <c r="G153" s="14"/>
      <c r="H153" s="441"/>
      <c r="I153" s="3"/>
      <c r="J153" s="3"/>
      <c r="K153" s="3"/>
      <c r="L153" s="775"/>
      <c r="M153" s="837" t="str">
        <f>IF(R153,"Mandatory","N/A")</f>
        <v>N/A</v>
      </c>
      <c r="N153" s="3"/>
      <c r="O153" s="609"/>
      <c r="P153" s="562"/>
      <c r="Q153" s="562"/>
      <c r="R153" s="562"/>
      <c r="S153" s="562"/>
      <c r="T153" s="562"/>
      <c r="U153" s="562"/>
      <c r="V153" s="562"/>
      <c r="W153" s="562"/>
      <c r="X153" s="787"/>
      <c r="Y153" s="562"/>
      <c r="Z153" s="562"/>
      <c r="AA153" s="562"/>
      <c r="AB153" s="562"/>
      <c r="AC153" s="562"/>
      <c r="AD153" s="562"/>
      <c r="AE153" s="562"/>
      <c r="AF153" s="562"/>
      <c r="AG153" s="562"/>
      <c r="AH153" s="562"/>
      <c r="AI153" s="562"/>
      <c r="AJ153" s="562"/>
      <c r="AK153" s="562"/>
      <c r="AL153" s="562"/>
      <c r="AM153" s="562"/>
      <c r="AN153" s="562"/>
      <c r="AO153" s="562"/>
      <c r="AP153" s="562"/>
      <c r="AQ153" s="562"/>
      <c r="AR153" s="562"/>
      <c r="AS153" s="562"/>
    </row>
    <row r="154" spans="2:45" x14ac:dyDescent="0.2">
      <c r="B154" s="358">
        <v>1002.4</v>
      </c>
      <c r="C154" s="14"/>
      <c r="D154" s="14"/>
      <c r="E154" s="14"/>
      <c r="F154" s="14"/>
      <c r="G154" s="14"/>
      <c r="H154" s="441"/>
      <c r="I154" s="3"/>
      <c r="J154" s="3"/>
      <c r="K154" s="3"/>
      <c r="L154" s="775"/>
      <c r="M154" s="837" t="str">
        <f>IF(R154,"Mandatory","N/A")</f>
        <v>N/A</v>
      </c>
      <c r="N154" s="3"/>
      <c r="O154" s="609"/>
      <c r="P154" s="562"/>
      <c r="Q154" s="562"/>
      <c r="R154" s="562"/>
      <c r="S154" s="562"/>
      <c r="T154" s="562"/>
      <c r="U154" s="562"/>
      <c r="V154" s="562"/>
      <c r="W154" s="562"/>
      <c r="X154" s="787"/>
      <c r="Y154" s="562"/>
      <c r="Z154" s="562"/>
      <c r="AA154" s="562"/>
      <c r="AB154" s="562"/>
      <c r="AC154" s="562"/>
      <c r="AD154" s="562"/>
      <c r="AE154" s="562"/>
      <c r="AF154" s="562"/>
      <c r="AG154" s="562"/>
      <c r="AH154" s="562"/>
      <c r="AI154" s="562"/>
      <c r="AJ154" s="562"/>
      <c r="AK154" s="562"/>
      <c r="AL154" s="562"/>
      <c r="AM154" s="562"/>
      <c r="AN154" s="562"/>
      <c r="AO154" s="562"/>
      <c r="AP154" s="562"/>
      <c r="AQ154" s="562"/>
      <c r="AR154" s="562"/>
      <c r="AS154" s="562"/>
    </row>
    <row r="155" spans="2:45" x14ac:dyDescent="0.2">
      <c r="B155" s="358">
        <v>1002.4</v>
      </c>
      <c r="C155" s="14"/>
      <c r="D155" s="14"/>
      <c r="E155" s="14"/>
      <c r="F155" s="14"/>
      <c r="G155" s="14"/>
      <c r="H155" s="441"/>
      <c r="I155" s="3"/>
      <c r="J155" s="3"/>
      <c r="K155" s="3"/>
      <c r="L155" s="775"/>
      <c r="M155" s="837" t="str">
        <f>IF(R155,"Mandatory","N/A")</f>
        <v>N/A</v>
      </c>
      <c r="N155" s="3"/>
      <c r="O155" s="609"/>
      <c r="P155" s="562"/>
      <c r="Q155" s="562"/>
      <c r="R155" s="562"/>
      <c r="S155" s="562"/>
      <c r="T155" s="562"/>
      <c r="U155" s="562"/>
      <c r="V155" s="562"/>
      <c r="W155" s="562"/>
      <c r="X155" s="787"/>
      <c r="Y155" s="562"/>
      <c r="Z155" s="562"/>
      <c r="AA155" s="562"/>
      <c r="AB155" s="562"/>
      <c r="AC155" s="562"/>
      <c r="AD155" s="562"/>
      <c r="AE155" s="562"/>
      <c r="AF155" s="562"/>
      <c r="AG155" s="562"/>
      <c r="AH155" s="562"/>
      <c r="AI155" s="562"/>
      <c r="AJ155" s="562"/>
      <c r="AK155" s="562"/>
      <c r="AL155" s="562"/>
      <c r="AM155" s="562"/>
      <c r="AN155" s="562"/>
      <c r="AO155" s="562"/>
      <c r="AP155" s="562"/>
      <c r="AQ155" s="562"/>
      <c r="AR155" s="562"/>
      <c r="AS155" s="562"/>
    </row>
    <row r="156" spans="2:45" x14ac:dyDescent="0.2">
      <c r="B156" s="358">
        <v>1002.4</v>
      </c>
      <c r="C156" s="14"/>
      <c r="D156" s="14"/>
      <c r="E156" s="14" t="s">
        <v>2181</v>
      </c>
      <c r="F156" s="14"/>
      <c r="G156" s="14"/>
      <c r="H156" s="441"/>
      <c r="I156" s="3"/>
      <c r="J156" s="20" t="s">
        <v>2181</v>
      </c>
      <c r="K156" s="3"/>
      <c r="L156" s="661" t="s">
        <v>3312</v>
      </c>
      <c r="M156" s="609"/>
      <c r="N156" s="3"/>
      <c r="O156" s="609"/>
      <c r="P156" s="562"/>
      <c r="Q156" s="562"/>
      <c r="R156" s="562"/>
      <c r="S156" s="562"/>
      <c r="T156" s="562"/>
      <c r="U156" s="562"/>
      <c r="V156" s="562"/>
      <c r="W156" s="562"/>
      <c r="X156" s="787"/>
      <c r="Y156" s="562"/>
      <c r="Z156" s="562"/>
      <c r="AA156" s="562"/>
      <c r="AB156" s="562"/>
      <c r="AC156" s="562"/>
      <c r="AD156" s="562"/>
      <c r="AE156" s="562"/>
      <c r="AF156" s="562"/>
      <c r="AG156" s="562"/>
      <c r="AH156" s="562"/>
      <c r="AI156" s="562"/>
      <c r="AJ156" s="562"/>
      <c r="AK156" s="562"/>
      <c r="AL156" s="562"/>
      <c r="AM156" s="562"/>
      <c r="AN156" s="562"/>
      <c r="AO156" s="562"/>
      <c r="AP156" s="562"/>
      <c r="AQ156" s="562"/>
      <c r="AR156" s="562"/>
      <c r="AS156" s="562"/>
    </row>
    <row r="157" spans="2:45" x14ac:dyDescent="0.2">
      <c r="B157" s="358">
        <v>1002.4</v>
      </c>
      <c r="C157" s="14"/>
      <c r="D157" s="14"/>
      <c r="E157" s="14" t="s">
        <v>2183</v>
      </c>
      <c r="F157" s="14"/>
      <c r="G157" s="14"/>
      <c r="H157" s="441"/>
      <c r="I157" s="3"/>
      <c r="J157" s="20" t="s">
        <v>2183</v>
      </c>
      <c r="K157" s="3"/>
      <c r="L157" s="661" t="s">
        <v>3313</v>
      </c>
      <c r="M157" s="609"/>
      <c r="N157" s="3"/>
      <c r="O157" s="609"/>
      <c r="P157" s="562"/>
      <c r="Q157" s="562"/>
      <c r="R157" s="562"/>
      <c r="S157" s="562"/>
      <c r="T157" s="562"/>
      <c r="U157" s="562"/>
      <c r="V157" s="562"/>
      <c r="W157" s="562"/>
      <c r="X157" s="787"/>
      <c r="Y157" s="562"/>
      <c r="Z157" s="562"/>
      <c r="AA157" s="562"/>
      <c r="AB157" s="562"/>
      <c r="AC157" s="562"/>
      <c r="AD157" s="562"/>
      <c r="AE157" s="562"/>
      <c r="AF157" s="562"/>
      <c r="AG157" s="562"/>
      <c r="AH157" s="562"/>
      <c r="AI157" s="562"/>
      <c r="AJ157" s="562"/>
      <c r="AK157" s="562"/>
      <c r="AL157" s="562"/>
      <c r="AM157" s="562"/>
      <c r="AN157" s="562"/>
      <c r="AO157" s="562"/>
      <c r="AP157" s="562"/>
      <c r="AQ157" s="562"/>
      <c r="AR157" s="562"/>
      <c r="AS157" s="562"/>
    </row>
    <row r="158" spans="2:45" x14ac:dyDescent="0.2">
      <c r="B158" s="358">
        <v>1002.4</v>
      </c>
      <c r="C158" s="14"/>
      <c r="D158" s="14"/>
      <c r="E158" s="14" t="s">
        <v>2185</v>
      </c>
      <c r="F158" s="14"/>
      <c r="G158" s="14"/>
      <c r="H158" s="441"/>
      <c r="I158" s="3"/>
      <c r="J158" s="20" t="s">
        <v>2185</v>
      </c>
      <c r="K158" s="3"/>
      <c r="L158" s="661" t="s">
        <v>3314</v>
      </c>
      <c r="M158" s="609"/>
      <c r="N158" s="3"/>
      <c r="O158" s="609"/>
      <c r="P158" s="562"/>
      <c r="Q158" s="562"/>
      <c r="R158" s="562"/>
      <c r="S158" s="562"/>
      <c r="T158" s="562"/>
      <c r="U158" s="562"/>
      <c r="V158" s="562"/>
      <c r="W158" s="562"/>
      <c r="X158" s="787"/>
      <c r="Y158" s="562"/>
      <c r="Z158" s="562"/>
      <c r="AA158" s="562"/>
      <c r="AB158" s="562"/>
      <c r="AC158" s="562"/>
      <c r="AD158" s="562"/>
      <c r="AE158" s="562"/>
      <c r="AF158" s="562"/>
      <c r="AG158" s="562"/>
      <c r="AH158" s="562"/>
      <c r="AI158" s="562"/>
      <c r="AJ158" s="562"/>
      <c r="AK158" s="562"/>
      <c r="AL158" s="562"/>
      <c r="AM158" s="562"/>
      <c r="AN158" s="562"/>
      <c r="AO158" s="562"/>
      <c r="AP158" s="562"/>
      <c r="AQ158" s="562"/>
      <c r="AR158" s="562"/>
      <c r="AS158" s="562"/>
    </row>
    <row r="159" spans="2:45" x14ac:dyDescent="0.2">
      <c r="B159" s="358">
        <v>1002.4</v>
      </c>
      <c r="C159" s="14"/>
      <c r="D159" s="14"/>
      <c r="E159" s="14" t="s">
        <v>2192</v>
      </c>
      <c r="F159" s="14"/>
      <c r="G159" s="14"/>
      <c r="H159" s="441"/>
      <c r="I159" s="3"/>
      <c r="J159" s="20" t="s">
        <v>2192</v>
      </c>
      <c r="K159" s="3"/>
      <c r="L159" s="661" t="s">
        <v>3324</v>
      </c>
      <c r="M159" s="609"/>
      <c r="N159" s="3"/>
      <c r="O159" s="609"/>
      <c r="P159" s="562"/>
      <c r="Q159" s="562"/>
      <c r="R159" s="562"/>
      <c r="S159" s="562"/>
      <c r="T159" s="562"/>
      <c r="U159" s="562"/>
      <c r="V159" s="562"/>
      <c r="W159" s="562"/>
      <c r="X159" s="787"/>
      <c r="Y159" s="562"/>
      <c r="Z159" s="562"/>
      <c r="AA159" s="562"/>
      <c r="AB159" s="562"/>
      <c r="AC159" s="562"/>
      <c r="AD159" s="562"/>
      <c r="AE159" s="562"/>
      <c r="AF159" s="562"/>
      <c r="AG159" s="562"/>
      <c r="AH159" s="562"/>
      <c r="AI159" s="562"/>
      <c r="AJ159" s="562"/>
      <c r="AK159" s="562"/>
      <c r="AL159" s="562"/>
      <c r="AM159" s="562"/>
      <c r="AN159" s="562"/>
      <c r="AO159" s="562"/>
      <c r="AP159" s="562"/>
      <c r="AQ159" s="562"/>
      <c r="AR159" s="562"/>
      <c r="AS159" s="562"/>
    </row>
    <row r="160" spans="2:45" x14ac:dyDescent="0.2">
      <c r="B160" s="358">
        <v>1002.4</v>
      </c>
      <c r="C160" s="14"/>
      <c r="D160" s="14"/>
      <c r="E160" s="14" t="s">
        <v>2194</v>
      </c>
      <c r="F160" s="14"/>
      <c r="G160" s="14"/>
      <c r="H160" s="441"/>
      <c r="I160" s="3"/>
      <c r="J160" s="20" t="s">
        <v>2194</v>
      </c>
      <c r="K160" s="3"/>
      <c r="L160" s="661" t="s">
        <v>3325</v>
      </c>
      <c r="M160" s="609"/>
      <c r="N160" s="3"/>
      <c r="O160" s="609"/>
      <c r="P160" s="562"/>
      <c r="Q160" s="562"/>
      <c r="R160" s="562"/>
      <c r="S160" s="562"/>
      <c r="T160" s="562"/>
      <c r="U160" s="562"/>
      <c r="V160" s="562"/>
      <c r="W160" s="562"/>
      <c r="X160" s="787"/>
      <c r="Y160" s="562"/>
      <c r="Z160" s="562"/>
      <c r="AA160" s="562"/>
      <c r="AB160" s="562"/>
      <c r="AC160" s="562"/>
      <c r="AD160" s="562"/>
      <c r="AE160" s="562"/>
      <c r="AF160" s="562"/>
      <c r="AG160" s="562"/>
      <c r="AH160" s="562"/>
      <c r="AI160" s="562"/>
      <c r="AJ160" s="562"/>
      <c r="AK160" s="562"/>
      <c r="AL160" s="562"/>
      <c r="AM160" s="562"/>
      <c r="AN160" s="562"/>
      <c r="AO160" s="562"/>
      <c r="AP160" s="562"/>
      <c r="AQ160" s="562"/>
      <c r="AR160" s="562"/>
      <c r="AS160" s="562"/>
    </row>
    <row r="161" spans="2:45" x14ac:dyDescent="0.2">
      <c r="B161" s="358">
        <v>1002.4</v>
      </c>
      <c r="C161" s="14"/>
      <c r="D161" s="14"/>
      <c r="E161" s="14" t="s">
        <v>2221</v>
      </c>
      <c r="F161" s="14"/>
      <c r="G161" s="14"/>
      <c r="H161" s="441"/>
      <c r="I161" s="3"/>
      <c r="J161" s="20" t="s">
        <v>2221</v>
      </c>
      <c r="K161" s="3"/>
      <c r="L161" s="661" t="s">
        <v>3317</v>
      </c>
      <c r="M161" s="609"/>
      <c r="N161" s="3"/>
      <c r="O161" s="609"/>
      <c r="P161" s="562"/>
      <c r="Q161" s="562"/>
      <c r="R161" s="562"/>
      <c r="S161" s="562"/>
      <c r="T161" s="562"/>
      <c r="U161" s="562"/>
      <c r="V161" s="562"/>
      <c r="W161" s="562"/>
      <c r="X161" s="787"/>
      <c r="Y161" s="562"/>
      <c r="Z161" s="562"/>
      <c r="AA161" s="562"/>
      <c r="AB161" s="562"/>
      <c r="AC161" s="562"/>
      <c r="AD161" s="562"/>
      <c r="AE161" s="562"/>
      <c r="AF161" s="562"/>
      <c r="AG161" s="562"/>
      <c r="AH161" s="562"/>
      <c r="AI161" s="562"/>
      <c r="AJ161" s="562"/>
      <c r="AK161" s="562"/>
      <c r="AL161" s="562"/>
      <c r="AM161" s="562"/>
      <c r="AN161" s="562"/>
      <c r="AO161" s="562"/>
      <c r="AP161" s="562"/>
      <c r="AQ161" s="562"/>
      <c r="AR161" s="562"/>
      <c r="AS161" s="562"/>
    </row>
    <row r="162" spans="2:45" x14ac:dyDescent="0.2">
      <c r="B162" s="358">
        <v>1002.4</v>
      </c>
      <c r="C162" s="14"/>
      <c r="D162" s="14"/>
      <c r="E162" s="14" t="s">
        <v>2223</v>
      </c>
      <c r="F162" s="14"/>
      <c r="G162" s="14"/>
      <c r="H162" s="441"/>
      <c r="I162" s="3"/>
      <c r="J162" s="20" t="s">
        <v>2223</v>
      </c>
      <c r="K162" s="3"/>
      <c r="L162" s="661" t="s">
        <v>3326</v>
      </c>
      <c r="M162" s="609"/>
      <c r="N162" s="3"/>
      <c r="O162" s="609"/>
      <c r="P162" s="562"/>
      <c r="Q162" s="562"/>
      <c r="R162" s="562"/>
      <c r="S162" s="562"/>
      <c r="T162" s="562"/>
      <c r="U162" s="562"/>
      <c r="V162" s="562"/>
      <c r="W162" s="562"/>
      <c r="X162" s="787"/>
      <c r="Y162" s="562"/>
      <c r="Z162" s="562"/>
      <c r="AA162" s="562"/>
      <c r="AB162" s="562"/>
      <c r="AC162" s="562"/>
      <c r="AD162" s="562"/>
      <c r="AE162" s="562"/>
      <c r="AF162" s="562"/>
      <c r="AG162" s="562"/>
      <c r="AH162" s="562"/>
      <c r="AI162" s="562"/>
      <c r="AJ162" s="562"/>
      <c r="AK162" s="562"/>
      <c r="AL162" s="562"/>
      <c r="AM162" s="562"/>
      <c r="AN162" s="562"/>
      <c r="AO162" s="562"/>
      <c r="AP162" s="562"/>
      <c r="AQ162" s="562"/>
      <c r="AR162" s="562"/>
      <c r="AS162" s="562"/>
    </row>
    <row r="163" spans="2:45" ht="19" x14ac:dyDescent="0.25">
      <c r="B163" s="358">
        <v>1003</v>
      </c>
      <c r="C163" s="14"/>
      <c r="D163" s="14"/>
      <c r="E163" s="14"/>
      <c r="F163" s="14"/>
      <c r="G163" s="14"/>
      <c r="H163" s="441"/>
      <c r="I163" s="45" t="s">
        <v>3327</v>
      </c>
      <c r="J163" s="16"/>
      <c r="K163" s="16"/>
      <c r="L163" s="179"/>
      <c r="M163" s="264"/>
      <c r="N163" s="266"/>
      <c r="O163" s="264"/>
      <c r="P163" s="16"/>
      <c r="Q163" s="16"/>
      <c r="R163" s="16"/>
      <c r="S163" s="16"/>
      <c r="T163" s="16"/>
      <c r="U163" s="16"/>
      <c r="V163" s="16"/>
      <c r="W163" s="16"/>
      <c r="X163" s="16"/>
      <c r="Y163" s="562"/>
      <c r="Z163" s="562"/>
      <c r="AA163" s="562"/>
      <c r="AB163" s="562"/>
      <c r="AC163" s="562"/>
      <c r="AD163" s="562"/>
      <c r="AE163" s="562"/>
      <c r="AF163" s="562"/>
      <c r="AG163" s="562"/>
      <c r="AH163" s="562"/>
      <c r="AI163" s="562"/>
      <c r="AJ163" s="562"/>
      <c r="AK163" s="562"/>
      <c r="AL163" s="562"/>
      <c r="AM163" s="562"/>
      <c r="AN163" s="562"/>
      <c r="AO163" s="562"/>
      <c r="AP163" s="562"/>
      <c r="AQ163" s="562"/>
      <c r="AR163" s="562"/>
      <c r="AS163" s="562"/>
    </row>
    <row r="164" spans="2:45" x14ac:dyDescent="0.2">
      <c r="B164" s="358" t="s">
        <v>3328</v>
      </c>
      <c r="C164" s="14"/>
      <c r="D164" s="14"/>
      <c r="E164" s="14"/>
      <c r="F164" s="14"/>
      <c r="G164" s="14"/>
      <c r="H164" s="441"/>
      <c r="I164" s="347" t="s">
        <v>3329</v>
      </c>
      <c r="J164" s="98"/>
      <c r="K164" s="98"/>
      <c r="L164" s="820" t="s">
        <v>3330</v>
      </c>
      <c r="M164" s="607"/>
      <c r="N164" s="98"/>
      <c r="O164" s="607"/>
      <c r="P164" s="64"/>
      <c r="Q164" s="64"/>
      <c r="R164" s="64"/>
      <c r="S164" s="64"/>
      <c r="T164" s="64"/>
      <c r="U164" s="64"/>
      <c r="V164" s="64"/>
      <c r="W164" s="64"/>
      <c r="X164" s="64"/>
      <c r="Y164" s="562"/>
      <c r="Z164" s="562"/>
      <c r="AA164" s="562"/>
      <c r="AB164" s="562"/>
      <c r="AC164" s="562"/>
      <c r="AD164" s="562"/>
      <c r="AE164" s="562"/>
      <c r="AF164" s="562"/>
      <c r="AG164" s="562"/>
      <c r="AH164" s="562"/>
      <c r="AI164" s="562"/>
      <c r="AJ164" s="562"/>
      <c r="AK164" s="562"/>
      <c r="AL164" s="562"/>
      <c r="AM164" s="562"/>
      <c r="AN164" s="562"/>
      <c r="AO164" s="562"/>
      <c r="AP164" s="562"/>
      <c r="AQ164" s="562"/>
      <c r="AR164" s="562"/>
      <c r="AS164" s="562"/>
    </row>
    <row r="165" spans="2:45" x14ac:dyDescent="0.2">
      <c r="B165" s="358" t="s">
        <v>3328</v>
      </c>
      <c r="C165" s="14"/>
      <c r="D165" s="14"/>
      <c r="E165" s="14"/>
      <c r="F165" s="14"/>
      <c r="G165" s="14"/>
      <c r="H165" s="441"/>
      <c r="I165" s="341"/>
      <c r="J165" s="98"/>
      <c r="K165" s="98"/>
      <c r="L165" s="820"/>
      <c r="M165" s="607"/>
      <c r="N165" s="98"/>
      <c r="O165" s="607"/>
      <c r="P165" s="64"/>
      <c r="Q165" s="64"/>
      <c r="R165" s="64"/>
      <c r="S165" s="64"/>
      <c r="T165" s="64"/>
      <c r="U165" s="64"/>
      <c r="V165" s="64"/>
      <c r="W165" s="64"/>
      <c r="X165" s="64"/>
      <c r="Y165" s="562"/>
      <c r="Z165" s="562"/>
      <c r="AA165" s="562"/>
      <c r="AB165" s="562"/>
      <c r="AC165" s="562"/>
      <c r="AD165" s="562"/>
      <c r="AE165" s="562"/>
      <c r="AF165" s="562"/>
      <c r="AG165" s="562"/>
      <c r="AH165" s="562"/>
      <c r="AI165" s="562"/>
      <c r="AJ165" s="562"/>
      <c r="AK165" s="562"/>
      <c r="AL165" s="562"/>
      <c r="AM165" s="562"/>
      <c r="AN165" s="562"/>
      <c r="AO165" s="562"/>
      <c r="AP165" s="562"/>
      <c r="AQ165" s="562"/>
      <c r="AR165" s="562"/>
      <c r="AS165" s="562"/>
    </row>
    <row r="166" spans="2:45" x14ac:dyDescent="0.2">
      <c r="B166" s="358" t="s">
        <v>3328</v>
      </c>
      <c r="C166" s="14"/>
      <c r="D166" s="14"/>
      <c r="E166" s="14"/>
      <c r="F166" s="14"/>
      <c r="G166" s="14"/>
      <c r="H166" s="441"/>
      <c r="I166" s="341"/>
      <c r="J166" s="98"/>
      <c r="K166" s="98"/>
      <c r="L166" s="820"/>
      <c r="M166" s="607"/>
      <c r="N166" s="98"/>
      <c r="O166" s="607"/>
      <c r="P166" s="64"/>
      <c r="Q166" s="64"/>
      <c r="R166" s="64"/>
      <c r="S166" s="64"/>
      <c r="T166" s="64"/>
      <c r="U166" s="64"/>
      <c r="V166" s="64"/>
      <c r="W166" s="64"/>
      <c r="X166" s="64"/>
      <c r="Y166" s="562"/>
      <c r="Z166" s="562"/>
      <c r="AA166" s="562"/>
      <c r="AB166" s="562"/>
      <c r="AC166" s="562"/>
      <c r="AD166" s="562"/>
      <c r="AE166" s="562"/>
      <c r="AF166" s="562"/>
      <c r="AG166" s="562"/>
      <c r="AH166" s="562"/>
      <c r="AI166" s="562"/>
      <c r="AJ166" s="562"/>
      <c r="AK166" s="562"/>
      <c r="AL166" s="562"/>
      <c r="AM166" s="562"/>
      <c r="AN166" s="562"/>
      <c r="AO166" s="562"/>
      <c r="AP166" s="562"/>
      <c r="AQ166" s="562"/>
      <c r="AR166" s="562"/>
      <c r="AS166" s="562"/>
    </row>
    <row r="167" spans="2:45" x14ac:dyDescent="0.2">
      <c r="B167" s="358">
        <v>1003.1</v>
      </c>
      <c r="C167" s="14"/>
      <c r="D167" s="14"/>
      <c r="E167" s="14"/>
      <c r="F167" s="14"/>
      <c r="G167" s="14"/>
      <c r="H167" s="441"/>
      <c r="I167" s="107" t="s">
        <v>3331</v>
      </c>
      <c r="J167" s="3"/>
      <c r="K167" s="3"/>
      <c r="L167" s="178" t="s">
        <v>3332</v>
      </c>
      <c r="M167" s="616" t="s">
        <v>3333</v>
      </c>
      <c r="N167" s="3"/>
      <c r="O167" s="609">
        <f>MIN(2,COUNTIF(W168:W173,TRUE))</f>
        <v>0</v>
      </c>
      <c r="P167" s="562"/>
      <c r="Q167" s="562"/>
      <c r="R167" s="562"/>
      <c r="S167" s="562"/>
      <c r="T167" s="562"/>
      <c r="U167" s="562"/>
      <c r="V167" s="562"/>
      <c r="W167" s="562"/>
      <c r="X167" s="562"/>
      <c r="Y167" s="562"/>
      <c r="Z167" s="562"/>
      <c r="AA167" s="562"/>
      <c r="AB167" s="562"/>
      <c r="AC167" s="562"/>
      <c r="AD167" s="562"/>
      <c r="AE167" s="562"/>
      <c r="AF167" s="562"/>
      <c r="AG167" s="562"/>
      <c r="AH167" s="562"/>
      <c r="AI167" s="562"/>
      <c r="AJ167" s="562"/>
      <c r="AK167" s="562"/>
      <c r="AL167" s="190" t="str">
        <f>SUBSTITUTE(SUBSTITUTE(SUBSTITUTE("dpa"&amp;$B167&amp;$C167&amp;$D167&amp;$E167&amp;$F167,".","_"),"(","_"),")","")</f>
        <v>dpa1003,1</v>
      </c>
      <c r="AM167" s="190" t="str">
        <f>M167</f>
        <v>2 Max</v>
      </c>
      <c r="AN167" s="190" t="str">
        <f>SUBSTITUTE(SUBSTITUTE(SUBSTITUTE("dpc"&amp;$B167&amp;$C167&amp;$D167&amp;$E167&amp;$F167,".","_"),"(","_"),")","")</f>
        <v>dpc1003,1</v>
      </c>
      <c r="AO167" s="190">
        <f>O167</f>
        <v>0</v>
      </c>
      <c r="AP167" s="562"/>
      <c r="AQ167" s="562"/>
      <c r="AR167" s="562"/>
      <c r="AS167" s="562"/>
    </row>
    <row r="168" spans="2:45" x14ac:dyDescent="0.2">
      <c r="B168" s="358">
        <v>1003.1</v>
      </c>
      <c r="C168" s="14"/>
      <c r="D168" s="14"/>
      <c r="E168" s="14" t="s">
        <v>2181</v>
      </c>
      <c r="F168" s="14"/>
      <c r="G168" s="14"/>
      <c r="H168" s="441"/>
      <c r="I168" s="450"/>
      <c r="J168" s="134" t="s">
        <v>2181</v>
      </c>
      <c r="K168" s="98"/>
      <c r="L168" s="820" t="s">
        <v>3334</v>
      </c>
      <c r="M168" s="800">
        <v>1</v>
      </c>
      <c r="N168" s="3"/>
      <c r="O168" s="609"/>
      <c r="P168" s="562" t="b">
        <v>1</v>
      </c>
      <c r="Q168" s="562" t="b">
        <v>0</v>
      </c>
      <c r="R168" s="562" t="b">
        <v>0</v>
      </c>
      <c r="S168" s="562" t="b">
        <v>1</v>
      </c>
      <c r="T168" s="562" t="b">
        <v>0</v>
      </c>
      <c r="U168" s="562"/>
      <c r="V168" s="562"/>
      <c r="W168" s="18"/>
      <c r="X168" s="787"/>
      <c r="Y168" s="562"/>
      <c r="Z168" s="562"/>
      <c r="AA168" s="562"/>
      <c r="AB168" s="562"/>
      <c r="AC168" s="562"/>
      <c r="AD168" s="562"/>
      <c r="AE168" s="562"/>
      <c r="AF168" s="562"/>
      <c r="AG168" s="562"/>
      <c r="AH168" s="562"/>
      <c r="AI168" s="562"/>
      <c r="AJ168" s="562"/>
      <c r="AK168" s="562"/>
      <c r="AL168" s="190" t="str">
        <f>SUBSTITUTE(SUBSTITUTE(SUBSTITUTE("dpa"&amp;$B168&amp;$C168&amp;$D168&amp;$E168&amp;$F168,".","_"),"(","_"),")","")</f>
        <v>dpa1003,1_1</v>
      </c>
      <c r="AM168" s="190">
        <f>M168</f>
        <v>1</v>
      </c>
      <c r="AN168" s="562"/>
      <c r="AO168" s="562"/>
      <c r="AP168" s="190" t="str">
        <f>SUBSTITUTE(SUBSTITUTE(SUBSTITUTE("dch"&amp;$B168&amp;$C168&amp;$D168&amp;$E168&amp;$F168,".","_"),"(","_"),")","")</f>
        <v>dch1003,1_1</v>
      </c>
      <c r="AQ168" s="190">
        <f>W168</f>
        <v>0</v>
      </c>
      <c r="AR168" s="190" t="str">
        <f>SUBSTITUTE(SUBSTITUTE(SUBSTITUTE("dnt"&amp;$B168&amp;$C168&amp;$D168&amp;$E168&amp;$F168,".","_"),"(","_"),")","")</f>
        <v>dnt1003,1_1</v>
      </c>
      <c r="AS168" s="190">
        <f>X168</f>
        <v>0</v>
      </c>
    </row>
    <row r="169" spans="2:45" x14ac:dyDescent="0.2">
      <c r="B169" s="358">
        <v>1003.1</v>
      </c>
      <c r="C169" s="14"/>
      <c r="D169" s="14"/>
      <c r="E169" s="14" t="s">
        <v>2181</v>
      </c>
      <c r="F169" s="14"/>
      <c r="G169" s="14"/>
      <c r="H169" s="441"/>
      <c r="I169" s="450"/>
      <c r="J169" s="159"/>
      <c r="K169" s="165"/>
      <c r="L169" s="832"/>
      <c r="M169" s="801"/>
      <c r="N169" s="3"/>
      <c r="O169" s="609"/>
      <c r="P169" s="562"/>
      <c r="Q169" s="562"/>
      <c r="R169" s="562"/>
      <c r="S169" s="562"/>
      <c r="T169" s="562"/>
      <c r="U169" s="562"/>
      <c r="V169" s="562"/>
      <c r="W169" s="562"/>
      <c r="X169" s="787"/>
      <c r="Y169" s="562"/>
      <c r="Z169" s="562"/>
      <c r="AA169" s="562"/>
      <c r="AB169" s="562"/>
      <c r="AC169" s="562"/>
      <c r="AD169" s="562"/>
      <c r="AE169" s="562"/>
      <c r="AF169" s="562"/>
      <c r="AG169" s="562"/>
      <c r="AH169" s="562"/>
      <c r="AI169" s="562"/>
      <c r="AJ169" s="562"/>
      <c r="AK169" s="562"/>
      <c r="AL169" s="562"/>
      <c r="AM169" s="562"/>
      <c r="AN169" s="562"/>
      <c r="AO169" s="562"/>
      <c r="AP169" s="562"/>
      <c r="AQ169" s="562"/>
      <c r="AR169" s="562"/>
      <c r="AS169" s="562"/>
    </row>
    <row r="170" spans="2:45" x14ac:dyDescent="0.2">
      <c r="B170" s="358">
        <v>1003.1</v>
      </c>
      <c r="C170" s="14"/>
      <c r="D170" s="14"/>
      <c r="E170" s="14" t="s">
        <v>2183</v>
      </c>
      <c r="F170" s="14"/>
      <c r="G170" s="14"/>
      <c r="H170" s="441"/>
      <c r="I170" s="450"/>
      <c r="J170" s="164" t="s">
        <v>2183</v>
      </c>
      <c r="K170" s="146"/>
      <c r="L170" s="847" t="s">
        <v>3335</v>
      </c>
      <c r="M170" s="824">
        <v>1</v>
      </c>
      <c r="N170" s="3"/>
      <c r="O170" s="609"/>
      <c r="P170" s="562" t="b">
        <v>0</v>
      </c>
      <c r="Q170" s="562" t="b">
        <v>1</v>
      </c>
      <c r="R170" s="562" t="b">
        <v>0</v>
      </c>
      <c r="S170" s="562" t="b">
        <v>1</v>
      </c>
      <c r="T170" s="562" t="b">
        <v>0</v>
      </c>
      <c r="U170" s="562"/>
      <c r="V170" s="562"/>
      <c r="W170" s="18"/>
      <c r="X170" s="787"/>
      <c r="Y170" s="562"/>
      <c r="Z170" s="562"/>
      <c r="AA170" s="562"/>
      <c r="AB170" s="562"/>
      <c r="AC170" s="562"/>
      <c r="AD170" s="562"/>
      <c r="AE170" s="562"/>
      <c r="AF170" s="562"/>
      <c r="AG170" s="562"/>
      <c r="AH170" s="562"/>
      <c r="AI170" s="562"/>
      <c r="AJ170" s="562"/>
      <c r="AK170" s="562"/>
      <c r="AL170" s="190" t="str">
        <f>SUBSTITUTE(SUBSTITUTE(SUBSTITUTE("dpa"&amp;$B170&amp;$C170&amp;$D170&amp;$E170&amp;$F170,".","_"),"(","_"),")","")</f>
        <v>dpa1003,1_2</v>
      </c>
      <c r="AM170" s="190">
        <f>M170</f>
        <v>1</v>
      </c>
      <c r="AN170" s="562"/>
      <c r="AO170" s="562"/>
      <c r="AP170" s="190" t="str">
        <f>SUBSTITUTE(SUBSTITUTE(SUBSTITUTE("dch"&amp;$B170&amp;$C170&amp;$D170&amp;$E170&amp;$F170,".","_"),"(","_"),")","")</f>
        <v>dch1003,1_2</v>
      </c>
      <c r="AQ170" s="190">
        <f>W170</f>
        <v>0</v>
      </c>
      <c r="AR170" s="190" t="str">
        <f>SUBSTITUTE(SUBSTITUTE(SUBSTITUTE("dnt"&amp;$B170&amp;$C170&amp;$D170&amp;$E170&amp;$F170,".","_"),"(","_"),")","")</f>
        <v>dnt1003,1_2</v>
      </c>
      <c r="AS170" s="190">
        <f>X170</f>
        <v>0</v>
      </c>
    </row>
    <row r="171" spans="2:45" x14ac:dyDescent="0.2">
      <c r="B171" s="358">
        <v>1003.1</v>
      </c>
      <c r="C171" s="14"/>
      <c r="D171" s="14"/>
      <c r="E171" s="14" t="s">
        <v>2183</v>
      </c>
      <c r="F171" s="14"/>
      <c r="G171" s="14"/>
      <c r="H171" s="441"/>
      <c r="I171" s="450"/>
      <c r="J171" s="134"/>
      <c r="K171" s="98"/>
      <c r="L171" s="820"/>
      <c r="M171" s="800"/>
      <c r="N171" s="3"/>
      <c r="O171" s="609"/>
      <c r="P171" s="562"/>
      <c r="Q171" s="562"/>
      <c r="R171" s="562"/>
      <c r="S171" s="562"/>
      <c r="T171" s="562"/>
      <c r="U171" s="562"/>
      <c r="V171" s="562"/>
      <c r="W171" s="562"/>
      <c r="X171" s="787"/>
      <c r="Y171" s="562"/>
      <c r="Z171" s="562"/>
      <c r="AA171" s="562"/>
      <c r="AB171" s="562"/>
      <c r="AC171" s="562"/>
      <c r="AD171" s="562"/>
      <c r="AE171" s="562"/>
      <c r="AF171" s="562"/>
      <c r="AG171" s="562"/>
      <c r="AH171" s="562"/>
      <c r="AI171" s="562"/>
      <c r="AJ171" s="562"/>
      <c r="AK171" s="562"/>
      <c r="AL171" s="562"/>
      <c r="AM171" s="562"/>
      <c r="AN171" s="562"/>
      <c r="AO171" s="562"/>
      <c r="AP171" s="562"/>
      <c r="AQ171" s="562"/>
      <c r="AR171" s="562"/>
      <c r="AS171" s="562"/>
    </row>
    <row r="172" spans="2:45" x14ac:dyDescent="0.2">
      <c r="B172" s="358">
        <v>1003.1</v>
      </c>
      <c r="C172" s="14"/>
      <c r="D172" s="14"/>
      <c r="E172" s="14" t="s">
        <v>2183</v>
      </c>
      <c r="F172" s="14"/>
      <c r="G172" s="14"/>
      <c r="H172" s="441"/>
      <c r="I172" s="450"/>
      <c r="J172" s="159"/>
      <c r="K172" s="165"/>
      <c r="L172" s="832"/>
      <c r="M172" s="801"/>
      <c r="N172" s="3"/>
      <c r="O172" s="609"/>
      <c r="P172" s="562"/>
      <c r="Q172" s="562"/>
      <c r="R172" s="562"/>
      <c r="S172" s="562"/>
      <c r="T172" s="562"/>
      <c r="U172" s="562"/>
      <c r="V172" s="562"/>
      <c r="W172" s="562"/>
      <c r="X172" s="787"/>
      <c r="Y172" s="562"/>
      <c r="Z172" s="562"/>
      <c r="AA172" s="562"/>
      <c r="AB172" s="562"/>
      <c r="AC172" s="562"/>
      <c r="AD172" s="562"/>
      <c r="AE172" s="562"/>
      <c r="AF172" s="562"/>
      <c r="AG172" s="562"/>
      <c r="AH172" s="562"/>
      <c r="AI172" s="562"/>
      <c r="AJ172" s="562"/>
      <c r="AK172" s="562"/>
      <c r="AL172" s="562"/>
      <c r="AM172" s="562"/>
      <c r="AN172" s="562"/>
      <c r="AO172" s="562"/>
      <c r="AP172" s="562"/>
      <c r="AQ172" s="562"/>
      <c r="AR172" s="562"/>
      <c r="AS172" s="562"/>
    </row>
    <row r="173" spans="2:45" x14ac:dyDescent="0.2">
      <c r="B173" s="358">
        <v>1003.1</v>
      </c>
      <c r="C173" s="14"/>
      <c r="D173" s="14"/>
      <c r="E173" s="14" t="s">
        <v>2185</v>
      </c>
      <c r="F173" s="14"/>
      <c r="G173" s="14"/>
      <c r="H173" s="441"/>
      <c r="I173" s="450"/>
      <c r="J173" s="20" t="s">
        <v>2185</v>
      </c>
      <c r="K173" s="3"/>
      <c r="L173" s="775" t="s">
        <v>3336</v>
      </c>
      <c r="M173" s="814">
        <v>1</v>
      </c>
      <c r="N173" s="3"/>
      <c r="O173" s="609"/>
      <c r="P173" s="562" t="b">
        <v>1</v>
      </c>
      <c r="Q173" s="562" t="b">
        <v>0</v>
      </c>
      <c r="R173" s="562" t="b">
        <v>0</v>
      </c>
      <c r="S173" s="562" t="b">
        <v>1</v>
      </c>
      <c r="T173" s="562" t="b">
        <v>0</v>
      </c>
      <c r="U173" s="562"/>
      <c r="V173" s="562"/>
      <c r="W173" s="18"/>
      <c r="X173" s="787"/>
      <c r="Y173" s="562"/>
      <c r="Z173" s="562"/>
      <c r="AA173" s="562"/>
      <c r="AB173" s="562"/>
      <c r="AC173" s="562"/>
      <c r="AD173" s="562"/>
      <c r="AE173" s="562"/>
      <c r="AF173" s="562"/>
      <c r="AG173" s="562"/>
      <c r="AH173" s="562"/>
      <c r="AI173" s="562"/>
      <c r="AJ173" s="562"/>
      <c r="AK173" s="562"/>
      <c r="AL173" s="190" t="str">
        <f>SUBSTITUTE(SUBSTITUTE(SUBSTITUTE("dpa"&amp;$B173&amp;$C173&amp;$D173&amp;$E173&amp;$F173,".","_"),"(","_"),")","")</f>
        <v>dpa1003,1_3</v>
      </c>
      <c r="AM173" s="190">
        <f>M173</f>
        <v>1</v>
      </c>
      <c r="AN173" s="562"/>
      <c r="AO173" s="562"/>
      <c r="AP173" s="190" t="str">
        <f>SUBSTITUTE(SUBSTITUTE(SUBSTITUTE("dch"&amp;$B173&amp;$C173&amp;$D173&amp;$E173&amp;$F173,".","_"),"(","_"),")","")</f>
        <v>dch1003,1_3</v>
      </c>
      <c r="AQ173" s="190">
        <f>W173</f>
        <v>0</v>
      </c>
      <c r="AR173" s="190" t="str">
        <f>SUBSTITUTE(SUBSTITUTE(SUBSTITUTE("dnt"&amp;$B173&amp;$C173&amp;$D173&amp;$E173&amp;$F173,".","_"),"(","_"),")","")</f>
        <v>dnt1003,1_3</v>
      </c>
      <c r="AS173" s="190">
        <f>X173</f>
        <v>0</v>
      </c>
    </row>
    <row r="174" spans="2:45" x14ac:dyDescent="0.2">
      <c r="B174" s="358">
        <v>1003.1</v>
      </c>
      <c r="C174" s="14"/>
      <c r="D174" s="14"/>
      <c r="E174" s="14" t="s">
        <v>2185</v>
      </c>
      <c r="F174" s="14"/>
      <c r="G174" s="14"/>
      <c r="H174" s="441"/>
      <c r="I174" s="450"/>
      <c r="J174" s="3"/>
      <c r="K174" s="3"/>
      <c r="L174" s="775"/>
      <c r="M174" s="814"/>
      <c r="N174" s="3"/>
      <c r="O174" s="609"/>
      <c r="P174" s="562"/>
      <c r="Q174" s="562"/>
      <c r="R174" s="562"/>
      <c r="S174" s="562"/>
      <c r="T174" s="562"/>
      <c r="U174" s="562"/>
      <c r="V174" s="562"/>
      <c r="W174" s="562"/>
      <c r="X174" s="787"/>
      <c r="Y174" s="562"/>
      <c r="Z174" s="562"/>
      <c r="AA174" s="562"/>
      <c r="AB174" s="562"/>
      <c r="AC174" s="562"/>
      <c r="AD174" s="562"/>
      <c r="AE174" s="562"/>
      <c r="AF174" s="562"/>
      <c r="AG174" s="562"/>
      <c r="AH174" s="562"/>
      <c r="AI174" s="562"/>
      <c r="AJ174" s="562"/>
      <c r="AK174" s="562"/>
      <c r="AL174" s="562"/>
      <c r="AM174" s="562"/>
      <c r="AN174" s="562"/>
      <c r="AO174" s="562"/>
      <c r="AP174" s="562"/>
      <c r="AQ174" s="562"/>
      <c r="AR174" s="562"/>
      <c r="AS174" s="562"/>
    </row>
    <row r="175" spans="2:45" ht="16" thickBot="1" x14ac:dyDescent="0.25">
      <c r="B175" s="358">
        <v>1003.1</v>
      </c>
      <c r="C175" s="14"/>
      <c r="D175" s="14"/>
      <c r="E175" s="14" t="s">
        <v>2185</v>
      </c>
      <c r="F175" s="14"/>
      <c r="G175" s="14"/>
      <c r="H175" s="441"/>
      <c r="I175" s="450"/>
      <c r="J175" s="3"/>
      <c r="K175" s="3"/>
      <c r="L175" s="775"/>
      <c r="M175" s="814"/>
      <c r="N175" s="3"/>
      <c r="O175" s="609"/>
      <c r="P175" s="562"/>
      <c r="Q175" s="562"/>
      <c r="R175" s="562"/>
      <c r="S175" s="562"/>
      <c r="T175" s="562"/>
      <c r="U175" s="562"/>
      <c r="V175" s="562"/>
      <c r="W175" s="562"/>
      <c r="X175" s="787"/>
      <c r="Y175" s="562"/>
      <c r="Z175" s="562"/>
      <c r="AA175" s="562"/>
      <c r="AB175" s="562"/>
      <c r="AC175" s="562"/>
      <c r="AD175" s="562"/>
      <c r="AE175" s="562"/>
      <c r="AF175" s="562"/>
      <c r="AG175" s="562"/>
      <c r="AH175" s="562"/>
      <c r="AI175" s="562"/>
      <c r="AJ175" s="562"/>
      <c r="AK175" s="562"/>
      <c r="AL175" s="562"/>
      <c r="AM175" s="562"/>
      <c r="AN175" s="562"/>
      <c r="AO175" s="562"/>
      <c r="AP175" s="562"/>
      <c r="AQ175" s="562"/>
      <c r="AR175" s="562"/>
      <c r="AS175" s="562"/>
    </row>
    <row r="176" spans="2:45" ht="17" thickTop="1" thickBot="1" x14ac:dyDescent="0.25">
      <c r="H176" s="443"/>
      <c r="I176" s="154" t="s">
        <v>3337</v>
      </c>
      <c r="J176" s="155"/>
      <c r="K176" s="155"/>
      <c r="L176" s="155"/>
      <c r="M176" s="156"/>
      <c r="N176" s="155"/>
      <c r="O176" s="157"/>
      <c r="P176" s="155"/>
      <c r="Q176" s="155"/>
      <c r="R176" s="155"/>
      <c r="S176" s="155"/>
      <c r="T176" s="155"/>
      <c r="U176" s="155"/>
      <c r="V176" s="155"/>
      <c r="W176" s="155"/>
      <c r="X176" s="158"/>
      <c r="Y176" s="562"/>
      <c r="Z176" s="562"/>
      <c r="AA176" s="562"/>
      <c r="AB176" s="562"/>
      <c r="AC176" s="562"/>
      <c r="AD176" s="562"/>
      <c r="AE176" s="562"/>
      <c r="AF176" s="562"/>
      <c r="AG176" s="562"/>
      <c r="AH176" s="562"/>
      <c r="AI176" s="562"/>
      <c r="AJ176" s="562"/>
      <c r="AK176" s="562"/>
      <c r="AL176" s="562"/>
      <c r="AM176" s="562"/>
      <c r="AN176" s="562"/>
      <c r="AO176" s="562"/>
      <c r="AP176" s="562"/>
      <c r="AQ176" s="562"/>
      <c r="AR176" s="562"/>
      <c r="AS176" s="562"/>
    </row>
    <row r="177" ht="16" thickTop="1" x14ac:dyDescent="0.2"/>
  </sheetData>
  <sheetProtection algorithmName="SHA-512" hashValue="FMZBoQQnL4ApvVq03YOzBEld0vIQy+fGaDMnh5nXiBVeFL3SmeaSFF1TRKtw5L8YUMqwDKOFtr7z9Oa4r5xawQ==" saltValue="UOvHWH/SqbwNgJGpTi+bnQ==" spinCount="100000" sheet="1" objects="1" scenarios="1" selectLockedCells="1"/>
  <mergeCells count="128">
    <mergeCell ref="L89:L90"/>
    <mergeCell ref="L92:L93"/>
    <mergeCell ref="M89:M90"/>
    <mergeCell ref="L173:L175"/>
    <mergeCell ref="L125:L127"/>
    <mergeCell ref="L129:L130"/>
    <mergeCell ref="L131:L134"/>
    <mergeCell ref="L102:L103"/>
    <mergeCell ref="L104:L106"/>
    <mergeCell ref="L142:L143"/>
    <mergeCell ref="L145:L146"/>
    <mergeCell ref="L107:L108"/>
    <mergeCell ref="L109:L111"/>
    <mergeCell ref="L112:L113"/>
    <mergeCell ref="L115:L116"/>
    <mergeCell ref="L120:L122"/>
    <mergeCell ref="L164:L166"/>
    <mergeCell ref="L168:L169"/>
    <mergeCell ref="L170:L172"/>
    <mergeCell ref="I1:L1"/>
    <mergeCell ref="M1:W5"/>
    <mergeCell ref="I2:L2"/>
    <mergeCell ref="I3:L3"/>
    <mergeCell ref="V6:V7"/>
    <mergeCell ref="W6:W7"/>
    <mergeCell ref="M83:M85"/>
    <mergeCell ref="M86:M88"/>
    <mergeCell ref="M80:M82"/>
    <mergeCell ref="L10:L11"/>
    <mergeCell ref="L12:L13"/>
    <mergeCell ref="L23:L24"/>
    <mergeCell ref="L25:L26"/>
    <mergeCell ref="M17:M20"/>
    <mergeCell ref="M12:M14"/>
    <mergeCell ref="L42:L43"/>
    <mergeCell ref="L17:L20"/>
    <mergeCell ref="L47:L48"/>
    <mergeCell ref="L62:L65"/>
    <mergeCell ref="L74:L79"/>
    <mergeCell ref="L80:L81"/>
    <mergeCell ref="L83:L85"/>
    <mergeCell ref="L86:L88"/>
    <mergeCell ref="Q6:Q7"/>
    <mergeCell ref="X28:X29"/>
    <mergeCell ref="L32:L33"/>
    <mergeCell ref="L36:L37"/>
    <mergeCell ref="L38:L41"/>
    <mergeCell ref="X89:X90"/>
    <mergeCell ref="X92:X93"/>
    <mergeCell ref="L44:L45"/>
    <mergeCell ref="L49:L50"/>
    <mergeCell ref="L52:L53"/>
    <mergeCell ref="L54:L55"/>
    <mergeCell ref="L56:L57"/>
    <mergeCell ref="X54:X55"/>
    <mergeCell ref="X56:X57"/>
    <mergeCell ref="X62:X72"/>
    <mergeCell ref="X42:X43"/>
    <mergeCell ref="X44:X45"/>
    <mergeCell ref="X47:X48"/>
    <mergeCell ref="X49:X50"/>
    <mergeCell ref="X52:X53"/>
    <mergeCell ref="L58:L59"/>
    <mergeCell ref="X58:X59"/>
    <mergeCell ref="O62:O65"/>
    <mergeCell ref="M62:M63"/>
    <mergeCell ref="M64:M65"/>
    <mergeCell ref="X6:X7"/>
    <mergeCell ref="R6:R7"/>
    <mergeCell ref="S6:S7"/>
    <mergeCell ref="T6:T7"/>
    <mergeCell ref="U6:U7"/>
    <mergeCell ref="I4:L4"/>
    <mergeCell ref="I5:L5"/>
    <mergeCell ref="I6:K7"/>
    <mergeCell ref="L6:L7"/>
    <mergeCell ref="M6:M7"/>
    <mergeCell ref="N6:N7"/>
    <mergeCell ref="P6:P7"/>
    <mergeCell ref="X4:X5"/>
    <mergeCell ref="X17:X20"/>
    <mergeCell ref="X23:X24"/>
    <mergeCell ref="X25:X26"/>
    <mergeCell ref="X32:X37"/>
    <mergeCell ref="X38:X41"/>
    <mergeCell ref="L96:L97"/>
    <mergeCell ref="L98:L100"/>
    <mergeCell ref="X168:X169"/>
    <mergeCell ref="X170:X172"/>
    <mergeCell ref="X120:X122"/>
    <mergeCell ref="X123:X124"/>
    <mergeCell ref="X129:X130"/>
    <mergeCell ref="X131:X134"/>
    <mergeCell ref="X135:X141"/>
    <mergeCell ref="X107:X108"/>
    <mergeCell ref="X109:X111"/>
    <mergeCell ref="X112:X113"/>
    <mergeCell ref="X115:X116"/>
    <mergeCell ref="X117:X118"/>
    <mergeCell ref="X102:X103"/>
    <mergeCell ref="X104:X106"/>
    <mergeCell ref="L123:L124"/>
    <mergeCell ref="L117:L118"/>
    <mergeCell ref="L151:L155"/>
    <mergeCell ref="H1:H7"/>
    <mergeCell ref="L28:L29"/>
    <mergeCell ref="M28:M29"/>
    <mergeCell ref="O125:O128"/>
    <mergeCell ref="M98:M101"/>
    <mergeCell ref="O98:O101"/>
    <mergeCell ref="X173:X175"/>
    <mergeCell ref="X96:X97"/>
    <mergeCell ref="M151:M155"/>
    <mergeCell ref="M173:M175"/>
    <mergeCell ref="M170:M172"/>
    <mergeCell ref="M168:M169"/>
    <mergeCell ref="M102:M103"/>
    <mergeCell ref="M104:M106"/>
    <mergeCell ref="M129:M130"/>
    <mergeCell ref="M125:M128"/>
    <mergeCell ref="M123:M124"/>
    <mergeCell ref="X83:X85"/>
    <mergeCell ref="X86:X88"/>
    <mergeCell ref="O12:O14"/>
    <mergeCell ref="O80:O82"/>
    <mergeCell ref="X142:X143"/>
    <mergeCell ref="X145:X146"/>
    <mergeCell ref="X151:X162"/>
  </mergeCells>
  <conditionalFormatting sqref="X2">
    <cfRule type="expression" dxfId="1945" priority="754">
      <formula>$AG$3</formula>
    </cfRule>
  </conditionalFormatting>
  <conditionalFormatting sqref="X3">
    <cfRule type="expression" dxfId="1944" priority="755">
      <formula>$AI$3</formula>
    </cfRule>
  </conditionalFormatting>
  <conditionalFormatting sqref="O125:O128">
    <cfRule type="cellIs" dxfId="1943" priority="508" operator="greaterThan">
      <formula>0</formula>
    </cfRule>
  </conditionalFormatting>
  <conditionalFormatting sqref="O98:O101">
    <cfRule type="cellIs" dxfId="1942" priority="507" operator="greaterThan">
      <formula>0</formula>
    </cfRule>
  </conditionalFormatting>
  <conditionalFormatting sqref="O80:O82">
    <cfRule type="cellIs" dxfId="1941" priority="506" operator="greaterThan">
      <formula>0</formula>
    </cfRule>
  </conditionalFormatting>
  <conditionalFormatting sqref="W15">
    <cfRule type="expression" dxfId="1940" priority="258">
      <formula>OR($T$15 = TRUE, AND($W$15 = TRUE, $S$15 = FALSE))</formula>
    </cfRule>
    <cfRule type="expression" dxfId="1939" priority="259">
      <formula>$S$15 = FALSE</formula>
    </cfRule>
    <cfRule type="expression" dxfId="1938" priority="260">
      <formula>AND(IF($R$15,$W$15,TRUE),LEN(TRIM($W$15))&gt;0)</formula>
    </cfRule>
    <cfRule type="expression" dxfId="1937" priority="261">
      <formula>AND($R$15,$S$15)</formula>
    </cfRule>
  </conditionalFormatting>
  <conditionalFormatting sqref="W16">
    <cfRule type="expression" dxfId="1936" priority="254">
      <formula>OR($T$16 = TRUE, AND($W$16 = TRUE, $S$16 = FALSE))</formula>
    </cfRule>
    <cfRule type="expression" dxfId="1935" priority="255">
      <formula>$S$16 = FALSE</formula>
    </cfRule>
    <cfRule type="expression" dxfId="1934" priority="256">
      <formula>AND(IF($R$16,$W$16,TRUE),LEN(TRIM($W$16))&gt;0)</formula>
    </cfRule>
    <cfRule type="expression" dxfId="1933" priority="257">
      <formula>AND($R$16,$S$16)</formula>
    </cfRule>
  </conditionalFormatting>
  <conditionalFormatting sqref="W17">
    <cfRule type="expression" dxfId="1932" priority="250">
      <formula>OR($T$17 = TRUE, AND($W$17 = TRUE, $S$17 = FALSE))</formula>
    </cfRule>
    <cfRule type="expression" dxfId="1931" priority="251">
      <formula>$S$17 = FALSE</formula>
    </cfRule>
    <cfRule type="expression" dxfId="1930" priority="252">
      <formula>AND(IF($R$17,$W$17,TRUE),LEN(TRIM($W$17))&gt;0)</formula>
    </cfRule>
    <cfRule type="expression" dxfId="1929" priority="253">
      <formula>AND($R$17,$S$17)</formula>
    </cfRule>
  </conditionalFormatting>
  <conditionalFormatting sqref="W21">
    <cfRule type="expression" dxfId="1928" priority="249">
      <formula>AND($R$21,$S$21)</formula>
    </cfRule>
  </conditionalFormatting>
  <conditionalFormatting sqref="W21">
    <cfRule type="expression" dxfId="1927" priority="248">
      <formula>AND(IF($R$21,$W$21,TRUE),LEN(TRIM($W$21))&gt;0)</formula>
    </cfRule>
  </conditionalFormatting>
  <conditionalFormatting sqref="W21">
    <cfRule type="expression" dxfId="1926" priority="247">
      <formula>$S$21 = FALSE</formula>
    </cfRule>
  </conditionalFormatting>
  <conditionalFormatting sqref="W21">
    <cfRule type="expression" dxfId="1925" priority="246">
      <formula>OR($T$21 = TRUE, AND($W$21 = TRUE, $S$21 = FALSE))</formula>
    </cfRule>
  </conditionalFormatting>
  <conditionalFormatting sqref="W22">
    <cfRule type="expression" dxfId="1924" priority="245">
      <formula>AND($R$22,$S$22)</formula>
    </cfRule>
  </conditionalFormatting>
  <conditionalFormatting sqref="W22">
    <cfRule type="expression" dxfId="1923" priority="244">
      <formula>AND(IF($R$22,$W$22,TRUE),LEN(TRIM($W$22))&gt;0)</formula>
    </cfRule>
  </conditionalFormatting>
  <conditionalFormatting sqref="W22">
    <cfRule type="expression" dxfId="1922" priority="243">
      <formula>$S$22 = FALSE</formula>
    </cfRule>
  </conditionalFormatting>
  <conditionalFormatting sqref="W22">
    <cfRule type="expression" dxfId="1921" priority="242">
      <formula>OR($T$22 = TRUE, AND($W$22 = TRUE, $S$22 = FALSE))</formula>
    </cfRule>
  </conditionalFormatting>
  <conditionalFormatting sqref="W23">
    <cfRule type="expression" dxfId="1920" priority="241">
      <formula>AND($R$23,$S$23)</formula>
    </cfRule>
  </conditionalFormatting>
  <conditionalFormatting sqref="W23">
    <cfRule type="expression" dxfId="1919" priority="240">
      <formula>AND(IF($R$23,$W$23,TRUE),LEN(TRIM($W$23))&gt;0)</formula>
    </cfRule>
  </conditionalFormatting>
  <conditionalFormatting sqref="W23">
    <cfRule type="expression" dxfId="1918" priority="239">
      <formula>$S$23 = FALSE</formula>
    </cfRule>
  </conditionalFormatting>
  <conditionalFormatting sqref="W23">
    <cfRule type="expression" dxfId="1917" priority="238">
      <formula>OR($T$23 = TRUE, AND($W$23 = TRUE, $S$23 = FALSE))</formula>
    </cfRule>
  </conditionalFormatting>
  <conditionalFormatting sqref="W25">
    <cfRule type="expression" dxfId="1916" priority="237">
      <formula>AND($R$25,$S$25)</formula>
    </cfRule>
  </conditionalFormatting>
  <conditionalFormatting sqref="W25">
    <cfRule type="expression" dxfId="1915" priority="236">
      <formula>AND(IF($R$25,$W$25,TRUE),LEN(TRIM($W$25))&gt;0)</formula>
    </cfRule>
  </conditionalFormatting>
  <conditionalFormatting sqref="W25">
    <cfRule type="expression" dxfId="1914" priority="235">
      <formula>$S$25 = FALSE</formula>
    </cfRule>
  </conditionalFormatting>
  <conditionalFormatting sqref="W25">
    <cfRule type="expression" dxfId="1913" priority="234">
      <formula>OR($T$25 = TRUE, AND($W$25 = TRUE, $S$25 = FALSE))</formula>
    </cfRule>
  </conditionalFormatting>
  <conditionalFormatting sqref="W27">
    <cfRule type="expression" dxfId="1912" priority="233">
      <formula>AND($R$27,$S$27)</formula>
    </cfRule>
  </conditionalFormatting>
  <conditionalFormatting sqref="W27">
    <cfRule type="expression" dxfId="1911" priority="232">
      <formula>AND(IF($R$27,$W$27,TRUE),LEN(TRIM($W$27))&gt;0)</formula>
    </cfRule>
  </conditionalFormatting>
  <conditionalFormatting sqref="W27">
    <cfRule type="expression" dxfId="1910" priority="231">
      <formula>$S$27 = FALSE</formula>
    </cfRule>
  </conditionalFormatting>
  <conditionalFormatting sqref="W27">
    <cfRule type="expression" dxfId="1909" priority="230">
      <formula>OR($T$27 = TRUE, AND($W$27 = TRUE, $S$27 = FALSE))</formula>
    </cfRule>
  </conditionalFormatting>
  <conditionalFormatting sqref="W28">
    <cfRule type="expression" dxfId="1908" priority="229">
      <formula>AND($R$28,$S$28)</formula>
    </cfRule>
  </conditionalFormatting>
  <conditionalFormatting sqref="W28">
    <cfRule type="expression" dxfId="1907" priority="228">
      <formula>AND(IF($R$28,$W$28,TRUE),LEN(TRIM($W$28))&gt;0)</formula>
    </cfRule>
  </conditionalFormatting>
  <conditionalFormatting sqref="W28">
    <cfRule type="expression" dxfId="1906" priority="227">
      <formula>$S$28 = FALSE</formula>
    </cfRule>
  </conditionalFormatting>
  <conditionalFormatting sqref="W28">
    <cfRule type="expression" dxfId="1905" priority="226">
      <formula>OR($T$28 = TRUE, AND($W$28 = TRUE, $S$28 = FALSE))</formula>
    </cfRule>
  </conditionalFormatting>
  <conditionalFormatting sqref="W30">
    <cfRule type="expression" dxfId="1904" priority="225">
      <formula>AND($R$30,$S$30)</formula>
    </cfRule>
  </conditionalFormatting>
  <conditionalFormatting sqref="W30">
    <cfRule type="expression" dxfId="1903" priority="224">
      <formula>AND(IF($R$30,$W$30,TRUE),LEN(TRIM($W$30))&gt;0)</formula>
    </cfRule>
  </conditionalFormatting>
  <conditionalFormatting sqref="W30">
    <cfRule type="expression" dxfId="1902" priority="223">
      <formula>$S$30 = FALSE</formula>
    </cfRule>
  </conditionalFormatting>
  <conditionalFormatting sqref="W30">
    <cfRule type="expression" dxfId="1901" priority="222">
      <formula>OR($T$30 = TRUE, AND($W$30 = TRUE, $S$30 = FALSE))</formula>
    </cfRule>
  </conditionalFormatting>
  <conditionalFormatting sqref="W31">
    <cfRule type="expression" dxfId="1900" priority="221">
      <formula>AND($R$31,$S$31)</formula>
    </cfRule>
  </conditionalFormatting>
  <conditionalFormatting sqref="W31">
    <cfRule type="expression" dxfId="1899" priority="220">
      <formula>AND(IF($R$31,$W$31,TRUE),LEN(TRIM($W$31))&gt;0)</formula>
    </cfRule>
  </conditionalFormatting>
  <conditionalFormatting sqref="W31">
    <cfRule type="expression" dxfId="1898" priority="219">
      <formula>$S$31 = FALSE</formula>
    </cfRule>
  </conditionalFormatting>
  <conditionalFormatting sqref="W31">
    <cfRule type="expression" dxfId="1897" priority="218">
      <formula>OR($T$31 = TRUE, AND($W$31 = TRUE, $S$31 = FALSE))</formula>
    </cfRule>
  </conditionalFormatting>
  <conditionalFormatting sqref="W32">
    <cfRule type="expression" dxfId="1896" priority="217">
      <formula>AND($R$32,$S$32)</formula>
    </cfRule>
  </conditionalFormatting>
  <conditionalFormatting sqref="W32">
    <cfRule type="expression" dxfId="1895" priority="216">
      <formula>AND(IF($R$32,$W$32,TRUE),LEN(TRIM($W$32))&gt;0)</formula>
    </cfRule>
  </conditionalFormatting>
  <conditionalFormatting sqref="W32">
    <cfRule type="expression" dxfId="1894" priority="215">
      <formula>$S$32 = FALSE</formula>
    </cfRule>
  </conditionalFormatting>
  <conditionalFormatting sqref="W32">
    <cfRule type="expression" dxfId="1893" priority="214">
      <formula>OR($T$32 = TRUE, AND($W$32 = TRUE, $S$32 = FALSE))</formula>
    </cfRule>
  </conditionalFormatting>
  <conditionalFormatting sqref="W38">
    <cfRule type="expression" dxfId="1892" priority="213">
      <formula>AND($R$38,$S$38)</formula>
    </cfRule>
  </conditionalFormatting>
  <conditionalFormatting sqref="W38">
    <cfRule type="expression" dxfId="1891" priority="212">
      <formula>AND(IF($R$38,$W$38,TRUE),LEN(TRIM($W$38))&gt;0)</formula>
    </cfRule>
  </conditionalFormatting>
  <conditionalFormatting sqref="W38">
    <cfRule type="expression" dxfId="1890" priority="211">
      <formula>$S$38 = FALSE</formula>
    </cfRule>
  </conditionalFormatting>
  <conditionalFormatting sqref="W38">
    <cfRule type="expression" dxfId="1889" priority="210">
      <formula>OR($T$38 = TRUE, AND($W$38 = TRUE, $S$38 = FALSE))</formula>
    </cfRule>
  </conditionalFormatting>
  <conditionalFormatting sqref="W42">
    <cfRule type="expression" dxfId="1888" priority="209">
      <formula>AND($R$42,$S$42)</formula>
    </cfRule>
  </conditionalFormatting>
  <conditionalFormatting sqref="W42">
    <cfRule type="expression" dxfId="1887" priority="208">
      <formula>AND(IF($R$42,$W$42,TRUE),LEN(TRIM($W$42))&gt;0)</formula>
    </cfRule>
  </conditionalFormatting>
  <conditionalFormatting sqref="W42">
    <cfRule type="expression" dxfId="1886" priority="207">
      <formula>$S$42 = FALSE</formula>
    </cfRule>
  </conditionalFormatting>
  <conditionalFormatting sqref="W42">
    <cfRule type="expression" dxfId="1885" priority="206">
      <formula>OR($T$42 = TRUE, AND($W$42 = TRUE, $S$42 = FALSE))</formula>
    </cfRule>
  </conditionalFormatting>
  <conditionalFormatting sqref="W44">
    <cfRule type="expression" dxfId="1884" priority="205">
      <formula>AND($R$44,$S$44)</formula>
    </cfRule>
  </conditionalFormatting>
  <conditionalFormatting sqref="W44">
    <cfRule type="expression" dxfId="1883" priority="204">
      <formula>AND(IF($R$44,$W$44,TRUE),LEN(TRIM($W$44))&gt;0)</formula>
    </cfRule>
  </conditionalFormatting>
  <conditionalFormatting sqref="W44">
    <cfRule type="expression" dxfId="1882" priority="203">
      <formula>$S$44 = FALSE</formula>
    </cfRule>
  </conditionalFormatting>
  <conditionalFormatting sqref="W44">
    <cfRule type="expression" dxfId="1881" priority="202">
      <formula>OR($T$44 = TRUE, AND($W$44 = TRUE, $S$44 = FALSE))</formula>
    </cfRule>
  </conditionalFormatting>
  <conditionalFormatting sqref="W46">
    <cfRule type="expression" dxfId="1880" priority="201">
      <formula>AND($R$46,$S$46)</formula>
    </cfRule>
  </conditionalFormatting>
  <conditionalFormatting sqref="W46">
    <cfRule type="expression" dxfId="1879" priority="200">
      <formula>AND(IF($R$46,$W$46,TRUE),LEN(TRIM($W$46))&gt;0)</formula>
    </cfRule>
  </conditionalFormatting>
  <conditionalFormatting sqref="W46">
    <cfRule type="expression" dxfId="1878" priority="199">
      <formula>$S$46 = FALSE</formula>
    </cfRule>
  </conditionalFormatting>
  <conditionalFormatting sqref="W46">
    <cfRule type="expression" dxfId="1877" priority="198">
      <formula>OR($T$46 = TRUE, AND($W$46 = TRUE, $S$46 = FALSE))</formula>
    </cfRule>
  </conditionalFormatting>
  <conditionalFormatting sqref="W47">
    <cfRule type="expression" dxfId="1876" priority="197">
      <formula>AND($R$47,$S$47)</formula>
    </cfRule>
  </conditionalFormatting>
  <conditionalFormatting sqref="W47">
    <cfRule type="expression" dxfId="1875" priority="196">
      <formula>AND(IF($R$47,$W$47,TRUE),LEN(TRIM($W$47))&gt;0)</formula>
    </cfRule>
  </conditionalFormatting>
  <conditionalFormatting sqref="W47">
    <cfRule type="expression" dxfId="1874" priority="195">
      <formula>$S$47 = FALSE</formula>
    </cfRule>
  </conditionalFormatting>
  <conditionalFormatting sqref="W47">
    <cfRule type="expression" dxfId="1873" priority="194">
      <formula>OR($T$47 = TRUE, AND($W$47 = TRUE, $S$47 = FALSE))</formula>
    </cfRule>
  </conditionalFormatting>
  <conditionalFormatting sqref="W49">
    <cfRule type="expression" dxfId="1872" priority="193">
      <formula>AND($R$49,$S$49)</formula>
    </cfRule>
  </conditionalFormatting>
  <conditionalFormatting sqref="W49">
    <cfRule type="expression" dxfId="1871" priority="192">
      <formula>AND(IF($R$49,$W$49,TRUE),LEN(TRIM($W$49))&gt;0)</formula>
    </cfRule>
  </conditionalFormatting>
  <conditionalFormatting sqref="W49">
    <cfRule type="expression" dxfId="1870" priority="191">
      <formula>$S$49 = FALSE</formula>
    </cfRule>
  </conditionalFormatting>
  <conditionalFormatting sqref="W49">
    <cfRule type="expression" dxfId="1869" priority="190">
      <formula>OR($T$49 = TRUE, AND($W$49 = TRUE, $S$49 = FALSE))</formula>
    </cfRule>
  </conditionalFormatting>
  <conditionalFormatting sqref="W51">
    <cfRule type="expression" dxfId="1868" priority="189">
      <formula>AND($R$51,$S$51)</formula>
    </cfRule>
  </conditionalFormatting>
  <conditionalFormatting sqref="W51">
    <cfRule type="expression" dxfId="1867" priority="188">
      <formula>AND(IF($R$51,$W$51,TRUE),LEN(TRIM($W$51))&gt;0)</formula>
    </cfRule>
  </conditionalFormatting>
  <conditionalFormatting sqref="W51">
    <cfRule type="expression" dxfId="1866" priority="187">
      <formula>$S$51 = FALSE</formula>
    </cfRule>
  </conditionalFormatting>
  <conditionalFormatting sqref="W51">
    <cfRule type="expression" dxfId="1865" priority="186">
      <formula>OR($T$51 = TRUE, AND($W$51 = TRUE, $S$51 = FALSE))</formula>
    </cfRule>
  </conditionalFormatting>
  <conditionalFormatting sqref="W52">
    <cfRule type="expression" dxfId="1864" priority="185">
      <formula>AND($R$52,$S$52)</formula>
    </cfRule>
  </conditionalFormatting>
  <conditionalFormatting sqref="W52">
    <cfRule type="expression" dxfId="1863" priority="184">
      <formula>AND(IF($R$52,$W$52,TRUE),LEN(TRIM($W$52))&gt;0)</formula>
    </cfRule>
  </conditionalFormatting>
  <conditionalFormatting sqref="W52">
    <cfRule type="expression" dxfId="1862" priority="183">
      <formula>$S$52 = FALSE</formula>
    </cfRule>
  </conditionalFormatting>
  <conditionalFormatting sqref="W52">
    <cfRule type="expression" dxfId="1861" priority="182">
      <formula>OR($T$52 = TRUE, AND($W$52 = TRUE, $S$52 = FALSE))</formula>
    </cfRule>
  </conditionalFormatting>
  <conditionalFormatting sqref="W54">
    <cfRule type="expression" dxfId="1860" priority="181">
      <formula>AND($R$54,$S$54)</formula>
    </cfRule>
  </conditionalFormatting>
  <conditionalFormatting sqref="W54">
    <cfRule type="expression" dxfId="1859" priority="180">
      <formula>AND(IF($R$54,$W$54,TRUE),LEN(TRIM($W$54))&gt;0)</formula>
    </cfRule>
  </conditionalFormatting>
  <conditionalFormatting sqref="W54">
    <cfRule type="expression" dxfId="1858" priority="179">
      <formula>$S$54 = FALSE</formula>
    </cfRule>
  </conditionalFormatting>
  <conditionalFormatting sqref="W54">
    <cfRule type="expression" dxfId="1857" priority="178">
      <formula>OR($T$54 = TRUE, AND($W$54 = TRUE, $S$54 = FALSE))</formula>
    </cfRule>
  </conditionalFormatting>
  <conditionalFormatting sqref="W56">
    <cfRule type="expression" dxfId="1856" priority="177">
      <formula>AND($R$56,$S$56)</formula>
    </cfRule>
  </conditionalFormatting>
  <conditionalFormatting sqref="W56">
    <cfRule type="expression" dxfId="1855" priority="176">
      <formula>AND(IF($R$56,$W$56,TRUE),LEN(TRIM($W$56))&gt;0)</formula>
    </cfRule>
  </conditionalFormatting>
  <conditionalFormatting sqref="W56">
    <cfRule type="expression" dxfId="1854" priority="175">
      <formula>$S$56 = FALSE</formula>
    </cfRule>
  </conditionalFormatting>
  <conditionalFormatting sqref="W56">
    <cfRule type="expression" dxfId="1853" priority="174">
      <formula>OR($T$56 = TRUE, AND($W$56 = TRUE, $S$56 = FALSE))</formula>
    </cfRule>
  </conditionalFormatting>
  <conditionalFormatting sqref="W62">
    <cfRule type="expression" dxfId="1852" priority="165">
      <formula>AND($R$62,$S$62)</formula>
    </cfRule>
  </conditionalFormatting>
  <conditionalFormatting sqref="W62">
    <cfRule type="expression" dxfId="1851" priority="164">
      <formula>AND(IF($R$62,$W$62,TRUE),LEN(TRIM($W$62))&gt;0)</formula>
    </cfRule>
  </conditionalFormatting>
  <conditionalFormatting sqref="W62">
    <cfRule type="expression" dxfId="1850" priority="163">
      <formula>$S$62 = FALSE</formula>
    </cfRule>
  </conditionalFormatting>
  <conditionalFormatting sqref="W62">
    <cfRule type="expression" dxfId="1849" priority="162">
      <formula>OR($T$62 = TRUE, AND($W$62 = TRUE, $S$62 = FALSE))</formula>
    </cfRule>
  </conditionalFormatting>
  <conditionalFormatting sqref="W83">
    <cfRule type="expression" dxfId="1848" priority="161">
      <formula>AND($R$83,$S$83)</formula>
    </cfRule>
  </conditionalFormatting>
  <conditionalFormatting sqref="W83">
    <cfRule type="expression" dxfId="1847" priority="160">
      <formula>AND(IF($R$83,$W$83,TRUE),LEN(TRIM($W$83))&gt;0)</formula>
    </cfRule>
  </conditionalFormatting>
  <conditionalFormatting sqref="W83">
    <cfRule type="expression" dxfId="1846" priority="159">
      <formula>$S$83 = FALSE</formula>
    </cfRule>
  </conditionalFormatting>
  <conditionalFormatting sqref="W83">
    <cfRule type="expression" dxfId="1845" priority="158">
      <formula>OR($T$83 = TRUE, AND($W$83 = TRUE, $S$83 = FALSE))</formula>
    </cfRule>
  </conditionalFormatting>
  <conditionalFormatting sqref="W86">
    <cfRule type="expression" dxfId="1844" priority="157">
      <formula>AND($R$86,$S$86)</formula>
    </cfRule>
  </conditionalFormatting>
  <conditionalFormatting sqref="W86">
    <cfRule type="expression" dxfId="1843" priority="156">
      <formula>AND(IF($R$86,$W$86,TRUE),LEN(TRIM($W$86))&gt;0)</formula>
    </cfRule>
  </conditionalFormatting>
  <conditionalFormatting sqref="W86">
    <cfRule type="expression" dxfId="1842" priority="155">
      <formula>$S$86 = FALSE</formula>
    </cfRule>
  </conditionalFormatting>
  <conditionalFormatting sqref="W86">
    <cfRule type="expression" dxfId="1841" priority="154">
      <formula>OR($T$86 = TRUE, AND($W$86 = TRUE, $S$86 = FALSE))</formula>
    </cfRule>
  </conditionalFormatting>
  <conditionalFormatting sqref="W89">
    <cfRule type="expression" dxfId="1840" priority="153">
      <formula>AND($R$89,$S$89)</formula>
    </cfRule>
  </conditionalFormatting>
  <conditionalFormatting sqref="W89">
    <cfRule type="expression" dxfId="1839" priority="152">
      <formula>AND(IF($R$89,$W$89,TRUE),LEN(TRIM($W$89))&gt;0)</formula>
    </cfRule>
  </conditionalFormatting>
  <conditionalFormatting sqref="W89">
    <cfRule type="expression" dxfId="1838" priority="151">
      <formula>$S$89 = FALSE</formula>
    </cfRule>
  </conditionalFormatting>
  <conditionalFormatting sqref="W89">
    <cfRule type="expression" dxfId="1837" priority="150">
      <formula>OR($T$89 = TRUE, AND($W$89 = TRUE, $S$89 = FALSE))</formula>
    </cfRule>
  </conditionalFormatting>
  <conditionalFormatting sqref="W91">
    <cfRule type="expression" dxfId="1836" priority="149">
      <formula>AND($R$91,$S$91)</formula>
    </cfRule>
  </conditionalFormatting>
  <conditionalFormatting sqref="W91">
    <cfRule type="expression" dxfId="1835" priority="148">
      <formula>AND(IF($R$91,$W$91,TRUE),LEN(TRIM($W$91))&gt;0)</formula>
    </cfRule>
  </conditionalFormatting>
  <conditionalFormatting sqref="W91">
    <cfRule type="expression" dxfId="1834" priority="147">
      <formula>$S$91 = FALSE</formula>
    </cfRule>
  </conditionalFormatting>
  <conditionalFormatting sqref="W91">
    <cfRule type="expression" dxfId="1833" priority="146">
      <formula>OR($T$91 = TRUE, AND($W$91 = TRUE, $S$91 = FALSE))</formula>
    </cfRule>
  </conditionalFormatting>
  <conditionalFormatting sqref="W92">
    <cfRule type="expression" dxfId="1832" priority="145">
      <formula>AND($R$92,$S$92)</formula>
    </cfRule>
  </conditionalFormatting>
  <conditionalFormatting sqref="W92">
    <cfRule type="expression" dxfId="1831" priority="144">
      <formula>AND(IF($R$92,$W$92,TRUE),LEN(TRIM($W$92))&gt;0)</formula>
    </cfRule>
  </conditionalFormatting>
  <conditionalFormatting sqref="W92">
    <cfRule type="expression" dxfId="1830" priority="143">
      <formula>$S$92 = FALSE</formula>
    </cfRule>
  </conditionalFormatting>
  <conditionalFormatting sqref="W92">
    <cfRule type="expression" dxfId="1829" priority="142">
      <formula>OR($T$92 = TRUE, AND($W$92 = TRUE, $S$92 = FALSE))</formula>
    </cfRule>
  </conditionalFormatting>
  <conditionalFormatting sqref="W94">
    <cfRule type="expression" dxfId="1828" priority="141">
      <formula>AND($R$94,$S$94)</formula>
    </cfRule>
  </conditionalFormatting>
  <conditionalFormatting sqref="W94">
    <cfRule type="expression" dxfId="1827" priority="140">
      <formula>AND(IF($R$94,$W$94,TRUE),LEN(TRIM($W$94))&gt;0)</formula>
    </cfRule>
  </conditionalFormatting>
  <conditionalFormatting sqref="W94">
    <cfRule type="expression" dxfId="1826" priority="139">
      <formula>$S$94 = FALSE</formula>
    </cfRule>
  </conditionalFormatting>
  <conditionalFormatting sqref="W94">
    <cfRule type="expression" dxfId="1825" priority="138">
      <formula>OR($T$94 = TRUE, AND($W$94 = TRUE, $S$94 = FALSE))</formula>
    </cfRule>
  </conditionalFormatting>
  <conditionalFormatting sqref="W95">
    <cfRule type="expression" dxfId="1824" priority="137">
      <formula>AND($R$95,$S$95)</formula>
    </cfRule>
  </conditionalFormatting>
  <conditionalFormatting sqref="W95">
    <cfRule type="expression" dxfId="1823" priority="136">
      <formula>AND(IF($R$95,$W$95,TRUE),LEN(TRIM($W$95))&gt;0)</formula>
    </cfRule>
  </conditionalFormatting>
  <conditionalFormatting sqref="W95">
    <cfRule type="expression" dxfId="1822" priority="135">
      <formula>$S$95 = FALSE</formula>
    </cfRule>
  </conditionalFormatting>
  <conditionalFormatting sqref="W95">
    <cfRule type="expression" dxfId="1821" priority="134">
      <formula>OR($T$95 = TRUE, AND($W$95 = TRUE, $S$95 = FALSE))</formula>
    </cfRule>
  </conditionalFormatting>
  <conditionalFormatting sqref="W96">
    <cfRule type="expression" dxfId="1820" priority="133">
      <formula>AND($R$96,$S$96)</formula>
    </cfRule>
  </conditionalFormatting>
  <conditionalFormatting sqref="W96">
    <cfRule type="expression" dxfId="1819" priority="132">
      <formula>AND(IF($R$96,$W$96,TRUE),LEN(TRIM($W$96))&gt;0)</formula>
    </cfRule>
  </conditionalFormatting>
  <conditionalFormatting sqref="W96">
    <cfRule type="expression" dxfId="1818" priority="131">
      <formula>$S$96 = FALSE</formula>
    </cfRule>
  </conditionalFormatting>
  <conditionalFormatting sqref="W96">
    <cfRule type="expression" dxfId="1817" priority="130">
      <formula>OR($T$96 = TRUE, AND($W$96 = TRUE, $S$96 = FALSE))</formula>
    </cfRule>
  </conditionalFormatting>
  <conditionalFormatting sqref="W102">
    <cfRule type="expression" dxfId="1816" priority="129">
      <formula>AND($R$102,$S$102)</formula>
    </cfRule>
  </conditionalFormatting>
  <conditionalFormatting sqref="W102">
    <cfRule type="expression" dxfId="1815" priority="128">
      <formula>AND(IF($R$102,$W$102,TRUE),LEN(TRIM($W$102))&gt;0)</formula>
    </cfRule>
  </conditionalFormatting>
  <conditionalFormatting sqref="W102">
    <cfRule type="expression" dxfId="1814" priority="127">
      <formula>$S$102 = FALSE</formula>
    </cfRule>
  </conditionalFormatting>
  <conditionalFormatting sqref="W102">
    <cfRule type="expression" dxfId="1813" priority="126">
      <formula>OR($T$102 = TRUE, AND($W$102 = TRUE, $S$102 = FALSE))</formula>
    </cfRule>
  </conditionalFormatting>
  <conditionalFormatting sqref="W104">
    <cfRule type="expression" dxfId="1812" priority="125">
      <formula>AND($R$104,$S$104)</formula>
    </cfRule>
  </conditionalFormatting>
  <conditionalFormatting sqref="W104">
    <cfRule type="expression" dxfId="1811" priority="124">
      <formula>AND(IF($R$104,$W$104,TRUE),LEN(TRIM($W$104))&gt;0)</formula>
    </cfRule>
  </conditionalFormatting>
  <conditionalFormatting sqref="W104">
    <cfRule type="expression" dxfId="1810" priority="123">
      <formula>$S$104 = FALSE</formula>
    </cfRule>
  </conditionalFormatting>
  <conditionalFormatting sqref="W104">
    <cfRule type="expression" dxfId="1809" priority="122">
      <formula>OR($T$104 = TRUE, AND($W$104 = TRUE, $S$104 = FALSE))</formula>
    </cfRule>
  </conditionalFormatting>
  <conditionalFormatting sqref="W107">
    <cfRule type="expression" dxfId="1808" priority="121">
      <formula>AND($R$107,$S$107)</formula>
    </cfRule>
  </conditionalFormatting>
  <conditionalFormatting sqref="W107">
    <cfRule type="expression" dxfId="1807" priority="120">
      <formula>AND(IF($R$107,$W$107,TRUE),LEN(TRIM($W$107))&gt;0)</formula>
    </cfRule>
  </conditionalFormatting>
  <conditionalFormatting sqref="W107">
    <cfRule type="expression" dxfId="1806" priority="119">
      <formula>$S$107 = FALSE</formula>
    </cfRule>
  </conditionalFormatting>
  <conditionalFormatting sqref="W107">
    <cfRule type="expression" dxfId="1805" priority="118">
      <formula>OR($T$107 = TRUE, AND($W$107 = TRUE, $S$107 = FALSE))</formula>
    </cfRule>
  </conditionalFormatting>
  <conditionalFormatting sqref="W109">
    <cfRule type="expression" dxfId="1804" priority="117">
      <formula>AND($R$109,$S$109)</formula>
    </cfRule>
  </conditionalFormatting>
  <conditionalFormatting sqref="W109">
    <cfRule type="expression" dxfId="1803" priority="116">
      <formula>AND(IF($R$109,$W$109,TRUE),LEN(TRIM($W$109))&gt;0)</formula>
    </cfRule>
  </conditionalFormatting>
  <conditionalFormatting sqref="W109">
    <cfRule type="expression" dxfId="1802" priority="115">
      <formula>$S$109 = FALSE</formula>
    </cfRule>
  </conditionalFormatting>
  <conditionalFormatting sqref="W109">
    <cfRule type="expression" dxfId="1801" priority="114">
      <formula>OR($T$109 = TRUE, AND($W$109 = TRUE, $S$109 = FALSE))</formula>
    </cfRule>
  </conditionalFormatting>
  <conditionalFormatting sqref="W112">
    <cfRule type="expression" dxfId="1800" priority="113">
      <formula>AND($R$112,$S$112)</formula>
    </cfRule>
  </conditionalFormatting>
  <conditionalFormatting sqref="W112">
    <cfRule type="expression" dxfId="1799" priority="112">
      <formula>AND(IF($R$112,$W$112,TRUE),LEN(TRIM($W$112))&gt;0)</formula>
    </cfRule>
  </conditionalFormatting>
  <conditionalFormatting sqref="W112">
    <cfRule type="expression" dxfId="1798" priority="111">
      <formula>$S$112 = FALSE</formula>
    </cfRule>
  </conditionalFormatting>
  <conditionalFormatting sqref="W112">
    <cfRule type="expression" dxfId="1797" priority="110">
      <formula>OR($T$112 = TRUE, AND($W$112 = TRUE, $S$112 = FALSE))</formula>
    </cfRule>
  </conditionalFormatting>
  <conditionalFormatting sqref="W114">
    <cfRule type="expression" dxfId="1796" priority="109">
      <formula>AND($R$114,$S$114)</formula>
    </cfRule>
  </conditionalFormatting>
  <conditionalFormatting sqref="W114">
    <cfRule type="expression" dxfId="1795" priority="108">
      <formula>AND(IF($R$114,$W$114,TRUE),LEN(TRIM($W$114))&gt;0)</formula>
    </cfRule>
  </conditionalFormatting>
  <conditionalFormatting sqref="W114">
    <cfRule type="expression" dxfId="1794" priority="107">
      <formula>$S$114 = FALSE</formula>
    </cfRule>
  </conditionalFormatting>
  <conditionalFormatting sqref="W114">
    <cfRule type="expression" dxfId="1793" priority="106">
      <formula>OR($T$114 = TRUE, AND($W$114 = TRUE, $S$114 = FALSE))</formula>
    </cfRule>
  </conditionalFormatting>
  <conditionalFormatting sqref="W115">
    <cfRule type="expression" dxfId="1792" priority="105">
      <formula>AND($R$115,$S$115)</formula>
    </cfRule>
  </conditionalFormatting>
  <conditionalFormatting sqref="W115">
    <cfRule type="expression" dxfId="1791" priority="104">
      <formula>AND(IF($R$115,$W$115,TRUE),LEN(TRIM($W$115))&gt;0)</formula>
    </cfRule>
  </conditionalFormatting>
  <conditionalFormatting sqref="W115">
    <cfRule type="expression" dxfId="1790" priority="103">
      <formula>$S$115 = FALSE</formula>
    </cfRule>
  </conditionalFormatting>
  <conditionalFormatting sqref="W115">
    <cfRule type="expression" dxfId="1789" priority="102">
      <formula>OR($T$115 = TRUE, AND($W$115 = TRUE, $S$115 = FALSE))</formula>
    </cfRule>
  </conditionalFormatting>
  <conditionalFormatting sqref="W117">
    <cfRule type="expression" dxfId="1788" priority="101">
      <formula>AND($R$117,$S$117)</formula>
    </cfRule>
  </conditionalFormatting>
  <conditionalFormatting sqref="W117">
    <cfRule type="expression" dxfId="1787" priority="100">
      <formula>AND(IF($R$117,$W$117,TRUE),LEN(TRIM($W$117))&gt;0)</formula>
    </cfRule>
  </conditionalFormatting>
  <conditionalFormatting sqref="W117">
    <cfRule type="expression" dxfId="1786" priority="99">
      <formula>$S$117 = FALSE</formula>
    </cfRule>
  </conditionalFormatting>
  <conditionalFormatting sqref="W117">
    <cfRule type="expression" dxfId="1785" priority="98">
      <formula>OR($T$117 = TRUE, AND($W$117 = TRUE, $S$117 = FALSE))</formula>
    </cfRule>
  </conditionalFormatting>
  <conditionalFormatting sqref="W119">
    <cfRule type="expression" dxfId="1784" priority="97">
      <formula>AND($R$119,$S$119)</formula>
    </cfRule>
  </conditionalFormatting>
  <conditionalFormatting sqref="W119">
    <cfRule type="expression" dxfId="1783" priority="96">
      <formula>AND(IF($R$119,$W$119,TRUE),LEN(TRIM($W$119))&gt;0)</formula>
    </cfRule>
  </conditionalFormatting>
  <conditionalFormatting sqref="W119">
    <cfRule type="expression" dxfId="1782" priority="95">
      <formula>$S$119 = FALSE</formula>
    </cfRule>
  </conditionalFormatting>
  <conditionalFormatting sqref="W119">
    <cfRule type="expression" dxfId="1781" priority="94">
      <formula>OR($T$119 = TRUE, AND($W$119 = TRUE, $S$119 = FALSE))</formula>
    </cfRule>
  </conditionalFormatting>
  <conditionalFormatting sqref="W120">
    <cfRule type="expression" dxfId="1780" priority="93">
      <formula>AND($R$120,$S$120)</formula>
    </cfRule>
  </conditionalFormatting>
  <conditionalFormatting sqref="W120">
    <cfRule type="expression" dxfId="1779" priority="92">
      <formula>AND(IF($R$120,$W$120,TRUE),LEN(TRIM($W$120))&gt;0)</formula>
    </cfRule>
  </conditionalFormatting>
  <conditionalFormatting sqref="W120">
    <cfRule type="expression" dxfId="1778" priority="91">
      <formula>$S$120 = FALSE</formula>
    </cfRule>
  </conditionalFormatting>
  <conditionalFormatting sqref="W120">
    <cfRule type="expression" dxfId="1777" priority="90">
      <formula>OR($T$120 = TRUE, AND($W$120 = TRUE, $S$120 = FALSE))</formula>
    </cfRule>
  </conditionalFormatting>
  <conditionalFormatting sqref="W123">
    <cfRule type="expression" dxfId="1776" priority="89">
      <formula>AND($R$123,$S$123)</formula>
    </cfRule>
  </conditionalFormatting>
  <conditionalFormatting sqref="W123">
    <cfRule type="expression" dxfId="1775" priority="88">
      <formula>AND(IF($R$123,$W$123,TRUE),LEN(TRIM($W$123))&gt;0)</formula>
    </cfRule>
  </conditionalFormatting>
  <conditionalFormatting sqref="W123">
    <cfRule type="expression" dxfId="1774" priority="87">
      <formula>$S$123 = FALSE</formula>
    </cfRule>
  </conditionalFormatting>
  <conditionalFormatting sqref="W123">
    <cfRule type="expression" dxfId="1773" priority="86">
      <formula>OR($T$123 = TRUE, AND($W$123 = TRUE, $S$123 = FALSE))</formula>
    </cfRule>
  </conditionalFormatting>
  <conditionalFormatting sqref="W129">
    <cfRule type="expression" dxfId="1772" priority="85">
      <formula>AND($R$129,$S$129)</formula>
    </cfRule>
  </conditionalFormatting>
  <conditionalFormatting sqref="W129">
    <cfRule type="expression" dxfId="1771" priority="84">
      <formula>AND(IF($R$129,$W$129,TRUE),LEN(TRIM($W$129))&gt;0)</formula>
    </cfRule>
  </conditionalFormatting>
  <conditionalFormatting sqref="W129">
    <cfRule type="expression" dxfId="1770" priority="83">
      <formula>$S$129 = FALSE</formula>
    </cfRule>
  </conditionalFormatting>
  <conditionalFormatting sqref="W129">
    <cfRule type="expression" dxfId="1769" priority="82">
      <formula>OR($T$129 = TRUE, AND($W$129 = TRUE, $S$129 = FALSE))</formula>
    </cfRule>
  </conditionalFormatting>
  <conditionalFormatting sqref="W131">
    <cfRule type="expression" dxfId="1768" priority="81">
      <formula>AND($R$131,$S$131)</formula>
    </cfRule>
  </conditionalFormatting>
  <conditionalFormatting sqref="W131">
    <cfRule type="expression" dxfId="1767" priority="80">
      <formula>AND(IF($R$131,$W$131,TRUE),LEN(TRIM($W$131))&gt;0)</formula>
    </cfRule>
  </conditionalFormatting>
  <conditionalFormatting sqref="W131">
    <cfRule type="expression" dxfId="1766" priority="79">
      <formula>$S$131 = FALSE</formula>
    </cfRule>
  </conditionalFormatting>
  <conditionalFormatting sqref="W131">
    <cfRule type="expression" dxfId="1765" priority="78">
      <formula>OR($T$131 = TRUE, AND($W$131 = TRUE, $S$131 = FALSE))</formula>
    </cfRule>
  </conditionalFormatting>
  <conditionalFormatting sqref="W135">
    <cfRule type="expression" dxfId="1764" priority="77">
      <formula>AND($R$135,$S$135)</formula>
    </cfRule>
  </conditionalFormatting>
  <conditionalFormatting sqref="W135">
    <cfRule type="expression" dxfId="1763" priority="76">
      <formula>AND(IF($R$135,$W$135,TRUE),LEN(TRIM($W$135))&gt;0)</formula>
    </cfRule>
  </conditionalFormatting>
  <conditionalFormatting sqref="W135">
    <cfRule type="expression" dxfId="1762" priority="75">
      <formula>$S$135 = FALSE</formula>
    </cfRule>
  </conditionalFormatting>
  <conditionalFormatting sqref="W135">
    <cfRule type="expression" dxfId="1761" priority="74">
      <formula>OR($T$135 = TRUE, AND($W$135 = TRUE, $S$135 = FALSE))</formula>
    </cfRule>
  </conditionalFormatting>
  <conditionalFormatting sqref="W142">
    <cfRule type="expression" dxfId="1760" priority="73">
      <formula>AND($R$142,$S$142)</formula>
    </cfRule>
  </conditionalFormatting>
  <conditionalFormatting sqref="W142">
    <cfRule type="expression" dxfId="1759" priority="72">
      <formula>AND(IF($R$142,$W$142,TRUE),LEN(TRIM($W$142))&gt;0)</formula>
    </cfRule>
  </conditionalFormatting>
  <conditionalFormatting sqref="W142">
    <cfRule type="expression" dxfId="1758" priority="71">
      <formula>$S$142 = FALSE</formula>
    </cfRule>
  </conditionalFormatting>
  <conditionalFormatting sqref="W142">
    <cfRule type="expression" dxfId="1757" priority="70">
      <formula>OR($T$142 = TRUE, AND($W$142 = TRUE, $S$142 = FALSE))</formula>
    </cfRule>
  </conditionalFormatting>
  <conditionalFormatting sqref="W144">
    <cfRule type="expression" dxfId="1756" priority="69">
      <formula>AND($R$144,$S$144)</formula>
    </cfRule>
  </conditionalFormatting>
  <conditionalFormatting sqref="W144">
    <cfRule type="expression" dxfId="1755" priority="68">
      <formula>AND(IF($R$144,$W$144,TRUE),LEN(TRIM($W$144))&gt;0)</formula>
    </cfRule>
  </conditionalFormatting>
  <conditionalFormatting sqref="W144">
    <cfRule type="expression" dxfId="1754" priority="67">
      <formula>$S$144 = FALSE</formula>
    </cfRule>
  </conditionalFormatting>
  <conditionalFormatting sqref="W144">
    <cfRule type="expression" dxfId="1753" priority="66">
      <formula>OR($T$144 = TRUE, AND($W$144 = TRUE, $S$144 = FALSE))</formula>
    </cfRule>
  </conditionalFormatting>
  <conditionalFormatting sqref="W145">
    <cfRule type="expression" dxfId="1752" priority="65">
      <formula>AND($R$145,$S$145)</formula>
    </cfRule>
  </conditionalFormatting>
  <conditionalFormatting sqref="W145">
    <cfRule type="expression" dxfId="1751" priority="64">
      <formula>AND(IF($R$145,$W$145,TRUE),LEN(TRIM($W$145))&gt;0)</formula>
    </cfRule>
  </conditionalFormatting>
  <conditionalFormatting sqref="W145">
    <cfRule type="expression" dxfId="1750" priority="63">
      <formula>$S$145 = FALSE</formula>
    </cfRule>
  </conditionalFormatting>
  <conditionalFormatting sqref="W145">
    <cfRule type="expression" dxfId="1749" priority="62">
      <formula>OR($T$145 = TRUE, AND($W$145 = TRUE, $S$145 = FALSE))</formula>
    </cfRule>
  </conditionalFormatting>
  <conditionalFormatting sqref="W147">
    <cfRule type="expression" dxfId="1748" priority="61">
      <formula>AND($R$147,$S$147)</formula>
    </cfRule>
  </conditionalFormatting>
  <conditionalFormatting sqref="W147">
    <cfRule type="expression" dxfId="1747" priority="60">
      <formula>AND(IF($R$147,$W$147,TRUE),LEN(TRIM($W$147))&gt;0)</formula>
    </cfRule>
  </conditionalFormatting>
  <conditionalFormatting sqref="W147">
    <cfRule type="expression" dxfId="1746" priority="59">
      <formula>$S$147 = FALSE</formula>
    </cfRule>
  </conditionalFormatting>
  <conditionalFormatting sqref="W147">
    <cfRule type="expression" dxfId="1745" priority="58">
      <formula>OR($T$147 = TRUE, AND($W$147 = TRUE, $S$147 = FALSE))</formula>
    </cfRule>
  </conditionalFormatting>
  <conditionalFormatting sqref="W148">
    <cfRule type="expression" dxfId="1744" priority="57">
      <formula>AND($R$148,$S$148)</formula>
    </cfRule>
  </conditionalFormatting>
  <conditionalFormatting sqref="W148">
    <cfRule type="expression" dxfId="1743" priority="56">
      <formula>AND(IF($R$148,$W$148,TRUE),LEN(TRIM($W$148))&gt;0)</formula>
    </cfRule>
  </conditionalFormatting>
  <conditionalFormatting sqref="W148">
    <cfRule type="expression" dxfId="1742" priority="55">
      <formula>$S$148 = FALSE</formula>
    </cfRule>
  </conditionalFormatting>
  <conditionalFormatting sqref="W148">
    <cfRule type="expression" dxfId="1741" priority="54">
      <formula>OR($T$148 = TRUE, AND($W$148 = TRUE, $S$148 = FALSE))</formula>
    </cfRule>
  </conditionalFormatting>
  <conditionalFormatting sqref="W149">
    <cfRule type="expression" dxfId="1740" priority="53">
      <formula>AND($R$149,$S$149)</formula>
    </cfRule>
  </conditionalFormatting>
  <conditionalFormatting sqref="W149">
    <cfRule type="expression" dxfId="1739" priority="52">
      <formula>AND(IF($R$149,$W$149,TRUE),LEN(TRIM($W$149))&gt;0)</formula>
    </cfRule>
  </conditionalFormatting>
  <conditionalFormatting sqref="W149">
    <cfRule type="expression" dxfId="1738" priority="51">
      <formula>$S$149 = FALSE</formula>
    </cfRule>
  </conditionalFormatting>
  <conditionalFormatting sqref="W149">
    <cfRule type="expression" dxfId="1737" priority="50">
      <formula>OR($T$149 = TRUE, AND($W$149 = TRUE, $S$149 = FALSE))</formula>
    </cfRule>
  </conditionalFormatting>
  <conditionalFormatting sqref="W150">
    <cfRule type="expression" dxfId="1736" priority="49">
      <formula>AND($R$150,$S$150)</formula>
    </cfRule>
  </conditionalFormatting>
  <conditionalFormatting sqref="W150">
    <cfRule type="expression" dxfId="1735" priority="48">
      <formula>AND(IF($R$150,$W$150,TRUE),LEN(TRIM($W$150))&gt;0)</formula>
    </cfRule>
  </conditionalFormatting>
  <conditionalFormatting sqref="W150">
    <cfRule type="expression" dxfId="1734" priority="47">
      <formula>$S$150 = FALSE</formula>
    </cfRule>
  </conditionalFormatting>
  <conditionalFormatting sqref="W150">
    <cfRule type="expression" dxfId="1733" priority="46">
      <formula>OR($T$150 = TRUE, AND($W$150 = TRUE, $S$150 = FALSE))</formula>
    </cfRule>
  </conditionalFormatting>
  <conditionalFormatting sqref="W151">
    <cfRule type="expression" dxfId="1732" priority="45">
      <formula>AND($R$151,$S$151)</formula>
    </cfRule>
  </conditionalFormatting>
  <conditionalFormatting sqref="W151">
    <cfRule type="expression" dxfId="1731" priority="44">
      <formula>AND(IF($R$151,$W$151,TRUE),LEN(TRIM($W$151))&gt;0)</formula>
    </cfRule>
  </conditionalFormatting>
  <conditionalFormatting sqref="W151">
    <cfRule type="expression" dxfId="1730" priority="43">
      <formula>$S$151 = FALSE</formula>
    </cfRule>
  </conditionalFormatting>
  <conditionalFormatting sqref="W151">
    <cfRule type="expression" dxfId="1729" priority="42">
      <formula>OR($T$151 = TRUE, AND($W$151 = TRUE, $S$151 = FALSE))</formula>
    </cfRule>
  </conditionalFormatting>
  <conditionalFormatting sqref="W168">
    <cfRule type="expression" dxfId="1728" priority="38">
      <formula>OR($T$168 = TRUE, AND($W$168 = TRUE, $S$168 = FALSE))</formula>
    </cfRule>
    <cfRule type="expression" dxfId="1727" priority="39">
      <formula>$S$168 = FALSE</formula>
    </cfRule>
    <cfRule type="expression" dxfId="1726" priority="40">
      <formula>AND(IF($R$168,$W$168,TRUE),LEN(TRIM($W$168))&gt;0)</formula>
    </cfRule>
    <cfRule type="expression" dxfId="1725" priority="41">
      <formula>AND($R$168,$S$168)</formula>
    </cfRule>
  </conditionalFormatting>
  <conditionalFormatting sqref="W170">
    <cfRule type="expression" dxfId="1724" priority="34">
      <formula>OR($T$170 = TRUE, AND($W$170 = TRUE, $S$170 = FALSE))</formula>
    </cfRule>
    <cfRule type="expression" dxfId="1723" priority="35">
      <formula>$S$170 = FALSE</formula>
    </cfRule>
    <cfRule type="expression" dxfId="1722" priority="36">
      <formula>AND(IF($R$170,$W$170,TRUE),LEN(TRIM($W$170))&gt;0)</formula>
    </cfRule>
    <cfRule type="expression" dxfId="1721" priority="37">
      <formula>AND($R$170,$S$170)</formula>
    </cfRule>
  </conditionalFormatting>
  <conditionalFormatting sqref="W173">
    <cfRule type="expression" dxfId="1720" priority="30">
      <formula>OR($T$173 = TRUE, AND($W$173 = TRUE, $S$173 = FALSE))</formula>
    </cfRule>
    <cfRule type="expression" dxfId="1719" priority="31">
      <formula>$S$173 = FALSE</formula>
    </cfRule>
    <cfRule type="expression" dxfId="1718" priority="32">
      <formula>AND(IF($R$173,$W$173,TRUE),LEN(TRIM($W$173))&gt;0)</formula>
    </cfRule>
    <cfRule type="expression" dxfId="1717" priority="33">
      <formula>AND($R$173,$S$173)</formula>
    </cfRule>
  </conditionalFormatting>
  <conditionalFormatting sqref="X1">
    <cfRule type="expression" dxfId="1716" priority="17">
      <formula>startError</formula>
    </cfRule>
  </conditionalFormatting>
  <conditionalFormatting sqref="W61">
    <cfRule type="expression" dxfId="1715" priority="9">
      <formula>OR($T$61 = TRUE, AND($W$61 = TRUE, $S$61 = FALSE))</formula>
    </cfRule>
  </conditionalFormatting>
  <conditionalFormatting sqref="W60">
    <cfRule type="expression" dxfId="1714" priority="16">
      <formula>AND($R$60,$S$60)</formula>
    </cfRule>
  </conditionalFormatting>
  <conditionalFormatting sqref="W60">
    <cfRule type="expression" dxfId="1713" priority="15">
      <formula>AND(IF($R$60,$W$60,TRUE),LEN(TRIM($W$60))&gt;0)</formula>
    </cfRule>
  </conditionalFormatting>
  <conditionalFormatting sqref="W60">
    <cfRule type="expression" dxfId="1712" priority="14">
      <formula>$S$60 = FALSE</formula>
    </cfRule>
  </conditionalFormatting>
  <conditionalFormatting sqref="W60">
    <cfRule type="expression" dxfId="1711" priority="13">
      <formula>OR($T$60 = TRUE, AND($W$60 = TRUE, $S$60 = FALSE))</formula>
    </cfRule>
  </conditionalFormatting>
  <conditionalFormatting sqref="W61">
    <cfRule type="expression" dxfId="1710" priority="12">
      <formula>AND($R$61,$S$61)</formula>
    </cfRule>
  </conditionalFormatting>
  <conditionalFormatting sqref="W61">
    <cfRule type="expression" dxfId="1709" priority="11">
      <formula>AND(IF($R$61,$W$61,TRUE),LEN(TRIM($W$61))&gt;0)</formula>
    </cfRule>
  </conditionalFormatting>
  <conditionalFormatting sqref="W61">
    <cfRule type="expression" dxfId="1708" priority="10">
      <formula>$S$61 = FALSE</formula>
    </cfRule>
  </conditionalFormatting>
  <conditionalFormatting sqref="I1">
    <cfRule type="expression" dxfId="1707" priority="5">
      <formula>$AG$1="Gold"</formula>
    </cfRule>
    <cfRule type="expression" dxfId="1706" priority="6">
      <formula>$AG$1="Silver"</formula>
    </cfRule>
    <cfRule type="expression" dxfId="1705" priority="7">
      <formula>$AG$1="Bronze"</formula>
    </cfRule>
    <cfRule type="expression" dxfId="1704" priority="8">
      <formula>$AG$1="Emerald"</formula>
    </cfRule>
  </conditionalFormatting>
  <conditionalFormatting sqref="W58">
    <cfRule type="expression" dxfId="1703" priority="4">
      <formula>AND($R$58,$S$58)</formula>
    </cfRule>
  </conditionalFormatting>
  <conditionalFormatting sqref="W58">
    <cfRule type="expression" dxfId="1702" priority="3">
      <formula>AND(IF($R$58,$W$58,TRUE),LEN(TRIM($W$58))&gt;0)</formula>
    </cfRule>
  </conditionalFormatting>
  <conditionalFormatting sqref="W58">
    <cfRule type="expression" dxfId="1701" priority="2">
      <formula>$S$58 = FALSE</formula>
    </cfRule>
  </conditionalFormatting>
  <conditionalFormatting sqref="W58">
    <cfRule type="expression" dxfId="1700" priority="1">
      <formula>OR($T$58 = TRUE, AND($W$58 = TRUE, $S$58 = FALSE))</formula>
    </cfRule>
  </conditionalFormatting>
  <dataValidations count="1">
    <dataValidation type="list" allowBlank="1" showDropDown="1" showInputMessage="1" showErrorMessage="1" error="Use Checkbox" prompt="Use Checkbox" sqref="W173 W170 W168 W147:W151 W144:W145 W142 W135 W131 W129 W123 W119:W120 W117 W114:W115 W112 W109 W107 W104 W102 W94:W96 W91:W92 W89 W86 W83 W56 W54 W51:W52 W49 W46:W47 W44 W42 W38 W15:W17 W25 W21:W23 W27:W28 W30:W32 W60:W62 W58" xr:uid="{00000000-0002-0000-0800-000000000000}">
      <formula1>TorF</formula1>
    </dataValidation>
  </dataValidations>
  <pageMargins left="0.7" right="0.7" top="0.75" bottom="0.75" header="0.3" footer="0.3"/>
  <pageSetup scale="44" fitToHeight="0" orientation="portrait" r:id="rId1"/>
  <rowBreaks count="1" manualBreakCount="1">
    <brk id="97"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1346"/>
  <sheetViews>
    <sheetView showGridLines="0" zoomScaleNormal="100" workbookViewId="0">
      <pane ySplit="6" topLeftCell="A7" activePane="bottomLeft" state="frozen"/>
      <selection activeCell="E7" sqref="E7:F7"/>
      <selection pane="bottomLeft" sqref="A1:A1048576"/>
    </sheetView>
  </sheetViews>
  <sheetFormatPr baseColWidth="10" defaultColWidth="8.83203125" defaultRowHeight="15" x14ac:dyDescent="0.2"/>
  <cols>
    <col min="1" max="1" width="3.6640625" style="294" bestFit="1" customWidth="1"/>
    <col min="2" max="2" width="3.6640625" customWidth="1"/>
    <col min="3" max="3" width="3.6640625" style="440" customWidth="1"/>
    <col min="4" max="4" width="10.5" style="343" customWidth="1"/>
    <col min="5" max="6" width="3.83203125" style="343" customWidth="1"/>
    <col min="7" max="7" width="71.6640625" customWidth="1"/>
    <col min="8" max="8" width="19.1640625" style="56" hidden="1" customWidth="1"/>
    <col min="9" max="9" width="3" style="56" hidden="1" customWidth="1"/>
    <col min="10" max="10" width="73.5" style="3" customWidth="1"/>
  </cols>
  <sheetData>
    <row r="1" spans="1:10" ht="15" customHeight="1" x14ac:dyDescent="0.2">
      <c r="A1" s="913" t="s">
        <v>3338</v>
      </c>
      <c r="B1" s="894" t="s">
        <v>2149</v>
      </c>
      <c r="C1" s="894" t="s">
        <v>3339</v>
      </c>
      <c r="D1" s="735"/>
      <c r="E1" s="735"/>
      <c r="F1" s="735"/>
      <c r="G1" s="735"/>
      <c r="J1" s="910" t="s">
        <v>3340</v>
      </c>
    </row>
    <row r="2" spans="1:10" x14ac:dyDescent="0.2">
      <c r="A2" s="913"/>
      <c r="B2" s="894"/>
      <c r="C2" s="894"/>
      <c r="D2" s="735"/>
      <c r="E2" s="735"/>
      <c r="F2" s="735"/>
      <c r="G2" s="735"/>
      <c r="J2" s="911"/>
    </row>
    <row r="3" spans="1:10" x14ac:dyDescent="0.2">
      <c r="A3" s="913"/>
      <c r="B3" s="894"/>
      <c r="C3" s="894"/>
      <c r="D3" s="735"/>
      <c r="E3" s="735"/>
      <c r="F3" s="735"/>
      <c r="G3" s="735"/>
      <c r="J3" s="911"/>
    </row>
    <row r="4" spans="1:10" s="216" customFormat="1" x14ac:dyDescent="0.2">
      <c r="A4" s="913"/>
      <c r="B4" s="894"/>
      <c r="C4" s="894"/>
      <c r="D4" s="735"/>
      <c r="E4" s="735"/>
      <c r="F4" s="735"/>
      <c r="G4" s="735"/>
      <c r="H4" s="56"/>
      <c r="I4" s="56"/>
      <c r="J4" s="911"/>
    </row>
    <row r="5" spans="1:10" s="216" customFormat="1" x14ac:dyDescent="0.2">
      <c r="A5" s="913"/>
      <c r="B5" s="894"/>
      <c r="C5" s="894"/>
      <c r="D5" s="735"/>
      <c r="E5" s="735"/>
      <c r="F5" s="735"/>
      <c r="G5" s="735"/>
      <c r="H5" s="56"/>
      <c r="I5" s="56"/>
      <c r="J5" s="911"/>
    </row>
    <row r="6" spans="1:10" ht="21" x14ac:dyDescent="0.25">
      <c r="A6" s="538" t="s">
        <v>3341</v>
      </c>
      <c r="B6" s="562"/>
      <c r="C6" s="562"/>
      <c r="D6" s="687"/>
      <c r="E6" s="687"/>
      <c r="F6" s="687"/>
      <c r="G6" s="289" t="s">
        <v>3342</v>
      </c>
    </row>
    <row r="7" spans="1:10" ht="19" x14ac:dyDescent="0.25">
      <c r="A7" s="294" t="s">
        <v>3343</v>
      </c>
      <c r="B7" s="190" t="str">
        <f>IF(LEN('Ch5'!H9)=0,"",'Ch5'!H9)</f>
        <v/>
      </c>
      <c r="C7" s="190" t="str">
        <f>IF(LEN(B7)=0,IF(A7="P","P",""),B7)</f>
        <v>P</v>
      </c>
      <c r="D7" s="50" t="s">
        <v>2172</v>
      </c>
      <c r="E7" s="50"/>
      <c r="F7" s="50"/>
      <c r="G7" s="16"/>
      <c r="H7" s="16"/>
      <c r="I7" s="16"/>
      <c r="J7" s="16"/>
    </row>
    <row r="8" spans="1:10" ht="15" customHeight="1" x14ac:dyDescent="0.2">
      <c r="B8" s="190" t="str">
        <f>IF(LEN('Ch5'!H10)=0,"",'Ch5'!H10)</f>
        <v/>
      </c>
      <c r="C8" s="190" t="str">
        <f t="shared" ref="C8:C65" si="0">IF(LEN(B8)=0,IF(A8="P","P",""),B8)</f>
        <v/>
      </c>
      <c r="D8" s="346" t="s">
        <v>2174</v>
      </c>
      <c r="E8" s="346"/>
      <c r="F8" s="346"/>
      <c r="G8" s="775" t="s">
        <v>2175</v>
      </c>
      <c r="J8" s="394"/>
    </row>
    <row r="9" spans="1:10" x14ac:dyDescent="0.2">
      <c r="B9" s="190" t="str">
        <f>IF(LEN('Ch5'!H11)=0,"",'Ch5'!H11)</f>
        <v/>
      </c>
      <c r="C9" s="190" t="str">
        <f t="shared" si="0"/>
        <v/>
      </c>
      <c r="D9" s="346"/>
      <c r="E9" s="346"/>
      <c r="F9" s="346"/>
      <c r="G9" s="775"/>
      <c r="J9" s="394"/>
    </row>
    <row r="10" spans="1:10" x14ac:dyDescent="0.2">
      <c r="B10" s="190" t="str">
        <f>IF(LEN('Ch5'!H12)=0,"",'Ch5'!H12)</f>
        <v/>
      </c>
      <c r="C10" s="190" t="str">
        <f t="shared" si="0"/>
        <v/>
      </c>
      <c r="D10" s="346"/>
      <c r="E10" s="346"/>
      <c r="F10" s="346"/>
      <c r="G10" s="775"/>
      <c r="J10" s="394"/>
    </row>
    <row r="11" spans="1:10" ht="19" x14ac:dyDescent="0.2">
      <c r="A11" s="294" t="s">
        <v>3343</v>
      </c>
      <c r="B11" s="190" t="str">
        <f>IF(LEN('Ch5'!H13)=0,"",'Ch5'!H13)</f>
        <v/>
      </c>
      <c r="C11" s="190" t="str">
        <f t="shared" si="0"/>
        <v>P</v>
      </c>
      <c r="D11" s="50" t="s">
        <v>2177</v>
      </c>
      <c r="E11" s="50"/>
      <c r="F11" s="50"/>
      <c r="G11" s="52"/>
      <c r="H11" s="52"/>
      <c r="I11" s="52"/>
      <c r="J11" s="395"/>
    </row>
    <row r="12" spans="1:10" ht="15.75" customHeight="1" x14ac:dyDescent="0.2">
      <c r="A12" s="539" t="str">
        <f>IF(COUNTIF(A14:A18,"P")&gt;0,"P","")</f>
        <v/>
      </c>
      <c r="B12" s="190" t="str">
        <f>IF(LEN('Ch5'!H14)=0,"",'Ch5'!H14)</f>
        <v/>
      </c>
      <c r="C12" s="190" t="str">
        <f t="shared" si="0"/>
        <v/>
      </c>
      <c r="D12" s="346" t="s">
        <v>2179</v>
      </c>
      <c r="E12" s="346"/>
      <c r="F12" s="346"/>
      <c r="G12" s="775" t="s">
        <v>2180</v>
      </c>
      <c r="J12" s="650"/>
    </row>
    <row r="13" spans="1:10" x14ac:dyDescent="0.2">
      <c r="A13" s="294" t="str">
        <f>A12</f>
        <v/>
      </c>
      <c r="B13" s="190" t="str">
        <f>IF(LEN('Ch5'!H15)=0,"",'Ch5'!H15)</f>
        <v/>
      </c>
      <c r="C13" s="190" t="str">
        <f t="shared" si="0"/>
        <v/>
      </c>
      <c r="D13" s="346"/>
      <c r="E13" s="346"/>
      <c r="F13" s="346"/>
      <c r="G13" s="775"/>
      <c r="J13" s="650"/>
    </row>
    <row r="14" spans="1:10" ht="15" customHeight="1" x14ac:dyDescent="0.2">
      <c r="A14" s="294" t="str">
        <f>IF(AND(LEN('Ch5'!W16)&gt;0,NOT('Ch5'!W16=FALSE)),"P","")</f>
        <v/>
      </c>
      <c r="B14" s="190" t="str">
        <f>IF(LEN('Ch5'!H16)=0,"",'Ch5'!H16)</f>
        <v/>
      </c>
      <c r="C14" s="190" t="str">
        <f t="shared" si="0"/>
        <v/>
      </c>
      <c r="D14" s="346"/>
      <c r="E14" s="347" t="s">
        <v>2181</v>
      </c>
      <c r="F14" s="347"/>
      <c r="G14" s="776" t="s">
        <v>2182</v>
      </c>
      <c r="H14" s="56">
        <f>'Ch5'!W16</f>
        <v>0</v>
      </c>
      <c r="I14" s="56">
        <f>'Ch5'!O16</f>
        <v>0</v>
      </c>
      <c r="J14" s="889" t="s">
        <v>3344</v>
      </c>
    </row>
    <row r="15" spans="1:10" x14ac:dyDescent="0.2">
      <c r="A15" s="294" t="str">
        <f>A14</f>
        <v/>
      </c>
      <c r="B15" s="190" t="str">
        <f>IF(LEN('Ch5'!H17)=0,"",'Ch5'!H17)</f>
        <v/>
      </c>
      <c r="C15" s="190" t="str">
        <f t="shared" si="0"/>
        <v/>
      </c>
      <c r="D15" s="346"/>
      <c r="E15" s="366"/>
      <c r="F15" s="366"/>
      <c r="G15" s="777"/>
      <c r="J15" s="889"/>
    </row>
    <row r="16" spans="1:10" ht="15" customHeight="1" x14ac:dyDescent="0.2">
      <c r="A16" s="294" t="str">
        <f>IF(AND(LEN('Ch5'!W18)&gt;0,NOT('Ch5'!W18=FALSE)),"P","")</f>
        <v/>
      </c>
      <c r="B16" s="190" t="str">
        <f>IF(LEN('Ch5'!H18)=0,"",'Ch5'!H18)</f>
        <v/>
      </c>
      <c r="C16" s="190" t="str">
        <f t="shared" si="0"/>
        <v/>
      </c>
      <c r="D16" s="346"/>
      <c r="E16" s="347" t="s">
        <v>2183</v>
      </c>
      <c r="F16" s="347"/>
      <c r="G16" s="791" t="s">
        <v>2184</v>
      </c>
      <c r="H16" s="56">
        <f>'Ch5'!W18</f>
        <v>0</v>
      </c>
      <c r="I16" s="56">
        <f>'Ch5'!O18</f>
        <v>0</v>
      </c>
      <c r="J16" s="889" t="s">
        <v>3345</v>
      </c>
    </row>
    <row r="17" spans="1:10" x14ac:dyDescent="0.2">
      <c r="A17" s="294" t="str">
        <f>A16</f>
        <v/>
      </c>
      <c r="B17" s="190" t="str">
        <f>IF(LEN('Ch5'!H19)=0,"",'Ch5'!H19)</f>
        <v/>
      </c>
      <c r="C17" s="190" t="str">
        <f t="shared" si="0"/>
        <v/>
      </c>
      <c r="D17" s="346"/>
      <c r="E17" s="366"/>
      <c r="F17" s="366"/>
      <c r="G17" s="792"/>
      <c r="J17" s="889"/>
    </row>
    <row r="18" spans="1:10" ht="15" customHeight="1" x14ac:dyDescent="0.2">
      <c r="A18" s="294" t="str">
        <f>IF(AND(LEN('Ch5'!W20)&gt;0,NOT('Ch5'!W20=FALSE)),"P","")</f>
        <v/>
      </c>
      <c r="B18" s="190" t="str">
        <f>IF(LEN('Ch5'!H20)=0,"",'Ch5'!H20)</f>
        <v/>
      </c>
      <c r="C18" s="190" t="str">
        <f t="shared" si="0"/>
        <v/>
      </c>
      <c r="D18" s="346"/>
      <c r="E18" s="61" t="s">
        <v>2185</v>
      </c>
      <c r="F18" s="347"/>
      <c r="G18" s="791" t="s">
        <v>2186</v>
      </c>
      <c r="H18" s="56">
        <f>'Ch5'!W20</f>
        <v>0</v>
      </c>
      <c r="I18" s="56">
        <f>'Ch5'!O20</f>
        <v>0</v>
      </c>
      <c r="J18" s="889" t="s">
        <v>3346</v>
      </c>
    </row>
    <row r="19" spans="1:10" x14ac:dyDescent="0.2">
      <c r="A19" s="294" t="str">
        <f>A18</f>
        <v/>
      </c>
      <c r="B19" s="190" t="str">
        <f>IF(LEN('Ch5'!H21)=0,"",'Ch5'!H21)</f>
        <v/>
      </c>
      <c r="C19" s="190" t="str">
        <f t="shared" si="0"/>
        <v/>
      </c>
      <c r="D19" s="346"/>
      <c r="E19" s="61"/>
      <c r="F19" s="347"/>
      <c r="G19" s="791"/>
      <c r="J19" s="889"/>
    </row>
    <row r="20" spans="1:10" x14ac:dyDescent="0.2">
      <c r="A20" s="294" t="str">
        <f>A19</f>
        <v/>
      </c>
      <c r="B20" s="190" t="str">
        <f>IF(LEN('Ch5'!H22)=0,"",'Ch5'!H22)</f>
        <v/>
      </c>
      <c r="C20" s="190" t="str">
        <f t="shared" si="0"/>
        <v/>
      </c>
      <c r="D20" s="346"/>
      <c r="E20" s="61"/>
      <c r="F20" s="347"/>
      <c r="G20" s="791"/>
      <c r="J20" s="889"/>
    </row>
    <row r="21" spans="1:10" x14ac:dyDescent="0.2">
      <c r="A21" s="294" t="str">
        <f>A20</f>
        <v/>
      </c>
      <c r="B21" s="190" t="str">
        <f>IF(LEN('Ch5'!H23)=0,"",'Ch5'!H23)</f>
        <v/>
      </c>
      <c r="C21" s="190" t="str">
        <f t="shared" si="0"/>
        <v/>
      </c>
      <c r="D21" s="346"/>
      <c r="E21" s="61"/>
      <c r="F21" s="347"/>
      <c r="G21" s="791"/>
      <c r="J21" s="889"/>
    </row>
    <row r="22" spans="1:10" x14ac:dyDescent="0.2">
      <c r="B22" s="190" t="str">
        <f>IF(LEN('Ch5'!H24)=0,"",'Ch5'!H24)</f>
        <v/>
      </c>
      <c r="C22" s="190" t="str">
        <f t="shared" si="0"/>
        <v/>
      </c>
      <c r="D22" s="346"/>
      <c r="E22" s="61"/>
      <c r="F22" s="347"/>
      <c r="G22" s="65" t="s">
        <v>2187</v>
      </c>
      <c r="J22" s="650"/>
    </row>
    <row r="23" spans="1:10" x14ac:dyDescent="0.2">
      <c r="B23" s="190" t="str">
        <f>IF(LEN('Ch5'!H25)=0,"",'Ch5'!H25)</f>
        <v/>
      </c>
      <c r="C23" s="190" t="str">
        <f t="shared" si="0"/>
        <v/>
      </c>
      <c r="D23" s="346"/>
      <c r="E23" s="61"/>
      <c r="F23" s="347"/>
      <c r="G23" s="65" t="s">
        <v>2188</v>
      </c>
      <c r="J23" s="650"/>
    </row>
    <row r="24" spans="1:10" x14ac:dyDescent="0.2">
      <c r="B24" s="190" t="str">
        <f>IF(LEN('Ch5'!H26)=0,"",'Ch5'!H26)</f>
        <v/>
      </c>
      <c r="C24" s="190" t="str">
        <f t="shared" si="0"/>
        <v/>
      </c>
      <c r="D24" s="346"/>
      <c r="E24" s="61"/>
      <c r="F24" s="347"/>
      <c r="G24" s="65" t="s">
        <v>2189</v>
      </c>
      <c r="J24" s="650"/>
    </row>
    <row r="25" spans="1:10" x14ac:dyDescent="0.2">
      <c r="B25" s="190" t="str">
        <f>IF(LEN('Ch5'!H27)=0,"",'Ch5'!H27)</f>
        <v/>
      </c>
      <c r="C25" s="190" t="str">
        <f t="shared" si="0"/>
        <v/>
      </c>
      <c r="D25" s="346"/>
      <c r="E25" s="61"/>
      <c r="F25" s="347"/>
      <c r="G25" s="65" t="s">
        <v>2190</v>
      </c>
      <c r="J25" s="650"/>
    </row>
    <row r="26" spans="1:10" x14ac:dyDescent="0.2">
      <c r="B26" s="190" t="str">
        <f>IF(LEN('Ch5'!H28)=0,"",'Ch5'!H28)</f>
        <v/>
      </c>
      <c r="C26" s="190" t="str">
        <f t="shared" si="0"/>
        <v/>
      </c>
      <c r="D26" s="346"/>
      <c r="E26" s="125"/>
      <c r="F26" s="366"/>
      <c r="G26" s="571" t="s">
        <v>2191</v>
      </c>
      <c r="J26" s="650"/>
    </row>
    <row r="27" spans="1:10" ht="15" customHeight="1" x14ac:dyDescent="0.2">
      <c r="A27" s="294" t="str">
        <f>IF(AND(LEN('Ch5'!W29)&gt;0,NOT('Ch5'!W29=FALSE)),"P","")</f>
        <v/>
      </c>
      <c r="B27" s="190" t="str">
        <f>IF(LEN('Ch5'!H29)=0,"",'Ch5'!H29)</f>
        <v/>
      </c>
      <c r="C27" s="190" t="str">
        <f t="shared" si="0"/>
        <v/>
      </c>
      <c r="D27" s="346"/>
      <c r="E27" s="61" t="s">
        <v>2192</v>
      </c>
      <c r="F27" s="347"/>
      <c r="G27" s="791" t="s">
        <v>2193</v>
      </c>
      <c r="H27" s="56">
        <f>'Ch5'!W29</f>
        <v>0</v>
      </c>
      <c r="I27" s="56">
        <f>'Ch5'!O29</f>
        <v>0</v>
      </c>
      <c r="J27" s="889" t="s">
        <v>3347</v>
      </c>
    </row>
    <row r="28" spans="1:10" x14ac:dyDescent="0.2">
      <c r="A28" s="294" t="str">
        <f>A27</f>
        <v/>
      </c>
      <c r="B28" s="190" t="str">
        <f>IF(LEN('Ch5'!H30)=0,"",'Ch5'!H30)</f>
        <v/>
      </c>
      <c r="C28" s="190" t="str">
        <f t="shared" si="0"/>
        <v/>
      </c>
      <c r="D28" s="346"/>
      <c r="E28" s="61"/>
      <c r="F28" s="347"/>
      <c r="G28" s="791"/>
      <c r="J28" s="889"/>
    </row>
    <row r="29" spans="1:10" x14ac:dyDescent="0.2">
      <c r="A29" s="294" t="str">
        <f>A28</f>
        <v/>
      </c>
      <c r="B29" s="190" t="str">
        <f>IF(LEN('Ch5'!H31)=0,"",'Ch5'!H31)</f>
        <v/>
      </c>
      <c r="C29" s="190" t="str">
        <f t="shared" si="0"/>
        <v/>
      </c>
      <c r="D29" s="346"/>
      <c r="E29" s="125"/>
      <c r="F29" s="366"/>
      <c r="G29" s="792"/>
      <c r="J29" s="889"/>
    </row>
    <row r="30" spans="1:10" ht="15" customHeight="1" x14ac:dyDescent="0.2">
      <c r="A30" s="294" t="str">
        <f>IF(AND(LEN('Ch5'!W32)&gt;0,NOT('Ch5'!W32=FALSE)),"P","")</f>
        <v/>
      </c>
      <c r="B30" s="190" t="str">
        <f>IF(LEN('Ch5'!H32)=0,"",'Ch5'!H32)</f>
        <v/>
      </c>
      <c r="C30" s="190" t="str">
        <f t="shared" si="0"/>
        <v/>
      </c>
      <c r="D30" s="346"/>
      <c r="E30" s="57" t="s">
        <v>2194</v>
      </c>
      <c r="F30" s="346"/>
      <c r="G30" s="817" t="s">
        <v>2195</v>
      </c>
      <c r="H30" s="56">
        <f>'Ch5'!W32</f>
        <v>0</v>
      </c>
      <c r="I30" s="56">
        <f ca="1">'Ch5'!O32</f>
        <v>0</v>
      </c>
      <c r="J30" s="889" t="s">
        <v>3348</v>
      </c>
    </row>
    <row r="31" spans="1:10" x14ac:dyDescent="0.2">
      <c r="A31" s="294" t="str">
        <f>A30</f>
        <v/>
      </c>
      <c r="B31" s="190" t="str">
        <f>IF(LEN('Ch5'!H33)=0,"",'Ch5'!H33)</f>
        <v/>
      </c>
      <c r="C31" s="190" t="str">
        <f t="shared" si="0"/>
        <v/>
      </c>
      <c r="D31" s="346"/>
      <c r="E31" s="346"/>
      <c r="F31" s="346"/>
      <c r="G31" s="817"/>
      <c r="J31" s="889"/>
    </row>
    <row r="32" spans="1:10" x14ac:dyDescent="0.2">
      <c r="B32" s="190" t="str">
        <f>IF(LEN('Ch5'!H34)=0,"",'Ch5'!H34)</f>
        <v/>
      </c>
      <c r="C32" s="190" t="str">
        <f t="shared" si="0"/>
        <v/>
      </c>
      <c r="D32" s="346"/>
      <c r="E32" s="346"/>
      <c r="F32" s="346" t="s">
        <v>2196</v>
      </c>
      <c r="G32" s="53" t="s">
        <v>2197</v>
      </c>
      <c r="J32" s="650"/>
    </row>
    <row r="33" spans="1:10" x14ac:dyDescent="0.2">
      <c r="B33" s="190" t="str">
        <f>IF(LEN('Ch5'!H35)=0,"",'Ch5'!H35)</f>
        <v/>
      </c>
      <c r="C33" s="190" t="str">
        <f t="shared" si="0"/>
        <v/>
      </c>
      <c r="D33" s="346"/>
      <c r="E33" s="346"/>
      <c r="F33" s="346" t="s">
        <v>2198</v>
      </c>
      <c r="G33" s="53" t="s">
        <v>2199</v>
      </c>
      <c r="J33" s="650"/>
    </row>
    <row r="34" spans="1:10" x14ac:dyDescent="0.2">
      <c r="B34" s="190" t="str">
        <f>IF(LEN('Ch5'!H36)=0,"",'Ch5'!H36)</f>
        <v/>
      </c>
      <c r="C34" s="190" t="str">
        <f t="shared" si="0"/>
        <v/>
      </c>
      <c r="D34" s="346"/>
      <c r="E34" s="346"/>
      <c r="F34" s="367" t="s">
        <v>2200</v>
      </c>
      <c r="G34" s="53" t="s">
        <v>2201</v>
      </c>
      <c r="J34" s="650"/>
    </row>
    <row r="35" spans="1:10" ht="19" x14ac:dyDescent="0.2">
      <c r="A35" s="294" t="s">
        <v>3343</v>
      </c>
      <c r="B35" s="190" t="str">
        <f>IF(LEN('Ch5'!H37)=0,"",'Ch5'!H37)</f>
        <v/>
      </c>
      <c r="C35" s="190" t="str">
        <f t="shared" si="0"/>
        <v>P</v>
      </c>
      <c r="D35" s="45" t="s">
        <v>2203</v>
      </c>
      <c r="E35" s="45"/>
      <c r="F35" s="45"/>
      <c r="G35" s="45"/>
      <c r="H35" s="45"/>
      <c r="I35" s="45"/>
      <c r="J35" s="396"/>
    </row>
    <row r="36" spans="1:10" ht="15" customHeight="1" x14ac:dyDescent="0.2">
      <c r="A36" s="294" t="str">
        <f>IF(AND(LEN('Ch5'!W38)&gt;0,NOT('Ch5'!W38=FALSE)),"P","")</f>
        <v/>
      </c>
      <c r="B36" s="190" t="str">
        <f>IF(LEN('Ch5'!H38)=0,"",'Ch5'!H38)</f>
        <v/>
      </c>
      <c r="C36" s="190" t="str">
        <f t="shared" si="0"/>
        <v/>
      </c>
      <c r="D36" s="107" t="s">
        <v>2205</v>
      </c>
      <c r="E36" s="358"/>
      <c r="F36" s="358"/>
      <c r="G36" s="775" t="s">
        <v>2206</v>
      </c>
      <c r="H36" s="56">
        <f>'Ch5'!W38</f>
        <v>0</v>
      </c>
      <c r="I36" s="56">
        <f>'Ch5'!O38</f>
        <v>0</v>
      </c>
      <c r="J36" s="891" t="s">
        <v>3349</v>
      </c>
    </row>
    <row r="37" spans="1:10" x14ac:dyDescent="0.2">
      <c r="A37" s="294" t="str">
        <f>A36</f>
        <v/>
      </c>
      <c r="B37" s="190" t="str">
        <f>IF(LEN('Ch5'!H39)=0,"",'Ch5'!H39)</f>
        <v/>
      </c>
      <c r="C37" s="190" t="str">
        <f t="shared" si="0"/>
        <v/>
      </c>
      <c r="D37" s="358"/>
      <c r="E37" s="358"/>
      <c r="F37" s="358"/>
      <c r="G37" s="775"/>
      <c r="J37" s="891"/>
    </row>
    <row r="38" spans="1:10" x14ac:dyDescent="0.2">
      <c r="A38" s="294" t="str">
        <f>A37</f>
        <v/>
      </c>
      <c r="B38" s="190" t="str">
        <f>IF(LEN('Ch5'!H40)=0,"",'Ch5'!H40)</f>
        <v/>
      </c>
      <c r="C38" s="190" t="str">
        <f t="shared" si="0"/>
        <v/>
      </c>
      <c r="D38" s="358"/>
      <c r="E38" s="358"/>
      <c r="F38" s="358"/>
      <c r="G38" s="775"/>
      <c r="J38" s="891"/>
    </row>
    <row r="39" spans="1:10" ht="15" customHeight="1" x14ac:dyDescent="0.2">
      <c r="A39" s="294" t="str">
        <f>A38</f>
        <v/>
      </c>
      <c r="B39" s="190" t="str">
        <f>IF(LEN('Ch5'!H41)=0,"",'Ch5'!H41)</f>
        <v/>
      </c>
      <c r="C39" s="190" t="str">
        <f t="shared" si="0"/>
        <v/>
      </c>
      <c r="D39" s="358"/>
      <c r="E39" s="358"/>
      <c r="F39" s="358"/>
      <c r="G39" s="775"/>
      <c r="J39" s="891"/>
    </row>
    <row r="40" spans="1:10" ht="19" x14ac:dyDescent="0.2">
      <c r="A40" s="294" t="s">
        <v>3343</v>
      </c>
      <c r="B40" s="190" t="str">
        <f>IF(LEN('Ch5'!H42)=0,"",'Ch5'!H42)</f>
        <v/>
      </c>
      <c r="C40" s="190" t="str">
        <f t="shared" si="0"/>
        <v>P</v>
      </c>
      <c r="D40" s="45" t="s">
        <v>2208</v>
      </c>
      <c r="E40" s="50"/>
      <c r="F40" s="50"/>
      <c r="G40" s="54"/>
      <c r="H40" s="54"/>
      <c r="I40" s="54"/>
      <c r="J40" s="397"/>
    </row>
    <row r="41" spans="1:10" ht="15" customHeight="1" x14ac:dyDescent="0.2">
      <c r="B41" s="190" t="str">
        <f>IF(LEN('Ch5'!H43)=0,"",'Ch5'!H43)</f>
        <v/>
      </c>
      <c r="C41" s="190" t="str">
        <f t="shared" si="0"/>
        <v/>
      </c>
      <c r="D41" s="347" t="s">
        <v>2210</v>
      </c>
      <c r="E41" s="359"/>
      <c r="F41" s="359"/>
      <c r="G41" s="820" t="s">
        <v>2211</v>
      </c>
      <c r="J41" s="650"/>
    </row>
    <row r="42" spans="1:10" x14ac:dyDescent="0.2">
      <c r="B42" s="190" t="str">
        <f>IF(LEN('Ch5'!H44)=0,"",'Ch5'!H44)</f>
        <v/>
      </c>
      <c r="C42" s="190" t="str">
        <f t="shared" si="0"/>
        <v/>
      </c>
      <c r="D42" s="359"/>
      <c r="E42" s="359"/>
      <c r="F42" s="359"/>
      <c r="G42" s="820"/>
      <c r="J42" s="650"/>
    </row>
    <row r="43" spans="1:10" x14ac:dyDescent="0.2">
      <c r="B43" s="190" t="str">
        <f>IF(LEN('Ch5'!H45)=0,"",'Ch5'!H45)</f>
        <v/>
      </c>
      <c r="C43" s="190" t="str">
        <f t="shared" si="0"/>
        <v/>
      </c>
      <c r="D43" s="359"/>
      <c r="E43" s="359"/>
      <c r="F43" s="359"/>
      <c r="G43" s="820"/>
      <c r="J43" s="650"/>
    </row>
    <row r="44" spans="1:10" x14ac:dyDescent="0.2">
      <c r="B44" s="190" t="str">
        <f>IF(LEN('Ch5'!H46)=0,"",'Ch5'!H46)</f>
        <v/>
      </c>
      <c r="C44" s="190" t="str">
        <f t="shared" si="0"/>
        <v/>
      </c>
      <c r="D44" s="359"/>
      <c r="E44" s="359"/>
      <c r="F44" s="359"/>
      <c r="G44" s="820"/>
      <c r="J44" s="650"/>
    </row>
    <row r="45" spans="1:10" ht="16" thickBot="1" x14ac:dyDescent="0.25">
      <c r="B45" s="190" t="str">
        <f>IF(LEN('Ch5'!H47)=0,"",'Ch5'!H47)</f>
        <v/>
      </c>
      <c r="C45" s="190" t="str">
        <f t="shared" si="0"/>
        <v/>
      </c>
      <c r="D45" s="360"/>
      <c r="E45" s="360"/>
      <c r="F45" s="360"/>
      <c r="G45" s="73" t="s">
        <v>2212</v>
      </c>
      <c r="J45" s="650"/>
    </row>
    <row r="46" spans="1:10" ht="15" customHeight="1" thickTop="1" x14ac:dyDescent="0.2">
      <c r="A46" s="539" t="str">
        <f>IF(COUNTIF(A48:A57,"P")&gt;0,"P","")</f>
        <v/>
      </c>
      <c r="B46" s="190" t="str">
        <f>IF(LEN('Ch5'!H48)=0,"",'Ch5'!H48)</f>
        <v/>
      </c>
      <c r="C46" s="190" t="str">
        <f t="shared" si="0"/>
        <v/>
      </c>
      <c r="D46" s="107" t="s">
        <v>2214</v>
      </c>
      <c r="E46" s="613"/>
      <c r="F46" s="613"/>
      <c r="G46" s="811" t="s">
        <v>2215</v>
      </c>
      <c r="J46" s="892" t="s">
        <v>3350</v>
      </c>
    </row>
    <row r="47" spans="1:10" s="507" customFormat="1" ht="15" customHeight="1" x14ac:dyDescent="0.2">
      <c r="A47" s="294" t="str">
        <f>A46</f>
        <v/>
      </c>
      <c r="B47" s="190" t="str">
        <f>IF(LEN('Ch5'!H50)=0,"",'Ch5'!H50)</f>
        <v/>
      </c>
      <c r="C47" s="190" t="str">
        <f t="shared" ref="C47" si="1">IF(LEN(B47)=0,IF(A47="P","P",""),B47)</f>
        <v/>
      </c>
      <c r="D47" s="107"/>
      <c r="E47" s="614"/>
      <c r="F47" s="614"/>
      <c r="G47" s="812"/>
      <c r="H47" s="56"/>
      <c r="I47" s="56"/>
      <c r="J47" s="893"/>
    </row>
    <row r="48" spans="1:10" x14ac:dyDescent="0.2">
      <c r="A48" s="294" t="str">
        <f>IF(AND(LEN('Ch5'!W50)&gt;0,NOT('Ch5'!W50=FALSE)),"P","")</f>
        <v/>
      </c>
      <c r="B48" s="190" t="str">
        <f>IF(LEN('Ch5'!H50)=0,"",'Ch5'!H50)</f>
        <v/>
      </c>
      <c r="C48" s="190" t="str">
        <f t="shared" si="0"/>
        <v/>
      </c>
      <c r="D48" s="359"/>
      <c r="E48" s="366" t="s">
        <v>2181</v>
      </c>
      <c r="F48" s="368"/>
      <c r="G48" s="126" t="s">
        <v>2216</v>
      </c>
      <c r="H48" s="56">
        <f>'Ch5'!W50</f>
        <v>0</v>
      </c>
      <c r="I48" s="56">
        <f>'Ch5'!O50</f>
        <v>0</v>
      </c>
      <c r="J48" s="651" t="s">
        <v>3351</v>
      </c>
    </row>
    <row r="49" spans="1:10" ht="15" customHeight="1" x14ac:dyDescent="0.2">
      <c r="A49" s="294" t="str">
        <f>IF(AND(LEN('Ch5'!W51)&gt;0,NOT('Ch5'!W51=FALSE)),"P","")</f>
        <v/>
      </c>
      <c r="B49" s="190" t="str">
        <f>IF(LEN('Ch5'!H51)=0,"",'Ch5'!H51)</f>
        <v/>
      </c>
      <c r="C49" s="190" t="str">
        <f t="shared" si="0"/>
        <v/>
      </c>
      <c r="D49" s="359"/>
      <c r="E49" s="347" t="s">
        <v>2183</v>
      </c>
      <c r="F49" s="359"/>
      <c r="G49" s="791" t="s">
        <v>2217</v>
      </c>
      <c r="H49" s="56">
        <f>'Ch5'!W51</f>
        <v>0</v>
      </c>
      <c r="I49" s="56">
        <f>'Ch5'!O51</f>
        <v>0</v>
      </c>
      <c r="J49" s="891" t="s">
        <v>3352</v>
      </c>
    </row>
    <row r="50" spans="1:10" x14ac:dyDescent="0.2">
      <c r="A50" s="294" t="str">
        <f>A49</f>
        <v/>
      </c>
      <c r="B50" s="190" t="str">
        <f>IF(LEN('Ch5'!H52)=0,"",'Ch5'!H52)</f>
        <v/>
      </c>
      <c r="C50" s="190" t="str">
        <f t="shared" si="0"/>
        <v/>
      </c>
      <c r="D50" s="359"/>
      <c r="E50" s="366"/>
      <c r="F50" s="368"/>
      <c r="G50" s="792"/>
      <c r="J50" s="891"/>
    </row>
    <row r="51" spans="1:10" ht="15" customHeight="1" x14ac:dyDescent="0.2">
      <c r="A51" s="294" t="str">
        <f>IF(AND(LEN('Ch5'!W53)&gt;0,NOT('Ch5'!W53=FALSE)),"P","")</f>
        <v/>
      </c>
      <c r="B51" s="190" t="str">
        <f>IF(LEN('Ch5'!H53)=0,"",'Ch5'!H53)</f>
        <v/>
      </c>
      <c r="C51" s="190" t="str">
        <f t="shared" si="0"/>
        <v/>
      </c>
      <c r="D51" s="359"/>
      <c r="E51" s="347" t="s">
        <v>2185</v>
      </c>
      <c r="F51" s="359"/>
      <c r="G51" s="791" t="s">
        <v>2218</v>
      </c>
      <c r="H51" s="56">
        <f>'Ch5'!W53</f>
        <v>0</v>
      </c>
      <c r="I51" s="56">
        <f>'Ch5'!O53</f>
        <v>0</v>
      </c>
      <c r="J51" s="888" t="s">
        <v>3353</v>
      </c>
    </row>
    <row r="52" spans="1:10" x14ac:dyDescent="0.2">
      <c r="A52" s="294" t="str">
        <f>A51</f>
        <v/>
      </c>
      <c r="B52" s="190" t="str">
        <f>IF(LEN('Ch5'!H54)=0,"",'Ch5'!H54)</f>
        <v/>
      </c>
      <c r="C52" s="190" t="str">
        <f t="shared" si="0"/>
        <v/>
      </c>
      <c r="D52" s="359"/>
      <c r="E52" s="366"/>
      <c r="F52" s="368"/>
      <c r="G52" s="792"/>
      <c r="J52" s="888"/>
    </row>
    <row r="53" spans="1:10" x14ac:dyDescent="0.2">
      <c r="A53" s="294" t="str">
        <f>IF(AND(LEN('Ch5'!W55)&gt;0,NOT('Ch5'!W55=FALSE)),"P","")</f>
        <v/>
      </c>
      <c r="B53" s="190" t="str">
        <f>IF(LEN('Ch5'!H55)=0,"",'Ch5'!H55)</f>
        <v/>
      </c>
      <c r="C53" s="190" t="str">
        <f t="shared" si="0"/>
        <v/>
      </c>
      <c r="D53" s="359"/>
      <c r="E53" s="366" t="s">
        <v>2192</v>
      </c>
      <c r="F53" s="368"/>
      <c r="G53" s="126" t="s">
        <v>2219</v>
      </c>
      <c r="H53" s="56">
        <f>'Ch5'!W55</f>
        <v>0</v>
      </c>
      <c r="I53" s="56">
        <f>'Ch5'!O55</f>
        <v>0</v>
      </c>
      <c r="J53" s="650" t="s">
        <v>3354</v>
      </c>
    </row>
    <row r="54" spans="1:10" x14ac:dyDescent="0.2">
      <c r="A54" s="294" t="str">
        <f>IF(AND(LEN('Ch5'!W56)&gt;0,NOT('Ch5'!W56=FALSE)),"P","")</f>
        <v/>
      </c>
      <c r="B54" s="190" t="str">
        <f>IF(LEN('Ch5'!H56)=0,"",'Ch5'!H56)</f>
        <v/>
      </c>
      <c r="C54" s="190" t="str">
        <f t="shared" si="0"/>
        <v/>
      </c>
      <c r="D54" s="359"/>
      <c r="E54" s="366" t="s">
        <v>2194</v>
      </c>
      <c r="F54" s="368"/>
      <c r="G54" s="126" t="s">
        <v>2220</v>
      </c>
      <c r="H54" s="56">
        <f>'Ch5'!W56</f>
        <v>0</v>
      </c>
      <c r="I54" s="56">
        <f>'Ch5'!O56</f>
        <v>0</v>
      </c>
      <c r="J54" s="650" t="s">
        <v>3355</v>
      </c>
    </row>
    <row r="55" spans="1:10" ht="15" customHeight="1" x14ac:dyDescent="0.2">
      <c r="A55" s="294" t="str">
        <f>IF(AND(LEN('Ch5'!W57)&gt;0,NOT('Ch5'!W57=FALSE)),"P","")</f>
        <v/>
      </c>
      <c r="B55" s="190" t="str">
        <f>IF(LEN('Ch5'!H57)=0,"",'Ch5'!H57)</f>
        <v/>
      </c>
      <c r="C55" s="190" t="str">
        <f t="shared" si="0"/>
        <v/>
      </c>
      <c r="D55" s="359"/>
      <c r="E55" s="347" t="s">
        <v>2221</v>
      </c>
      <c r="F55" s="359"/>
      <c r="G55" s="791" t="s">
        <v>2222</v>
      </c>
      <c r="H55" s="56">
        <f>'Ch5'!W57</f>
        <v>0</v>
      </c>
      <c r="I55" s="56">
        <f>'Ch5'!O57</f>
        <v>0</v>
      </c>
      <c r="J55" s="888" t="s">
        <v>3356</v>
      </c>
    </row>
    <row r="56" spans="1:10" x14ac:dyDescent="0.2">
      <c r="A56" s="294" t="str">
        <f>A55</f>
        <v/>
      </c>
      <c r="B56" s="190" t="str">
        <f>IF(LEN('Ch5'!H58)=0,"",'Ch5'!H58)</f>
        <v/>
      </c>
      <c r="C56" s="190" t="str">
        <f t="shared" si="0"/>
        <v/>
      </c>
      <c r="D56" s="359"/>
      <c r="E56" s="366"/>
      <c r="F56" s="368"/>
      <c r="G56" s="792"/>
      <c r="J56" s="888"/>
    </row>
    <row r="57" spans="1:10" ht="15" customHeight="1" x14ac:dyDescent="0.2">
      <c r="A57" s="294" t="str">
        <f>IF(AND(LEN('Ch5'!W59)&gt;0,NOT('Ch5'!W59=FALSE)),"P","")</f>
        <v/>
      </c>
      <c r="B57" s="190" t="str">
        <f>IF(LEN('Ch5'!H59)=0,"",'Ch5'!H59)</f>
        <v/>
      </c>
      <c r="C57" s="190" t="str">
        <f t="shared" si="0"/>
        <v/>
      </c>
      <c r="D57" s="359"/>
      <c r="E57" s="347" t="s">
        <v>2223</v>
      </c>
      <c r="F57" s="359"/>
      <c r="G57" s="791" t="s">
        <v>2224</v>
      </c>
      <c r="H57" s="56">
        <f>'Ch5'!W59</f>
        <v>0</v>
      </c>
      <c r="I57" s="56">
        <f>'Ch5'!O59</f>
        <v>0</v>
      </c>
      <c r="J57" s="889" t="s">
        <v>3357</v>
      </c>
    </row>
    <row r="58" spans="1:10" ht="16" thickBot="1" x14ac:dyDescent="0.25">
      <c r="A58" s="294" t="str">
        <f>A57</f>
        <v/>
      </c>
      <c r="B58" s="190" t="str">
        <f>IF(LEN('Ch5'!H60)=0,"",'Ch5'!H60)</f>
        <v/>
      </c>
      <c r="C58" s="190" t="str">
        <f t="shared" si="0"/>
        <v/>
      </c>
      <c r="D58" s="360"/>
      <c r="E58" s="360"/>
      <c r="F58" s="360"/>
      <c r="G58" s="818"/>
      <c r="J58" s="889"/>
    </row>
    <row r="59" spans="1:10" ht="16" thickTop="1" x14ac:dyDescent="0.2">
      <c r="A59" s="539" t="str">
        <f>IF(COUNTIF(A61:A71,"P")&gt;0,"P","")</f>
        <v/>
      </c>
      <c r="B59" s="190" t="str">
        <f>IF(LEN('Ch5'!H61)=0,"",'Ch5'!H61)</f>
        <v/>
      </c>
      <c r="C59" s="190" t="str">
        <f t="shared" si="0"/>
        <v/>
      </c>
      <c r="D59" s="75" t="s">
        <v>2226</v>
      </c>
      <c r="E59" s="369"/>
      <c r="F59" s="369"/>
      <c r="G59" s="95" t="s">
        <v>2227</v>
      </c>
      <c r="J59" s="650"/>
    </row>
    <row r="60" spans="1:10" x14ac:dyDescent="0.2">
      <c r="B60" s="190" t="str">
        <f>IF(LEN('Ch5'!H62)=0,"",'Ch5'!H62)</f>
        <v/>
      </c>
      <c r="C60" s="190" t="str">
        <f t="shared" si="0"/>
        <v/>
      </c>
      <c r="D60" s="70"/>
      <c r="E60" s="359"/>
      <c r="F60" s="359"/>
      <c r="G60" s="567" t="s">
        <v>2229</v>
      </c>
      <c r="H60" s="56">
        <f>'Ch5'!W62</f>
        <v>0</v>
      </c>
      <c r="J60" s="650"/>
    </row>
    <row r="61" spans="1:10" x14ac:dyDescent="0.2">
      <c r="A61" s="294" t="str">
        <f>IF(AND(LEN('Ch5'!W63)&gt;0,NOT('Ch5'!W63=FALSE)),"P","")</f>
        <v/>
      </c>
      <c r="B61" s="190" t="str">
        <f>IF(LEN('Ch5'!H63)=0,"",'Ch5'!H63)</f>
        <v/>
      </c>
      <c r="C61" s="190" t="str">
        <f t="shared" si="0"/>
        <v/>
      </c>
      <c r="D61" s="359"/>
      <c r="E61" s="366" t="s">
        <v>2181</v>
      </c>
      <c r="F61" s="368"/>
      <c r="G61" s="126" t="s">
        <v>2230</v>
      </c>
      <c r="H61" s="56">
        <f>'Ch5'!W63</f>
        <v>0</v>
      </c>
      <c r="I61" s="56">
        <f>'Ch5'!O63</f>
        <v>0</v>
      </c>
      <c r="J61" s="650" t="s">
        <v>3346</v>
      </c>
    </row>
    <row r="62" spans="1:10" ht="15" customHeight="1" x14ac:dyDescent="0.2">
      <c r="A62" s="294" t="str">
        <f>IF(AND(LEN('Ch5'!W64)&gt;0,NOT('Ch5'!W64=FALSE)),"P","")</f>
        <v/>
      </c>
      <c r="B62" s="190" t="str">
        <f>IF(LEN('Ch5'!H64)=0,"",'Ch5'!H64)</f>
        <v/>
      </c>
      <c r="C62" s="190" t="str">
        <f t="shared" si="0"/>
        <v/>
      </c>
      <c r="D62" s="359"/>
      <c r="E62" s="347" t="s">
        <v>2183</v>
      </c>
      <c r="F62" s="359"/>
      <c r="G62" s="791" t="s">
        <v>2231</v>
      </c>
      <c r="H62" s="56">
        <f>'Ch5'!W64</f>
        <v>0</v>
      </c>
      <c r="I62" s="56">
        <f>'Ch5'!O64</f>
        <v>0</v>
      </c>
      <c r="J62" s="891" t="s">
        <v>3358</v>
      </c>
    </row>
    <row r="63" spans="1:10" x14ac:dyDescent="0.2">
      <c r="A63" s="294" t="str">
        <f>A62</f>
        <v/>
      </c>
      <c r="B63" s="190" t="str">
        <f>IF(LEN('Ch5'!H65)=0,"",'Ch5'!H65)</f>
        <v/>
      </c>
      <c r="C63" s="190" t="str">
        <f t="shared" si="0"/>
        <v/>
      </c>
      <c r="D63" s="359"/>
      <c r="E63" s="368"/>
      <c r="F63" s="368"/>
      <c r="G63" s="792"/>
      <c r="J63" s="891"/>
    </row>
    <row r="64" spans="1:10" ht="15" customHeight="1" x14ac:dyDescent="0.2">
      <c r="A64" s="294" t="str">
        <f>IF(AND(LEN('Ch5'!W66)&gt;0,NOT('Ch5'!W66=FALSE)),"P","")</f>
        <v/>
      </c>
      <c r="B64" s="190" t="str">
        <f>IF(LEN('Ch5'!H66)=0,"",'Ch5'!H66)</f>
        <v/>
      </c>
      <c r="C64" s="190" t="str">
        <f t="shared" si="0"/>
        <v/>
      </c>
      <c r="D64" s="359"/>
      <c r="E64" s="347" t="s">
        <v>2185</v>
      </c>
      <c r="F64" s="359"/>
      <c r="G64" s="791" t="s">
        <v>2232</v>
      </c>
      <c r="H64" s="56">
        <f>'Ch5'!W66</f>
        <v>0</v>
      </c>
      <c r="I64" s="56">
        <f ca="1">'Ch5'!O66</f>
        <v>0</v>
      </c>
      <c r="J64" s="889" t="s">
        <v>3359</v>
      </c>
    </row>
    <row r="65" spans="1:10" x14ac:dyDescent="0.2">
      <c r="A65" s="294" t="str">
        <f>A64</f>
        <v/>
      </c>
      <c r="B65" s="190" t="str">
        <f>IF(LEN('Ch5'!H67)=0,"",'Ch5'!H67)</f>
        <v/>
      </c>
      <c r="C65" s="190" t="str">
        <f t="shared" si="0"/>
        <v/>
      </c>
      <c r="D65" s="359"/>
      <c r="E65" s="359"/>
      <c r="F65" s="359"/>
      <c r="G65" s="791"/>
      <c r="J65" s="889"/>
    </row>
    <row r="66" spans="1:10" x14ac:dyDescent="0.2">
      <c r="B66" s="190" t="str">
        <f>IF(LEN('Ch5'!H68)=0,"",'Ch5'!H68)</f>
        <v/>
      </c>
      <c r="C66" s="190" t="str">
        <f t="shared" ref="C66:C125" si="2">IF(LEN(B66)=0,IF(A66="P","P",""),B66)</f>
        <v/>
      </c>
      <c r="D66" s="359"/>
      <c r="E66" s="359"/>
      <c r="F66" s="347" t="s">
        <v>2196</v>
      </c>
      <c r="G66" s="65" t="s">
        <v>2233</v>
      </c>
      <c r="J66" s="650"/>
    </row>
    <row r="67" spans="1:10" x14ac:dyDescent="0.2">
      <c r="B67" s="190" t="str">
        <f>IF(LEN('Ch5'!H69)=0,"",'Ch5'!H69)</f>
        <v/>
      </c>
      <c r="C67" s="190" t="str">
        <f t="shared" si="2"/>
        <v/>
      </c>
      <c r="D67" s="359"/>
      <c r="E67" s="359"/>
      <c r="F67" s="347" t="s">
        <v>2198</v>
      </c>
      <c r="G67" s="65" t="s">
        <v>2234</v>
      </c>
      <c r="J67" s="650"/>
    </row>
    <row r="68" spans="1:10" x14ac:dyDescent="0.2">
      <c r="B68" s="190" t="str">
        <f>IF(LEN('Ch5'!H70)=0,"",'Ch5'!H70)</f>
        <v/>
      </c>
      <c r="C68" s="190" t="str">
        <f t="shared" si="2"/>
        <v/>
      </c>
      <c r="D68" s="359"/>
      <c r="E68" s="368"/>
      <c r="F68" s="370" t="s">
        <v>2200</v>
      </c>
      <c r="G68" s="126" t="s">
        <v>2235</v>
      </c>
      <c r="J68" s="650"/>
    </row>
    <row r="69" spans="1:10" ht="15" customHeight="1" x14ac:dyDescent="0.2">
      <c r="A69" s="294" t="str">
        <f>IF(AND(LEN('Ch5'!W71)&gt;0,NOT('Ch5'!W71=FALSE)),"P","")</f>
        <v/>
      </c>
      <c r="B69" s="190" t="str">
        <f>IF(LEN('Ch5'!H71)=0,"",'Ch5'!H71)</f>
        <v/>
      </c>
      <c r="C69" s="190" t="str">
        <f t="shared" si="2"/>
        <v/>
      </c>
      <c r="D69" s="359"/>
      <c r="E69" s="347" t="s">
        <v>2192</v>
      </c>
      <c r="F69" s="359"/>
      <c r="G69" s="791" t="s">
        <v>2236</v>
      </c>
      <c r="H69" s="56">
        <f>'Ch5'!W71</f>
        <v>0</v>
      </c>
      <c r="I69" s="56">
        <f>'Ch5'!O71</f>
        <v>0</v>
      </c>
      <c r="J69" s="889" t="s">
        <v>3360</v>
      </c>
    </row>
    <row r="70" spans="1:10" x14ac:dyDescent="0.2">
      <c r="A70" s="294" t="str">
        <f>A69</f>
        <v/>
      </c>
      <c r="B70" s="190" t="str">
        <f>IF(LEN('Ch5'!H72)=0,"",'Ch5'!H72)</f>
        <v/>
      </c>
      <c r="C70" s="190" t="str">
        <f t="shared" si="2"/>
        <v/>
      </c>
      <c r="D70" s="359"/>
      <c r="E70" s="368"/>
      <c r="F70" s="368"/>
      <c r="G70" s="792"/>
      <c r="J70" s="889"/>
    </row>
    <row r="71" spans="1:10" ht="46" thickBot="1" x14ac:dyDescent="0.25">
      <c r="A71" s="294" t="str">
        <f>IF(AND(LEN('Ch5'!W73)&gt;0,NOT('Ch5'!W73=FALSE)),"P","")</f>
        <v/>
      </c>
      <c r="B71" s="190" t="str">
        <f>IF(LEN('Ch5'!H73)=0,"",'Ch5'!H73)</f>
        <v/>
      </c>
      <c r="C71" s="190" t="str">
        <f t="shared" si="2"/>
        <v/>
      </c>
      <c r="D71" s="360"/>
      <c r="E71" s="351" t="s">
        <v>2194</v>
      </c>
      <c r="F71" s="360"/>
      <c r="G71" s="67" t="s">
        <v>2237</v>
      </c>
      <c r="H71" s="56">
        <f>'Ch5'!W73</f>
        <v>0</v>
      </c>
      <c r="I71" s="56">
        <f>'Ch5'!O73</f>
        <v>0</v>
      </c>
      <c r="J71" s="649" t="s">
        <v>3361</v>
      </c>
    </row>
    <row r="72" spans="1:10" ht="15.75" customHeight="1" thickTop="1" x14ac:dyDescent="0.2">
      <c r="A72" s="539" t="str">
        <f>IF(COUNTIF(A75:A84,"P")&gt;0,"P","")</f>
        <v/>
      </c>
      <c r="B72" s="190" t="str">
        <f>IF(LEN('Ch5'!H74)=0,"",'Ch5'!H74)</f>
        <v/>
      </c>
      <c r="C72" s="190" t="str">
        <f t="shared" si="2"/>
        <v/>
      </c>
      <c r="D72" s="75" t="s">
        <v>2239</v>
      </c>
      <c r="E72" s="369"/>
      <c r="F72" s="369"/>
      <c r="G72" s="819" t="s">
        <v>2240</v>
      </c>
      <c r="J72" s="650"/>
    </row>
    <row r="73" spans="1:10" x14ac:dyDescent="0.2">
      <c r="A73" s="294" t="str">
        <f>A72</f>
        <v/>
      </c>
      <c r="B73" s="190" t="str">
        <f>IF(LEN('Ch5'!H75)=0,"",'Ch5'!H75)</f>
        <v/>
      </c>
      <c r="C73" s="190" t="str">
        <f t="shared" si="2"/>
        <v/>
      </c>
      <c r="D73" s="359"/>
      <c r="E73" s="359"/>
      <c r="F73" s="359"/>
      <c r="G73" s="820"/>
      <c r="J73" s="650"/>
    </row>
    <row r="74" spans="1:10" x14ac:dyDescent="0.2">
      <c r="B74" s="190" t="str">
        <f>IF(LEN('Ch5'!H76)=0,"",'Ch5'!H76)</f>
        <v/>
      </c>
      <c r="C74" s="190" t="str">
        <f t="shared" si="2"/>
        <v/>
      </c>
      <c r="D74" s="359"/>
      <c r="E74" s="359"/>
      <c r="F74" s="359"/>
      <c r="G74" s="567" t="s">
        <v>2241</v>
      </c>
      <c r="J74" s="650"/>
    </row>
    <row r="75" spans="1:10" ht="15" customHeight="1" x14ac:dyDescent="0.2">
      <c r="A75" s="294" t="str">
        <f>IF(AND(LEN('Ch5'!W77)&gt;0,NOT('Ch5'!W77=FALSE)),"P","")</f>
        <v/>
      </c>
      <c r="B75" s="190" t="str">
        <f>IF(LEN('Ch5'!H77)=0,"",'Ch5'!H77)</f>
        <v/>
      </c>
      <c r="C75" s="190" t="str">
        <f t="shared" si="2"/>
        <v/>
      </c>
      <c r="D75" s="359"/>
      <c r="E75" s="347" t="s">
        <v>2181</v>
      </c>
      <c r="F75" s="359"/>
      <c r="G75" s="791" t="s">
        <v>2242</v>
      </c>
      <c r="H75" s="56">
        <f>'Ch5'!W77</f>
        <v>0</v>
      </c>
      <c r="I75" s="56">
        <f>'Ch5'!O77</f>
        <v>0</v>
      </c>
      <c r="J75" s="888" t="s">
        <v>3362</v>
      </c>
    </row>
    <row r="76" spans="1:10" ht="27" customHeight="1" x14ac:dyDescent="0.2">
      <c r="A76" s="294" t="str">
        <f>A75</f>
        <v/>
      </c>
      <c r="B76" s="190" t="str">
        <f>IF(LEN('Ch5'!H78)=0,"",'Ch5'!H78)</f>
        <v/>
      </c>
      <c r="C76" s="190" t="str">
        <f t="shared" si="2"/>
        <v/>
      </c>
      <c r="D76" s="359"/>
      <c r="E76" s="366"/>
      <c r="F76" s="368"/>
      <c r="G76" s="792"/>
      <c r="J76" s="888"/>
    </row>
    <row r="77" spans="1:10" ht="15" customHeight="1" x14ac:dyDescent="0.2">
      <c r="A77" s="294" t="str">
        <f>IF('Ch5'!O79&gt;0,"P","")</f>
        <v/>
      </c>
      <c r="B77" s="190" t="str">
        <f>IF(LEN('Ch5'!H79)=0,"",'Ch5'!H79)</f>
        <v/>
      </c>
      <c r="C77" s="190" t="str">
        <f t="shared" si="2"/>
        <v/>
      </c>
      <c r="D77" s="359"/>
      <c r="E77" s="347" t="s">
        <v>2183</v>
      </c>
      <c r="F77" s="359"/>
      <c r="G77" s="791" t="s">
        <v>2243</v>
      </c>
      <c r="I77" s="56">
        <f>'Ch5'!O79</f>
        <v>0</v>
      </c>
      <c r="J77" s="650"/>
    </row>
    <row r="78" spans="1:10" x14ac:dyDescent="0.2">
      <c r="A78" s="294" t="str">
        <f>A77</f>
        <v/>
      </c>
      <c r="B78" s="190" t="str">
        <f>IF(LEN('Ch5'!H80)=0,"",'Ch5'!H80)</f>
        <v/>
      </c>
      <c r="C78" s="190" t="str">
        <f t="shared" si="2"/>
        <v/>
      </c>
      <c r="D78" s="359"/>
      <c r="E78" s="359"/>
      <c r="F78" s="359"/>
      <c r="G78" s="791"/>
      <c r="J78" s="650"/>
    </row>
    <row r="79" spans="1:10" x14ac:dyDescent="0.2">
      <c r="A79" s="294" t="str">
        <f>IF(AND(LEN('Ch5'!W81)&gt;0,NOT('Ch5'!W81=FALSE)),"P","")</f>
        <v/>
      </c>
      <c r="B79" s="190" t="str">
        <f>IF(LEN('Ch5'!H81)=0,"",'Ch5'!H81)</f>
        <v/>
      </c>
      <c r="C79" s="190" t="str">
        <f t="shared" si="2"/>
        <v/>
      </c>
      <c r="D79" s="359"/>
      <c r="E79" s="359"/>
      <c r="F79" s="347" t="s">
        <v>2196</v>
      </c>
      <c r="G79" s="65" t="s">
        <v>2244</v>
      </c>
      <c r="H79" s="56">
        <f>'Ch5'!W81</f>
        <v>0</v>
      </c>
      <c r="J79" s="650" t="s">
        <v>3363</v>
      </c>
    </row>
    <row r="80" spans="1:10" ht="15" customHeight="1" x14ac:dyDescent="0.2">
      <c r="A80" s="294" t="str">
        <f>IF(AND(LEN('Ch5'!W82)&gt;0,NOT('Ch5'!W82=FALSE)),"P","")</f>
        <v/>
      </c>
      <c r="B80" s="190" t="str">
        <f>IF(LEN('Ch5'!H82)=0,"",'Ch5'!H82)</f>
        <v/>
      </c>
      <c r="C80" s="190" t="str">
        <f t="shared" si="2"/>
        <v/>
      </c>
      <c r="D80" s="359"/>
      <c r="E80" s="359"/>
      <c r="F80" s="347" t="s">
        <v>2198</v>
      </c>
      <c r="G80" s="791" t="s">
        <v>2245</v>
      </c>
      <c r="H80" s="56">
        <f>'Ch5'!W82</f>
        <v>0</v>
      </c>
      <c r="J80" s="889" t="s">
        <v>3364</v>
      </c>
    </row>
    <row r="81" spans="1:10" x14ac:dyDescent="0.2">
      <c r="A81" s="294" t="str">
        <f>A80</f>
        <v/>
      </c>
      <c r="B81" s="190" t="str">
        <f>IF(LEN('Ch5'!H83)=0,"",'Ch5'!H83)</f>
        <v/>
      </c>
      <c r="C81" s="190" t="str">
        <f t="shared" si="2"/>
        <v/>
      </c>
      <c r="D81" s="359"/>
      <c r="E81" s="359"/>
      <c r="F81" s="359"/>
      <c r="G81" s="791"/>
      <c r="J81" s="889"/>
    </row>
    <row r="82" spans="1:10" x14ac:dyDescent="0.2">
      <c r="A82" s="294" t="str">
        <f>IF(AND(LEN('Ch5'!W84)&gt;0,NOT('Ch5'!W84=FALSE)),"P","")</f>
        <v/>
      </c>
      <c r="B82" s="190" t="str">
        <f>IF(LEN('Ch5'!H84)=0,"",'Ch5'!H84)</f>
        <v/>
      </c>
      <c r="C82" s="190" t="str">
        <f t="shared" si="2"/>
        <v/>
      </c>
      <c r="D82" s="359"/>
      <c r="E82" s="359"/>
      <c r="F82" s="371" t="s">
        <v>2200</v>
      </c>
      <c r="G82" s="65" t="s">
        <v>2246</v>
      </c>
      <c r="H82" s="56">
        <f>'Ch5'!W84</f>
        <v>0</v>
      </c>
      <c r="J82" s="650" t="s">
        <v>3365</v>
      </c>
    </row>
    <row r="83" spans="1:10" x14ac:dyDescent="0.2">
      <c r="A83" s="294" t="str">
        <f>IF(AND(LEN('Ch5'!W85)&gt;0,NOT('Ch5'!W85=FALSE)),"P","")</f>
        <v/>
      </c>
      <c r="B83" s="190" t="str">
        <f>IF(LEN('Ch5'!H85)=0,"",'Ch5'!H85)</f>
        <v/>
      </c>
      <c r="C83" s="190" t="str">
        <f t="shared" si="2"/>
        <v/>
      </c>
      <c r="D83" s="359"/>
      <c r="E83" s="368"/>
      <c r="F83" s="370" t="s">
        <v>2247</v>
      </c>
      <c r="G83" s="126" t="s">
        <v>2248</v>
      </c>
      <c r="H83" s="56">
        <f>'Ch5'!W85</f>
        <v>0</v>
      </c>
      <c r="J83" s="650" t="s">
        <v>3366</v>
      </c>
    </row>
    <row r="84" spans="1:10" ht="16" thickBot="1" x14ac:dyDescent="0.25">
      <c r="A84" s="294" t="str">
        <f>IF(AND(LEN('Ch5'!W86)&gt;0,NOT('Ch5'!W86=FALSE)),"P","")</f>
        <v/>
      </c>
      <c r="B84" s="190" t="str">
        <f>IF(LEN('Ch5'!H86)=0,"",'Ch5'!H86)</f>
        <v/>
      </c>
      <c r="C84" s="190" t="str">
        <f t="shared" si="2"/>
        <v/>
      </c>
      <c r="D84" s="360"/>
      <c r="E84" s="351" t="s">
        <v>2185</v>
      </c>
      <c r="F84" s="360"/>
      <c r="G84" s="67" t="s">
        <v>2249</v>
      </c>
      <c r="H84" s="56">
        <f>'Ch5'!W86</f>
        <v>0</v>
      </c>
      <c r="I84" s="56">
        <f>'Ch5'!O86</f>
        <v>0</v>
      </c>
      <c r="J84" s="650" t="s">
        <v>3367</v>
      </c>
    </row>
    <row r="85" spans="1:10" ht="15.75" customHeight="1" thickTop="1" x14ac:dyDescent="0.2">
      <c r="A85" s="539" t="str">
        <f>IF(COUNTIF(A92:A102,"P")&gt;0,"P","")</f>
        <v/>
      </c>
      <c r="B85" s="190" t="str">
        <f>IF(LEN('Ch5'!H87)=0,"",'Ch5'!H87)</f>
        <v/>
      </c>
      <c r="C85" s="190" t="str">
        <f t="shared" si="2"/>
        <v/>
      </c>
      <c r="D85" s="107" t="s">
        <v>2251</v>
      </c>
      <c r="E85" s="358"/>
      <c r="F85" s="358"/>
      <c r="G85" s="819" t="s">
        <v>2252</v>
      </c>
      <c r="J85" s="912" t="s">
        <v>3368</v>
      </c>
    </row>
    <row r="86" spans="1:10" x14ac:dyDescent="0.2">
      <c r="A86" s="294" t="str">
        <f>A85</f>
        <v/>
      </c>
      <c r="B86" s="190" t="str">
        <f>IF(LEN('Ch5'!H88)=0,"",'Ch5'!H88)</f>
        <v/>
      </c>
      <c r="C86" s="190" t="str">
        <f t="shared" si="2"/>
        <v/>
      </c>
      <c r="D86" s="358"/>
      <c r="E86" s="358"/>
      <c r="F86" s="358"/>
      <c r="G86" s="775"/>
      <c r="J86" s="912"/>
    </row>
    <row r="87" spans="1:10" x14ac:dyDescent="0.2">
      <c r="A87" s="294" t="str">
        <f>A86</f>
        <v/>
      </c>
      <c r="B87" s="190" t="str">
        <f>IF(LEN('Ch5'!H89)=0,"",'Ch5'!H89)</f>
        <v/>
      </c>
      <c r="C87" s="190" t="str">
        <f t="shared" si="2"/>
        <v/>
      </c>
      <c r="D87" s="358"/>
      <c r="E87" s="358"/>
      <c r="F87" s="358"/>
      <c r="G87" s="775"/>
      <c r="J87" s="912"/>
    </row>
    <row r="88" spans="1:10" x14ac:dyDescent="0.2">
      <c r="A88" s="294" t="str">
        <f>A87</f>
        <v/>
      </c>
      <c r="B88" s="190" t="str">
        <f>IF(LEN('Ch5'!H90)=0,"",'Ch5'!H90)</f>
        <v/>
      </c>
      <c r="C88" s="190" t="str">
        <f t="shared" si="2"/>
        <v/>
      </c>
      <c r="D88" s="358"/>
      <c r="E88" s="358"/>
      <c r="F88" s="358"/>
      <c r="G88" s="775"/>
      <c r="J88" s="912"/>
    </row>
    <row r="89" spans="1:10" ht="15.75" customHeight="1" x14ac:dyDescent="0.2">
      <c r="B89" s="190" t="str">
        <f>IF(LEN('Ch5'!H91)=0,"",'Ch5'!H91)</f>
        <v/>
      </c>
      <c r="C89" s="190" t="str">
        <f t="shared" si="2"/>
        <v/>
      </c>
      <c r="D89" s="358"/>
      <c r="E89" s="358"/>
      <c r="F89" s="358"/>
      <c r="G89" s="816" t="s">
        <v>2253</v>
      </c>
      <c r="J89" s="398"/>
    </row>
    <row r="90" spans="1:10" x14ac:dyDescent="0.2">
      <c r="B90" s="190" t="str">
        <f>IF(LEN('Ch5'!H92)=0,"",'Ch5'!H92)</f>
        <v/>
      </c>
      <c r="C90" s="190" t="str">
        <f t="shared" si="2"/>
        <v/>
      </c>
      <c r="D90" s="358"/>
      <c r="E90" s="358"/>
      <c r="F90" s="358"/>
      <c r="G90" s="816"/>
      <c r="J90" s="398"/>
    </row>
    <row r="91" spans="1:10" x14ac:dyDescent="0.2">
      <c r="B91" s="190" t="str">
        <f>IF(LEN('Ch5'!H93)=0,"",'Ch5'!H93)</f>
        <v/>
      </c>
      <c r="C91" s="190" t="str">
        <f t="shared" si="2"/>
        <v/>
      </c>
      <c r="D91" s="358"/>
      <c r="E91" s="358"/>
      <c r="F91" s="358"/>
      <c r="G91" s="816"/>
      <c r="J91" s="398"/>
    </row>
    <row r="92" spans="1:10" ht="15" customHeight="1" x14ac:dyDescent="0.2">
      <c r="A92" s="294" t="str">
        <f>IF(AND(LEN('Ch5'!W94)&gt;0,NOT('Ch5'!W94=FALSE)),"P","")</f>
        <v/>
      </c>
      <c r="B92" s="190" t="str">
        <f>IF(LEN('Ch5'!H94)=0,"",'Ch5'!H94)</f>
        <v/>
      </c>
      <c r="C92" s="190" t="str">
        <f t="shared" si="2"/>
        <v/>
      </c>
      <c r="D92" s="358"/>
      <c r="E92" s="347" t="s">
        <v>2181</v>
      </c>
      <c r="F92" s="359"/>
      <c r="G92" s="791" t="s">
        <v>2254</v>
      </c>
      <c r="H92" s="56">
        <f>'Ch5'!W94</f>
        <v>0</v>
      </c>
      <c r="I92" s="56">
        <f>'Ch5'!O94</f>
        <v>0</v>
      </c>
      <c r="J92" s="897" t="s">
        <v>3369</v>
      </c>
    </row>
    <row r="93" spans="1:10" x14ac:dyDescent="0.2">
      <c r="A93" s="294" t="str">
        <f>A92</f>
        <v/>
      </c>
      <c r="B93" s="190" t="str">
        <f>IF(LEN('Ch5'!H95)=0,"",'Ch5'!H95)</f>
        <v/>
      </c>
      <c r="C93" s="190" t="str">
        <f t="shared" si="2"/>
        <v/>
      </c>
      <c r="D93" s="358"/>
      <c r="E93" s="347"/>
      <c r="F93" s="359"/>
      <c r="G93" s="791"/>
      <c r="J93" s="897"/>
    </row>
    <row r="94" spans="1:10" x14ac:dyDescent="0.2">
      <c r="A94" s="294" t="str">
        <f>A93</f>
        <v/>
      </c>
      <c r="B94" s="190" t="str">
        <f>IF(LEN('Ch5'!H96)=0,"",'Ch5'!H96)</f>
        <v/>
      </c>
      <c r="C94" s="190" t="str">
        <f t="shared" si="2"/>
        <v/>
      </c>
      <c r="D94" s="358"/>
      <c r="E94" s="368"/>
      <c r="F94" s="368"/>
      <c r="G94" s="792"/>
      <c r="J94" s="897"/>
    </row>
    <row r="95" spans="1:10" ht="15" customHeight="1" x14ac:dyDescent="0.2">
      <c r="A95" s="294" t="str">
        <f>IF(AND(LEN('Ch5'!W97)&gt;0,NOT('Ch5'!W97=FALSE)),"P","")</f>
        <v/>
      </c>
      <c r="B95" s="190" t="str">
        <f>IF(LEN('Ch5'!H97)=0,"",'Ch5'!H97)</f>
        <v/>
      </c>
      <c r="C95" s="190" t="str">
        <f t="shared" si="2"/>
        <v/>
      </c>
      <c r="D95" s="358"/>
      <c r="E95" s="57" t="s">
        <v>2183</v>
      </c>
      <c r="F95" s="358"/>
      <c r="G95" s="817" t="s">
        <v>2255</v>
      </c>
      <c r="H95" s="56">
        <f>'Ch5'!W97</f>
        <v>0</v>
      </c>
      <c r="I95" s="56">
        <f ca="1">'Ch5'!O97</f>
        <v>0</v>
      </c>
      <c r="J95" s="901" t="s">
        <v>3370</v>
      </c>
    </row>
    <row r="96" spans="1:10" x14ac:dyDescent="0.2">
      <c r="A96" s="294" t="str">
        <f>A95</f>
        <v/>
      </c>
      <c r="B96" s="190" t="str">
        <f>IF(LEN('Ch5'!H98)=0,"",'Ch5'!H98)</f>
        <v/>
      </c>
      <c r="C96" s="190" t="str">
        <f t="shared" si="2"/>
        <v/>
      </c>
      <c r="D96" s="358"/>
      <c r="E96" s="60"/>
      <c r="F96" s="358"/>
      <c r="G96" s="817"/>
      <c r="J96" s="901"/>
    </row>
    <row r="97" spans="1:10" x14ac:dyDescent="0.2">
      <c r="A97" s="294" t="str">
        <f>A96</f>
        <v/>
      </c>
      <c r="B97" s="190" t="str">
        <f>IF(LEN('Ch5'!H99)=0,"",'Ch5'!H99)</f>
        <v/>
      </c>
      <c r="C97" s="190" t="str">
        <f t="shared" si="2"/>
        <v/>
      </c>
      <c r="D97" s="358"/>
      <c r="E97" s="60"/>
      <c r="F97" s="358"/>
      <c r="G97" s="817"/>
      <c r="J97" s="901"/>
    </row>
    <row r="98" spans="1:10" x14ac:dyDescent="0.2">
      <c r="A98" s="294" t="str">
        <f>A97</f>
        <v/>
      </c>
      <c r="B98" s="190" t="str">
        <f>IF(LEN('Ch5'!H100)=0,"",'Ch5'!H100)</f>
        <v/>
      </c>
      <c r="C98" s="190" t="str">
        <f t="shared" si="2"/>
        <v/>
      </c>
      <c r="D98" s="358"/>
      <c r="E98" s="60"/>
      <c r="F98" s="358"/>
      <c r="G98" s="817"/>
      <c r="J98" s="901"/>
    </row>
    <row r="99" spans="1:10" x14ac:dyDescent="0.2">
      <c r="B99" s="190" t="str">
        <f>IF(LEN('Ch5'!H101)=0,"",'Ch5'!H101)</f>
        <v/>
      </c>
      <c r="C99" s="190" t="str">
        <f t="shared" si="2"/>
        <v/>
      </c>
      <c r="D99" s="358"/>
      <c r="E99" s="60"/>
      <c r="F99" s="346" t="s">
        <v>2196</v>
      </c>
      <c r="G99" s="53" t="s">
        <v>2256</v>
      </c>
      <c r="J99" s="398"/>
    </row>
    <row r="100" spans="1:10" x14ac:dyDescent="0.2">
      <c r="B100" s="190" t="str">
        <f>IF(LEN('Ch5'!H102)=0,"",'Ch5'!H102)</f>
        <v/>
      </c>
      <c r="C100" s="190" t="str">
        <f t="shared" si="2"/>
        <v/>
      </c>
      <c r="D100" s="358"/>
      <c r="E100" s="60"/>
      <c r="F100" s="346" t="s">
        <v>2198</v>
      </c>
      <c r="G100" s="53" t="s">
        <v>2257</v>
      </c>
      <c r="J100" s="398"/>
    </row>
    <row r="101" spans="1:10" x14ac:dyDescent="0.2">
      <c r="B101" s="190" t="str">
        <f>IF(LEN('Ch5'!H103)=0,"",'Ch5'!H103)</f>
        <v/>
      </c>
      <c r="C101" s="190" t="str">
        <f t="shared" si="2"/>
        <v/>
      </c>
      <c r="D101" s="358"/>
      <c r="E101" s="128"/>
      <c r="F101" s="370" t="s">
        <v>2200</v>
      </c>
      <c r="G101" s="126" t="s">
        <v>2258</v>
      </c>
      <c r="J101" s="398"/>
    </row>
    <row r="102" spans="1:10" ht="15" customHeight="1" x14ac:dyDescent="0.2">
      <c r="A102" s="294" t="str">
        <f>IF(AND(LEN('Ch5'!W104)&gt;0,NOT('Ch5'!W104=FALSE)),"P","")</f>
        <v/>
      </c>
      <c r="B102" s="190" t="str">
        <f>IF(LEN('Ch5'!H104)=0,"",'Ch5'!H104)</f>
        <v/>
      </c>
      <c r="C102" s="190" t="str">
        <f t="shared" si="2"/>
        <v/>
      </c>
      <c r="D102" s="359"/>
      <c r="E102" s="61" t="s">
        <v>2185</v>
      </c>
      <c r="F102" s="371"/>
      <c r="G102" s="791" t="s">
        <v>2259</v>
      </c>
      <c r="H102" s="56">
        <f>'Ch5'!W104</f>
        <v>0</v>
      </c>
      <c r="I102" s="56">
        <f ca="1">'Ch5'!O104</f>
        <v>0</v>
      </c>
      <c r="J102" s="901" t="s">
        <v>3371</v>
      </c>
    </row>
    <row r="103" spans="1:10" x14ac:dyDescent="0.2">
      <c r="A103" s="294" t="str">
        <f>A102</f>
        <v/>
      </c>
      <c r="B103" s="190" t="str">
        <f>IF(LEN('Ch5'!H105)=0,"",'Ch5'!H105)</f>
        <v/>
      </c>
      <c r="C103" s="190" t="str">
        <f t="shared" si="2"/>
        <v/>
      </c>
      <c r="D103" s="359"/>
      <c r="E103" s="359"/>
      <c r="F103" s="359"/>
      <c r="G103" s="791"/>
      <c r="J103" s="901"/>
    </row>
    <row r="104" spans="1:10" x14ac:dyDescent="0.2">
      <c r="B104" s="190" t="str">
        <f>IF(LEN('Ch5'!H106)=0,"",'Ch5'!H106)</f>
        <v/>
      </c>
      <c r="C104" s="190" t="str">
        <f t="shared" si="2"/>
        <v/>
      </c>
      <c r="D104" s="359"/>
      <c r="E104" s="359"/>
      <c r="F104" s="347" t="s">
        <v>2196</v>
      </c>
      <c r="G104" s="65" t="s">
        <v>2260</v>
      </c>
      <c r="J104" s="398"/>
    </row>
    <row r="105" spans="1:10" x14ac:dyDescent="0.2">
      <c r="B105" s="190" t="str">
        <f>IF(LEN('Ch5'!H107)=0,"",'Ch5'!H107)</f>
        <v/>
      </c>
      <c r="C105" s="190" t="str">
        <f t="shared" si="2"/>
        <v/>
      </c>
      <c r="D105" s="359"/>
      <c r="E105" s="359"/>
      <c r="F105" s="347" t="s">
        <v>2198</v>
      </c>
      <c r="G105" s="65" t="s">
        <v>2261</v>
      </c>
      <c r="J105" s="398"/>
    </row>
    <row r="106" spans="1:10" ht="16" thickBot="1" x14ac:dyDescent="0.25">
      <c r="B106" s="190" t="str">
        <f>IF(LEN('Ch5'!H108)=0,"",'Ch5'!H108)</f>
        <v/>
      </c>
      <c r="C106" s="190" t="str">
        <f t="shared" si="2"/>
        <v/>
      </c>
      <c r="D106" s="360"/>
      <c r="E106" s="360"/>
      <c r="F106" s="372" t="s">
        <v>2200</v>
      </c>
      <c r="G106" s="67" t="s">
        <v>2262</v>
      </c>
      <c r="J106" s="398"/>
    </row>
    <row r="107" spans="1:10" ht="15" customHeight="1" thickTop="1" x14ac:dyDescent="0.2">
      <c r="A107" s="539" t="str">
        <f>IF(COUNTIF(A111:A143,"P")&gt;0,"P","")</f>
        <v/>
      </c>
      <c r="B107" s="190" t="str">
        <f>IF(LEN('Ch5'!H109)=0,"",'Ch5'!H109)</f>
        <v/>
      </c>
      <c r="C107" s="190" t="str">
        <f t="shared" si="2"/>
        <v/>
      </c>
      <c r="D107" s="75" t="s">
        <v>2264</v>
      </c>
      <c r="E107" s="369"/>
      <c r="F107" s="369"/>
      <c r="G107" s="819" t="s">
        <v>2265</v>
      </c>
      <c r="J107" s="890" t="s">
        <v>3372</v>
      </c>
    </row>
    <row r="108" spans="1:10" x14ac:dyDescent="0.2">
      <c r="A108" s="294" t="str">
        <f>A107</f>
        <v/>
      </c>
      <c r="B108" s="190" t="str">
        <f>IF(LEN('Ch5'!H110)=0,"",'Ch5'!H110)</f>
        <v/>
      </c>
      <c r="C108" s="190" t="str">
        <f t="shared" si="2"/>
        <v/>
      </c>
      <c r="D108" s="359"/>
      <c r="E108" s="359"/>
      <c r="F108" s="359"/>
      <c r="G108" s="820"/>
      <c r="J108" s="890"/>
    </row>
    <row r="109" spans="1:10" ht="15" customHeight="1" x14ac:dyDescent="0.2">
      <c r="B109" s="190" t="str">
        <f>IF(LEN('Ch5'!H111)=0,"",'Ch5'!H111)</f>
        <v/>
      </c>
      <c r="C109" s="190" t="str">
        <f t="shared" si="2"/>
        <v/>
      </c>
      <c r="D109" s="358"/>
      <c r="E109" s="358"/>
      <c r="F109" s="358"/>
      <c r="G109" s="816" t="s">
        <v>2266</v>
      </c>
      <c r="H109" s="56">
        <f>'Ch5'!W111</f>
        <v>0</v>
      </c>
      <c r="J109" s="394"/>
    </row>
    <row r="110" spans="1:10" x14ac:dyDescent="0.2">
      <c r="B110" s="190" t="str">
        <f>IF(LEN('Ch5'!H112)=0,"",'Ch5'!H112)</f>
        <v/>
      </c>
      <c r="C110" s="190" t="str">
        <f t="shared" si="2"/>
        <v/>
      </c>
      <c r="D110" s="358"/>
      <c r="E110" s="358"/>
      <c r="F110" s="358"/>
      <c r="G110" s="816"/>
      <c r="J110" s="650"/>
    </row>
    <row r="111" spans="1:10" ht="15" customHeight="1" x14ac:dyDescent="0.2">
      <c r="A111" s="294" t="str">
        <f>IF(AND(LEN('Ch5'!W113)&gt;0,NOT('Ch5'!W113=FALSE)),"P","")</f>
        <v/>
      </c>
      <c r="B111" s="190" t="str">
        <f>IF(LEN('Ch5'!H113)=0,"",'Ch5'!H113)</f>
        <v/>
      </c>
      <c r="C111" s="190" t="str">
        <f t="shared" si="2"/>
        <v/>
      </c>
      <c r="D111" s="358"/>
      <c r="E111" s="346" t="s">
        <v>2181</v>
      </c>
      <c r="F111" s="358"/>
      <c r="G111" s="817" t="s">
        <v>2267</v>
      </c>
      <c r="H111" s="56">
        <f>'Ch5'!W113</f>
        <v>0</v>
      </c>
      <c r="I111" s="56">
        <f ca="1">'Ch5'!O113</f>
        <v>0</v>
      </c>
      <c r="J111" s="889" t="s">
        <v>3373</v>
      </c>
    </row>
    <row r="112" spans="1:10" x14ac:dyDescent="0.2">
      <c r="A112" s="294" t="str">
        <f>A111</f>
        <v/>
      </c>
      <c r="B112" s="190" t="str">
        <f>IF(LEN('Ch5'!H114)=0,"",'Ch5'!H114)</f>
        <v/>
      </c>
      <c r="C112" s="190" t="str">
        <f t="shared" si="2"/>
        <v/>
      </c>
      <c r="D112" s="358"/>
      <c r="E112" s="346"/>
      <c r="F112" s="358"/>
      <c r="G112" s="817"/>
      <c r="J112" s="889"/>
    </row>
    <row r="113" spans="1:10" x14ac:dyDescent="0.2">
      <c r="B113" s="190" t="str">
        <f>IF(LEN('Ch5'!H115)=0,"",'Ch5'!H115)</f>
        <v/>
      </c>
      <c r="C113" s="190" t="str">
        <f t="shared" si="2"/>
        <v/>
      </c>
      <c r="D113" s="358"/>
      <c r="E113" s="358"/>
      <c r="F113" s="346" t="s">
        <v>2196</v>
      </c>
      <c r="G113" s="53" t="s">
        <v>2268</v>
      </c>
      <c r="J113" s="650"/>
    </row>
    <row r="114" spans="1:10" x14ac:dyDescent="0.2">
      <c r="B114" s="190" t="str">
        <f>IF(LEN('Ch5'!H116)=0,"",'Ch5'!H116)</f>
        <v/>
      </c>
      <c r="C114" s="190" t="str">
        <f t="shared" si="2"/>
        <v/>
      </c>
      <c r="D114" s="358"/>
      <c r="E114" s="358"/>
      <c r="F114" s="346" t="s">
        <v>2198</v>
      </c>
      <c r="G114" s="53" t="s">
        <v>2269</v>
      </c>
      <c r="J114" s="650"/>
    </row>
    <row r="115" spans="1:10" x14ac:dyDescent="0.2">
      <c r="B115" s="190" t="str">
        <f>IF(LEN('Ch5'!H117)=0,"",'Ch5'!H117)</f>
        <v/>
      </c>
      <c r="C115" s="190" t="str">
        <f t="shared" si="2"/>
        <v/>
      </c>
      <c r="D115" s="358"/>
      <c r="E115" s="358"/>
      <c r="F115" s="367" t="s">
        <v>2200</v>
      </c>
      <c r="G115" s="53" t="s">
        <v>2270</v>
      </c>
      <c r="J115" s="650"/>
    </row>
    <row r="116" spans="1:10" x14ac:dyDescent="0.2">
      <c r="B116" s="190" t="str">
        <f>IF(LEN('Ch5'!H118)=0,"",'Ch5'!H118)</f>
        <v/>
      </c>
      <c r="C116" s="190" t="str">
        <f t="shared" si="2"/>
        <v/>
      </c>
      <c r="D116" s="358"/>
      <c r="E116" s="368"/>
      <c r="F116" s="370" t="s">
        <v>2247</v>
      </c>
      <c r="G116" s="126" t="s">
        <v>2271</v>
      </c>
      <c r="J116" s="650"/>
    </row>
    <row r="117" spans="1:10" ht="15" customHeight="1" x14ac:dyDescent="0.2">
      <c r="A117" s="294" t="str">
        <f>IF(AND(LEN('Ch5'!W119)&gt;0,NOT('Ch5'!W119=FALSE)),"P","")</f>
        <v/>
      </c>
      <c r="B117" s="190" t="str">
        <f>IF(LEN('Ch5'!H119)=0,"",'Ch5'!H119)</f>
        <v/>
      </c>
      <c r="C117" s="190" t="str">
        <f t="shared" si="2"/>
        <v/>
      </c>
      <c r="D117" s="358"/>
      <c r="E117" s="347" t="s">
        <v>2183</v>
      </c>
      <c r="F117" s="359"/>
      <c r="G117" s="791" t="s">
        <v>2272</v>
      </c>
      <c r="H117" s="56">
        <f>'Ch5'!W119</f>
        <v>0</v>
      </c>
      <c r="I117" s="56">
        <f ca="1">'Ch5'!O119</f>
        <v>0</v>
      </c>
      <c r="J117" s="888" t="s">
        <v>3374</v>
      </c>
    </row>
    <row r="118" spans="1:10" x14ac:dyDescent="0.2">
      <c r="A118" s="294" t="str">
        <f>A117</f>
        <v/>
      </c>
      <c r="B118" s="190" t="str">
        <f>IF(LEN('Ch5'!H120)=0,"",'Ch5'!H120)</f>
        <v/>
      </c>
      <c r="C118" s="190" t="str">
        <f t="shared" si="2"/>
        <v/>
      </c>
      <c r="D118" s="358"/>
      <c r="E118" s="368"/>
      <c r="F118" s="368"/>
      <c r="G118" s="792"/>
      <c r="J118" s="888"/>
    </row>
    <row r="119" spans="1:10" ht="15" customHeight="1" x14ac:dyDescent="0.2">
      <c r="A119" s="294" t="str">
        <f>IF(AND(LEN('Ch5'!W121)&gt;0,NOT('Ch5'!W121=FALSE)),"P","")</f>
        <v/>
      </c>
      <c r="B119" s="190" t="str">
        <f>IF(LEN('Ch5'!H121)=0,"",'Ch5'!H121)</f>
        <v/>
      </c>
      <c r="C119" s="190" t="str">
        <f t="shared" si="2"/>
        <v/>
      </c>
      <c r="D119" s="358"/>
      <c r="E119" s="347" t="s">
        <v>2185</v>
      </c>
      <c r="F119" s="359"/>
      <c r="G119" s="791" t="s">
        <v>2273</v>
      </c>
      <c r="H119" s="56">
        <f>'Ch5'!W121</f>
        <v>0</v>
      </c>
      <c r="I119" s="56">
        <f ca="1">'Ch5'!O121</f>
        <v>0</v>
      </c>
      <c r="J119" s="888" t="s">
        <v>3375</v>
      </c>
    </row>
    <row r="120" spans="1:10" x14ac:dyDescent="0.2">
      <c r="A120" s="294" t="str">
        <f>A119</f>
        <v/>
      </c>
      <c r="B120" s="190" t="str">
        <f>IF(LEN('Ch5'!H122)=0,"",'Ch5'!H122)</f>
        <v/>
      </c>
      <c r="C120" s="190" t="str">
        <f t="shared" si="2"/>
        <v/>
      </c>
      <c r="D120" s="358"/>
      <c r="E120" s="368"/>
      <c r="F120" s="368"/>
      <c r="G120" s="792"/>
      <c r="J120" s="888"/>
    </row>
    <row r="121" spans="1:10" ht="15" customHeight="1" x14ac:dyDescent="0.2">
      <c r="A121" s="294" t="str">
        <f>IF(AND(LEN('Ch5'!W123)&gt;0,NOT('Ch5'!W123=FALSE)),"P","")</f>
        <v/>
      </c>
      <c r="B121" s="190" t="str">
        <f>IF(LEN('Ch5'!H123)=0,"",'Ch5'!H123)</f>
        <v/>
      </c>
      <c r="C121" s="190" t="str">
        <f t="shared" si="2"/>
        <v/>
      </c>
      <c r="D121" s="358"/>
      <c r="E121" s="347" t="s">
        <v>2192</v>
      </c>
      <c r="F121" s="359"/>
      <c r="G121" s="791" t="s">
        <v>2274</v>
      </c>
      <c r="H121" s="56">
        <f>'Ch5'!W123</f>
        <v>0</v>
      </c>
      <c r="I121" s="56">
        <f ca="1">'Ch5'!O123</f>
        <v>0</v>
      </c>
      <c r="J121" s="889" t="s">
        <v>3376</v>
      </c>
    </row>
    <row r="122" spans="1:10" x14ac:dyDescent="0.2">
      <c r="A122" s="294" t="str">
        <f>A121</f>
        <v/>
      </c>
      <c r="B122" s="190" t="str">
        <f>IF(LEN('Ch5'!H124)=0,"",'Ch5'!H124)</f>
        <v/>
      </c>
      <c r="C122" s="190" t="str">
        <f t="shared" si="2"/>
        <v/>
      </c>
      <c r="D122" s="358"/>
      <c r="E122" s="368"/>
      <c r="F122" s="368"/>
      <c r="G122" s="792"/>
      <c r="J122" s="889"/>
    </row>
    <row r="123" spans="1:10" ht="30" x14ac:dyDescent="0.2">
      <c r="A123" s="294" t="str">
        <f>IF(AND(LEN('Ch5'!W125)&gt;0,NOT('Ch5'!W125=FALSE)),"P","")</f>
        <v/>
      </c>
      <c r="B123" s="190" t="str">
        <f>IF(LEN('Ch5'!H125)=0,"",'Ch5'!H125)</f>
        <v/>
      </c>
      <c r="C123" s="190" t="str">
        <f t="shared" si="2"/>
        <v/>
      </c>
      <c r="D123" s="358"/>
      <c r="E123" s="346" t="s">
        <v>2194</v>
      </c>
      <c r="F123" s="358"/>
      <c r="G123" s="53" t="s">
        <v>2275</v>
      </c>
      <c r="H123" s="56">
        <f>'Ch5'!W125</f>
        <v>0</v>
      </c>
      <c r="I123" s="56">
        <f ca="1">'Ch5'!O125</f>
        <v>0</v>
      </c>
      <c r="J123" s="649" t="s">
        <v>3377</v>
      </c>
    </row>
    <row r="124" spans="1:10" x14ac:dyDescent="0.2">
      <c r="B124" s="190" t="str">
        <f>IF(LEN('Ch5'!H126)=0,"",'Ch5'!H126)</f>
        <v/>
      </c>
      <c r="C124" s="190" t="str">
        <f t="shared" si="2"/>
        <v/>
      </c>
      <c r="D124" s="358"/>
      <c r="E124" s="358"/>
      <c r="F124" s="346" t="s">
        <v>2196</v>
      </c>
      <c r="G124" s="53" t="s">
        <v>2276</v>
      </c>
      <c r="J124" s="649"/>
    </row>
    <row r="125" spans="1:10" x14ac:dyDescent="0.2">
      <c r="B125" s="190" t="str">
        <f>IF(LEN('Ch5'!H127)=0,"",'Ch5'!H127)</f>
        <v/>
      </c>
      <c r="C125" s="190" t="str">
        <f t="shared" si="2"/>
        <v/>
      </c>
      <c r="D125" s="358"/>
      <c r="E125" s="358"/>
      <c r="F125" s="346" t="s">
        <v>2198</v>
      </c>
      <c r="G125" s="53" t="s">
        <v>2277</v>
      </c>
      <c r="J125" s="649"/>
    </row>
    <row r="126" spans="1:10" x14ac:dyDescent="0.2">
      <c r="B126" s="190" t="str">
        <f>IF(LEN('Ch5'!H128)=0,"",'Ch5'!H128)</f>
        <v/>
      </c>
      <c r="C126" s="190" t="str">
        <f t="shared" ref="C126:C184" si="3">IF(LEN(B126)=0,IF(A126="P","P",""),B126)</f>
        <v/>
      </c>
      <c r="D126" s="358"/>
      <c r="E126" s="358"/>
      <c r="F126" s="367" t="s">
        <v>2200</v>
      </c>
      <c r="G126" s="53" t="s">
        <v>2278</v>
      </c>
      <c r="J126" s="649"/>
    </row>
    <row r="127" spans="1:10" x14ac:dyDescent="0.2">
      <c r="B127" s="190" t="str">
        <f>IF(LEN('Ch5'!H129)=0,"",'Ch5'!H129)</f>
        <v/>
      </c>
      <c r="C127" s="190" t="str">
        <f t="shared" si="3"/>
        <v/>
      </c>
      <c r="D127" s="358"/>
      <c r="E127" s="368"/>
      <c r="F127" s="370" t="s">
        <v>2247</v>
      </c>
      <c r="G127" s="126" t="s">
        <v>2279</v>
      </c>
      <c r="J127" s="649"/>
    </row>
    <row r="128" spans="1:10" ht="30" x14ac:dyDescent="0.2">
      <c r="A128" s="294" t="str">
        <f>IF(AND(LEN('Ch5'!W130)&gt;0,NOT('Ch5'!W130=FALSE)),"P","")</f>
        <v/>
      </c>
      <c r="B128" s="190" t="str">
        <f>IF(LEN('Ch5'!H130)=0,"",'Ch5'!H130)</f>
        <v/>
      </c>
      <c r="C128" s="190" t="str">
        <f t="shared" si="3"/>
        <v/>
      </c>
      <c r="D128" s="358"/>
      <c r="E128" s="366" t="s">
        <v>2221</v>
      </c>
      <c r="F128" s="368"/>
      <c r="G128" s="126" t="s">
        <v>2280</v>
      </c>
      <c r="H128" s="56">
        <f>'Ch5'!W130</f>
        <v>0</v>
      </c>
      <c r="I128" s="56">
        <f ca="1">'Ch5'!O130</f>
        <v>0</v>
      </c>
      <c r="J128" s="649" t="s">
        <v>3378</v>
      </c>
    </row>
    <row r="129" spans="1:10" ht="15" customHeight="1" x14ac:dyDescent="0.2">
      <c r="A129" s="294" t="str">
        <f>IF(AND(LEN('Ch5'!W131)&gt;0,NOT('Ch5'!W131=FALSE)),"P","")</f>
        <v/>
      </c>
      <c r="B129" s="190" t="str">
        <f>IF(LEN('Ch5'!H131)=0,"",'Ch5'!H131)</f>
        <v/>
      </c>
      <c r="C129" s="190" t="str">
        <f t="shared" si="3"/>
        <v/>
      </c>
      <c r="D129" s="358"/>
      <c r="E129" s="347" t="s">
        <v>2223</v>
      </c>
      <c r="F129" s="359"/>
      <c r="G129" s="791" t="s">
        <v>2281</v>
      </c>
      <c r="H129" s="56">
        <f>'Ch5'!W131</f>
        <v>0</v>
      </c>
      <c r="I129" s="56">
        <f ca="1">'Ch5'!O131</f>
        <v>0</v>
      </c>
      <c r="J129" s="889" t="s">
        <v>3379</v>
      </c>
    </row>
    <row r="130" spans="1:10" x14ac:dyDescent="0.2">
      <c r="A130" s="294" t="str">
        <f>A129</f>
        <v/>
      </c>
      <c r="B130" s="190" t="str">
        <f>IF(LEN('Ch5'!H132)=0,"",'Ch5'!H132)</f>
        <v/>
      </c>
      <c r="C130" s="190" t="str">
        <f t="shared" si="3"/>
        <v/>
      </c>
      <c r="D130" s="358"/>
      <c r="E130" s="359"/>
      <c r="F130" s="359"/>
      <c r="G130" s="791"/>
      <c r="J130" s="889"/>
    </row>
    <row r="131" spans="1:10" x14ac:dyDescent="0.2">
      <c r="A131" s="294" t="str">
        <f>A130</f>
        <v/>
      </c>
      <c r="B131" s="190" t="str">
        <f>IF(LEN('Ch5'!H133)=0,"",'Ch5'!H133)</f>
        <v/>
      </c>
      <c r="C131" s="190" t="str">
        <f t="shared" si="3"/>
        <v/>
      </c>
      <c r="D131" s="358"/>
      <c r="E131" s="359"/>
      <c r="F131" s="359"/>
      <c r="G131" s="791"/>
      <c r="J131" s="889"/>
    </row>
    <row r="132" spans="1:10" x14ac:dyDescent="0.2">
      <c r="A132" s="294" t="str">
        <f>A131</f>
        <v/>
      </c>
      <c r="B132" s="190" t="str">
        <f>IF(LEN('Ch5'!H134)=0,"",'Ch5'!H134)</f>
        <v/>
      </c>
      <c r="C132" s="190" t="str">
        <f t="shared" si="3"/>
        <v/>
      </c>
      <c r="D132" s="358"/>
      <c r="E132" s="359"/>
      <c r="F132" s="359"/>
      <c r="G132" s="791"/>
      <c r="J132" s="889"/>
    </row>
    <row r="133" spans="1:10" x14ac:dyDescent="0.2">
      <c r="A133" s="294" t="str">
        <f>A132</f>
        <v/>
      </c>
      <c r="B133" s="190" t="str">
        <f>IF(LEN('Ch5'!H135)=0,"",'Ch5'!H135)</f>
        <v/>
      </c>
      <c r="C133" s="190" t="str">
        <f t="shared" si="3"/>
        <v/>
      </c>
      <c r="D133" s="358"/>
      <c r="E133" s="368"/>
      <c r="F133" s="368"/>
      <c r="G133" s="792"/>
      <c r="J133" s="889"/>
    </row>
    <row r="134" spans="1:10" ht="15" customHeight="1" x14ac:dyDescent="0.2">
      <c r="A134" s="294" t="str">
        <f>IF(AND(LEN('Ch5'!W136)&gt;0,NOT('Ch5'!W136=FALSE)),"P","")</f>
        <v/>
      </c>
      <c r="B134" s="190" t="str">
        <f>IF(LEN('Ch5'!H136)=0,"",'Ch5'!H136)</f>
        <v/>
      </c>
      <c r="C134" s="190" t="str">
        <f t="shared" si="3"/>
        <v/>
      </c>
      <c r="D134" s="358"/>
      <c r="E134" s="347" t="s">
        <v>2282</v>
      </c>
      <c r="F134" s="359"/>
      <c r="G134" s="791" t="s">
        <v>2283</v>
      </c>
      <c r="H134" s="56">
        <f>'Ch5'!W136</f>
        <v>0</v>
      </c>
      <c r="I134" s="56">
        <f ca="1">'Ch5'!O136</f>
        <v>0</v>
      </c>
      <c r="J134" s="889" t="s">
        <v>3376</v>
      </c>
    </row>
    <row r="135" spans="1:10" x14ac:dyDescent="0.2">
      <c r="A135" s="294" t="str">
        <f>A134</f>
        <v/>
      </c>
      <c r="B135" s="190" t="str">
        <f>IF(LEN('Ch5'!H137)=0,"",'Ch5'!H137)</f>
        <v/>
      </c>
      <c r="C135" s="190" t="str">
        <f t="shared" si="3"/>
        <v/>
      </c>
      <c r="D135" s="358"/>
      <c r="E135" s="368"/>
      <c r="F135" s="368"/>
      <c r="G135" s="792"/>
      <c r="J135" s="889"/>
    </row>
    <row r="136" spans="1:10" ht="15" customHeight="1" x14ac:dyDescent="0.2">
      <c r="A136" s="294" t="str">
        <f>IF(AND(LEN('Ch5'!W138)&gt;0,NOT('Ch5'!W138=FALSE)),"P","")</f>
        <v/>
      </c>
      <c r="B136" s="190" t="str">
        <f>IF(LEN('Ch5'!H138)=0,"",'Ch5'!H138)</f>
        <v/>
      </c>
      <c r="C136" s="190" t="str">
        <f t="shared" si="3"/>
        <v/>
      </c>
      <c r="D136" s="358"/>
      <c r="E136" s="347" t="s">
        <v>2284</v>
      </c>
      <c r="F136" s="359"/>
      <c r="G136" s="791" t="s">
        <v>2285</v>
      </c>
      <c r="H136" s="56">
        <f>'Ch5'!W138</f>
        <v>0</v>
      </c>
      <c r="I136" s="56">
        <f>'Ch5'!O138</f>
        <v>0</v>
      </c>
      <c r="J136" s="889" t="s">
        <v>3380</v>
      </c>
    </row>
    <row r="137" spans="1:10" x14ac:dyDescent="0.2">
      <c r="A137" s="294" t="str">
        <f>A136</f>
        <v/>
      </c>
      <c r="B137" s="190" t="str">
        <f>IF(LEN('Ch5'!H139)=0,"",'Ch5'!H139)</f>
        <v/>
      </c>
      <c r="C137" s="190" t="str">
        <f t="shared" si="3"/>
        <v/>
      </c>
      <c r="D137" s="358"/>
      <c r="E137" s="359"/>
      <c r="F137" s="359"/>
      <c r="G137" s="791"/>
      <c r="J137" s="889"/>
    </row>
    <row r="138" spans="1:10" x14ac:dyDescent="0.2">
      <c r="A138" s="294" t="str">
        <f>A137</f>
        <v/>
      </c>
      <c r="B138" s="190" t="str">
        <f>IF(LEN('Ch5'!H140)=0,"",'Ch5'!H140)</f>
        <v/>
      </c>
      <c r="C138" s="190" t="str">
        <f t="shared" si="3"/>
        <v/>
      </c>
      <c r="D138" s="358"/>
      <c r="E138" s="368"/>
      <c r="F138" s="368"/>
      <c r="G138" s="792"/>
      <c r="J138" s="889"/>
    </row>
    <row r="139" spans="1:10" ht="15" customHeight="1" x14ac:dyDescent="0.2">
      <c r="A139" s="294" t="str">
        <f>IF(AND(LEN('Ch5'!W141)&gt;0,NOT('Ch5'!W141=FALSE)),"P","")</f>
        <v/>
      </c>
      <c r="B139" s="190" t="str">
        <f>IF(LEN('Ch5'!H141)=0,"",'Ch5'!H141)</f>
        <v/>
      </c>
      <c r="C139" s="190" t="str">
        <f t="shared" si="3"/>
        <v/>
      </c>
      <c r="D139" s="358"/>
      <c r="E139" s="347" t="s">
        <v>2286</v>
      </c>
      <c r="F139" s="359"/>
      <c r="G139" s="791" t="s">
        <v>2287</v>
      </c>
      <c r="H139" s="56">
        <f>'Ch5'!W141</f>
        <v>0</v>
      </c>
      <c r="I139" s="56">
        <f>'Ch5'!O141</f>
        <v>0</v>
      </c>
      <c r="J139" s="890" t="s">
        <v>3381</v>
      </c>
    </row>
    <row r="140" spans="1:10" x14ac:dyDescent="0.2">
      <c r="A140" s="294" t="str">
        <f>A139</f>
        <v/>
      </c>
      <c r="B140" s="190" t="str">
        <f>IF(LEN('Ch5'!H142)=0,"",'Ch5'!H142)</f>
        <v/>
      </c>
      <c r="C140" s="190" t="str">
        <f t="shared" si="3"/>
        <v/>
      </c>
      <c r="D140" s="358"/>
      <c r="E140" s="368"/>
      <c r="F140" s="368"/>
      <c r="G140" s="792"/>
      <c r="J140" s="890"/>
    </row>
    <row r="141" spans="1:10" ht="15" customHeight="1" x14ac:dyDescent="0.2">
      <c r="A141" s="294" t="str">
        <f>IF(AND(LEN('Ch5'!W143)&gt;0,NOT('Ch5'!W143=FALSE)),"P","")</f>
        <v/>
      </c>
      <c r="B141" s="190" t="str">
        <f>IF(LEN('Ch5'!H143)=0,"",'Ch5'!H143)</f>
        <v/>
      </c>
      <c r="C141" s="190" t="str">
        <f t="shared" si="3"/>
        <v/>
      </c>
      <c r="D141" s="358"/>
      <c r="E141" s="347" t="s">
        <v>2288</v>
      </c>
      <c r="F141" s="359"/>
      <c r="G141" s="791" t="s">
        <v>2289</v>
      </c>
      <c r="H141" s="56">
        <f>'Ch5'!W143</f>
        <v>0</v>
      </c>
      <c r="I141" s="56">
        <f>'Ch5'!O143</f>
        <v>0</v>
      </c>
      <c r="J141" s="889" t="s">
        <v>3376</v>
      </c>
    </row>
    <row r="142" spans="1:10" x14ac:dyDescent="0.2">
      <c r="A142" s="294" t="str">
        <f>A141</f>
        <v/>
      </c>
      <c r="B142" s="190" t="str">
        <f>IF(LEN('Ch5'!H144)=0,"",'Ch5'!H144)</f>
        <v/>
      </c>
      <c r="C142" s="190" t="str">
        <f t="shared" si="3"/>
        <v/>
      </c>
      <c r="D142" s="358"/>
      <c r="E142" s="368"/>
      <c r="F142" s="368"/>
      <c r="G142" s="792"/>
      <c r="J142" s="889"/>
    </row>
    <row r="143" spans="1:10" ht="15" customHeight="1" x14ac:dyDescent="0.2">
      <c r="A143" s="294" t="str">
        <f>IF(AND(LEN('Ch5'!W145)&gt;0,NOT('Ch5'!W145=FALSE)),"P","")</f>
        <v/>
      </c>
      <c r="B143" s="190" t="str">
        <f>IF(LEN('Ch5'!H145)=0,"",'Ch5'!H145)</f>
        <v/>
      </c>
      <c r="C143" s="190" t="str">
        <f t="shared" si="3"/>
        <v/>
      </c>
      <c r="D143" s="359"/>
      <c r="E143" s="347" t="s">
        <v>2290</v>
      </c>
      <c r="F143" s="359"/>
      <c r="G143" s="791" t="s">
        <v>2291</v>
      </c>
      <c r="H143" s="56">
        <f>'Ch5'!W145</f>
        <v>0</v>
      </c>
      <c r="I143" s="56">
        <f>'Ch5'!O145</f>
        <v>0</v>
      </c>
      <c r="J143" s="889" t="s">
        <v>3376</v>
      </c>
    </row>
    <row r="144" spans="1:10" ht="16" thickBot="1" x14ac:dyDescent="0.25">
      <c r="A144" s="294" t="str">
        <f>A143</f>
        <v/>
      </c>
      <c r="B144" s="190" t="str">
        <f>IF(LEN('Ch5'!H146)=0,"",'Ch5'!H146)</f>
        <v/>
      </c>
      <c r="C144" s="190" t="str">
        <f t="shared" si="3"/>
        <v/>
      </c>
      <c r="D144" s="360"/>
      <c r="E144" s="360"/>
      <c r="F144" s="360"/>
      <c r="G144" s="818"/>
      <c r="J144" s="889"/>
    </row>
    <row r="145" spans="1:10" ht="15" customHeight="1" thickTop="1" x14ac:dyDescent="0.2">
      <c r="A145" s="294" t="str">
        <f>IF('Ch5'!O147&gt;0,"P","")</f>
        <v/>
      </c>
      <c r="B145" s="190" t="str">
        <f>IF(LEN('Ch5'!H147)=0,"",'Ch5'!H147)</f>
        <v/>
      </c>
      <c r="C145" s="190" t="str">
        <f t="shared" si="3"/>
        <v/>
      </c>
      <c r="D145" s="107" t="s">
        <v>2293</v>
      </c>
      <c r="E145" s="358"/>
      <c r="F145" s="358"/>
      <c r="G145" s="775" t="s">
        <v>2294</v>
      </c>
      <c r="I145" s="56">
        <f>'Ch5'!O147</f>
        <v>0</v>
      </c>
      <c r="J145" s="888" t="s">
        <v>3382</v>
      </c>
    </row>
    <row r="146" spans="1:10" ht="51" customHeight="1" x14ac:dyDescent="0.2">
      <c r="A146" s="294" t="str">
        <f>A145</f>
        <v/>
      </c>
      <c r="B146" s="190" t="str">
        <f>IF(LEN('Ch5'!H148)=0,"",'Ch5'!H148)</f>
        <v/>
      </c>
      <c r="C146" s="190" t="str">
        <f t="shared" si="3"/>
        <v/>
      </c>
      <c r="D146" s="358"/>
      <c r="E146" s="358"/>
      <c r="F146" s="358"/>
      <c r="G146" s="775"/>
      <c r="J146" s="888"/>
    </row>
    <row r="147" spans="1:10" x14ac:dyDescent="0.2">
      <c r="B147" s="190" t="str">
        <f>IF(LEN('Ch5'!H149)=0,"",'Ch5'!H149)</f>
        <v/>
      </c>
      <c r="C147" s="190" t="str">
        <f t="shared" si="3"/>
        <v/>
      </c>
      <c r="D147" s="358"/>
      <c r="E147" s="366" t="s">
        <v>2181</v>
      </c>
      <c r="F147" s="368"/>
      <c r="G147" s="126" t="s">
        <v>2295</v>
      </c>
      <c r="H147" s="56">
        <f>'Ch5'!W149</f>
        <v>0</v>
      </c>
      <c r="J147" s="649"/>
    </row>
    <row r="148" spans="1:10" x14ac:dyDescent="0.2">
      <c r="B148" s="190" t="str">
        <f>IF(LEN('Ch5'!H150)=0,"",'Ch5'!H150)</f>
        <v/>
      </c>
      <c r="C148" s="190" t="str">
        <f t="shared" si="3"/>
        <v/>
      </c>
      <c r="D148" s="358"/>
      <c r="E148" s="366" t="s">
        <v>2183</v>
      </c>
      <c r="F148" s="368"/>
      <c r="G148" s="126" t="s">
        <v>2296</v>
      </c>
      <c r="H148" s="56">
        <f>'Ch5'!W150</f>
        <v>0</v>
      </c>
      <c r="J148" s="649"/>
    </row>
    <row r="149" spans="1:10" ht="15" customHeight="1" x14ac:dyDescent="0.2">
      <c r="B149" s="190" t="str">
        <f>IF(LEN('Ch5'!H151)=0,"",'Ch5'!H151)</f>
        <v/>
      </c>
      <c r="C149" s="190" t="str">
        <f t="shared" si="3"/>
        <v/>
      </c>
      <c r="D149" s="358"/>
      <c r="E149" s="347" t="s">
        <v>2185</v>
      </c>
      <c r="F149" s="359"/>
      <c r="G149" s="791" t="s">
        <v>2297</v>
      </c>
      <c r="H149" s="56">
        <f>'Ch5'!W151</f>
        <v>0</v>
      </c>
      <c r="J149" s="649"/>
    </row>
    <row r="150" spans="1:10" x14ac:dyDescent="0.2">
      <c r="B150" s="190" t="str">
        <f>IF(LEN('Ch5'!H152)=0,"",'Ch5'!H152)</f>
        <v/>
      </c>
      <c r="C150" s="190" t="str">
        <f t="shared" si="3"/>
        <v/>
      </c>
      <c r="D150" s="358"/>
      <c r="E150" s="368"/>
      <c r="F150" s="368"/>
      <c r="G150" s="792"/>
      <c r="J150" s="649"/>
    </row>
    <row r="151" spans="1:10" ht="16" thickBot="1" x14ac:dyDescent="0.25">
      <c r="B151" s="190" t="str">
        <f>IF(LEN('Ch5'!H153)=0,"",'Ch5'!H153)</f>
        <v/>
      </c>
      <c r="C151" s="190" t="str">
        <f t="shared" si="3"/>
        <v/>
      </c>
      <c r="D151" s="360"/>
      <c r="E151" s="351" t="s">
        <v>2192</v>
      </c>
      <c r="F151" s="360"/>
      <c r="G151" s="67" t="s">
        <v>2298</v>
      </c>
      <c r="H151" s="56">
        <f>'Ch5'!W153</f>
        <v>0</v>
      </c>
      <c r="J151" s="649"/>
    </row>
    <row r="152" spans="1:10" ht="15.75" customHeight="1" thickTop="1" x14ac:dyDescent="0.2">
      <c r="A152" s="539" t="str">
        <f>IF(COUNTIF(A154:A156,"P")&gt;0,"P","")</f>
        <v/>
      </c>
      <c r="B152" s="190" t="str">
        <f>IF(LEN('Ch5'!H154)=0,"",'Ch5'!H154)</f>
        <v/>
      </c>
      <c r="C152" s="190" t="str">
        <f t="shared" si="3"/>
        <v/>
      </c>
      <c r="D152" s="107" t="s">
        <v>2300</v>
      </c>
      <c r="E152" s="358"/>
      <c r="F152" s="358"/>
      <c r="G152" s="775" t="s">
        <v>2301</v>
      </c>
      <c r="J152" s="650"/>
    </row>
    <row r="153" spans="1:10" x14ac:dyDescent="0.2">
      <c r="A153" s="294" t="str">
        <f>A152</f>
        <v/>
      </c>
      <c r="B153" s="190" t="str">
        <f>IF(LEN('Ch5'!H155)=0,"",'Ch5'!H155)</f>
        <v/>
      </c>
      <c r="C153" s="190" t="str">
        <f t="shared" si="3"/>
        <v/>
      </c>
      <c r="D153" s="358"/>
      <c r="E153" s="358"/>
      <c r="F153" s="358"/>
      <c r="G153" s="775"/>
      <c r="J153" s="650"/>
    </row>
    <row r="154" spans="1:10" ht="15" customHeight="1" x14ac:dyDescent="0.2">
      <c r="A154" s="294" t="str">
        <f>IF(AND(LEN('Ch5'!W156)&gt;0,NOT('Ch5'!W156=FALSE)),"P","")</f>
        <v/>
      </c>
      <c r="B154" s="190" t="str">
        <f>IF(LEN('Ch5'!H156)=0,"",'Ch5'!H156)</f>
        <v/>
      </c>
      <c r="C154" s="190" t="str">
        <f t="shared" si="3"/>
        <v/>
      </c>
      <c r="D154" s="358"/>
      <c r="E154" s="347" t="s">
        <v>2181</v>
      </c>
      <c r="F154" s="359"/>
      <c r="G154" s="791" t="s">
        <v>2302</v>
      </c>
      <c r="H154" s="56">
        <f>'Ch5'!W156</f>
        <v>0</v>
      </c>
      <c r="I154" s="56">
        <f>'Ch5'!O156</f>
        <v>0</v>
      </c>
      <c r="J154" s="888" t="s">
        <v>3383</v>
      </c>
    </row>
    <row r="155" spans="1:10" ht="23.25" customHeight="1" x14ac:dyDescent="0.2">
      <c r="A155" s="294" t="str">
        <f>A154</f>
        <v/>
      </c>
      <c r="B155" s="190" t="str">
        <f>IF(LEN('Ch5'!H157)=0,"",'Ch5'!H157)</f>
        <v/>
      </c>
      <c r="C155" s="190" t="str">
        <f t="shared" si="3"/>
        <v/>
      </c>
      <c r="D155" s="358"/>
      <c r="E155" s="366"/>
      <c r="F155" s="368"/>
      <c r="G155" s="792"/>
      <c r="J155" s="888"/>
    </row>
    <row r="156" spans="1:10" x14ac:dyDescent="0.2">
      <c r="A156" s="294" t="str">
        <f>IF(AND(LEN('Ch5'!W158)&gt;0,NOT('Ch5'!W158=FALSE)),"P","")</f>
        <v/>
      </c>
      <c r="B156" s="190" t="str">
        <f>IF(LEN('Ch5'!H158)=0,"",'Ch5'!H158)</f>
        <v/>
      </c>
      <c r="C156" s="190" t="str">
        <f t="shared" si="3"/>
        <v/>
      </c>
      <c r="D156" s="359"/>
      <c r="E156" s="347" t="s">
        <v>2183</v>
      </c>
      <c r="F156" s="359"/>
      <c r="G156" s="791" t="s">
        <v>2303</v>
      </c>
      <c r="H156" s="56">
        <f>'Ch5'!W158</f>
        <v>0</v>
      </c>
      <c r="I156" s="56">
        <f>'Ch5'!O158</f>
        <v>0</v>
      </c>
      <c r="J156" s="888" t="s">
        <v>3384</v>
      </c>
    </row>
    <row r="157" spans="1:10" ht="62.25" customHeight="1" thickBot="1" x14ac:dyDescent="0.25">
      <c r="A157" s="294" t="str">
        <f>A156</f>
        <v/>
      </c>
      <c r="B157" s="190" t="str">
        <f>IF(LEN('Ch5'!H159)=0,"",'Ch5'!H159)</f>
        <v/>
      </c>
      <c r="C157" s="190" t="str">
        <f t="shared" si="3"/>
        <v/>
      </c>
      <c r="D157" s="360"/>
      <c r="E157" s="360"/>
      <c r="F157" s="360"/>
      <c r="G157" s="818"/>
      <c r="J157" s="888"/>
    </row>
    <row r="158" spans="1:10" ht="20" thickTop="1" x14ac:dyDescent="0.2">
      <c r="A158" s="294" t="s">
        <v>3343</v>
      </c>
      <c r="B158" s="190" t="str">
        <f>IF(LEN('Ch5'!H160)=0,"",'Ch5'!H160)</f>
        <v/>
      </c>
      <c r="C158" s="190" t="str">
        <f t="shared" si="3"/>
        <v>P</v>
      </c>
      <c r="D158" s="50" t="s">
        <v>2305</v>
      </c>
      <c r="E158" s="50"/>
      <c r="F158" s="50"/>
      <c r="G158" s="54"/>
      <c r="H158" s="54"/>
      <c r="I158" s="54"/>
      <c r="J158" s="397"/>
    </row>
    <row r="159" spans="1:10" ht="15.75" customHeight="1" x14ac:dyDescent="0.2">
      <c r="B159" s="190" t="str">
        <f>IF(LEN('Ch5'!H161)=0,"",'Ch5'!H161)</f>
        <v/>
      </c>
      <c r="C159" s="190" t="str">
        <f t="shared" si="3"/>
        <v/>
      </c>
      <c r="D159" s="347" t="s">
        <v>2306</v>
      </c>
      <c r="E159" s="359"/>
      <c r="F159" s="359"/>
      <c r="G159" s="820" t="s">
        <v>2307</v>
      </c>
      <c r="J159" s="650"/>
    </row>
    <row r="160" spans="1:10" ht="16" thickBot="1" x14ac:dyDescent="0.25">
      <c r="B160" s="190" t="str">
        <f>IF(LEN('Ch5'!H162)=0,"",'Ch5'!H162)</f>
        <v/>
      </c>
      <c r="C160" s="190" t="str">
        <f t="shared" si="3"/>
        <v/>
      </c>
      <c r="D160" s="360"/>
      <c r="E160" s="360"/>
      <c r="F160" s="360"/>
      <c r="G160" s="822"/>
      <c r="J160" s="650"/>
    </row>
    <row r="161" spans="1:10" ht="15.75" customHeight="1" thickTop="1" x14ac:dyDescent="0.2">
      <c r="A161" s="294" t="str">
        <f>IF(AND(LEN('Ch5'!W163)&gt;0,NOT('Ch5'!W163=FALSE)),"P","")</f>
        <v/>
      </c>
      <c r="B161" s="190" t="str">
        <f>IF(LEN('Ch5'!H163)=0,"",'Ch5'!H163)</f>
        <v/>
      </c>
      <c r="C161" s="190" t="str">
        <f t="shared" si="3"/>
        <v/>
      </c>
      <c r="D161" s="361" t="s">
        <v>2309</v>
      </c>
      <c r="E161" s="369"/>
      <c r="F161" s="369"/>
      <c r="G161" s="819" t="s">
        <v>2310</v>
      </c>
      <c r="H161" s="56">
        <f>'Ch5'!W163</f>
        <v>0</v>
      </c>
      <c r="I161" s="56">
        <f>'Ch5'!O163</f>
        <v>0</v>
      </c>
      <c r="J161" s="888" t="s">
        <v>3385</v>
      </c>
    </row>
    <row r="162" spans="1:10" x14ac:dyDescent="0.2">
      <c r="A162" s="294" t="str">
        <f>A161</f>
        <v/>
      </c>
      <c r="B162" s="190" t="str">
        <f>IF(LEN('Ch5'!H164)=0,"",'Ch5'!H164)</f>
        <v/>
      </c>
      <c r="C162" s="190" t="str">
        <f t="shared" si="3"/>
        <v/>
      </c>
      <c r="D162" s="359"/>
      <c r="E162" s="359"/>
      <c r="F162" s="359"/>
      <c r="G162" s="820"/>
      <c r="J162" s="888"/>
    </row>
    <row r="163" spans="1:10" x14ac:dyDescent="0.2">
      <c r="A163" s="294" t="str">
        <f>A162</f>
        <v/>
      </c>
      <c r="B163" s="190" t="str">
        <f>IF(LEN('Ch5'!H165)=0,"",'Ch5'!H165)</f>
        <v/>
      </c>
      <c r="C163" s="190" t="str">
        <f t="shared" si="3"/>
        <v/>
      </c>
      <c r="D163" s="359"/>
      <c r="E163" s="359"/>
      <c r="F163" s="359"/>
      <c r="G163" s="820"/>
      <c r="J163" s="888"/>
    </row>
    <row r="164" spans="1:10" x14ac:dyDescent="0.2">
      <c r="A164" s="294" t="str">
        <f>A163</f>
        <v/>
      </c>
      <c r="B164" s="190" t="str">
        <f>IF(LEN('Ch5'!H166)=0,"",'Ch5'!H166)</f>
        <v/>
      </c>
      <c r="C164" s="190" t="str">
        <f t="shared" si="3"/>
        <v/>
      </c>
      <c r="D164" s="359"/>
      <c r="E164" s="359"/>
      <c r="F164" s="359"/>
      <c r="G164" s="820"/>
      <c r="J164" s="888"/>
    </row>
    <row r="165" spans="1:10" ht="16" thickBot="1" x14ac:dyDescent="0.25">
      <c r="B165" s="190" t="str">
        <f>IF(LEN('Ch5'!H167)=0,"",'Ch5'!H167)</f>
        <v/>
      </c>
      <c r="C165" s="190" t="str">
        <f t="shared" si="3"/>
        <v/>
      </c>
      <c r="D165" s="360"/>
      <c r="E165" s="360"/>
      <c r="F165" s="360"/>
      <c r="G165" s="449" t="s">
        <v>2311</v>
      </c>
      <c r="J165" s="650"/>
    </row>
    <row r="166" spans="1:10" ht="15" customHeight="1" thickTop="1" x14ac:dyDescent="0.2">
      <c r="A166" s="539" t="str">
        <f>IF(COUNTIF(A168:A171,"P")&gt;0,"P","")</f>
        <v/>
      </c>
      <c r="B166" s="190" t="str">
        <f>IF(LEN('Ch5'!H168)=0,"",'Ch5'!H168)</f>
        <v/>
      </c>
      <c r="C166" s="190" t="str">
        <f t="shared" si="3"/>
        <v/>
      </c>
      <c r="D166" s="361" t="s">
        <v>2313</v>
      </c>
      <c r="E166" s="369"/>
      <c r="F166" s="369"/>
      <c r="G166" s="819" t="s">
        <v>2314</v>
      </c>
      <c r="J166" s="650"/>
    </row>
    <row r="167" spans="1:10" x14ac:dyDescent="0.2">
      <c r="A167" s="294" t="str">
        <f>A166</f>
        <v/>
      </c>
      <c r="B167" s="190" t="str">
        <f>IF(LEN('Ch5'!H169)=0,"",'Ch5'!H169)</f>
        <v/>
      </c>
      <c r="C167" s="190" t="str">
        <f t="shared" si="3"/>
        <v/>
      </c>
      <c r="D167" s="359"/>
      <c r="E167" s="359"/>
      <c r="F167" s="359"/>
      <c r="G167" s="820"/>
      <c r="J167" s="650"/>
    </row>
    <row r="168" spans="1:10" ht="30" x14ac:dyDescent="0.2">
      <c r="A168" s="294" t="str">
        <f>IF(AND(LEN('Ch5'!W170)&gt;0,NOT('Ch5'!W170=FALSE)),"P","")</f>
        <v/>
      </c>
      <c r="B168" s="190" t="str">
        <f>IF(LEN('Ch5'!H170)=0,"",'Ch5'!H170)</f>
        <v/>
      </c>
      <c r="C168" s="190" t="str">
        <f t="shared" si="3"/>
        <v/>
      </c>
      <c r="D168" s="358"/>
      <c r="E168" s="366" t="s">
        <v>2181</v>
      </c>
      <c r="F168" s="368"/>
      <c r="G168" s="126" t="s">
        <v>2315</v>
      </c>
      <c r="H168" s="56">
        <f>'Ch5'!W170</f>
        <v>0</v>
      </c>
      <c r="I168" s="56">
        <f>'Ch5'!O170</f>
        <v>0</v>
      </c>
      <c r="J168" s="649" t="s">
        <v>3386</v>
      </c>
    </row>
    <row r="169" spans="1:10" ht="15" customHeight="1" x14ac:dyDescent="0.2">
      <c r="A169" s="294" t="str">
        <f>IF(AND(LEN('Ch5'!W171)&gt;0,NOT('Ch5'!W171=FALSE)),"P","")</f>
        <v/>
      </c>
      <c r="B169" s="190" t="str">
        <f>IF(LEN('Ch5'!H171)=0,"",'Ch5'!H171)</f>
        <v/>
      </c>
      <c r="C169" s="190" t="str">
        <f t="shared" si="3"/>
        <v/>
      </c>
      <c r="D169" s="358"/>
      <c r="E169" s="347" t="s">
        <v>2183</v>
      </c>
      <c r="F169" s="359"/>
      <c r="G169" s="791" t="s">
        <v>2316</v>
      </c>
      <c r="H169" s="56">
        <f>'Ch5'!W171</f>
        <v>0</v>
      </c>
      <c r="I169" s="56">
        <f>'Ch5'!O171</f>
        <v>0</v>
      </c>
      <c r="J169" s="888" t="s">
        <v>3387</v>
      </c>
    </row>
    <row r="170" spans="1:10" x14ac:dyDescent="0.2">
      <c r="A170" s="294" t="str">
        <f>A169</f>
        <v/>
      </c>
      <c r="B170" s="190" t="str">
        <f>IF(LEN('Ch5'!H172)=0,"",'Ch5'!H172)</f>
        <v/>
      </c>
      <c r="C170" s="190" t="str">
        <f t="shared" si="3"/>
        <v/>
      </c>
      <c r="D170" s="358"/>
      <c r="E170" s="366"/>
      <c r="F170" s="368"/>
      <c r="G170" s="792"/>
      <c r="J170" s="888"/>
    </row>
    <row r="171" spans="1:10" ht="15" customHeight="1" x14ac:dyDescent="0.2">
      <c r="A171" s="294" t="str">
        <f>IF(AND(LEN('Ch5'!W173)&gt;0,NOT('Ch5'!W173=FALSE)),"P","")</f>
        <v/>
      </c>
      <c r="B171" s="190" t="str">
        <f>IF(LEN('Ch5'!H173)=0,"",'Ch5'!H173)</f>
        <v/>
      </c>
      <c r="C171" s="190" t="str">
        <f t="shared" si="3"/>
        <v/>
      </c>
      <c r="D171" s="359"/>
      <c r="E171" s="347" t="s">
        <v>2185</v>
      </c>
      <c r="F171" s="359"/>
      <c r="G171" s="791" t="s">
        <v>2317</v>
      </c>
      <c r="H171" s="56">
        <f>'Ch5'!W173</f>
        <v>0</v>
      </c>
      <c r="I171" s="56">
        <f>'Ch5'!O173</f>
        <v>0</v>
      </c>
      <c r="J171" s="888" t="s">
        <v>3388</v>
      </c>
    </row>
    <row r="172" spans="1:10" ht="39" customHeight="1" thickBot="1" x14ac:dyDescent="0.25">
      <c r="A172" s="294" t="str">
        <f>A171</f>
        <v/>
      </c>
      <c r="B172" s="190" t="str">
        <f>IF(LEN('Ch5'!H174)=0,"",'Ch5'!H174)</f>
        <v/>
      </c>
      <c r="C172" s="190" t="str">
        <f t="shared" si="3"/>
        <v/>
      </c>
      <c r="D172" s="360"/>
      <c r="E172" s="360"/>
      <c r="F172" s="360"/>
      <c r="G172" s="818"/>
      <c r="J172" s="888"/>
    </row>
    <row r="173" spans="1:10" ht="15" customHeight="1" thickTop="1" x14ac:dyDescent="0.2">
      <c r="A173" s="539" t="str">
        <f>IF(COUNTIF(A176:A198,"P")&gt;0,"P","")</f>
        <v/>
      </c>
      <c r="B173" s="190" t="str">
        <f>IF(LEN('Ch5'!H175)=0,"",'Ch5'!H175)</f>
        <v/>
      </c>
      <c r="C173" s="190" t="str">
        <f t="shared" si="3"/>
        <v/>
      </c>
      <c r="D173" s="346" t="s">
        <v>2319</v>
      </c>
      <c r="E173" s="358"/>
      <c r="F173" s="358"/>
      <c r="G173" s="775" t="s">
        <v>2320</v>
      </c>
      <c r="J173" s="650"/>
    </row>
    <row r="174" spans="1:10" x14ac:dyDescent="0.2">
      <c r="A174" s="294" t="str">
        <f>A173</f>
        <v/>
      </c>
      <c r="B174" s="190" t="str">
        <f>IF(LEN('Ch5'!H176)=0,"",'Ch5'!H176)</f>
        <v/>
      </c>
      <c r="C174" s="190" t="str">
        <f t="shared" si="3"/>
        <v/>
      </c>
      <c r="D174" s="358"/>
      <c r="E174" s="358"/>
      <c r="F174" s="358"/>
      <c r="G174" s="775"/>
      <c r="J174" s="650"/>
    </row>
    <row r="175" spans="1:10" x14ac:dyDescent="0.2">
      <c r="A175" s="294" t="str">
        <f>A174</f>
        <v/>
      </c>
      <c r="B175" s="190" t="str">
        <f>IF(LEN('Ch5'!H177)=0,"",'Ch5'!H177)</f>
        <v/>
      </c>
      <c r="C175" s="190" t="str">
        <f t="shared" si="3"/>
        <v/>
      </c>
      <c r="D175" s="358"/>
      <c r="E175" s="358"/>
      <c r="F175" s="358"/>
      <c r="G175" s="775"/>
      <c r="J175" s="650"/>
    </row>
    <row r="176" spans="1:10" ht="15" customHeight="1" x14ac:dyDescent="0.2">
      <c r="A176" s="294" t="str">
        <f>IF(AND(LEN('Ch5'!W178)&gt;0,NOT('Ch5'!W178=FALSE)),"P","")</f>
        <v/>
      </c>
      <c r="B176" s="190" t="str">
        <f>IF(LEN('Ch5'!H178)=0,"",'Ch5'!H178)</f>
        <v/>
      </c>
      <c r="C176" s="190" t="str">
        <f t="shared" si="3"/>
        <v/>
      </c>
      <c r="D176" s="358"/>
      <c r="E176" s="347" t="s">
        <v>2181</v>
      </c>
      <c r="F176" s="359"/>
      <c r="G176" s="791" t="s">
        <v>2321</v>
      </c>
      <c r="H176" s="56">
        <f>'Ch5'!W178</f>
        <v>0</v>
      </c>
      <c r="I176" s="56">
        <f>'Ch5'!O178</f>
        <v>0</v>
      </c>
      <c r="J176" s="889" t="s">
        <v>3389</v>
      </c>
    </row>
    <row r="177" spans="1:10" x14ac:dyDescent="0.2">
      <c r="A177" s="294" t="str">
        <f>A176</f>
        <v/>
      </c>
      <c r="B177" s="190" t="str">
        <f>IF(LEN('Ch5'!H179)=0,"",'Ch5'!H179)</f>
        <v/>
      </c>
      <c r="C177" s="190" t="str">
        <f t="shared" si="3"/>
        <v/>
      </c>
      <c r="D177" s="358"/>
      <c r="E177" s="366"/>
      <c r="F177" s="368"/>
      <c r="G177" s="792"/>
      <c r="J177" s="889"/>
    </row>
    <row r="178" spans="1:10" ht="30" x14ac:dyDescent="0.2">
      <c r="A178" s="294" t="str">
        <f>IF(AND(LEN('Ch5'!W180)&gt;0,NOT('Ch5'!W180=FALSE)),"P","")</f>
        <v/>
      </c>
      <c r="B178" s="190" t="str">
        <f>IF(LEN('Ch5'!H180)=0,"",'Ch5'!H180)</f>
        <v/>
      </c>
      <c r="C178" s="190" t="str">
        <f t="shared" si="3"/>
        <v/>
      </c>
      <c r="D178" s="358"/>
      <c r="E178" s="366" t="s">
        <v>2183</v>
      </c>
      <c r="F178" s="368"/>
      <c r="G178" s="126" t="s">
        <v>2322</v>
      </c>
      <c r="H178" s="56">
        <f>'Ch5'!W180</f>
        <v>0</v>
      </c>
      <c r="I178" s="56">
        <f>'Ch5'!O180</f>
        <v>0</v>
      </c>
      <c r="J178" s="649" t="s">
        <v>3390</v>
      </c>
    </row>
    <row r="179" spans="1:10" ht="15" customHeight="1" x14ac:dyDescent="0.2">
      <c r="A179" s="294" t="str">
        <f>IF(AND(LEN('Ch5'!W181)&gt;0,NOT('Ch5'!W181=FALSE)),"P","")</f>
        <v/>
      </c>
      <c r="B179" s="190" t="str">
        <f>IF(LEN('Ch5'!H181)=0,"",'Ch5'!H181)</f>
        <v/>
      </c>
      <c r="C179" s="190" t="str">
        <f t="shared" si="3"/>
        <v/>
      </c>
      <c r="D179" s="358"/>
      <c r="E179" s="347" t="s">
        <v>2185</v>
      </c>
      <c r="F179" s="359"/>
      <c r="G179" s="791" t="s">
        <v>2323</v>
      </c>
      <c r="H179" s="56">
        <f>'Ch5'!W181</f>
        <v>0</v>
      </c>
      <c r="I179" s="56">
        <f>'Ch5'!O181</f>
        <v>0</v>
      </c>
      <c r="J179" s="888" t="s">
        <v>3391</v>
      </c>
    </row>
    <row r="180" spans="1:10" x14ac:dyDescent="0.2">
      <c r="A180" s="294" t="str">
        <f>A179</f>
        <v/>
      </c>
      <c r="B180" s="190" t="str">
        <f>IF(LEN('Ch5'!H182)=0,"",'Ch5'!H182)</f>
        <v/>
      </c>
      <c r="C180" s="190" t="str">
        <f t="shared" si="3"/>
        <v/>
      </c>
      <c r="D180" s="358"/>
      <c r="E180" s="368"/>
      <c r="F180" s="368"/>
      <c r="G180" s="792"/>
      <c r="J180" s="888"/>
    </row>
    <row r="181" spans="1:10" ht="15" customHeight="1" x14ac:dyDescent="0.2">
      <c r="A181" s="294" t="str">
        <f>IF(AND(LEN('Ch5'!W183)&gt;0,NOT('Ch5'!W183=FALSE)),"P","")</f>
        <v/>
      </c>
      <c r="B181" s="190" t="str">
        <f>IF(LEN('Ch5'!H183)=0,"",'Ch5'!H183)</f>
        <v/>
      </c>
      <c r="C181" s="190" t="str">
        <f t="shared" si="3"/>
        <v/>
      </c>
      <c r="D181" s="358"/>
      <c r="E181" s="347" t="s">
        <v>2192</v>
      </c>
      <c r="F181" s="359"/>
      <c r="G181" s="791" t="s">
        <v>2324</v>
      </c>
      <c r="H181" s="56">
        <f>'Ch5'!W183</f>
        <v>0</v>
      </c>
      <c r="I181" s="56">
        <f>'Ch5'!O183</f>
        <v>0</v>
      </c>
      <c r="J181" s="888" t="s">
        <v>3392</v>
      </c>
    </row>
    <row r="182" spans="1:10" x14ac:dyDescent="0.2">
      <c r="A182" s="294" t="str">
        <f>A181</f>
        <v/>
      </c>
      <c r="B182" s="190" t="str">
        <f>IF(LEN('Ch5'!H184)=0,"",'Ch5'!H184)</f>
        <v/>
      </c>
      <c r="C182" s="190" t="str">
        <f t="shared" si="3"/>
        <v/>
      </c>
      <c r="D182" s="358"/>
      <c r="E182" s="368"/>
      <c r="F182" s="368"/>
      <c r="G182" s="792"/>
      <c r="J182" s="888"/>
    </row>
    <row r="183" spans="1:10" ht="15" customHeight="1" x14ac:dyDescent="0.2">
      <c r="A183" s="294" t="str">
        <f>IF(AND(LEN('Ch5'!W185)&gt;0,NOT('Ch5'!W185=FALSE)),"P","")</f>
        <v/>
      </c>
      <c r="B183" s="190" t="str">
        <f>IF(LEN('Ch5'!H185)=0,"",'Ch5'!H185)</f>
        <v/>
      </c>
      <c r="C183" s="190" t="str">
        <f t="shared" si="3"/>
        <v/>
      </c>
      <c r="D183" s="358"/>
      <c r="E183" s="347" t="s">
        <v>2194</v>
      </c>
      <c r="F183" s="359"/>
      <c r="G183" s="791" t="s">
        <v>2325</v>
      </c>
      <c r="H183" s="56">
        <f>'Ch5'!W185</f>
        <v>0</v>
      </c>
      <c r="I183" s="56">
        <f>'Ch5'!O185</f>
        <v>0</v>
      </c>
      <c r="J183" s="888" t="s">
        <v>3393</v>
      </c>
    </row>
    <row r="184" spans="1:10" x14ac:dyDescent="0.2">
      <c r="A184" s="294" t="str">
        <f>A183</f>
        <v/>
      </c>
      <c r="B184" s="190" t="str">
        <f>IF(LEN('Ch5'!H186)=0,"",'Ch5'!H186)</f>
        <v/>
      </c>
      <c r="C184" s="190" t="str">
        <f t="shared" si="3"/>
        <v/>
      </c>
      <c r="D184" s="358"/>
      <c r="E184" s="359"/>
      <c r="F184" s="359"/>
      <c r="G184" s="791"/>
      <c r="J184" s="888"/>
    </row>
    <row r="185" spans="1:10" x14ac:dyDescent="0.2">
      <c r="A185" s="294" t="str">
        <f>A184</f>
        <v/>
      </c>
      <c r="B185" s="190" t="str">
        <f>IF(LEN('Ch5'!H187)=0,"",'Ch5'!H187)</f>
        <v/>
      </c>
      <c r="C185" s="190" t="str">
        <f t="shared" ref="C185:C248" si="4">IF(LEN(B185)=0,IF(A185="P","P",""),B185)</f>
        <v/>
      </c>
      <c r="D185" s="358"/>
      <c r="E185" s="359"/>
      <c r="F185" s="359"/>
      <c r="G185" s="791"/>
      <c r="J185" s="888"/>
    </row>
    <row r="186" spans="1:10" x14ac:dyDescent="0.2">
      <c r="A186" s="294" t="str">
        <f>A185</f>
        <v/>
      </c>
      <c r="B186" s="190" t="str">
        <f>IF(LEN('Ch5'!H188)=0,"",'Ch5'!H188)</f>
        <v/>
      </c>
      <c r="C186" s="190" t="str">
        <f t="shared" si="4"/>
        <v/>
      </c>
      <c r="D186" s="358"/>
      <c r="E186" s="368"/>
      <c r="F186" s="368"/>
      <c r="G186" s="792"/>
      <c r="J186" s="888"/>
    </row>
    <row r="187" spans="1:10" ht="15" customHeight="1" x14ac:dyDescent="0.2">
      <c r="A187" s="294" t="str">
        <f>IF(AND(LEN('Ch5'!W189)&gt;0,NOT('Ch5'!W189=FALSE)),"P","")</f>
        <v/>
      </c>
      <c r="B187" s="190" t="str">
        <f>IF(LEN('Ch5'!H189)=0,"",'Ch5'!H189)</f>
        <v/>
      </c>
      <c r="C187" s="190" t="str">
        <f t="shared" si="4"/>
        <v/>
      </c>
      <c r="D187" s="358"/>
      <c r="E187" s="347" t="s">
        <v>2221</v>
      </c>
      <c r="F187" s="359"/>
      <c r="G187" s="791" t="s">
        <v>2326</v>
      </c>
      <c r="H187" s="56">
        <f>'Ch5'!W189</f>
        <v>0</v>
      </c>
      <c r="I187" s="56">
        <f>'Ch5'!O189</f>
        <v>0</v>
      </c>
      <c r="J187" s="889" t="s">
        <v>3394</v>
      </c>
    </row>
    <row r="188" spans="1:10" x14ac:dyDescent="0.2">
      <c r="A188" s="294" t="str">
        <f>A187</f>
        <v/>
      </c>
      <c r="B188" s="190" t="str">
        <f>IF(LEN('Ch5'!H190)=0,"",'Ch5'!H190)</f>
        <v/>
      </c>
      <c r="C188" s="190" t="str">
        <f t="shared" si="4"/>
        <v/>
      </c>
      <c r="D188" s="358"/>
      <c r="E188" s="359"/>
      <c r="F188" s="359"/>
      <c r="G188" s="791"/>
      <c r="J188" s="889"/>
    </row>
    <row r="189" spans="1:10" x14ac:dyDescent="0.2">
      <c r="A189" s="294" t="str">
        <f>A188</f>
        <v/>
      </c>
      <c r="B189" s="190" t="str">
        <f>IF(LEN('Ch5'!H191)=0,"",'Ch5'!H191)</f>
        <v/>
      </c>
      <c r="C189" s="190" t="str">
        <f t="shared" si="4"/>
        <v/>
      </c>
      <c r="D189" s="358"/>
      <c r="E189" s="368"/>
      <c r="F189" s="368"/>
      <c r="G189" s="792"/>
      <c r="J189" s="889"/>
    </row>
    <row r="190" spans="1:10" ht="60" x14ac:dyDescent="0.2">
      <c r="A190" s="294" t="str">
        <f>IF(AND(LEN('Ch5'!W192)&gt;0,NOT('Ch5'!W192=FALSE)),"P","")</f>
        <v/>
      </c>
      <c r="B190" s="190" t="str">
        <f>IF(LEN('Ch5'!H192)=0,"",'Ch5'!H192)</f>
        <v/>
      </c>
      <c r="C190" s="190" t="str">
        <f t="shared" si="4"/>
        <v/>
      </c>
      <c r="D190" s="358"/>
      <c r="E190" s="366" t="s">
        <v>2223</v>
      </c>
      <c r="F190" s="368"/>
      <c r="G190" s="126" t="s">
        <v>2327</v>
      </c>
      <c r="H190" s="56">
        <f>'Ch5'!W192</f>
        <v>0</v>
      </c>
      <c r="I190" s="56">
        <f>'Ch5'!O192</f>
        <v>0</v>
      </c>
      <c r="J190" s="649" t="s">
        <v>3395</v>
      </c>
    </row>
    <row r="191" spans="1:10" x14ac:dyDescent="0.2">
      <c r="A191" s="294" t="str">
        <f>IF('Ch5'!O193&gt;0,"P","")</f>
        <v/>
      </c>
      <c r="B191" s="190" t="str">
        <f>IF(LEN('Ch5'!H193)=0,"",'Ch5'!H193)</f>
        <v/>
      </c>
      <c r="C191" s="190" t="str">
        <f t="shared" si="4"/>
        <v/>
      </c>
      <c r="D191" s="358"/>
      <c r="E191" s="347" t="s">
        <v>2282</v>
      </c>
      <c r="F191" s="359"/>
      <c r="G191" s="605" t="s">
        <v>2328</v>
      </c>
      <c r="I191" s="56">
        <f>'Ch5'!O193</f>
        <v>0</v>
      </c>
      <c r="J191" s="888" t="s">
        <v>3396</v>
      </c>
    </row>
    <row r="192" spans="1:10" ht="15" customHeight="1" x14ac:dyDescent="0.2">
      <c r="A192" s="294" t="str">
        <f t="shared" ref="A192:A197" si="5">A191</f>
        <v/>
      </c>
      <c r="B192" s="190" t="str">
        <f>IF(LEN('Ch5'!H194)=0,"",'Ch5'!H194)</f>
        <v/>
      </c>
      <c r="C192" s="190" t="str">
        <f t="shared" si="4"/>
        <v/>
      </c>
      <c r="D192" s="358"/>
      <c r="E192" s="359"/>
      <c r="F192" s="359"/>
      <c r="G192" s="605" t="s">
        <v>2330</v>
      </c>
      <c r="H192" s="56">
        <f>'Ch5'!W194</f>
        <v>0</v>
      </c>
      <c r="J192" s="888"/>
    </row>
    <row r="193" spans="1:10" x14ac:dyDescent="0.2">
      <c r="A193" s="294" t="str">
        <f t="shared" si="5"/>
        <v/>
      </c>
      <c r="B193" s="190" t="str">
        <f>IF(LEN('Ch5'!H195)=0,"",'Ch5'!H195)</f>
        <v/>
      </c>
      <c r="C193" s="190" t="str">
        <f t="shared" si="4"/>
        <v/>
      </c>
      <c r="D193" s="358"/>
      <c r="E193" s="359"/>
      <c r="F193" s="359"/>
      <c r="G193" s="605" t="s">
        <v>2332</v>
      </c>
      <c r="H193" s="56">
        <f>'Ch5'!W195</f>
        <v>0</v>
      </c>
      <c r="J193" s="888"/>
    </row>
    <row r="194" spans="1:10" x14ac:dyDescent="0.2">
      <c r="A194" s="294" t="str">
        <f t="shared" si="5"/>
        <v/>
      </c>
      <c r="B194" s="190" t="str">
        <f>IF(LEN('Ch5'!H196)=0,"",'Ch5'!H196)</f>
        <v/>
      </c>
      <c r="C194" s="190" t="str">
        <f t="shared" si="4"/>
        <v/>
      </c>
      <c r="D194" s="358"/>
      <c r="E194" s="359"/>
      <c r="F194" s="359"/>
      <c r="G194" s="605" t="s">
        <v>2334</v>
      </c>
      <c r="H194" s="56">
        <f>'Ch5'!W196</f>
        <v>0</v>
      </c>
      <c r="J194" s="888"/>
    </row>
    <row r="195" spans="1:10" x14ac:dyDescent="0.2">
      <c r="A195" s="294" t="str">
        <f t="shared" si="5"/>
        <v/>
      </c>
      <c r="B195" s="190" t="str">
        <f>IF(LEN('Ch5'!H197)=0,"",'Ch5'!H197)</f>
        <v/>
      </c>
      <c r="C195" s="190" t="str">
        <f t="shared" si="4"/>
        <v/>
      </c>
      <c r="D195" s="358"/>
      <c r="E195" s="359"/>
      <c r="F195" s="359"/>
      <c r="G195" s="605" t="s">
        <v>2336</v>
      </c>
      <c r="H195" s="56">
        <f>'Ch5'!W197</f>
        <v>0</v>
      </c>
      <c r="J195" s="888"/>
    </row>
    <row r="196" spans="1:10" x14ac:dyDescent="0.2">
      <c r="A196" s="294" t="str">
        <f t="shared" si="5"/>
        <v/>
      </c>
      <c r="B196" s="190" t="str">
        <f>IF(LEN('Ch5'!H198)=0,"",'Ch5'!H198)</f>
        <v/>
      </c>
      <c r="C196" s="190" t="str">
        <f t="shared" si="4"/>
        <v/>
      </c>
      <c r="D196" s="358"/>
      <c r="E196" s="359"/>
      <c r="F196" s="359"/>
      <c r="G196" s="605" t="s">
        <v>2338</v>
      </c>
      <c r="H196" s="56">
        <f>'Ch5'!W198</f>
        <v>0</v>
      </c>
      <c r="J196" s="888"/>
    </row>
    <row r="197" spans="1:10" x14ac:dyDescent="0.2">
      <c r="A197" s="294" t="str">
        <f t="shared" si="5"/>
        <v/>
      </c>
      <c r="B197" s="190" t="str">
        <f>IF(LEN('Ch5'!H199)=0,"",'Ch5'!H199)</f>
        <v/>
      </c>
      <c r="C197" s="190" t="str">
        <f t="shared" si="4"/>
        <v/>
      </c>
      <c r="D197" s="358"/>
      <c r="E197" s="359"/>
      <c r="F197" s="359"/>
      <c r="G197" s="605" t="s">
        <v>2340</v>
      </c>
      <c r="H197" s="56">
        <f>'Ch5'!W199</f>
        <v>0</v>
      </c>
      <c r="J197" s="888"/>
    </row>
    <row r="198" spans="1:10" x14ac:dyDescent="0.2">
      <c r="B198" s="190" t="str">
        <f>IF(LEN('Ch5'!H200)=0,"",'Ch5'!H200)</f>
        <v/>
      </c>
      <c r="C198" s="190" t="str">
        <f t="shared" si="4"/>
        <v/>
      </c>
      <c r="D198" s="358"/>
      <c r="E198" s="368"/>
      <c r="F198" s="368"/>
      <c r="G198" s="571" t="s">
        <v>2341</v>
      </c>
      <c r="J198" s="650"/>
    </row>
    <row r="199" spans="1:10" ht="19" x14ac:dyDescent="0.2">
      <c r="A199" s="294" t="s">
        <v>3343</v>
      </c>
      <c r="B199" s="190" t="str">
        <f>IF(LEN('Ch5'!H201)=0,"",'Ch5'!H201)</f>
        <v/>
      </c>
      <c r="C199" s="190" t="str">
        <f t="shared" si="4"/>
        <v>P</v>
      </c>
      <c r="D199" s="45" t="s">
        <v>2343</v>
      </c>
      <c r="E199" s="45"/>
      <c r="F199" s="45"/>
      <c r="G199" s="54"/>
      <c r="H199" s="54"/>
      <c r="I199" s="54"/>
      <c r="J199" s="397"/>
    </row>
    <row r="200" spans="1:10" ht="15" customHeight="1" x14ac:dyDescent="0.2">
      <c r="B200" s="190" t="str">
        <f>IF(LEN('Ch5'!H202)=0,"",'Ch5'!H202)</f>
        <v/>
      </c>
      <c r="C200" s="190" t="str">
        <f t="shared" si="4"/>
        <v/>
      </c>
      <c r="D200" s="359" t="s">
        <v>2345</v>
      </c>
      <c r="E200" s="359"/>
      <c r="F200" s="359"/>
      <c r="G200" s="820" t="s">
        <v>2346</v>
      </c>
      <c r="J200" s="650"/>
    </row>
    <row r="201" spans="1:10" x14ac:dyDescent="0.2">
      <c r="B201" s="190" t="str">
        <f>IF(LEN('Ch5'!H203)=0,"",'Ch5'!H203)</f>
        <v/>
      </c>
      <c r="C201" s="190" t="str">
        <f t="shared" si="4"/>
        <v/>
      </c>
      <c r="D201" s="359"/>
      <c r="E201" s="359"/>
      <c r="F201" s="359"/>
      <c r="G201" s="820"/>
      <c r="J201" s="650"/>
    </row>
    <row r="202" spans="1:10" ht="16" thickBot="1" x14ac:dyDescent="0.25">
      <c r="B202" s="190" t="str">
        <f>IF(LEN('Ch5'!H204)=0,"",'Ch5'!H204)</f>
        <v/>
      </c>
      <c r="C202" s="190" t="str">
        <f t="shared" si="4"/>
        <v/>
      </c>
      <c r="D202" s="360"/>
      <c r="E202" s="360"/>
      <c r="F202" s="360"/>
      <c r="G202" s="822"/>
      <c r="J202" s="650"/>
    </row>
    <row r="203" spans="1:10" ht="15" customHeight="1" thickTop="1" x14ac:dyDescent="0.2">
      <c r="A203" s="539" t="str">
        <f>IF(COUNTIF(A205:A212,"P")&gt;0,"P","")</f>
        <v/>
      </c>
      <c r="B203" s="190" t="str">
        <f>IF(LEN('Ch5'!H205)=0,"",'Ch5'!H205)</f>
        <v/>
      </c>
      <c r="C203" s="190" t="str">
        <f t="shared" si="4"/>
        <v/>
      </c>
      <c r="D203" s="346" t="s">
        <v>2348</v>
      </c>
      <c r="E203" s="358"/>
      <c r="F203" s="358"/>
      <c r="G203" s="775" t="s">
        <v>2349</v>
      </c>
      <c r="J203" s="650"/>
    </row>
    <row r="204" spans="1:10" x14ac:dyDescent="0.2">
      <c r="A204" s="294" t="str">
        <f>A203</f>
        <v/>
      </c>
      <c r="B204" s="190" t="str">
        <f>IF(LEN('Ch5'!H206)=0,"",'Ch5'!H206)</f>
        <v/>
      </c>
      <c r="C204" s="190" t="str">
        <f t="shared" si="4"/>
        <v/>
      </c>
      <c r="D204" s="358"/>
      <c r="E204" s="358"/>
      <c r="F204" s="358"/>
      <c r="G204" s="775"/>
      <c r="J204" s="650"/>
    </row>
    <row r="205" spans="1:10" ht="15" customHeight="1" x14ac:dyDescent="0.2">
      <c r="A205" s="294" t="str">
        <f>IF(AND(LEN('Ch5'!W207)&gt;0,NOT('Ch5'!W207=FALSE)),"P","")</f>
        <v/>
      </c>
      <c r="B205" s="190" t="str">
        <f>IF(LEN('Ch5'!H207)=0,"",'Ch5'!H207)</f>
        <v/>
      </c>
      <c r="C205" s="190" t="str">
        <f t="shared" si="4"/>
        <v/>
      </c>
      <c r="D205" s="358"/>
      <c r="E205" s="347" t="s">
        <v>2181</v>
      </c>
      <c r="F205" s="359"/>
      <c r="G205" s="791" t="s">
        <v>2350</v>
      </c>
      <c r="H205" s="56">
        <f>'Ch5'!W207</f>
        <v>0</v>
      </c>
      <c r="I205" s="56">
        <f>'Ch5'!O207</f>
        <v>0</v>
      </c>
      <c r="J205" s="889" t="s">
        <v>3397</v>
      </c>
    </row>
    <row r="206" spans="1:10" x14ac:dyDescent="0.2">
      <c r="A206" s="294" t="str">
        <f>A205</f>
        <v/>
      </c>
      <c r="B206" s="190" t="str">
        <f>IF(LEN('Ch5'!H208)=0,"",'Ch5'!H208)</f>
        <v/>
      </c>
      <c r="C206" s="190" t="str">
        <f t="shared" si="4"/>
        <v/>
      </c>
      <c r="D206" s="358"/>
      <c r="E206" s="366"/>
      <c r="F206" s="368"/>
      <c r="G206" s="792"/>
      <c r="J206" s="889"/>
    </row>
    <row r="207" spans="1:10" x14ac:dyDescent="0.2">
      <c r="A207" s="294" t="str">
        <f>IF(AND(LEN('Ch5'!W209)&gt;0,NOT('Ch5'!W209=FALSE)),"P","")</f>
        <v/>
      </c>
      <c r="B207" s="190" t="str">
        <f>IF(LEN('Ch5'!H209)=0,"",'Ch5'!H209)</f>
        <v/>
      </c>
      <c r="C207" s="190" t="str">
        <f t="shared" si="4"/>
        <v/>
      </c>
      <c r="D207" s="358"/>
      <c r="E207" s="366" t="s">
        <v>2183</v>
      </c>
      <c r="F207" s="368"/>
      <c r="G207" s="126" t="s">
        <v>2351</v>
      </c>
      <c r="H207" s="56">
        <f>'Ch5'!W209</f>
        <v>0</v>
      </c>
      <c r="I207" s="56">
        <f ca="1">'Ch5'!O209</f>
        <v>0</v>
      </c>
      <c r="J207" s="650" t="s">
        <v>3398</v>
      </c>
    </row>
    <row r="208" spans="1:10" x14ac:dyDescent="0.2">
      <c r="A208" s="294" t="str">
        <f>IF(AND(LEN('Ch5'!W210)&gt;0,NOT('Ch5'!W210=FALSE)),"P","")</f>
        <v/>
      </c>
      <c r="B208" s="190" t="str">
        <f>IF(LEN('Ch5'!H210)=0,"",'Ch5'!H210)</f>
        <v/>
      </c>
      <c r="C208" s="190" t="str">
        <f t="shared" si="4"/>
        <v/>
      </c>
      <c r="D208" s="358"/>
      <c r="E208" s="346" t="s">
        <v>2185</v>
      </c>
      <c r="F208" s="358"/>
      <c r="G208" s="53" t="s">
        <v>2352</v>
      </c>
      <c r="H208" s="56">
        <f>'Ch5'!W210</f>
        <v>0</v>
      </c>
      <c r="I208" s="56">
        <f ca="1">'Ch5'!O210</f>
        <v>0</v>
      </c>
      <c r="J208" s="650" t="s">
        <v>3399</v>
      </c>
    </row>
    <row r="209" spans="1:10" x14ac:dyDescent="0.2">
      <c r="B209" s="190" t="str">
        <f>IF(LEN('Ch5'!H211)=0,"",'Ch5'!H211)</f>
        <v/>
      </c>
      <c r="C209" s="190" t="str">
        <f t="shared" si="4"/>
        <v/>
      </c>
      <c r="D209" s="687"/>
      <c r="E209" s="358"/>
      <c r="F209" s="346" t="s">
        <v>2196</v>
      </c>
      <c r="G209" s="53" t="s">
        <v>2353</v>
      </c>
      <c r="J209" s="650"/>
    </row>
    <row r="210" spans="1:10" x14ac:dyDescent="0.2">
      <c r="B210" s="190" t="str">
        <f>IF(LEN('Ch5'!H212)=0,"",'Ch5'!H212)</f>
        <v/>
      </c>
      <c r="C210" s="190" t="str">
        <f t="shared" si="4"/>
        <v/>
      </c>
      <c r="D210" s="687"/>
      <c r="E210" s="358"/>
      <c r="F210" s="346" t="s">
        <v>2198</v>
      </c>
      <c r="G210" s="53" t="s">
        <v>2354</v>
      </c>
      <c r="J210" s="650"/>
    </row>
    <row r="211" spans="1:10" x14ac:dyDescent="0.2">
      <c r="B211" s="190" t="str">
        <f>IF(LEN('Ch5'!H213)=0,"",'Ch5'!H213)</f>
        <v/>
      </c>
      <c r="C211" s="190" t="str">
        <f t="shared" si="4"/>
        <v/>
      </c>
      <c r="D211" s="687"/>
      <c r="E211" s="368"/>
      <c r="F211" s="370" t="s">
        <v>2200</v>
      </c>
      <c r="G211" s="126" t="s">
        <v>2235</v>
      </c>
      <c r="J211" s="650"/>
    </row>
    <row r="212" spans="1:10" ht="15" customHeight="1" x14ac:dyDescent="0.2">
      <c r="A212" s="294" t="str">
        <f>IF(AND(LEN('Ch5'!W214)&gt;0,NOT('Ch5'!W214=FALSE)),"P","")</f>
        <v/>
      </c>
      <c r="B212" s="190" t="str">
        <f>IF(LEN('Ch5'!H214)=0,"",'Ch5'!H214)</f>
        <v/>
      </c>
      <c r="C212" s="190" t="str">
        <f t="shared" si="4"/>
        <v/>
      </c>
      <c r="D212" s="358"/>
      <c r="E212" s="346" t="s">
        <v>2192</v>
      </c>
      <c r="F212" s="358"/>
      <c r="G212" s="817" t="s">
        <v>2355</v>
      </c>
      <c r="H212" s="56">
        <f>'Ch5'!W214</f>
        <v>0</v>
      </c>
      <c r="I212" s="56">
        <f ca="1">'Ch5'!O214</f>
        <v>0</v>
      </c>
      <c r="J212" s="889" t="s">
        <v>3400</v>
      </c>
    </row>
    <row r="213" spans="1:10" x14ac:dyDescent="0.2">
      <c r="A213" s="294" t="str">
        <f>A212</f>
        <v/>
      </c>
      <c r="B213" s="190" t="str">
        <f>IF(LEN('Ch5'!H215)=0,"",'Ch5'!H215)</f>
        <v/>
      </c>
      <c r="C213" s="190" t="str">
        <f t="shared" si="4"/>
        <v/>
      </c>
      <c r="D213" s="358"/>
      <c r="E213" s="358"/>
      <c r="F213" s="358"/>
      <c r="G213" s="817"/>
      <c r="J213" s="889"/>
    </row>
    <row r="214" spans="1:10" x14ac:dyDescent="0.2">
      <c r="B214" s="190" t="str">
        <f>IF(LEN('Ch5'!H216)=0,"",'Ch5'!H216)</f>
        <v/>
      </c>
      <c r="C214" s="190" t="str">
        <f t="shared" si="4"/>
        <v/>
      </c>
      <c r="D214" s="687"/>
      <c r="E214" s="358"/>
      <c r="F214" s="346" t="s">
        <v>2196</v>
      </c>
      <c r="G214" s="53" t="s">
        <v>2356</v>
      </c>
      <c r="J214" s="650"/>
    </row>
    <row r="215" spans="1:10" x14ac:dyDescent="0.2">
      <c r="B215" s="190" t="str">
        <f>IF(LEN('Ch5'!H217)=0,"",'Ch5'!H217)</f>
        <v/>
      </c>
      <c r="C215" s="190" t="str">
        <f t="shared" si="4"/>
        <v/>
      </c>
      <c r="D215" s="687"/>
      <c r="E215" s="358"/>
      <c r="F215" s="346" t="s">
        <v>2198</v>
      </c>
      <c r="G215" s="53" t="s">
        <v>2234</v>
      </c>
      <c r="J215" s="650"/>
    </row>
    <row r="216" spans="1:10" ht="16" thickBot="1" x14ac:dyDescent="0.25">
      <c r="B216" s="190" t="str">
        <f>IF(LEN('Ch5'!H218)=0,"",'Ch5'!H218)</f>
        <v/>
      </c>
      <c r="C216" s="190" t="str">
        <f t="shared" si="4"/>
        <v/>
      </c>
      <c r="D216" s="362"/>
      <c r="E216" s="360"/>
      <c r="F216" s="372" t="s">
        <v>2200</v>
      </c>
      <c r="G216" s="67" t="s">
        <v>2235</v>
      </c>
      <c r="J216" s="650"/>
    </row>
    <row r="217" spans="1:10" ht="16" thickTop="1" x14ac:dyDescent="0.2">
      <c r="A217" s="539" t="str">
        <f>IF(COUNTIF(A218:A228,"P")&gt;0,"P","")</f>
        <v/>
      </c>
      <c r="B217" s="190" t="str">
        <f>IF(LEN('Ch5'!H219)=0,"",'Ch5'!H219)</f>
        <v/>
      </c>
      <c r="C217" s="190" t="str">
        <f t="shared" si="4"/>
        <v/>
      </c>
      <c r="D217" s="361" t="s">
        <v>2358</v>
      </c>
      <c r="E217" s="369"/>
      <c r="F217" s="369"/>
      <c r="G217" s="95" t="s">
        <v>2359</v>
      </c>
      <c r="J217" s="650"/>
    </row>
    <row r="218" spans="1:10" ht="15" customHeight="1" x14ac:dyDescent="0.2">
      <c r="A218" s="294" t="str">
        <f>IF('Ch5'!O220&gt;0,"P","")</f>
        <v/>
      </c>
      <c r="B218" s="190" t="str">
        <f>IF(LEN('Ch5'!H220)=0,"",'Ch5'!H220)</f>
        <v/>
      </c>
      <c r="C218" s="190" t="str">
        <f t="shared" si="4"/>
        <v/>
      </c>
      <c r="D218" s="358"/>
      <c r="E218" s="346" t="s">
        <v>2181</v>
      </c>
      <c r="F218" s="358"/>
      <c r="G218" s="817" t="s">
        <v>2360</v>
      </c>
      <c r="I218" s="56">
        <f>'Ch5'!O220</f>
        <v>0</v>
      </c>
      <c r="J218" s="888" t="s">
        <v>3401</v>
      </c>
    </row>
    <row r="219" spans="1:10" x14ac:dyDescent="0.2">
      <c r="A219" s="294" t="str">
        <f>A218</f>
        <v/>
      </c>
      <c r="B219" s="190" t="str">
        <f>IF(LEN('Ch5'!H221)=0,"",'Ch5'!H221)</f>
        <v/>
      </c>
      <c r="C219" s="190" t="str">
        <f t="shared" si="4"/>
        <v/>
      </c>
      <c r="D219" s="358"/>
      <c r="E219" s="358"/>
      <c r="F219" s="358"/>
      <c r="G219" s="817"/>
      <c r="J219" s="888"/>
    </row>
    <row r="220" spans="1:10" ht="15" customHeight="1" x14ac:dyDescent="0.2">
      <c r="B220" s="190" t="str">
        <f>IF(LEN('Ch5'!H222)=0,"",'Ch5'!H222)</f>
        <v/>
      </c>
      <c r="C220" s="190" t="str">
        <f t="shared" si="4"/>
        <v/>
      </c>
      <c r="D220" s="687"/>
      <c r="E220" s="358"/>
      <c r="F220" s="346" t="s">
        <v>2196</v>
      </c>
      <c r="G220" s="817" t="s">
        <v>2361</v>
      </c>
      <c r="H220" s="56">
        <f>'Ch5'!W222</f>
        <v>0</v>
      </c>
      <c r="J220" s="394"/>
    </row>
    <row r="221" spans="1:10" x14ac:dyDescent="0.2">
      <c r="B221" s="190" t="str">
        <f>IF(LEN('Ch5'!H223)=0,"",'Ch5'!H223)</f>
        <v/>
      </c>
      <c r="C221" s="190" t="str">
        <f t="shared" si="4"/>
        <v/>
      </c>
      <c r="D221" s="687"/>
      <c r="E221" s="358"/>
      <c r="F221" s="358"/>
      <c r="G221" s="817"/>
      <c r="J221" s="394"/>
    </row>
    <row r="222" spans="1:10" x14ac:dyDescent="0.2">
      <c r="B222" s="190" t="str">
        <f>IF(LEN('Ch5'!H224)=0,"",'Ch5'!H224)</f>
        <v/>
      </c>
      <c r="C222" s="190" t="str">
        <f t="shared" si="4"/>
        <v/>
      </c>
      <c r="D222" s="687"/>
      <c r="E222" s="358"/>
      <c r="F222" s="358"/>
      <c r="G222" s="817"/>
      <c r="J222" s="649"/>
    </row>
    <row r="223" spans="1:10" ht="15" customHeight="1" x14ac:dyDescent="0.2">
      <c r="B223" s="190" t="str">
        <f>IF(LEN('Ch5'!H225)=0,"",'Ch5'!H225)</f>
        <v/>
      </c>
      <c r="C223" s="190" t="str">
        <f t="shared" si="4"/>
        <v/>
      </c>
      <c r="D223" s="687"/>
      <c r="E223" s="358"/>
      <c r="F223" s="346" t="s">
        <v>2198</v>
      </c>
      <c r="G223" s="817" t="s">
        <v>2362</v>
      </c>
      <c r="H223" s="56">
        <f>'Ch5'!W225</f>
        <v>0</v>
      </c>
      <c r="J223" s="649"/>
    </row>
    <row r="224" spans="1:10" x14ac:dyDescent="0.2">
      <c r="B224" s="190" t="str">
        <f>IF(LEN('Ch5'!H226)=0,"",'Ch5'!H226)</f>
        <v/>
      </c>
      <c r="C224" s="190" t="str">
        <f t="shared" si="4"/>
        <v/>
      </c>
      <c r="D224" s="687"/>
      <c r="E224" s="358"/>
      <c r="F224" s="358"/>
      <c r="G224" s="817"/>
      <c r="J224" s="649"/>
    </row>
    <row r="225" spans="1:10" x14ac:dyDescent="0.2">
      <c r="B225" s="190" t="str">
        <f>IF(LEN('Ch5'!H227)=0,"",'Ch5'!H227)</f>
        <v/>
      </c>
      <c r="C225" s="190" t="str">
        <f t="shared" si="4"/>
        <v/>
      </c>
      <c r="D225" s="687"/>
      <c r="E225" s="358"/>
      <c r="F225" s="358"/>
      <c r="G225" s="817"/>
      <c r="J225" s="649"/>
    </row>
    <row r="226" spans="1:10" x14ac:dyDescent="0.2">
      <c r="B226" s="190" t="str">
        <f>IF(LEN('Ch5'!H228)=0,"",'Ch5'!H228)</f>
        <v/>
      </c>
      <c r="C226" s="190" t="str">
        <f t="shared" si="4"/>
        <v/>
      </c>
      <c r="D226" s="687"/>
      <c r="E226" s="358"/>
      <c r="F226" s="358"/>
      <c r="G226" s="817"/>
      <c r="J226" s="649"/>
    </row>
    <row r="227" spans="1:10" x14ac:dyDescent="0.2">
      <c r="B227" s="190" t="str">
        <f>IF(LEN('Ch5'!H229)=0,"",'Ch5'!H229)</f>
        <v/>
      </c>
      <c r="C227" s="190" t="str">
        <f t="shared" si="4"/>
        <v/>
      </c>
      <c r="D227" s="687"/>
      <c r="E227" s="368"/>
      <c r="F227" s="370" t="s">
        <v>2200</v>
      </c>
      <c r="G227" s="126" t="s">
        <v>2363</v>
      </c>
      <c r="H227" s="56">
        <f>'Ch5'!W229</f>
        <v>0</v>
      </c>
      <c r="J227" s="649"/>
    </row>
    <row r="228" spans="1:10" ht="15" customHeight="1" x14ac:dyDescent="0.2">
      <c r="A228" s="294" t="str">
        <f>IF(AND(LEN('Ch5'!W230)&gt;0,NOT('Ch5'!W230=FALSE)),"P","")</f>
        <v/>
      </c>
      <c r="B228" s="190" t="str">
        <f>IF(LEN('Ch5'!H230)=0,"",'Ch5'!H230)</f>
        <v/>
      </c>
      <c r="C228" s="190" t="str">
        <f t="shared" si="4"/>
        <v/>
      </c>
      <c r="D228" s="359"/>
      <c r="E228" s="347" t="s">
        <v>2183</v>
      </c>
      <c r="F228" s="359"/>
      <c r="G228" s="791" t="s">
        <v>2364</v>
      </c>
      <c r="H228" s="56">
        <f>'Ch5'!W230</f>
        <v>0</v>
      </c>
      <c r="I228" s="56">
        <f>'Ch5'!O230</f>
        <v>0</v>
      </c>
      <c r="J228" s="889" t="s">
        <v>3402</v>
      </c>
    </row>
    <row r="229" spans="1:10" x14ac:dyDescent="0.2">
      <c r="A229" s="294" t="str">
        <f>A228</f>
        <v/>
      </c>
      <c r="B229" s="190" t="str">
        <f>IF(LEN('Ch5'!H231)=0,"",'Ch5'!H231)</f>
        <v/>
      </c>
      <c r="C229" s="190" t="str">
        <f t="shared" si="4"/>
        <v/>
      </c>
      <c r="D229" s="359"/>
      <c r="E229" s="359"/>
      <c r="F229" s="359"/>
      <c r="G229" s="791"/>
      <c r="J229" s="889"/>
    </row>
    <row r="230" spans="1:10" ht="16" thickBot="1" x14ac:dyDescent="0.25">
      <c r="A230" s="294" t="str">
        <f>A229</f>
        <v/>
      </c>
      <c r="B230" s="190" t="str">
        <f>IF(LEN('Ch5'!H232)=0,"",'Ch5'!H232)</f>
        <v/>
      </c>
      <c r="C230" s="190" t="str">
        <f t="shared" si="4"/>
        <v/>
      </c>
      <c r="D230" s="360"/>
      <c r="E230" s="360"/>
      <c r="F230" s="360"/>
      <c r="G230" s="818"/>
      <c r="J230" s="889"/>
    </row>
    <row r="231" spans="1:10" x14ac:dyDescent="0.2">
      <c r="A231" s="294" t="str">
        <f>IF(AND(LEN('Ch5'!W233)&gt;0,NOT('Ch5'!W233=FALSE)),"P","")</f>
        <v/>
      </c>
      <c r="B231" s="190" t="str">
        <f>IF(LEN('Ch5'!H233)=0,"",'Ch5'!H233)</f>
        <v/>
      </c>
      <c r="C231" s="190" t="str">
        <f t="shared" si="4"/>
        <v/>
      </c>
      <c r="D231" s="346" t="s">
        <v>2366</v>
      </c>
      <c r="E231" s="358"/>
      <c r="F231" s="358"/>
      <c r="G231" s="55" t="s">
        <v>2367</v>
      </c>
      <c r="H231" s="56">
        <f>'Ch5'!W233</f>
        <v>0</v>
      </c>
      <c r="I231" s="56">
        <f ca="1">'Ch5'!O233</f>
        <v>0</v>
      </c>
      <c r="J231" s="650" t="s">
        <v>3403</v>
      </c>
    </row>
    <row r="232" spans="1:10" ht="16" x14ac:dyDescent="0.2">
      <c r="B232" s="190" t="str">
        <f>IF(LEN('Ch5'!H234)=0,"",'Ch5'!H234)</f>
        <v/>
      </c>
      <c r="C232" s="190" t="str">
        <f t="shared" si="4"/>
        <v/>
      </c>
      <c r="D232" s="358"/>
      <c r="E232" s="366" t="s">
        <v>2181</v>
      </c>
      <c r="F232" s="368"/>
      <c r="G232" s="126" t="s">
        <v>2368</v>
      </c>
      <c r="J232" s="650"/>
    </row>
    <row r="233" spans="1:10" ht="16" x14ac:dyDescent="0.2">
      <c r="B233" s="190" t="str">
        <f>IF(LEN('Ch5'!H235)=0,"",'Ch5'!H235)</f>
        <v/>
      </c>
      <c r="C233" s="190" t="str">
        <f t="shared" si="4"/>
        <v/>
      </c>
      <c r="D233" s="358"/>
      <c r="E233" s="366" t="s">
        <v>2183</v>
      </c>
      <c r="F233" s="368"/>
      <c r="G233" s="126" t="s">
        <v>2369</v>
      </c>
      <c r="J233" s="650"/>
    </row>
    <row r="234" spans="1:10" ht="16" x14ac:dyDescent="0.2">
      <c r="B234" s="190" t="str">
        <f>IF(LEN('Ch5'!H236)=0,"",'Ch5'!H236)</f>
        <v/>
      </c>
      <c r="C234" s="190" t="str">
        <f t="shared" si="4"/>
        <v/>
      </c>
      <c r="D234" s="358"/>
      <c r="E234" s="366" t="s">
        <v>2185</v>
      </c>
      <c r="F234" s="368"/>
      <c r="G234" s="126" t="s">
        <v>2370</v>
      </c>
      <c r="J234" s="650"/>
    </row>
    <row r="235" spans="1:10" ht="16" x14ac:dyDescent="0.2">
      <c r="B235" s="190" t="str">
        <f>IF(LEN('Ch5'!H237)=0,"",'Ch5'!H237)</f>
        <v/>
      </c>
      <c r="C235" s="190" t="str">
        <f t="shared" si="4"/>
        <v/>
      </c>
      <c r="D235" s="358"/>
      <c r="E235" s="366" t="s">
        <v>2192</v>
      </c>
      <c r="F235" s="368"/>
      <c r="G235" s="126" t="s">
        <v>2371</v>
      </c>
      <c r="J235" s="650"/>
    </row>
    <row r="236" spans="1:10" ht="17" thickBot="1" x14ac:dyDescent="0.25">
      <c r="B236" s="190" t="str">
        <f>IF(LEN('Ch5'!H238)=0,"",'Ch5'!H238)</f>
        <v/>
      </c>
      <c r="C236" s="190" t="str">
        <f t="shared" si="4"/>
        <v/>
      </c>
      <c r="D236" s="360"/>
      <c r="E236" s="351" t="s">
        <v>2194</v>
      </c>
      <c r="F236" s="360"/>
      <c r="G236" s="67" t="s">
        <v>2372</v>
      </c>
      <c r="J236" s="650"/>
    </row>
    <row r="237" spans="1:10" ht="32" thickTop="1" thickBot="1" x14ac:dyDescent="0.25">
      <c r="A237" s="294" t="str">
        <f>IF(AND(LEN('Ch5'!W239)&gt;0,NOT('Ch5'!W239=FALSE)),"P","")</f>
        <v/>
      </c>
      <c r="B237" s="190" t="str">
        <f>IF(LEN('Ch5'!H239)=0,"",'Ch5'!H239)</f>
        <v/>
      </c>
      <c r="C237" s="190" t="str">
        <f t="shared" si="4"/>
        <v/>
      </c>
      <c r="D237" s="363" t="s">
        <v>2374</v>
      </c>
      <c r="E237" s="373"/>
      <c r="F237" s="373"/>
      <c r="G237" s="87" t="s">
        <v>2375</v>
      </c>
      <c r="H237" s="56">
        <f>'Ch5'!W239</f>
        <v>0</v>
      </c>
      <c r="I237" s="56">
        <f ca="1">'Ch5'!O239</f>
        <v>0</v>
      </c>
      <c r="J237" s="649" t="s">
        <v>3404</v>
      </c>
    </row>
    <row r="238" spans="1:10" ht="15.75" customHeight="1" thickTop="1" x14ac:dyDescent="0.2">
      <c r="A238" s="294" t="str">
        <f>IF(AND(LEN('Ch5'!W240)&gt;0,NOT('Ch5'!W240=FALSE)),"P","")</f>
        <v/>
      </c>
      <c r="B238" s="190" t="str">
        <f>IF(LEN('Ch5'!H240)=0,"",'Ch5'!H240)</f>
        <v/>
      </c>
      <c r="C238" s="190" t="str">
        <f t="shared" si="4"/>
        <v/>
      </c>
      <c r="D238" s="361" t="s">
        <v>2377</v>
      </c>
      <c r="E238" s="369"/>
      <c r="F238" s="369"/>
      <c r="G238" s="819" t="s">
        <v>2378</v>
      </c>
      <c r="H238" s="56">
        <f>'Ch5'!W240</f>
        <v>0</v>
      </c>
      <c r="I238" s="56">
        <f>'Ch5'!O240</f>
        <v>0</v>
      </c>
      <c r="J238" s="889" t="s">
        <v>3405</v>
      </c>
    </row>
    <row r="239" spans="1:10" s="498" customFormat="1" ht="15.75" customHeight="1" x14ac:dyDescent="0.2">
      <c r="A239" s="294" t="str">
        <f>A237</f>
        <v/>
      </c>
      <c r="B239" s="190" t="str">
        <f>IF(LEN('Ch5'!H241)=0,"",'Ch5'!H241)</f>
        <v/>
      </c>
      <c r="C239" s="190" t="str">
        <f t="shared" ref="C239" si="6">IF(LEN(B239)=0,IF(A239="P","P",""),B239)</f>
        <v/>
      </c>
      <c r="D239" s="347"/>
      <c r="E239" s="359"/>
      <c r="F239" s="359"/>
      <c r="G239" s="820"/>
      <c r="H239" s="56"/>
      <c r="I239" s="56"/>
      <c r="J239" s="889"/>
    </row>
    <row r="240" spans="1:10" ht="16" thickBot="1" x14ac:dyDescent="0.25">
      <c r="A240" s="294" t="str">
        <f>A238</f>
        <v/>
      </c>
      <c r="B240" s="190" t="str">
        <f>IF(LEN('Ch5'!H242)=0,"",'Ch5'!H242)</f>
        <v/>
      </c>
      <c r="C240" s="190" t="str">
        <f t="shared" si="4"/>
        <v/>
      </c>
      <c r="D240" s="360"/>
      <c r="E240" s="360"/>
      <c r="F240" s="360"/>
      <c r="G240" s="822"/>
      <c r="J240" s="889"/>
    </row>
    <row r="241" spans="1:10" ht="15.75" customHeight="1" thickTop="1" x14ac:dyDescent="0.2">
      <c r="A241" s="294" t="str">
        <f>IF(AND(LEN('Ch5'!W243)&gt;0,NOT('Ch5'!W243=FALSE)),"P","")</f>
        <v/>
      </c>
      <c r="B241" s="190" t="str">
        <f>IF(LEN('Ch5'!H243)=0,"",'Ch5'!H243)</f>
        <v/>
      </c>
      <c r="C241" s="190" t="str">
        <f t="shared" si="4"/>
        <v/>
      </c>
      <c r="D241" s="361" t="s">
        <v>2380</v>
      </c>
      <c r="E241" s="369"/>
      <c r="F241" s="369"/>
      <c r="G241" s="819" t="s">
        <v>2381</v>
      </c>
      <c r="H241" s="56">
        <f>'Ch5'!W243</f>
        <v>0</v>
      </c>
      <c r="I241" s="56">
        <f ca="1">'Ch5'!O243</f>
        <v>0</v>
      </c>
      <c r="J241" s="889" t="s">
        <v>3406</v>
      </c>
    </row>
    <row r="242" spans="1:10" x14ac:dyDescent="0.2">
      <c r="A242" s="294" t="str">
        <f>A241</f>
        <v/>
      </c>
      <c r="B242" s="190" t="str">
        <f>IF(LEN('Ch5'!H244)=0,"",'Ch5'!H244)</f>
        <v/>
      </c>
      <c r="C242" s="190" t="str">
        <f t="shared" si="4"/>
        <v/>
      </c>
      <c r="D242" s="359"/>
      <c r="E242" s="359"/>
      <c r="F242" s="359"/>
      <c r="G242" s="820"/>
      <c r="J242" s="889"/>
    </row>
    <row r="243" spans="1:10" x14ac:dyDescent="0.2">
      <c r="A243" s="294" t="str">
        <f>A242</f>
        <v/>
      </c>
      <c r="B243" s="190" t="str">
        <f>IF(LEN('Ch5'!H245)=0,"",'Ch5'!H245)</f>
        <v/>
      </c>
      <c r="C243" s="190" t="str">
        <f t="shared" si="4"/>
        <v/>
      </c>
      <c r="D243" s="359"/>
      <c r="E243" s="359"/>
      <c r="F243" s="359"/>
      <c r="G243" s="820"/>
      <c r="J243" s="889"/>
    </row>
    <row r="244" spans="1:10" x14ac:dyDescent="0.2">
      <c r="A244" s="294" t="str">
        <f>A243</f>
        <v/>
      </c>
      <c r="B244" s="190" t="str">
        <f>IF(LEN('Ch5'!H246)=0,"",'Ch5'!H246)</f>
        <v/>
      </c>
      <c r="C244" s="190" t="str">
        <f t="shared" si="4"/>
        <v/>
      </c>
      <c r="D244" s="359"/>
      <c r="E244" s="359"/>
      <c r="F244" s="359"/>
      <c r="G244" s="820"/>
      <c r="J244" s="889"/>
    </row>
    <row r="245" spans="1:10" x14ac:dyDescent="0.2">
      <c r="A245" s="294" t="str">
        <f>A244</f>
        <v/>
      </c>
      <c r="B245" s="190" t="str">
        <f>IF(LEN('Ch5'!H247)=0,"",'Ch5'!H247)</f>
        <v/>
      </c>
      <c r="C245" s="190" t="str">
        <f t="shared" si="4"/>
        <v/>
      </c>
      <c r="D245" s="359"/>
      <c r="E245" s="359"/>
      <c r="F245" s="359"/>
      <c r="G245" s="820"/>
      <c r="J245" s="889"/>
    </row>
    <row r="246" spans="1:10" ht="16" thickBot="1" x14ac:dyDescent="0.25">
      <c r="A246" s="294" t="str">
        <f>A245</f>
        <v/>
      </c>
      <c r="B246" s="190" t="str">
        <f>IF(LEN('Ch5'!H248)=0,"",'Ch5'!H248)</f>
        <v/>
      </c>
      <c r="C246" s="190" t="str">
        <f t="shared" si="4"/>
        <v/>
      </c>
      <c r="D246" s="360"/>
      <c r="E246" s="360"/>
      <c r="F246" s="360"/>
      <c r="G246" s="822"/>
      <c r="J246" s="889"/>
    </row>
    <row r="247" spans="1:10" ht="20" thickTop="1" x14ac:dyDescent="0.25">
      <c r="A247" s="294" t="s">
        <v>3343</v>
      </c>
      <c r="B247" s="190" t="str">
        <f>IF(LEN('Ch6'!H9)=0,"",'Ch6'!H9)</f>
        <v/>
      </c>
      <c r="C247" s="190" t="str">
        <f t="shared" si="4"/>
        <v>P</v>
      </c>
      <c r="D247" s="50" t="s">
        <v>2390</v>
      </c>
      <c r="E247" s="50"/>
      <c r="F247" s="50"/>
      <c r="G247" s="16"/>
      <c r="H247" s="16"/>
      <c r="I247" s="16"/>
      <c r="J247" s="399"/>
    </row>
    <row r="248" spans="1:10" ht="15" customHeight="1" x14ac:dyDescent="0.2">
      <c r="B248" s="190" t="str">
        <f>IF(LEN('Ch6'!H10)=0,"",'Ch6'!H10)</f>
        <v/>
      </c>
      <c r="C248" s="190" t="str">
        <f t="shared" si="4"/>
        <v/>
      </c>
      <c r="D248" s="346" t="s">
        <v>2392</v>
      </c>
      <c r="E248" s="346"/>
      <c r="F248" s="346"/>
      <c r="G248" s="775" t="s">
        <v>2393</v>
      </c>
      <c r="J248" s="650"/>
    </row>
    <row r="249" spans="1:10" x14ac:dyDescent="0.2">
      <c r="B249" s="190" t="str">
        <f>IF(LEN('Ch6'!H11)=0,"",'Ch6'!H11)</f>
        <v/>
      </c>
      <c r="C249" s="190" t="str">
        <f t="shared" ref="C249:C318" si="7">IF(LEN(B249)=0,IF(A249="P","P",""),B249)</f>
        <v/>
      </c>
      <c r="D249" s="107"/>
      <c r="E249" s="345"/>
      <c r="F249" s="345"/>
      <c r="G249" s="775"/>
      <c r="J249" s="650"/>
    </row>
    <row r="250" spans="1:10" s="498" customFormat="1" x14ac:dyDescent="0.2">
      <c r="A250" s="294"/>
      <c r="B250" s="190" t="str">
        <f>IF(LEN('Ch6'!H12)=0,"",'Ch6'!H12)</f>
        <v/>
      </c>
      <c r="C250" s="190" t="str">
        <f t="shared" ref="C250" si="8">IF(LEN(B250)=0,IF(A250="P","P",""),B250)</f>
        <v/>
      </c>
      <c r="D250" s="107"/>
      <c r="E250" s="345"/>
      <c r="F250" s="345"/>
      <c r="G250" s="775"/>
      <c r="H250" s="56"/>
      <c r="I250" s="56"/>
      <c r="J250" s="650"/>
    </row>
    <row r="251" spans="1:10" ht="16" thickBot="1" x14ac:dyDescent="0.25">
      <c r="B251" s="190" t="str">
        <f>IF(LEN('Ch6'!H13)=0,"",'Ch6'!H13)</f>
        <v/>
      </c>
      <c r="C251" s="190" t="str">
        <f t="shared" si="7"/>
        <v/>
      </c>
      <c r="D251" s="107"/>
      <c r="E251" s="345"/>
      <c r="F251" s="345"/>
      <c r="G251" s="775"/>
      <c r="J251" s="650"/>
    </row>
    <row r="252" spans="1:10" ht="15.75" customHeight="1" thickTop="1" x14ac:dyDescent="0.2">
      <c r="A252" s="294" t="str">
        <f>IF('Ch6'!O14&gt;0,"P","")</f>
        <v/>
      </c>
      <c r="B252" s="190" t="str">
        <f>IF(LEN('Ch6'!H14)=0,"",'Ch6'!H14)</f>
        <v/>
      </c>
      <c r="C252" s="190" t="str">
        <f t="shared" si="7"/>
        <v/>
      </c>
      <c r="D252" s="75" t="s">
        <v>2394</v>
      </c>
      <c r="E252" s="374"/>
      <c r="F252" s="374"/>
      <c r="G252" s="819" t="s">
        <v>2395</v>
      </c>
      <c r="I252" s="56">
        <f>'Ch6'!O14</f>
        <v>0</v>
      </c>
      <c r="J252" s="888" t="s">
        <v>3407</v>
      </c>
    </row>
    <row r="253" spans="1:10" x14ac:dyDescent="0.2">
      <c r="A253" s="294" t="str">
        <f>A252</f>
        <v/>
      </c>
      <c r="B253" s="190" t="str">
        <f>IF(LEN('Ch6'!H15)=0,"",'Ch6'!H15)</f>
        <v/>
      </c>
      <c r="C253" s="190" t="str">
        <f t="shared" si="7"/>
        <v/>
      </c>
      <c r="D253" s="70"/>
      <c r="E253" s="388"/>
      <c r="F253" s="388"/>
      <c r="G253" s="820"/>
      <c r="J253" s="888"/>
    </row>
    <row r="254" spans="1:10" x14ac:dyDescent="0.2">
      <c r="A254" s="294" t="str">
        <f>A253</f>
        <v/>
      </c>
      <c r="B254" s="190" t="str">
        <f>IF(LEN('Ch6'!H16)=0,"",'Ch6'!H16)</f>
        <v/>
      </c>
      <c r="C254" s="190" t="str">
        <f t="shared" si="7"/>
        <v/>
      </c>
      <c r="D254" s="70"/>
      <c r="E254" s="388"/>
      <c r="F254" s="388"/>
      <c r="G254" s="820"/>
      <c r="J254" s="888"/>
    </row>
    <row r="255" spans="1:10" x14ac:dyDescent="0.2">
      <c r="A255" s="294" t="str">
        <f>A254</f>
        <v/>
      </c>
      <c r="B255" s="190" t="str">
        <f>IF(LEN('Ch6'!H17)=0,"",'Ch6'!H17)</f>
        <v/>
      </c>
      <c r="C255" s="190" t="str">
        <f t="shared" si="7"/>
        <v/>
      </c>
      <c r="D255" s="70"/>
      <c r="E255" s="388"/>
      <c r="F255" s="388"/>
      <c r="G255" s="820"/>
      <c r="J255" s="888"/>
    </row>
    <row r="256" spans="1:10" ht="17" x14ac:dyDescent="0.2">
      <c r="B256" s="190" t="str">
        <f>IF(LEN('Ch6'!H18)=0,"",'Ch6'!H18)</f>
        <v/>
      </c>
      <c r="C256" s="190" t="str">
        <f t="shared" si="7"/>
        <v/>
      </c>
      <c r="D256" s="70"/>
      <c r="E256" s="366" t="s">
        <v>2181</v>
      </c>
      <c r="F256" s="160"/>
      <c r="G256" s="606" t="s">
        <v>2396</v>
      </c>
      <c r="J256" s="649"/>
    </row>
    <row r="257" spans="1:10" ht="17" x14ac:dyDescent="0.2">
      <c r="B257" s="190" t="str">
        <f>IF(LEN('Ch6'!H19)=0,"",'Ch6'!H19)</f>
        <v/>
      </c>
      <c r="C257" s="190" t="str">
        <f t="shared" si="7"/>
        <v/>
      </c>
      <c r="D257" s="70"/>
      <c r="E257" s="375" t="s">
        <v>2183</v>
      </c>
      <c r="F257" s="163"/>
      <c r="G257" s="204" t="s">
        <v>2397</v>
      </c>
      <c r="J257" s="649"/>
    </row>
    <row r="258" spans="1:10" ht="17" x14ac:dyDescent="0.2">
      <c r="B258" s="190" t="str">
        <f>IF(LEN('Ch6'!H20)=0,"",'Ch6'!H20)</f>
        <v/>
      </c>
      <c r="C258" s="190" t="str">
        <f t="shared" si="7"/>
        <v/>
      </c>
      <c r="D258" s="70"/>
      <c r="E258" s="375" t="s">
        <v>2185</v>
      </c>
      <c r="F258" s="163"/>
      <c r="G258" s="204" t="s">
        <v>2398</v>
      </c>
      <c r="J258" s="649"/>
    </row>
    <row r="259" spans="1:10" ht="17" x14ac:dyDescent="0.2">
      <c r="B259" s="190" t="str">
        <f>IF(LEN('Ch6'!H21)=0,"",'Ch6'!H21)</f>
        <v/>
      </c>
      <c r="C259" s="190" t="str">
        <f t="shared" si="7"/>
        <v/>
      </c>
      <c r="D259" s="70"/>
      <c r="E259" s="375" t="s">
        <v>2192</v>
      </c>
      <c r="F259" s="163"/>
      <c r="G259" s="204" t="s">
        <v>2399</v>
      </c>
      <c r="J259" s="649"/>
    </row>
    <row r="260" spans="1:10" ht="17" x14ac:dyDescent="0.2">
      <c r="B260" s="190" t="str">
        <f>IF(LEN('Ch6'!H22)=0,"",'Ch6'!H22)</f>
        <v/>
      </c>
      <c r="C260" s="190" t="str">
        <f t="shared" si="7"/>
        <v/>
      </c>
      <c r="D260" s="70"/>
      <c r="E260" s="375" t="s">
        <v>2194</v>
      </c>
      <c r="F260" s="163"/>
      <c r="G260" s="204" t="s">
        <v>2400</v>
      </c>
      <c r="J260" s="649"/>
    </row>
    <row r="261" spans="1:10" ht="17" x14ac:dyDescent="0.2">
      <c r="B261" s="190" t="str">
        <f>IF(LEN('Ch6'!H23)=0,"",'Ch6'!H23)</f>
        <v/>
      </c>
      <c r="C261" s="190" t="str">
        <f t="shared" si="7"/>
        <v/>
      </c>
      <c r="D261" s="70"/>
      <c r="E261" s="347" t="s">
        <v>2221</v>
      </c>
      <c r="F261" s="388"/>
      <c r="G261" s="605" t="s">
        <v>2401</v>
      </c>
      <c r="J261" s="649"/>
    </row>
    <row r="262" spans="1:10" ht="15" customHeight="1" x14ac:dyDescent="0.2">
      <c r="B262" s="190" t="str">
        <f>IF(LEN('Ch6'!H24)=0,"",'Ch6'!H24)</f>
        <v/>
      </c>
      <c r="C262" s="190" t="str">
        <f t="shared" si="7"/>
        <v/>
      </c>
      <c r="D262" s="70"/>
      <c r="E262" s="388"/>
      <c r="F262" s="388"/>
      <c r="G262" s="820" t="s">
        <v>2402</v>
      </c>
      <c r="J262" s="649"/>
    </row>
    <row r="263" spans="1:10" x14ac:dyDescent="0.2">
      <c r="B263" s="190" t="str">
        <f>IF(LEN('Ch6'!H25)=0,"",'Ch6'!H25)</f>
        <v/>
      </c>
      <c r="C263" s="190" t="str">
        <f t="shared" si="7"/>
        <v/>
      </c>
      <c r="D263" s="70"/>
      <c r="E263" s="388"/>
      <c r="F263" s="388"/>
      <c r="G263" s="820"/>
      <c r="J263" s="649"/>
    </row>
    <row r="264" spans="1:10" ht="15" customHeight="1" x14ac:dyDescent="0.2">
      <c r="B264" s="190" t="str">
        <f>IF(LEN('Ch6'!H26)=0,"",'Ch6'!H26)</f>
        <v/>
      </c>
      <c r="C264" s="190" t="str">
        <f t="shared" si="7"/>
        <v/>
      </c>
      <c r="D264" s="70"/>
      <c r="E264" s="388"/>
      <c r="F264" s="687"/>
      <c r="G264" s="816" t="s">
        <v>2404</v>
      </c>
      <c r="J264" s="650"/>
    </row>
    <row r="265" spans="1:10" x14ac:dyDescent="0.2">
      <c r="B265" s="190" t="str">
        <f>IF(LEN('Ch6'!H27)=0,"",'Ch6'!H27)</f>
        <v/>
      </c>
      <c r="C265" s="190" t="str">
        <f t="shared" si="7"/>
        <v/>
      </c>
      <c r="D265" s="70"/>
      <c r="E265" s="388"/>
      <c r="F265" s="287"/>
      <c r="G265" s="816"/>
      <c r="J265" s="650"/>
    </row>
    <row r="266" spans="1:10" ht="15.75" customHeight="1" thickTop="1" x14ac:dyDescent="0.2">
      <c r="A266" s="539" t="str">
        <f>IF(COUNTIF(A270:A276,"P")&gt;0,"P","")</f>
        <v/>
      </c>
      <c r="B266" s="190" t="str">
        <f>IF(LEN('Ch6'!H28)=0,"",'Ch6'!H28)</f>
        <v/>
      </c>
      <c r="C266" s="190" t="str">
        <f t="shared" si="7"/>
        <v/>
      </c>
      <c r="D266" s="75" t="s">
        <v>2405</v>
      </c>
      <c r="E266" s="374"/>
      <c r="F266" s="374"/>
      <c r="G266" s="819" t="s">
        <v>2406</v>
      </c>
      <c r="J266" s="650"/>
    </row>
    <row r="267" spans="1:10" x14ac:dyDescent="0.2">
      <c r="A267" s="294" t="str">
        <f>A266</f>
        <v/>
      </c>
      <c r="B267" s="190" t="str">
        <f>IF(LEN('Ch6'!H29)=0,"",'Ch6'!H29)</f>
        <v/>
      </c>
      <c r="C267" s="190" t="str">
        <f t="shared" si="7"/>
        <v/>
      </c>
      <c r="D267" s="70"/>
      <c r="E267" s="388"/>
      <c r="F267" s="388"/>
      <c r="G267" s="820"/>
      <c r="J267" s="650"/>
    </row>
    <row r="268" spans="1:10" s="481" customFormat="1" x14ac:dyDescent="0.2">
      <c r="A268" s="294"/>
      <c r="B268" s="190" t="str">
        <f>IF(LEN('Ch6'!H30)=0,"",'Ch6'!H30)</f>
        <v/>
      </c>
      <c r="C268" s="190" t="str">
        <f t="shared" si="7"/>
        <v/>
      </c>
      <c r="D268" s="70"/>
      <c r="E268" s="388"/>
      <c r="F268" s="388"/>
      <c r="G268" s="846" t="s">
        <v>2407</v>
      </c>
      <c r="H268" s="56"/>
      <c r="I268" s="56"/>
      <c r="J268" s="650"/>
    </row>
    <row r="269" spans="1:10" s="481" customFormat="1" x14ac:dyDescent="0.2">
      <c r="A269" s="294"/>
      <c r="B269" s="190" t="str">
        <f>IF(LEN('Ch6'!H31)=0,"",'Ch6'!H31)</f>
        <v/>
      </c>
      <c r="C269" s="190" t="str">
        <f t="shared" si="7"/>
        <v/>
      </c>
      <c r="D269" s="70"/>
      <c r="E269" s="388"/>
      <c r="F269" s="388"/>
      <c r="G269" s="846"/>
      <c r="H269" s="56"/>
      <c r="I269" s="56"/>
      <c r="J269" s="650"/>
    </row>
    <row r="270" spans="1:10" ht="15" customHeight="1" x14ac:dyDescent="0.2">
      <c r="A270" s="294" t="str">
        <f>IF(AND(LEN('Ch6'!W32)&gt;0,NOT('Ch6'!W32=FALSE)),"P","")</f>
        <v/>
      </c>
      <c r="B270" s="190" t="str">
        <f>IF(LEN('Ch6'!H32)=0,"",'Ch6'!H32)</f>
        <v/>
      </c>
      <c r="C270" s="190" t="str">
        <f t="shared" si="7"/>
        <v/>
      </c>
      <c r="D270" s="107"/>
      <c r="E270" s="347" t="s">
        <v>2181</v>
      </c>
      <c r="F270" s="388"/>
      <c r="G270" s="791" t="s">
        <v>2408</v>
      </c>
      <c r="H270" s="56">
        <f>'Ch6'!W32</f>
        <v>0</v>
      </c>
      <c r="I270" s="56">
        <f>'Ch6'!O32</f>
        <v>0</v>
      </c>
      <c r="J270" s="889" t="s">
        <v>3408</v>
      </c>
    </row>
    <row r="271" spans="1:10" x14ac:dyDescent="0.2">
      <c r="A271" s="294" t="str">
        <f>A270</f>
        <v/>
      </c>
      <c r="B271" s="190" t="str">
        <f>IF(LEN('Ch6'!H33)=0,"",'Ch6'!H33)</f>
        <v/>
      </c>
      <c r="C271" s="190" t="str">
        <f t="shared" si="7"/>
        <v/>
      </c>
      <c r="D271" s="107"/>
      <c r="E271" s="388"/>
      <c r="F271" s="388"/>
      <c r="G271" s="791"/>
      <c r="J271" s="889"/>
    </row>
    <row r="272" spans="1:10" x14ac:dyDescent="0.2">
      <c r="A272" s="294" t="str">
        <f>A271</f>
        <v/>
      </c>
      <c r="B272" s="190" t="str">
        <f>IF(LEN('Ch6'!H34)=0,"",'Ch6'!H34)</f>
        <v/>
      </c>
      <c r="C272" s="190" t="str">
        <f t="shared" si="7"/>
        <v/>
      </c>
      <c r="D272" s="107"/>
      <c r="E272" s="160"/>
      <c r="F272" s="160"/>
      <c r="G272" s="792"/>
      <c r="J272" s="889"/>
    </row>
    <row r="273" spans="1:10" ht="15" customHeight="1" x14ac:dyDescent="0.2">
      <c r="A273" s="294" t="str">
        <f>IF(AND(LEN('Ch6'!W35)&gt;0,NOT('Ch6'!W35=FALSE)),"P","")</f>
        <v/>
      </c>
      <c r="B273" s="190" t="str">
        <f>IF(LEN('Ch6'!H35)=0,"",'Ch6'!H35)</f>
        <v/>
      </c>
      <c r="C273" s="190" t="str">
        <f t="shared" si="7"/>
        <v/>
      </c>
      <c r="D273" s="107"/>
      <c r="E273" s="347" t="s">
        <v>2183</v>
      </c>
      <c r="F273" s="388"/>
      <c r="G273" s="791" t="s">
        <v>2409</v>
      </c>
      <c r="H273" s="56">
        <f>'Ch6'!W35</f>
        <v>0</v>
      </c>
      <c r="I273" s="56">
        <f>'Ch6'!O35</f>
        <v>0</v>
      </c>
      <c r="J273" s="889" t="s">
        <v>3409</v>
      </c>
    </row>
    <row r="274" spans="1:10" x14ac:dyDescent="0.2">
      <c r="A274" s="294" t="str">
        <f>A273</f>
        <v/>
      </c>
      <c r="B274" s="190" t="str">
        <f>IF(LEN('Ch6'!H36)=0,"",'Ch6'!H36)</f>
        <v/>
      </c>
      <c r="C274" s="190" t="str">
        <f t="shared" si="7"/>
        <v/>
      </c>
      <c r="D274" s="107"/>
      <c r="E274" s="388"/>
      <c r="F274" s="388"/>
      <c r="G274" s="791"/>
      <c r="J274" s="889"/>
    </row>
    <row r="275" spans="1:10" x14ac:dyDescent="0.2">
      <c r="A275" s="294" t="str">
        <f>A274</f>
        <v/>
      </c>
      <c r="B275" s="190" t="str">
        <f>IF(LEN('Ch6'!H37)=0,"",'Ch6'!H37)</f>
        <v/>
      </c>
      <c r="C275" s="190" t="str">
        <f t="shared" si="7"/>
        <v/>
      </c>
      <c r="D275" s="107"/>
      <c r="E275" s="160"/>
      <c r="F275" s="160"/>
      <c r="G275" s="792"/>
      <c r="J275" s="889"/>
    </row>
    <row r="276" spans="1:10" ht="30" x14ac:dyDescent="0.2">
      <c r="A276" s="294" t="str">
        <f>IF(AND(LEN('Ch6'!W38)&gt;0,NOT('Ch6'!W38=FALSE)),"P","")</f>
        <v/>
      </c>
      <c r="B276" s="190" t="str">
        <f>IF(LEN('Ch6'!H38)=0,"",'Ch6'!H38)</f>
        <v/>
      </c>
      <c r="C276" s="190" t="str">
        <f t="shared" si="7"/>
        <v/>
      </c>
      <c r="D276" s="107"/>
      <c r="E276" s="346" t="s">
        <v>2185</v>
      </c>
      <c r="F276" s="345"/>
      <c r="G276" s="632" t="s">
        <v>2410</v>
      </c>
      <c r="H276" s="56">
        <f>'Ch6'!W38</f>
        <v>0</v>
      </c>
      <c r="I276" s="56">
        <f>'Ch6'!O38</f>
        <v>0</v>
      </c>
      <c r="J276" s="649" t="s">
        <v>3410</v>
      </c>
    </row>
    <row r="277" spans="1:10" ht="15.75" customHeight="1" thickTop="1" x14ac:dyDescent="0.2">
      <c r="A277" s="294" t="str">
        <f>IF(SUM(I282:I286)&gt;0,"P","")</f>
        <v/>
      </c>
      <c r="B277" s="190" t="str">
        <f>IF(LEN('Ch6'!H39)=0,"",'Ch6'!H39)</f>
        <v/>
      </c>
      <c r="C277" s="190" t="str">
        <f t="shared" si="7"/>
        <v/>
      </c>
      <c r="D277" s="75" t="s">
        <v>2411</v>
      </c>
      <c r="E277" s="374"/>
      <c r="F277" s="374"/>
      <c r="G277" s="819" t="s">
        <v>2412</v>
      </c>
      <c r="J277" s="889" t="s">
        <v>3411</v>
      </c>
    </row>
    <row r="278" spans="1:10" x14ac:dyDescent="0.2">
      <c r="A278" s="294" t="str">
        <f t="shared" ref="A278:A279" si="9">A277</f>
        <v/>
      </c>
      <c r="B278" s="190" t="str">
        <f>IF(LEN('Ch6'!H40)=0,"",'Ch6'!H40)</f>
        <v/>
      </c>
      <c r="C278" s="190" t="str">
        <f t="shared" si="7"/>
        <v/>
      </c>
      <c r="D278" s="70"/>
      <c r="E278" s="388"/>
      <c r="F278" s="388"/>
      <c r="G278" s="820"/>
      <c r="J278" s="889"/>
    </row>
    <row r="279" spans="1:10" x14ac:dyDescent="0.2">
      <c r="A279" s="294" t="str">
        <f t="shared" si="9"/>
        <v/>
      </c>
      <c r="B279" s="190" t="str">
        <f>IF(LEN('Ch6'!H41)=0,"",'Ch6'!H41)</f>
        <v/>
      </c>
      <c r="C279" s="190" t="str">
        <f t="shared" si="7"/>
        <v/>
      </c>
      <c r="D279" s="70"/>
      <c r="E279" s="388"/>
      <c r="F279" s="388"/>
      <c r="G279" s="820"/>
      <c r="J279" s="889"/>
    </row>
    <row r="280" spans="1:10" s="481" customFormat="1" x14ac:dyDescent="0.2">
      <c r="A280" s="294"/>
      <c r="B280" s="190" t="str">
        <f>IF(LEN('Ch6'!H42)=0,"",'Ch6'!H42)</f>
        <v/>
      </c>
      <c r="C280" s="190" t="str">
        <f t="shared" si="7"/>
        <v/>
      </c>
      <c r="D280" s="70"/>
      <c r="E280" s="388"/>
      <c r="F280" s="388"/>
      <c r="G280" s="846" t="s">
        <v>2413</v>
      </c>
      <c r="H280" s="56"/>
      <c r="I280" s="56"/>
      <c r="J280" s="650"/>
    </row>
    <row r="281" spans="1:10" s="481" customFormat="1" x14ac:dyDescent="0.2">
      <c r="A281" s="294"/>
      <c r="B281" s="190" t="str">
        <f>IF(LEN('Ch6'!H43)=0,"",'Ch6'!H43)</f>
        <v/>
      </c>
      <c r="C281" s="190" t="str">
        <f t="shared" si="7"/>
        <v/>
      </c>
      <c r="D281" s="70"/>
      <c r="E281" s="388"/>
      <c r="F281" s="388"/>
      <c r="G281" s="846"/>
      <c r="H281" s="56"/>
      <c r="I281" s="56"/>
      <c r="J281" s="650"/>
    </row>
    <row r="282" spans="1:10" x14ac:dyDescent="0.2">
      <c r="B282" s="190" t="str">
        <f>IF(LEN('Ch6'!H44)=0,"",'Ch6'!H44)</f>
        <v/>
      </c>
      <c r="C282" s="190" t="str">
        <f t="shared" si="7"/>
        <v/>
      </c>
      <c r="D282" s="107"/>
      <c r="E282" s="366" t="s">
        <v>2181</v>
      </c>
      <c r="F282" s="160"/>
      <c r="G282" s="599" t="s">
        <v>2414</v>
      </c>
      <c r="H282" s="56">
        <f>'Ch6'!W44</f>
        <v>0</v>
      </c>
      <c r="I282" s="56">
        <f>'Ch6'!O44</f>
        <v>0</v>
      </c>
      <c r="J282" s="394"/>
    </row>
    <row r="283" spans="1:10" x14ac:dyDescent="0.2">
      <c r="B283" s="190" t="str">
        <f>IF(LEN('Ch6'!H45)=0,"",'Ch6'!H45)</f>
        <v/>
      </c>
      <c r="C283" s="190" t="str">
        <f t="shared" si="7"/>
        <v/>
      </c>
      <c r="D283" s="107"/>
      <c r="E283" s="375" t="s">
        <v>2183</v>
      </c>
      <c r="F283" s="163"/>
      <c r="G283" s="205" t="s">
        <v>2415</v>
      </c>
      <c r="H283" s="56">
        <f>'Ch6'!W45</f>
        <v>0</v>
      </c>
      <c r="I283" s="56">
        <f>'Ch6'!O45</f>
        <v>0</v>
      </c>
      <c r="J283" s="650"/>
    </row>
    <row r="284" spans="1:10" x14ac:dyDescent="0.2">
      <c r="B284" s="190" t="str">
        <f>IF(LEN('Ch6'!H46)=0,"",'Ch6'!H46)</f>
        <v/>
      </c>
      <c r="C284" s="190" t="str">
        <f t="shared" si="7"/>
        <v/>
      </c>
      <c r="D284" s="107"/>
      <c r="E284" s="375" t="s">
        <v>2185</v>
      </c>
      <c r="F284" s="163"/>
      <c r="G284" s="205" t="s">
        <v>2416</v>
      </c>
      <c r="H284" s="56">
        <f>'Ch6'!W46</f>
        <v>0</v>
      </c>
      <c r="I284" s="56">
        <f>'Ch6'!O46</f>
        <v>0</v>
      </c>
      <c r="J284" s="650"/>
    </row>
    <row r="285" spans="1:10" x14ac:dyDescent="0.2">
      <c r="B285" s="190" t="str">
        <f>IF(LEN('Ch6'!H47)=0,"",'Ch6'!H47)</f>
        <v/>
      </c>
      <c r="C285" s="190" t="str">
        <f t="shared" si="7"/>
        <v/>
      </c>
      <c r="D285" s="107"/>
      <c r="E285" s="375" t="s">
        <v>2192</v>
      </c>
      <c r="F285" s="163"/>
      <c r="G285" s="205" t="s">
        <v>2417</v>
      </c>
      <c r="H285" s="56">
        <f>'Ch6'!W47</f>
        <v>0</v>
      </c>
      <c r="I285" s="56">
        <f>'Ch6'!O47</f>
        <v>0</v>
      </c>
      <c r="J285" s="650"/>
    </row>
    <row r="286" spans="1:10" x14ac:dyDescent="0.2">
      <c r="B286" s="190" t="str">
        <f>IF(LEN('Ch6'!H48)=0,"",'Ch6'!H48)</f>
        <v/>
      </c>
      <c r="C286" s="190" t="str">
        <f t="shared" si="7"/>
        <v/>
      </c>
      <c r="D286" s="107"/>
      <c r="E286" s="346" t="s">
        <v>2194</v>
      </c>
      <c r="F286" s="345"/>
      <c r="G286" s="632" t="s">
        <v>2418</v>
      </c>
      <c r="H286" s="56">
        <f>'Ch6'!W48</f>
        <v>0</v>
      </c>
      <c r="I286" s="56">
        <f>'Ch6'!O48</f>
        <v>0</v>
      </c>
      <c r="J286" s="650"/>
    </row>
    <row r="287" spans="1:10" ht="15.75" customHeight="1" thickTop="1" x14ac:dyDescent="0.2">
      <c r="A287" s="294" t="str">
        <f>IF(AND(LEN('Ch6'!W49)&gt;0,NOT('Ch6'!W49=FALSE)),"P","")</f>
        <v/>
      </c>
      <c r="B287" s="190" t="str">
        <f>IF(LEN('Ch6'!H49)=0,"",'Ch6'!H49)</f>
        <v/>
      </c>
      <c r="C287" s="190" t="str">
        <f t="shared" si="7"/>
        <v/>
      </c>
      <c r="D287" s="75" t="s">
        <v>2419</v>
      </c>
      <c r="E287" s="374"/>
      <c r="F287" s="374"/>
      <c r="G287" s="819" t="s">
        <v>2420</v>
      </c>
      <c r="H287" s="56">
        <f>'Ch6'!W49</f>
        <v>0</v>
      </c>
      <c r="I287" s="56">
        <f>'Ch6'!O49</f>
        <v>0</v>
      </c>
      <c r="J287" s="890" t="s">
        <v>3412</v>
      </c>
    </row>
    <row r="288" spans="1:10" x14ac:dyDescent="0.2">
      <c r="A288" s="294" t="str">
        <f>A287</f>
        <v/>
      </c>
      <c r="B288" s="190" t="str">
        <f>IF(LEN('Ch6'!H50)=0,"",'Ch6'!H50)</f>
        <v/>
      </c>
      <c r="C288" s="190" t="str">
        <f t="shared" si="7"/>
        <v/>
      </c>
      <c r="D288" s="70"/>
      <c r="E288" s="388"/>
      <c r="F288" s="388"/>
      <c r="G288" s="820"/>
      <c r="J288" s="890"/>
    </row>
    <row r="289" spans="1:10" x14ac:dyDescent="0.2">
      <c r="A289" s="294" t="str">
        <f>A288</f>
        <v/>
      </c>
      <c r="B289" s="190" t="str">
        <f>IF(LEN('Ch6'!H51)=0,"",'Ch6'!H51)</f>
        <v/>
      </c>
      <c r="C289" s="190" t="str">
        <f t="shared" si="7"/>
        <v/>
      </c>
      <c r="D289" s="70"/>
      <c r="E289" s="388"/>
      <c r="F289" s="388"/>
      <c r="G289" s="820"/>
      <c r="J289" s="890"/>
    </row>
    <row r="290" spans="1:10" ht="15.75" customHeight="1" thickTop="1" x14ac:dyDescent="0.2">
      <c r="A290" s="539" t="str">
        <f>IF(COUNTIF(A295:A298,"P")&gt;0,"P","")</f>
        <v/>
      </c>
      <c r="B290" s="190" t="str">
        <f>IF(LEN('Ch6'!H52)=0,"",'Ch6'!H52)</f>
        <v/>
      </c>
      <c r="C290" s="190" t="str">
        <f t="shared" si="7"/>
        <v/>
      </c>
      <c r="D290" s="75" t="s">
        <v>2421</v>
      </c>
      <c r="E290" s="374"/>
      <c r="F290" s="374"/>
      <c r="G290" s="819" t="s">
        <v>2422</v>
      </c>
      <c r="J290" s="650"/>
    </row>
    <row r="291" spans="1:10" x14ac:dyDescent="0.2">
      <c r="A291" s="294" t="str">
        <f>A290</f>
        <v/>
      </c>
      <c r="B291" s="190" t="str">
        <f>IF(LEN('Ch6'!H53)=0,"",'Ch6'!H53)</f>
        <v/>
      </c>
      <c r="C291" s="190" t="str">
        <f t="shared" si="7"/>
        <v/>
      </c>
      <c r="D291" s="70"/>
      <c r="E291" s="388"/>
      <c r="F291" s="388"/>
      <c r="G291" s="820"/>
      <c r="J291" s="650"/>
    </row>
    <row r="292" spans="1:10" x14ac:dyDescent="0.2">
      <c r="A292" s="294" t="str">
        <f>A291</f>
        <v/>
      </c>
      <c r="B292" s="190" t="str">
        <f>IF(LEN('Ch6'!H54)=0,"",'Ch6'!H54)</f>
        <v/>
      </c>
      <c r="C292" s="190" t="str">
        <f t="shared" si="7"/>
        <v/>
      </c>
      <c r="D292" s="70"/>
      <c r="E292" s="388"/>
      <c r="F292" s="388"/>
      <c r="G292" s="820"/>
      <c r="J292" s="650"/>
    </row>
    <row r="293" spans="1:10" s="481" customFormat="1" x14ac:dyDescent="0.2">
      <c r="A293" s="294"/>
      <c r="B293" s="190" t="str">
        <f>IF(LEN('Ch6'!H55)=0,"",'Ch6'!H55)</f>
        <v/>
      </c>
      <c r="C293" s="190" t="str">
        <f t="shared" si="7"/>
        <v/>
      </c>
      <c r="D293" s="70"/>
      <c r="E293" s="388"/>
      <c r="F293" s="388"/>
      <c r="G293" s="846" t="s">
        <v>2424</v>
      </c>
      <c r="H293" s="56"/>
      <c r="I293" s="56"/>
      <c r="J293" s="650"/>
    </row>
    <row r="294" spans="1:10" s="481" customFormat="1" x14ac:dyDescent="0.2">
      <c r="A294" s="294"/>
      <c r="B294" s="190" t="str">
        <f>IF(LEN('Ch6'!H56)=0,"",'Ch6'!H56)</f>
        <v/>
      </c>
      <c r="C294" s="190" t="str">
        <f t="shared" si="7"/>
        <v/>
      </c>
      <c r="D294" s="70"/>
      <c r="E294" s="388"/>
      <c r="F294" s="388"/>
      <c r="G294" s="846"/>
      <c r="H294" s="56"/>
      <c r="I294" s="56"/>
      <c r="J294" s="650"/>
    </row>
    <row r="295" spans="1:10" x14ac:dyDescent="0.2">
      <c r="A295" s="294" t="str">
        <f>IF(AND(LEN('Ch6'!W57)&gt;0,NOT('Ch6'!W57=FALSE)),"P","")</f>
        <v/>
      </c>
      <c r="B295" s="190" t="str">
        <f>IF(LEN('Ch6'!H57)=0,"",'Ch6'!H57)</f>
        <v/>
      </c>
      <c r="C295" s="190" t="str">
        <f t="shared" si="7"/>
        <v/>
      </c>
      <c r="D295" s="107"/>
      <c r="E295" s="366" t="s">
        <v>2181</v>
      </c>
      <c r="F295" s="160"/>
      <c r="G295" s="599" t="s">
        <v>2425</v>
      </c>
      <c r="H295" s="56">
        <f>'Ch6'!W57</f>
        <v>0</v>
      </c>
      <c r="I295" s="56">
        <f>'Ch6'!O57</f>
        <v>0</v>
      </c>
      <c r="J295" s="889" t="s">
        <v>3399</v>
      </c>
    </row>
    <row r="296" spans="1:10" x14ac:dyDescent="0.2">
      <c r="A296" s="294" t="str">
        <f>IF(AND(LEN('Ch6'!W58)&gt;0,NOT('Ch6'!W58=FALSE)),"P","")</f>
        <v/>
      </c>
      <c r="B296" s="190" t="str">
        <f>IF(LEN('Ch6'!H58)=0,"",'Ch6'!H58)</f>
        <v/>
      </c>
      <c r="C296" s="190" t="str">
        <f t="shared" si="7"/>
        <v/>
      </c>
      <c r="D296" s="107"/>
      <c r="E296" s="375" t="s">
        <v>2183</v>
      </c>
      <c r="F296" s="163"/>
      <c r="G296" s="205" t="s">
        <v>2426</v>
      </c>
      <c r="H296" s="56">
        <f>'Ch6'!W58</f>
        <v>0</v>
      </c>
      <c r="I296" s="56">
        <f>'Ch6'!O58</f>
        <v>0</v>
      </c>
      <c r="J296" s="889"/>
    </row>
    <row r="297" spans="1:10" x14ac:dyDescent="0.2">
      <c r="A297" s="294" t="str">
        <f>IF(AND(LEN('Ch6'!W59)&gt;0,NOT('Ch6'!W59=FALSE)),"P","")</f>
        <v/>
      </c>
      <c r="B297" s="190" t="str">
        <f>IF(LEN('Ch6'!H59)=0,"",'Ch6'!H59)</f>
        <v/>
      </c>
      <c r="C297" s="190" t="str">
        <f t="shared" si="7"/>
        <v/>
      </c>
      <c r="D297" s="107"/>
      <c r="E297" s="375" t="s">
        <v>2185</v>
      </c>
      <c r="F297" s="163"/>
      <c r="G297" s="205" t="s">
        <v>2427</v>
      </c>
      <c r="H297" s="56">
        <f>'Ch6'!W59</f>
        <v>0</v>
      </c>
      <c r="I297" s="56">
        <f>'Ch6'!O59</f>
        <v>0</v>
      </c>
      <c r="J297" s="889"/>
    </row>
    <row r="298" spans="1:10" ht="16" thickBot="1" x14ac:dyDescent="0.25">
      <c r="A298" s="294" t="str">
        <f>IF(AND(LEN('Ch6'!W60)&gt;0,NOT('Ch6'!W60=FALSE)),"P","")</f>
        <v/>
      </c>
      <c r="B298" s="190" t="str">
        <f>IF(LEN('Ch6'!H60)=0,"",'Ch6'!H60)</f>
        <v/>
      </c>
      <c r="C298" s="190" t="str">
        <f t="shared" si="7"/>
        <v/>
      </c>
      <c r="D298" s="107"/>
      <c r="E298" s="375" t="s">
        <v>2192</v>
      </c>
      <c r="F298" s="163"/>
      <c r="G298" s="205" t="s">
        <v>2428</v>
      </c>
      <c r="H298" s="56">
        <f>'Ch6'!W60</f>
        <v>0</v>
      </c>
      <c r="I298" s="56">
        <f>'Ch6'!O60</f>
        <v>0</v>
      </c>
      <c r="J298" s="650" t="s">
        <v>3413</v>
      </c>
    </row>
    <row r="299" spans="1:10" ht="15.75" customHeight="1" thickTop="1" x14ac:dyDescent="0.2">
      <c r="A299" s="294" t="str">
        <f ca="1">IF('Ch6'!O61&gt;0,"P","")</f>
        <v/>
      </c>
      <c r="B299" s="190" t="str">
        <f>IF(LEN('Ch6'!H61)=0,"",'Ch6'!H61)</f>
        <v/>
      </c>
      <c r="C299" s="190" t="str">
        <f t="shared" ca="1" si="7"/>
        <v/>
      </c>
      <c r="D299" s="75" t="s">
        <v>2429</v>
      </c>
      <c r="E299" s="374"/>
      <c r="F299" s="374"/>
      <c r="G299" s="819" t="s">
        <v>2430</v>
      </c>
      <c r="I299" s="56">
        <f ca="1">'Ch6'!O61</f>
        <v>0</v>
      </c>
      <c r="J299" s="889" t="s">
        <v>3399</v>
      </c>
    </row>
    <row r="300" spans="1:10" x14ac:dyDescent="0.2">
      <c r="A300" s="294" t="str">
        <f ca="1">A299</f>
        <v/>
      </c>
      <c r="B300" s="190" t="str">
        <f>IF(LEN('Ch6'!H62)=0,"",'Ch6'!H62)</f>
        <v/>
      </c>
      <c r="C300" s="190" t="str">
        <f t="shared" ca="1" si="7"/>
        <v/>
      </c>
      <c r="D300" s="70"/>
      <c r="E300" s="388"/>
      <c r="F300" s="388"/>
      <c r="G300" s="820"/>
      <c r="H300" s="56">
        <f>'Ch6'!W62</f>
        <v>0</v>
      </c>
      <c r="J300" s="889"/>
    </row>
    <row r="301" spans="1:10" x14ac:dyDescent="0.2">
      <c r="A301" s="294" t="str">
        <f ca="1">A300</f>
        <v/>
      </c>
      <c r="B301" s="190" t="str">
        <f>IF(LEN('Ch6'!H63)=0,"",'Ch6'!H63)</f>
        <v/>
      </c>
      <c r="C301" s="190" t="str">
        <f t="shared" ca="1" si="7"/>
        <v/>
      </c>
      <c r="D301" s="70"/>
      <c r="E301" s="388"/>
      <c r="F301" s="388"/>
      <c r="G301" s="820"/>
      <c r="J301" s="889"/>
    </row>
    <row r="302" spans="1:10" x14ac:dyDescent="0.2">
      <c r="B302" s="190" t="str">
        <f>IF(LEN('Ch6'!H64)=0,"",'Ch6'!H64)</f>
        <v/>
      </c>
      <c r="C302" s="190" t="str">
        <f t="shared" si="7"/>
        <v/>
      </c>
      <c r="D302" s="70"/>
      <c r="E302" s="366" t="s">
        <v>2181</v>
      </c>
      <c r="F302" s="160"/>
      <c r="G302" s="599" t="s">
        <v>2432</v>
      </c>
      <c r="J302" s="650"/>
    </row>
    <row r="303" spans="1:10" x14ac:dyDescent="0.2">
      <c r="B303" s="190" t="str">
        <f>IF(LEN('Ch6'!H65)=0,"",'Ch6'!H65)</f>
        <v/>
      </c>
      <c r="C303" s="190" t="str">
        <f t="shared" si="7"/>
        <v/>
      </c>
      <c r="D303" s="70"/>
      <c r="E303" s="347" t="s">
        <v>2183</v>
      </c>
      <c r="F303" s="388"/>
      <c r="G303" s="598" t="s">
        <v>2433</v>
      </c>
      <c r="J303" s="650"/>
    </row>
    <row r="304" spans="1:10" ht="15.75" customHeight="1" thickTop="1" x14ac:dyDescent="0.2">
      <c r="A304" s="294" t="str">
        <f ca="1">IF('Ch6'!O66&gt;0,"P","")</f>
        <v/>
      </c>
      <c r="B304" s="190" t="str">
        <f>IF(LEN('Ch6'!H66)=0,"",'Ch6'!H66)</f>
        <v/>
      </c>
      <c r="C304" s="190" t="str">
        <f t="shared" ca="1" si="7"/>
        <v/>
      </c>
      <c r="D304" s="75" t="s">
        <v>2434</v>
      </c>
      <c r="E304" s="374"/>
      <c r="F304" s="374"/>
      <c r="G304" s="819" t="s">
        <v>2435</v>
      </c>
      <c r="I304" s="56">
        <f ca="1">'Ch6'!O66</f>
        <v>0</v>
      </c>
      <c r="J304" s="895" t="s">
        <v>3414</v>
      </c>
    </row>
    <row r="305" spans="1:10" x14ac:dyDescent="0.2">
      <c r="A305" s="294" t="str">
        <f ca="1">A304</f>
        <v/>
      </c>
      <c r="B305" s="190" t="str">
        <f>IF(LEN('Ch6'!H67)=0,"",'Ch6'!H67)</f>
        <v/>
      </c>
      <c r="C305" s="190" t="str">
        <f t="shared" ca="1" si="7"/>
        <v/>
      </c>
      <c r="D305" s="70"/>
      <c r="E305" s="388"/>
      <c r="F305" s="388"/>
      <c r="G305" s="820"/>
      <c r="J305" s="895"/>
    </row>
    <row r="306" spans="1:10" x14ac:dyDescent="0.2">
      <c r="B306" s="190" t="str">
        <f>IF(LEN('Ch6'!H68)=0,"",'Ch6'!H68)</f>
        <v/>
      </c>
      <c r="C306" s="190" t="str">
        <f t="shared" si="7"/>
        <v/>
      </c>
      <c r="D306" s="70"/>
      <c r="E306" s="388"/>
      <c r="F306" s="388"/>
      <c r="G306" s="631" t="s">
        <v>2437</v>
      </c>
      <c r="J306" s="650"/>
    </row>
    <row r="307" spans="1:10" ht="15" customHeight="1" x14ac:dyDescent="0.2">
      <c r="B307" s="190" t="str">
        <f>IF(LEN('Ch6'!H69)=0,"",'Ch6'!H69)</f>
        <v/>
      </c>
      <c r="C307" s="190" t="str">
        <f t="shared" si="7"/>
        <v/>
      </c>
      <c r="D307" s="70"/>
      <c r="E307" s="388"/>
      <c r="F307" s="366" t="s">
        <v>2196</v>
      </c>
      <c r="G307" s="599" t="s">
        <v>2438</v>
      </c>
      <c r="H307" s="56">
        <f>'Ch6'!W69</f>
        <v>0</v>
      </c>
      <c r="J307" s="394"/>
    </row>
    <row r="308" spans="1:10" x14ac:dyDescent="0.2">
      <c r="B308" s="190" t="str">
        <f>IF(LEN('Ch6'!H70)=0,"",'Ch6'!H70)</f>
        <v/>
      </c>
      <c r="C308" s="190" t="str">
        <f t="shared" si="7"/>
        <v/>
      </c>
      <c r="D308" s="70"/>
      <c r="E308" s="388"/>
      <c r="F308" s="375" t="s">
        <v>2198</v>
      </c>
      <c r="G308" s="205" t="s">
        <v>2439</v>
      </c>
      <c r="H308" s="56">
        <f>'Ch6'!W70</f>
        <v>0</v>
      </c>
      <c r="J308" s="394"/>
    </row>
    <row r="309" spans="1:10" ht="15" customHeight="1" x14ac:dyDescent="0.2">
      <c r="B309" s="190" t="str">
        <f>IF(LEN('Ch6'!H71)=0,"",'Ch6'!H71)</f>
        <v/>
      </c>
      <c r="C309" s="190" t="str">
        <f t="shared" si="7"/>
        <v/>
      </c>
      <c r="D309" s="70"/>
      <c r="E309" s="388"/>
      <c r="F309" s="376" t="s">
        <v>2200</v>
      </c>
      <c r="G309" s="858" t="s">
        <v>2440</v>
      </c>
      <c r="H309" s="56">
        <f>'Ch6'!W71</f>
        <v>0</v>
      </c>
      <c r="J309" s="653"/>
    </row>
    <row r="310" spans="1:10" x14ac:dyDescent="0.2">
      <c r="B310" s="190" t="str">
        <f>IF(LEN('Ch6'!H72)=0,"",'Ch6'!H72)</f>
        <v/>
      </c>
      <c r="C310" s="190" t="str">
        <f t="shared" si="7"/>
        <v/>
      </c>
      <c r="D310" s="70"/>
      <c r="E310" s="388"/>
      <c r="F310" s="388"/>
      <c r="G310" s="859"/>
      <c r="J310" s="653"/>
    </row>
    <row r="311" spans="1:10" x14ac:dyDescent="0.2">
      <c r="B311" s="190" t="str">
        <f>IF(LEN('Ch6'!H73)=0,"",'Ch6'!H73)</f>
        <v/>
      </c>
      <c r="C311" s="190" t="str">
        <f t="shared" si="7"/>
        <v/>
      </c>
      <c r="D311" s="70"/>
      <c r="E311" s="388"/>
      <c r="F311" s="388"/>
      <c r="G311" s="206" t="s">
        <v>2441</v>
      </c>
      <c r="J311" s="653"/>
    </row>
    <row r="312" spans="1:10" x14ac:dyDescent="0.2">
      <c r="B312" s="190" t="str">
        <f>IF(LEN('Ch6'!H74)=0,"",'Ch6'!H74)</f>
        <v/>
      </c>
      <c r="C312" s="190" t="str">
        <f t="shared" si="7"/>
        <v/>
      </c>
      <c r="D312" s="70"/>
      <c r="E312" s="388"/>
      <c r="F312" s="160"/>
      <c r="G312" s="606" t="s">
        <v>2442</v>
      </c>
      <c r="J312" s="653"/>
    </row>
    <row r="313" spans="1:10" ht="15" customHeight="1" x14ac:dyDescent="0.2">
      <c r="B313" s="190" t="str">
        <f>IF(LEN('Ch6'!H75)=0,"",'Ch6'!H75)</f>
        <v/>
      </c>
      <c r="C313" s="190" t="str">
        <f t="shared" si="7"/>
        <v/>
      </c>
      <c r="D313" s="70"/>
      <c r="E313" s="388"/>
      <c r="F313" s="350" t="s">
        <v>2247</v>
      </c>
      <c r="G313" s="831" t="s">
        <v>2443</v>
      </c>
      <c r="H313" s="56">
        <f>'Ch6'!W75</f>
        <v>0</v>
      </c>
      <c r="J313" s="653"/>
    </row>
    <row r="314" spans="1:10" x14ac:dyDescent="0.2">
      <c r="B314" s="190" t="str">
        <f>IF(LEN('Ch6'!H76)=0,"",'Ch6'!H76)</f>
        <v/>
      </c>
      <c r="C314" s="190" t="str">
        <f t="shared" si="7"/>
        <v/>
      </c>
      <c r="D314" s="70"/>
      <c r="E314" s="388"/>
      <c r="F314" s="160"/>
      <c r="G314" s="792"/>
      <c r="J314" s="653"/>
    </row>
    <row r="315" spans="1:10" ht="15" customHeight="1" x14ac:dyDescent="0.2">
      <c r="B315" s="190" t="str">
        <f>IF(LEN('Ch6'!H77)=0,"",'Ch6'!H77)</f>
        <v/>
      </c>
      <c r="C315" s="190" t="str">
        <f t="shared" si="7"/>
        <v/>
      </c>
      <c r="D315" s="70"/>
      <c r="E315" s="388"/>
      <c r="F315" s="350" t="s">
        <v>2444</v>
      </c>
      <c r="G315" s="831" t="s">
        <v>2445</v>
      </c>
      <c r="H315" s="56">
        <f>'Ch6'!W77</f>
        <v>0</v>
      </c>
      <c r="J315" s="653"/>
    </row>
    <row r="316" spans="1:10" x14ac:dyDescent="0.2">
      <c r="B316" s="190" t="str">
        <f>IF(LEN('Ch6'!H78)=0,"",'Ch6'!H78)</f>
        <v/>
      </c>
      <c r="C316" s="190" t="str">
        <f t="shared" si="7"/>
        <v/>
      </c>
      <c r="D316" s="70"/>
      <c r="E316" s="388"/>
      <c r="F316" s="160"/>
      <c r="G316" s="792"/>
      <c r="J316" s="653"/>
    </row>
    <row r="317" spans="1:10" x14ac:dyDescent="0.2">
      <c r="B317" s="190" t="str">
        <f>IF(LEN('Ch6'!H79)=0,"",'Ch6'!H79)</f>
        <v/>
      </c>
      <c r="C317" s="190" t="str">
        <f t="shared" si="7"/>
        <v/>
      </c>
      <c r="D317" s="70"/>
      <c r="E317" s="366" t="s">
        <v>2181</v>
      </c>
      <c r="F317" s="388"/>
      <c r="G317" s="599" t="s">
        <v>2446</v>
      </c>
      <c r="J317" s="653"/>
    </row>
    <row r="318" spans="1:10" ht="15" customHeight="1" x14ac:dyDescent="0.2">
      <c r="B318" s="190" t="str">
        <f>IF(LEN('Ch6'!H80)=0,"",'Ch6'!H80)</f>
        <v/>
      </c>
      <c r="C318" s="190" t="str">
        <f t="shared" si="7"/>
        <v/>
      </c>
      <c r="D318" s="70"/>
      <c r="E318" s="347" t="s">
        <v>2183</v>
      </c>
      <c r="F318" s="377"/>
      <c r="G318" s="857" t="s">
        <v>2447</v>
      </c>
      <c r="J318" s="653"/>
    </row>
    <row r="319" spans="1:10" x14ac:dyDescent="0.2">
      <c r="B319" s="190" t="str">
        <f>IF(LEN('Ch6'!H81)=0,"",'Ch6'!H81)</f>
        <v/>
      </c>
      <c r="C319" s="190" t="str">
        <f t="shared" ref="C319:C388" si="10">IF(LEN(B319)=0,IF(A319="P","P",""),B319)</f>
        <v/>
      </c>
      <c r="D319" s="70"/>
      <c r="E319" s="365"/>
      <c r="F319" s="160"/>
      <c r="G319" s="777"/>
      <c r="J319" s="653"/>
    </row>
    <row r="320" spans="1:10" ht="15" customHeight="1" x14ac:dyDescent="0.2">
      <c r="B320" s="190" t="str">
        <f>IF(LEN('Ch6'!H82)=0,"",'Ch6'!H82)</f>
        <v/>
      </c>
      <c r="C320" s="190" t="str">
        <f t="shared" si="10"/>
        <v/>
      </c>
      <c r="D320" s="70"/>
      <c r="E320" s="347" t="s">
        <v>2185</v>
      </c>
      <c r="F320" s="388"/>
      <c r="G320" s="776" t="s">
        <v>2448</v>
      </c>
      <c r="J320" s="653"/>
    </row>
    <row r="321" spans="1:10" ht="16" thickBot="1" x14ac:dyDescent="0.25">
      <c r="B321" s="190" t="str">
        <f>IF(LEN('Ch6'!H83)=0,"",'Ch6'!H83)</f>
        <v/>
      </c>
      <c r="C321" s="190" t="str">
        <f t="shared" si="10"/>
        <v/>
      </c>
      <c r="D321" s="70"/>
      <c r="E321" s="347"/>
      <c r="F321" s="388"/>
      <c r="G321" s="828"/>
      <c r="J321" s="653"/>
    </row>
    <row r="322" spans="1:10" ht="15.75" customHeight="1" thickTop="1" x14ac:dyDescent="0.2">
      <c r="A322" s="294" t="str">
        <f>IF(AND(LEN('Ch6'!W84)&gt;0,NOT('Ch6'!W84=FALSE)),"P","")</f>
        <v/>
      </c>
      <c r="B322" s="190" t="str">
        <f>IF(LEN('Ch6'!H84)=0,"",'Ch6'!H84)</f>
        <v/>
      </c>
      <c r="C322" s="190" t="str">
        <f t="shared" si="10"/>
        <v/>
      </c>
      <c r="D322" s="75" t="s">
        <v>2449</v>
      </c>
      <c r="E322" s="374"/>
      <c r="F322" s="374"/>
      <c r="G322" s="819" t="s">
        <v>2450</v>
      </c>
      <c r="H322" s="56">
        <f>'Ch6'!W84</f>
        <v>0</v>
      </c>
      <c r="I322" s="56">
        <f>'Ch6'!O84</f>
        <v>0</v>
      </c>
      <c r="J322" s="888" t="s">
        <v>3415</v>
      </c>
    </row>
    <row r="323" spans="1:10" x14ac:dyDescent="0.2">
      <c r="A323" s="294" t="str">
        <f>A322</f>
        <v/>
      </c>
      <c r="B323" s="190" t="str">
        <f>IF(LEN('Ch6'!H85)=0,"",'Ch6'!H85)</f>
        <v/>
      </c>
      <c r="C323" s="190" t="str">
        <f t="shared" si="10"/>
        <v/>
      </c>
      <c r="D323" s="70"/>
      <c r="E323" s="388"/>
      <c r="F323" s="388"/>
      <c r="G323" s="820"/>
      <c r="J323" s="888"/>
    </row>
    <row r="324" spans="1:10" x14ac:dyDescent="0.2">
      <c r="A324" s="294" t="str">
        <f>A323</f>
        <v/>
      </c>
      <c r="B324" s="190" t="str">
        <f>IF(LEN('Ch6'!H86)=0,"",'Ch6'!H86)</f>
        <v/>
      </c>
      <c r="C324" s="190" t="str">
        <f t="shared" si="10"/>
        <v/>
      </c>
      <c r="D324" s="70"/>
      <c r="E324" s="388"/>
      <c r="F324" s="388"/>
      <c r="G324" s="820"/>
      <c r="J324" s="888"/>
    </row>
    <row r="325" spans="1:10" x14ac:dyDescent="0.2">
      <c r="A325" s="294" t="str">
        <f>A324</f>
        <v/>
      </c>
      <c r="B325" s="190" t="str">
        <f>IF(LEN('Ch6'!H87)=0,"",'Ch6'!H87)</f>
        <v/>
      </c>
      <c r="C325" s="190" t="str">
        <f t="shared" si="10"/>
        <v/>
      </c>
      <c r="D325" s="70"/>
      <c r="E325" s="388"/>
      <c r="F325" s="388"/>
      <c r="G325" s="820"/>
      <c r="J325" s="888"/>
    </row>
    <row r="326" spans="1:10" x14ac:dyDescent="0.2">
      <c r="A326" s="294" t="str">
        <f>A325</f>
        <v/>
      </c>
      <c r="B326" s="190" t="str">
        <f>IF(LEN('Ch6'!H88)=0,"",'Ch6'!H88)</f>
        <v/>
      </c>
      <c r="C326" s="190" t="str">
        <f t="shared" si="10"/>
        <v/>
      </c>
      <c r="D326" s="70"/>
      <c r="E326" s="388"/>
      <c r="F326" s="388"/>
      <c r="G326" s="820"/>
      <c r="J326" s="888"/>
    </row>
    <row r="327" spans="1:10" ht="15" customHeight="1" x14ac:dyDescent="0.2">
      <c r="B327" s="190" t="str">
        <f>IF(LEN('Ch6'!H89)=0,"",'Ch6'!H89)</f>
        <v/>
      </c>
      <c r="C327" s="190" t="str">
        <f t="shared" si="10"/>
        <v/>
      </c>
      <c r="D327" s="70"/>
      <c r="E327" s="388"/>
      <c r="F327" s="388"/>
      <c r="G327" s="849" t="s">
        <v>2451</v>
      </c>
      <c r="J327" s="650"/>
    </row>
    <row r="328" spans="1:10" x14ac:dyDescent="0.2">
      <c r="B328" s="190" t="str">
        <f>IF(LEN('Ch6'!H90)=0,"",'Ch6'!H90)</f>
        <v/>
      </c>
      <c r="C328" s="190" t="str">
        <f t="shared" si="10"/>
        <v/>
      </c>
      <c r="D328" s="70"/>
      <c r="E328" s="388"/>
      <c r="F328" s="388"/>
      <c r="G328" s="849"/>
      <c r="J328" s="650"/>
    </row>
    <row r="329" spans="1:10" x14ac:dyDescent="0.2">
      <c r="B329" s="190" t="str">
        <f>IF(LEN('Ch6'!H91)=0,"",'Ch6'!H91)</f>
        <v/>
      </c>
      <c r="C329" s="190" t="str">
        <f t="shared" si="10"/>
        <v/>
      </c>
      <c r="D329" s="70"/>
      <c r="E329" s="388"/>
      <c r="F329" s="388"/>
      <c r="G329" s="833"/>
      <c r="J329" s="650"/>
    </row>
    <row r="330" spans="1:10" ht="19" x14ac:dyDescent="0.2">
      <c r="A330" s="294" t="s">
        <v>3343</v>
      </c>
      <c r="B330" s="190" t="str">
        <f>IF(LEN('Ch6'!H92)=0,"",'Ch6'!H92)</f>
        <v/>
      </c>
      <c r="C330" s="190" t="str">
        <f t="shared" si="10"/>
        <v>P</v>
      </c>
      <c r="D330" s="45" t="s">
        <v>2452</v>
      </c>
      <c r="E330" s="45"/>
      <c r="F330" s="45"/>
      <c r="G330" s="180"/>
      <c r="H330" s="180"/>
      <c r="I330" s="180"/>
      <c r="J330" s="400"/>
    </row>
    <row r="331" spans="1:10" ht="15" customHeight="1" x14ac:dyDescent="0.2">
      <c r="B331" s="190" t="str">
        <f>IF(LEN('Ch6'!H93)=0,"",'Ch6'!H93)</f>
        <v/>
      </c>
      <c r="C331" s="190" t="str">
        <f t="shared" si="10"/>
        <v/>
      </c>
      <c r="D331" s="346" t="s">
        <v>2454</v>
      </c>
      <c r="E331" s="345"/>
      <c r="F331" s="345"/>
      <c r="G331" s="775" t="s">
        <v>2455</v>
      </c>
      <c r="J331" s="650"/>
    </row>
    <row r="332" spans="1:10" ht="16" thickBot="1" x14ac:dyDescent="0.25">
      <c r="B332" s="190" t="str">
        <f>IF(LEN('Ch6'!H94)=0,"",'Ch6'!H94)</f>
        <v/>
      </c>
      <c r="C332" s="190" t="str">
        <f t="shared" si="10"/>
        <v/>
      </c>
      <c r="D332" s="107"/>
      <c r="E332" s="345"/>
      <c r="F332" s="345"/>
      <c r="G332" s="775"/>
      <c r="J332" s="650"/>
    </row>
    <row r="333" spans="1:10" ht="17" thickTop="1" thickBot="1" x14ac:dyDescent="0.25">
      <c r="A333" s="539" t="str">
        <f ca="1">IF(COUNTIF(A335:A475,"P")&gt;0,"P","")</f>
        <v>P</v>
      </c>
      <c r="B333" s="190" t="str">
        <f>IF(LEN('Ch6'!H95)=0,"",'Ch6'!H95)</f>
        <v/>
      </c>
      <c r="C333" s="190" t="str">
        <f t="shared" ca="1" si="10"/>
        <v>P</v>
      </c>
      <c r="D333" s="75" t="s">
        <v>2456</v>
      </c>
      <c r="E333" s="374"/>
      <c r="F333" s="374"/>
      <c r="G333" s="646" t="s">
        <v>2457</v>
      </c>
      <c r="J333" s="650"/>
    </row>
    <row r="334" spans="1:10" ht="16" thickTop="1" x14ac:dyDescent="0.2">
      <c r="A334" s="539" t="str">
        <f>IF(COUNTIF(A335:A339,"P")&gt;0,"P","")</f>
        <v/>
      </c>
      <c r="B334" s="190" t="str">
        <f>IF(LEN('Ch6'!H96)=0,"",'Ch6'!H96)</f>
        <v/>
      </c>
      <c r="C334" s="190" t="str">
        <f t="shared" si="10"/>
        <v/>
      </c>
      <c r="D334" s="75" t="s">
        <v>2459</v>
      </c>
      <c r="E334" s="374"/>
      <c r="F334" s="374"/>
      <c r="G334" s="646" t="s">
        <v>2460</v>
      </c>
      <c r="J334" s="650"/>
    </row>
    <row r="335" spans="1:10" ht="15" customHeight="1" x14ac:dyDescent="0.2">
      <c r="A335" s="294" t="str">
        <f>IF(AND(LEN('Ch6'!W97)&gt;0,NOT('Ch6'!W97=FALSE)),"P","")</f>
        <v/>
      </c>
      <c r="B335" s="190" t="str">
        <f>IF(LEN('Ch6'!H97)=0,"",'Ch6'!H97)</f>
        <v/>
      </c>
      <c r="C335" s="190" t="str">
        <f t="shared" si="10"/>
        <v/>
      </c>
      <c r="D335" s="70" t="s">
        <v>2462</v>
      </c>
      <c r="E335" s="388"/>
      <c r="F335" s="388"/>
      <c r="G335" s="820" t="s">
        <v>2463</v>
      </c>
      <c r="H335" s="56">
        <f>'Ch6'!W97</f>
        <v>0</v>
      </c>
      <c r="J335" s="888" t="s">
        <v>3416</v>
      </c>
    </row>
    <row r="336" spans="1:10" ht="16" thickBot="1" x14ac:dyDescent="0.25">
      <c r="A336" s="294" t="str">
        <f>A335</f>
        <v/>
      </c>
      <c r="B336" s="190" t="str">
        <f>IF(LEN('Ch6'!H98)=0,"",'Ch6'!H98)</f>
        <v/>
      </c>
      <c r="C336" s="190" t="str">
        <f t="shared" si="10"/>
        <v/>
      </c>
      <c r="D336" s="70"/>
      <c r="E336" s="388"/>
      <c r="F336" s="388"/>
      <c r="G336" s="820"/>
      <c r="J336" s="888"/>
    </row>
    <row r="337" spans="1:10" x14ac:dyDescent="0.2">
      <c r="A337" s="294" t="str">
        <f>A336</f>
        <v/>
      </c>
      <c r="B337" s="190" t="str">
        <f>IF(LEN('Ch6'!H99)=0,"",'Ch6'!H99)</f>
        <v/>
      </c>
      <c r="C337" s="190" t="str">
        <f t="shared" si="10"/>
        <v/>
      </c>
      <c r="D337" s="70"/>
      <c r="E337" s="388"/>
      <c r="F337" s="388"/>
      <c r="G337" s="820"/>
      <c r="J337" s="888"/>
    </row>
    <row r="338" spans="1:10" s="482" customFormat="1" x14ac:dyDescent="0.2">
      <c r="A338" s="294"/>
      <c r="B338" s="190" t="str">
        <f>IF(LEN('Ch6'!H100)=0,"",'Ch6'!H100)</f>
        <v/>
      </c>
      <c r="C338" s="190" t="str">
        <f t="shared" si="10"/>
        <v/>
      </c>
      <c r="D338" s="348"/>
      <c r="E338" s="160"/>
      <c r="F338" s="160"/>
      <c r="G338" s="628" t="s">
        <v>2464</v>
      </c>
      <c r="H338" s="56"/>
      <c r="I338" s="56"/>
      <c r="J338" s="649"/>
    </row>
    <row r="339" spans="1:10" ht="15" customHeight="1" x14ac:dyDescent="0.2">
      <c r="A339" s="294" t="str">
        <f>IF(AND(LEN('Ch6'!W101)&gt;0,NOT('Ch6'!W101=FALSE)),"P","")</f>
        <v/>
      </c>
      <c r="B339" s="190" t="str">
        <f>IF(LEN('Ch6'!H101)=0,"",'Ch6'!H101)</f>
        <v/>
      </c>
      <c r="C339" s="190" t="str">
        <f t="shared" si="10"/>
        <v/>
      </c>
      <c r="D339" s="107" t="s">
        <v>2466</v>
      </c>
      <c r="E339" s="345"/>
      <c r="F339" s="345"/>
      <c r="G339" s="775" t="s">
        <v>2467</v>
      </c>
      <c r="H339" s="56">
        <f>'Ch6'!W101</f>
        <v>0</v>
      </c>
      <c r="I339" s="56">
        <f>'Ch6'!O101</f>
        <v>0</v>
      </c>
      <c r="J339" s="888" t="s">
        <v>3417</v>
      </c>
    </row>
    <row r="340" spans="1:10" s="498" customFormat="1" ht="15" customHeight="1" x14ac:dyDescent="0.2">
      <c r="A340" s="294" t="str">
        <f t="shared" ref="A340:A341" si="11">A339</f>
        <v/>
      </c>
      <c r="B340" s="190" t="str">
        <f>IF(LEN('Ch6'!H102)=0,"",'Ch6'!H102)</f>
        <v/>
      </c>
      <c r="C340" s="190" t="str">
        <f t="shared" ref="C340:C341" si="12">IF(LEN(B340)=0,IF(A340="P","P",""),B340)</f>
        <v/>
      </c>
      <c r="D340" s="107"/>
      <c r="E340" s="345"/>
      <c r="F340" s="345"/>
      <c r="G340" s="775"/>
      <c r="H340" s="56"/>
      <c r="I340" s="56"/>
      <c r="J340" s="888"/>
    </row>
    <row r="341" spans="1:10" ht="16" thickBot="1" x14ac:dyDescent="0.25">
      <c r="A341" s="294" t="str">
        <f t="shared" si="11"/>
        <v/>
      </c>
      <c r="B341" s="190" t="str">
        <f>IF(LEN('Ch6'!H103)=0,"",'Ch6'!H103)</f>
        <v/>
      </c>
      <c r="C341" s="190" t="str">
        <f t="shared" si="12"/>
        <v/>
      </c>
      <c r="D341" s="107"/>
      <c r="E341" s="345"/>
      <c r="F341" s="345"/>
      <c r="G341" s="775"/>
      <c r="J341" s="888"/>
    </row>
    <row r="342" spans="1:10" ht="15.75" customHeight="1" thickTop="1" x14ac:dyDescent="0.2">
      <c r="A342" s="294" t="str">
        <f>IF('Ch6'!O104&gt;0,"P","")</f>
        <v/>
      </c>
      <c r="B342" s="190" t="str">
        <f>IF(LEN('Ch6'!H104)=0,"",'Ch6'!H104)</f>
        <v/>
      </c>
      <c r="C342" s="190" t="str">
        <f t="shared" si="10"/>
        <v/>
      </c>
      <c r="D342" s="75" t="s">
        <v>2469</v>
      </c>
      <c r="E342" s="374"/>
      <c r="F342" s="374"/>
      <c r="G342" s="819" t="s">
        <v>2470</v>
      </c>
      <c r="I342" s="56">
        <f>'Ch6'!O104</f>
        <v>0</v>
      </c>
      <c r="J342" s="888" t="s">
        <v>3418</v>
      </c>
    </row>
    <row r="343" spans="1:10" s="498" customFormat="1" ht="15.75" customHeight="1" x14ac:dyDescent="0.2">
      <c r="A343" s="294" t="str">
        <f t="shared" ref="A343:A344" si="13">A342</f>
        <v/>
      </c>
      <c r="B343" s="190" t="str">
        <f>IF(LEN('Ch6'!H105)=0,"",'Ch6'!H105)</f>
        <v/>
      </c>
      <c r="C343" s="190" t="str">
        <f t="shared" ref="C343:C344" si="14">IF(LEN(B343)=0,IF(A343="P","P",""),B343)</f>
        <v/>
      </c>
      <c r="D343" s="70"/>
      <c r="E343" s="388"/>
      <c r="F343" s="388"/>
      <c r="G343" s="820"/>
      <c r="H343" s="56"/>
      <c r="I343" s="56"/>
      <c r="J343" s="888"/>
    </row>
    <row r="344" spans="1:10" x14ac:dyDescent="0.2">
      <c r="A344" s="294" t="str">
        <f t="shared" si="13"/>
        <v/>
      </c>
      <c r="B344" s="190" t="str">
        <f>IF(LEN('Ch6'!H106)=0,"",'Ch6'!H106)</f>
        <v/>
      </c>
      <c r="C344" s="190" t="str">
        <f t="shared" si="14"/>
        <v/>
      </c>
      <c r="D344" s="70"/>
      <c r="E344" s="388"/>
      <c r="F344" s="388"/>
      <c r="G344" s="820"/>
      <c r="J344" s="888"/>
    </row>
    <row r="345" spans="1:10" ht="16" thickBot="1" x14ac:dyDescent="0.25">
      <c r="B345" s="190" t="str">
        <f>IF(LEN('Ch6'!H107)=0,"",'Ch6'!H107)</f>
        <v/>
      </c>
      <c r="C345" s="190" t="str">
        <f t="shared" si="10"/>
        <v/>
      </c>
      <c r="D345" s="70"/>
      <c r="E345" s="366" t="s">
        <v>2181</v>
      </c>
      <c r="F345" s="160"/>
      <c r="G345" s="599" t="s">
        <v>2471</v>
      </c>
      <c r="H345" s="56">
        <f>'Ch6'!W107</f>
        <v>0</v>
      </c>
      <c r="J345" s="394"/>
    </row>
    <row r="346" spans="1:10" ht="16" thickBot="1" x14ac:dyDescent="0.25">
      <c r="B346" s="190" t="str">
        <f>IF(LEN('Ch6'!H108)=0,"",'Ch6'!H108)</f>
        <v/>
      </c>
      <c r="C346" s="190" t="str">
        <f t="shared" si="10"/>
        <v/>
      </c>
      <c r="D346" s="349"/>
      <c r="E346" s="351" t="s">
        <v>2183</v>
      </c>
      <c r="F346" s="354"/>
      <c r="G346" s="626" t="s">
        <v>2472</v>
      </c>
      <c r="H346" s="56">
        <f>'Ch6'!W108</f>
        <v>0</v>
      </c>
      <c r="J346" s="394"/>
    </row>
    <row r="347" spans="1:10" ht="17" thickTop="1" thickBot="1" x14ac:dyDescent="0.25">
      <c r="A347" s="539" t="str">
        <f>IF(COUNTIF(A348:A351,"P")&gt;0,"P","")</f>
        <v/>
      </c>
      <c r="B347" s="190" t="str">
        <f>IF(LEN('Ch6'!H109)=0,"",'Ch6'!H109)</f>
        <v/>
      </c>
      <c r="C347" s="190" t="str">
        <f t="shared" si="10"/>
        <v/>
      </c>
      <c r="D347" s="75" t="s">
        <v>2474</v>
      </c>
      <c r="E347" s="374"/>
      <c r="F347" s="374"/>
      <c r="G347" s="646" t="s">
        <v>2475</v>
      </c>
      <c r="J347" s="650"/>
    </row>
    <row r="348" spans="1:10" ht="15" customHeight="1" x14ac:dyDescent="0.2">
      <c r="A348" s="294" t="str">
        <f>IF(AND(LEN('Ch6'!W110)&gt;0,NOT('Ch6'!W110=FALSE)),"P","")</f>
        <v/>
      </c>
      <c r="B348" s="190" t="str">
        <f>IF(LEN('Ch6'!H110)=0,"",'Ch6'!H110)</f>
        <v/>
      </c>
      <c r="C348" s="190" t="str">
        <f t="shared" si="10"/>
        <v/>
      </c>
      <c r="D348" s="70" t="s">
        <v>2477</v>
      </c>
      <c r="E348" s="388"/>
      <c r="F348" s="388"/>
      <c r="G348" s="820" t="s">
        <v>2478</v>
      </c>
      <c r="H348" s="56">
        <f>'Ch6'!W110</f>
        <v>0</v>
      </c>
      <c r="J348" s="891" t="s">
        <v>3419</v>
      </c>
    </row>
    <row r="349" spans="1:10" x14ac:dyDescent="0.2">
      <c r="A349" s="294" t="str">
        <f>A348</f>
        <v/>
      </c>
      <c r="B349" s="190" t="str">
        <f>IF(LEN('Ch6'!H111)=0,"",'Ch6'!H111)</f>
        <v/>
      </c>
      <c r="C349" s="190" t="str">
        <f t="shared" si="10"/>
        <v/>
      </c>
      <c r="D349" s="70"/>
      <c r="E349" s="388"/>
      <c r="F349" s="388"/>
      <c r="G349" s="820"/>
      <c r="J349" s="891"/>
    </row>
    <row r="350" spans="1:10" s="482" customFormat="1" x14ac:dyDescent="0.2">
      <c r="A350" s="294"/>
      <c r="B350" s="190" t="str">
        <f>IF(LEN('Ch6'!H112)=0,"",'Ch6'!H112)</f>
        <v/>
      </c>
      <c r="C350" s="190" t="str">
        <f t="shared" si="10"/>
        <v/>
      </c>
      <c r="D350" s="348"/>
      <c r="E350" s="160"/>
      <c r="F350" s="160"/>
      <c r="G350" s="628" t="s">
        <v>2479</v>
      </c>
      <c r="H350" s="56"/>
      <c r="I350" s="56"/>
      <c r="J350" s="652"/>
    </row>
    <row r="351" spans="1:10" ht="15" customHeight="1" x14ac:dyDescent="0.2">
      <c r="A351" s="294" t="str">
        <f>IF(AND(LEN('Ch6'!W113)&gt;0,NOT('Ch6'!W113=FALSE)),"P","")</f>
        <v/>
      </c>
      <c r="B351" s="190" t="str">
        <f>IF(LEN('Ch6'!H113)=0,"",'Ch6'!H113)</f>
        <v/>
      </c>
      <c r="C351" s="190" t="str">
        <f t="shared" si="10"/>
        <v/>
      </c>
      <c r="D351" s="107" t="s">
        <v>2481</v>
      </c>
      <c r="E351" s="345"/>
      <c r="F351" s="345"/>
      <c r="G351" s="775" t="s">
        <v>2482</v>
      </c>
      <c r="H351" s="56">
        <f>'Ch6'!W113</f>
        <v>0</v>
      </c>
      <c r="I351" s="56">
        <f>'Ch6'!O113</f>
        <v>0</v>
      </c>
      <c r="J351" s="889" t="s">
        <v>3420</v>
      </c>
    </row>
    <row r="352" spans="1:10" s="498" customFormat="1" ht="15" customHeight="1" x14ac:dyDescent="0.2">
      <c r="A352" s="294" t="str">
        <f t="shared" ref="A352:A353" si="15">A351</f>
        <v/>
      </c>
      <c r="B352" s="190" t="str">
        <f>IF(LEN('Ch6'!H114)=0,"",'Ch6'!H114)</f>
        <v/>
      </c>
      <c r="C352" s="190" t="str">
        <f t="shared" ref="C352:C353" si="16">IF(LEN(B352)=0,IF(A352="P","P",""),B352)</f>
        <v/>
      </c>
      <c r="D352" s="107"/>
      <c r="E352" s="345"/>
      <c r="F352" s="345"/>
      <c r="G352" s="775"/>
      <c r="H352" s="56"/>
      <c r="I352" s="56"/>
      <c r="J352" s="889"/>
    </row>
    <row r="353" spans="1:10" ht="16" thickBot="1" x14ac:dyDescent="0.25">
      <c r="A353" s="294" t="str">
        <f t="shared" si="15"/>
        <v/>
      </c>
      <c r="B353" s="190" t="str">
        <f>IF(LEN('Ch6'!H115)=0,"",'Ch6'!H115)</f>
        <v/>
      </c>
      <c r="C353" s="190" t="str">
        <f t="shared" si="16"/>
        <v/>
      </c>
      <c r="D353" s="107"/>
      <c r="E353" s="345"/>
      <c r="F353" s="345"/>
      <c r="G353" s="775"/>
      <c r="J353" s="889"/>
    </row>
    <row r="354" spans="1:10" ht="17" thickTop="1" thickBot="1" x14ac:dyDescent="0.25">
      <c r="A354" s="539" t="str">
        <f>IF(COUNTIF(A355:A363,"P")&gt;0,"P","")</f>
        <v/>
      </c>
      <c r="B354" s="190" t="str">
        <f>IF(LEN('Ch6'!H116)=0,"",'Ch6'!H116)</f>
        <v/>
      </c>
      <c r="C354" s="190" t="str">
        <f t="shared" si="10"/>
        <v/>
      </c>
      <c r="D354" s="75" t="s">
        <v>2484</v>
      </c>
      <c r="E354" s="374"/>
      <c r="F354" s="374"/>
      <c r="G354" s="646" t="s">
        <v>2485</v>
      </c>
      <c r="J354" s="650"/>
    </row>
    <row r="355" spans="1:10" ht="15" customHeight="1" x14ac:dyDescent="0.2">
      <c r="A355" s="294" t="str">
        <f>IF(SUM(I359)&gt;0,"P","")</f>
        <v/>
      </c>
      <c r="B355" s="190" t="str">
        <f>IF(LEN('Ch6'!H117)=0,"",'Ch6'!H117)</f>
        <v/>
      </c>
      <c r="C355" s="190" t="str">
        <f t="shared" si="10"/>
        <v/>
      </c>
      <c r="D355" s="107" t="s">
        <v>2487</v>
      </c>
      <c r="E355" s="345"/>
      <c r="F355" s="345"/>
      <c r="G355" s="775" t="s">
        <v>2488</v>
      </c>
      <c r="J355" s="888" t="s">
        <v>3399</v>
      </c>
    </row>
    <row r="356" spans="1:10" x14ac:dyDescent="0.2">
      <c r="A356" s="294" t="str">
        <f>A355</f>
        <v/>
      </c>
      <c r="B356" s="190" t="str">
        <f>IF(LEN('Ch6'!H118)=0,"",'Ch6'!H118)</f>
        <v/>
      </c>
      <c r="C356" s="190" t="str">
        <f t="shared" si="10"/>
        <v/>
      </c>
      <c r="D356" s="107"/>
      <c r="E356" s="345"/>
      <c r="F356" s="345"/>
      <c r="G356" s="775"/>
      <c r="J356" s="888"/>
    </row>
    <row r="357" spans="1:10" s="498" customFormat="1" x14ac:dyDescent="0.2">
      <c r="A357" s="294" t="str">
        <f t="shared" ref="A357:A358" si="17">A356</f>
        <v/>
      </c>
      <c r="B357" s="190" t="str">
        <f>IF(LEN('Ch6'!H119)=0,"",'Ch6'!H119)</f>
        <v/>
      </c>
      <c r="C357" s="190" t="str">
        <f t="shared" ref="C357:C358" si="18">IF(LEN(B357)=0,IF(A357="P","P",""),B357)</f>
        <v/>
      </c>
      <c r="D357" s="107"/>
      <c r="E357" s="345"/>
      <c r="F357" s="345"/>
      <c r="G357" s="775"/>
      <c r="H357" s="56"/>
      <c r="I357" s="56"/>
      <c r="J357" s="888"/>
    </row>
    <row r="358" spans="1:10" x14ac:dyDescent="0.2">
      <c r="A358" s="294" t="str">
        <f t="shared" si="17"/>
        <v/>
      </c>
      <c r="B358" s="190" t="str">
        <f>IF(LEN('Ch6'!H120)=0,"",'Ch6'!H120)</f>
        <v/>
      </c>
      <c r="C358" s="190" t="str">
        <f t="shared" si="18"/>
        <v/>
      </c>
      <c r="D358" s="107"/>
      <c r="E358" s="345"/>
      <c r="F358" s="345"/>
      <c r="G358" s="775"/>
      <c r="J358" s="888"/>
    </row>
    <row r="359" spans="1:10" ht="15" customHeight="1" x14ac:dyDescent="0.2">
      <c r="B359" s="190" t="str">
        <f>IF(LEN('Ch6'!H121)=0,"",'Ch6'!H121)</f>
        <v/>
      </c>
      <c r="C359" s="190" t="str">
        <f t="shared" si="10"/>
        <v/>
      </c>
      <c r="D359" s="107"/>
      <c r="E359" s="347" t="s">
        <v>2181</v>
      </c>
      <c r="F359" s="388"/>
      <c r="G359" s="791" t="s">
        <v>2489</v>
      </c>
      <c r="H359" s="56">
        <f>'Ch6'!W121</f>
        <v>0</v>
      </c>
      <c r="I359" s="56">
        <f>'Ch6'!O121</f>
        <v>0</v>
      </c>
      <c r="J359" s="394"/>
    </row>
    <row r="360" spans="1:10" ht="16" thickBot="1" x14ac:dyDescent="0.25">
      <c r="B360" s="190" t="str">
        <f>IF(LEN('Ch6'!H122)=0,"",'Ch6'!H122)</f>
        <v/>
      </c>
      <c r="C360" s="190" t="str">
        <f t="shared" si="10"/>
        <v/>
      </c>
      <c r="D360" s="107"/>
      <c r="E360" s="160"/>
      <c r="F360" s="160"/>
      <c r="G360" s="792"/>
      <c r="J360" s="649"/>
    </row>
    <row r="361" spans="1:10" x14ac:dyDescent="0.2">
      <c r="B361" s="190" t="str">
        <f>IF(LEN('Ch6'!H123)=0,"",'Ch6'!H123)</f>
        <v/>
      </c>
      <c r="C361" s="190" t="str">
        <f t="shared" si="10"/>
        <v/>
      </c>
      <c r="D361" s="70"/>
      <c r="E361" s="347" t="s">
        <v>2183</v>
      </c>
      <c r="F361" s="388"/>
      <c r="G361" s="598" t="s">
        <v>2490</v>
      </c>
      <c r="H361" s="56">
        <f>'Ch6'!W123</f>
        <v>0</v>
      </c>
      <c r="J361" s="649"/>
    </row>
    <row r="362" spans="1:10" s="484" customFormat="1" x14ac:dyDescent="0.2">
      <c r="A362" s="294"/>
      <c r="B362" s="190" t="str">
        <f>IF(LEN('Ch6'!H124)=0,"",'Ch6'!H124)</f>
        <v/>
      </c>
      <c r="C362" s="190" t="str">
        <f t="shared" si="10"/>
        <v/>
      </c>
      <c r="D362" s="348"/>
      <c r="E362" s="366"/>
      <c r="F362" s="160"/>
      <c r="G362" s="628" t="s">
        <v>2491</v>
      </c>
      <c r="H362" s="56"/>
      <c r="I362" s="56"/>
      <c r="J362" s="649"/>
    </row>
    <row r="363" spans="1:10" ht="15" customHeight="1" x14ac:dyDescent="0.2">
      <c r="A363" s="539" t="str">
        <f>IF(COUNTIF(A368:A370,"P")&gt;0,"P","")</f>
        <v/>
      </c>
      <c r="B363" s="190" t="str">
        <f>IF(LEN('Ch6'!H125)=0,"",'Ch6'!H125)</f>
        <v/>
      </c>
      <c r="C363" s="190" t="str">
        <f t="shared" si="10"/>
        <v/>
      </c>
      <c r="D363" s="107" t="s">
        <v>2493</v>
      </c>
      <c r="E363" s="345"/>
      <c r="F363" s="345"/>
      <c r="G363" s="775" t="s">
        <v>2494</v>
      </c>
      <c r="J363" s="650"/>
    </row>
    <row r="364" spans="1:10" x14ac:dyDescent="0.2">
      <c r="A364" s="294" t="str">
        <f>A363</f>
        <v/>
      </c>
      <c r="B364" s="190" t="str">
        <f>IF(LEN('Ch6'!H126)=0,"",'Ch6'!H126)</f>
        <v/>
      </c>
      <c r="C364" s="190" t="str">
        <f t="shared" si="10"/>
        <v/>
      </c>
      <c r="D364" s="107"/>
      <c r="E364" s="345"/>
      <c r="F364" s="345"/>
      <c r="G364" s="775"/>
      <c r="J364" s="650"/>
    </row>
    <row r="365" spans="1:10" s="498" customFormat="1" x14ac:dyDescent="0.2">
      <c r="A365" s="294" t="str">
        <f t="shared" ref="A365:A367" si="19">A364</f>
        <v/>
      </c>
      <c r="B365" s="190" t="str">
        <f>IF(LEN('Ch6'!H127)=0,"",'Ch6'!H127)</f>
        <v/>
      </c>
      <c r="C365" s="190" t="str">
        <f t="shared" ref="C365:C367" si="20">IF(LEN(B365)=0,IF(A365="P","P",""),B365)</f>
        <v/>
      </c>
      <c r="D365" s="107"/>
      <c r="E365" s="345"/>
      <c r="F365" s="345"/>
      <c r="G365" s="775"/>
      <c r="H365" s="56"/>
      <c r="I365" s="56"/>
      <c r="J365" s="650"/>
    </row>
    <row r="366" spans="1:10" s="498" customFormat="1" x14ac:dyDescent="0.2">
      <c r="A366" s="294" t="str">
        <f t="shared" si="19"/>
        <v/>
      </c>
      <c r="B366" s="190" t="str">
        <f>IF(LEN('Ch6'!H128)=0,"",'Ch6'!H128)</f>
        <v/>
      </c>
      <c r="C366" s="190" t="str">
        <f t="shared" si="20"/>
        <v/>
      </c>
      <c r="D366" s="107"/>
      <c r="E366" s="345"/>
      <c r="F366" s="345"/>
      <c r="G366" s="775"/>
      <c r="H366" s="56"/>
      <c r="I366" s="56"/>
      <c r="J366" s="650"/>
    </row>
    <row r="367" spans="1:10" x14ac:dyDescent="0.2">
      <c r="A367" s="294" t="str">
        <f t="shared" si="19"/>
        <v/>
      </c>
      <c r="B367" s="190" t="str">
        <f>IF(LEN('Ch6'!H129)=0,"",'Ch6'!H129)</f>
        <v/>
      </c>
      <c r="C367" s="190" t="str">
        <f t="shared" si="20"/>
        <v/>
      </c>
      <c r="D367" s="107"/>
      <c r="E367" s="345"/>
      <c r="F367" s="345"/>
      <c r="G367" s="775"/>
      <c r="J367" s="650"/>
    </row>
    <row r="368" spans="1:10" ht="15" customHeight="1" x14ac:dyDescent="0.2">
      <c r="A368" s="294" t="str">
        <f>IF(AND(LEN('Ch6'!W130)&gt;0,NOT('Ch6'!W130=FALSE)),"P","")</f>
        <v/>
      </c>
      <c r="B368" s="190" t="str">
        <f>IF(LEN('Ch6'!H130)=0,"",'Ch6'!H130)</f>
        <v/>
      </c>
      <c r="C368" s="190" t="str">
        <f t="shared" si="10"/>
        <v/>
      </c>
      <c r="D368" s="107"/>
      <c r="E368" s="347" t="s">
        <v>2181</v>
      </c>
      <c r="F368" s="388"/>
      <c r="G368" s="791" t="s">
        <v>2495</v>
      </c>
      <c r="H368" s="56">
        <f>'Ch6'!W130</f>
        <v>0</v>
      </c>
      <c r="I368" s="56">
        <f>'Ch6'!O130</f>
        <v>0</v>
      </c>
      <c r="J368" s="888" t="s">
        <v>3417</v>
      </c>
    </row>
    <row r="369" spans="1:10" ht="16" thickBot="1" x14ac:dyDescent="0.25">
      <c r="A369" s="294" t="str">
        <f>A368</f>
        <v/>
      </c>
      <c r="B369" s="190" t="str">
        <f>IF(LEN('Ch6'!H131)=0,"",'Ch6'!H131)</f>
        <v/>
      </c>
      <c r="C369" s="190" t="str">
        <f t="shared" si="10"/>
        <v/>
      </c>
      <c r="D369" s="107"/>
      <c r="E369" s="160"/>
      <c r="F369" s="160"/>
      <c r="G369" s="792"/>
      <c r="J369" s="888"/>
    </row>
    <row r="370" spans="1:10" ht="15" customHeight="1" x14ac:dyDescent="0.2">
      <c r="A370" s="294" t="str">
        <f>IF(AND(LEN('Ch6'!W132)&gt;0,NOT('Ch6'!W132=FALSE)),"P","")</f>
        <v/>
      </c>
      <c r="B370" s="190" t="str">
        <f>IF(LEN('Ch6'!H132)=0,"",'Ch6'!H132)</f>
        <v/>
      </c>
      <c r="C370" s="190" t="str">
        <f t="shared" si="10"/>
        <v/>
      </c>
      <c r="D370" s="107"/>
      <c r="E370" s="346" t="s">
        <v>2183</v>
      </c>
      <c r="F370" s="345"/>
      <c r="G370" s="817" t="s">
        <v>2496</v>
      </c>
      <c r="H370" s="56">
        <f>'Ch6'!W132</f>
        <v>0</v>
      </c>
      <c r="J370" s="889" t="s">
        <v>3399</v>
      </c>
    </row>
    <row r="371" spans="1:10" x14ac:dyDescent="0.2">
      <c r="A371" s="294" t="str">
        <f>A370</f>
        <v/>
      </c>
      <c r="B371" s="190" t="str">
        <f>IF(LEN('Ch6'!H133)=0,"",'Ch6'!H133)</f>
        <v/>
      </c>
      <c r="C371" s="190" t="str">
        <f t="shared" si="10"/>
        <v/>
      </c>
      <c r="D371" s="107"/>
      <c r="E371" s="345"/>
      <c r="F371" s="345"/>
      <c r="G371" s="817"/>
      <c r="J371" s="889"/>
    </row>
    <row r="372" spans="1:10" s="484" customFormat="1" x14ac:dyDescent="0.2">
      <c r="A372" s="294"/>
      <c r="B372" s="190" t="str">
        <f>IF(LEN('Ch6'!H134)=0,"",'Ch6'!H134)</f>
        <v/>
      </c>
      <c r="C372" s="190" t="str">
        <f t="shared" si="10"/>
        <v/>
      </c>
      <c r="D372" s="107"/>
      <c r="E372" s="345"/>
      <c r="F372" s="345"/>
      <c r="G372" s="851" t="s">
        <v>2497</v>
      </c>
      <c r="H372" s="56"/>
      <c r="I372" s="56"/>
      <c r="J372" s="650"/>
    </row>
    <row r="373" spans="1:10" s="484" customFormat="1" ht="16" thickBot="1" x14ac:dyDescent="0.25">
      <c r="A373" s="294"/>
      <c r="B373" s="190" t="str">
        <f>IF(LEN('Ch6'!H135)=0,"",'Ch6'!H135)</f>
        <v/>
      </c>
      <c r="C373" s="190" t="str">
        <f t="shared" si="10"/>
        <v/>
      </c>
      <c r="D373" s="107"/>
      <c r="E373" s="345"/>
      <c r="F373" s="345"/>
      <c r="G373" s="860"/>
      <c r="H373" s="56"/>
      <c r="I373" s="56"/>
      <c r="J373" s="650"/>
    </row>
    <row r="374" spans="1:10" ht="16" thickTop="1" x14ac:dyDescent="0.2">
      <c r="A374" s="294" t="str">
        <f ca="1">IF(SUM(I376:I378)&gt;0,"P","")</f>
        <v/>
      </c>
      <c r="B374" s="190" t="str">
        <f>IF(LEN('Ch6'!H136)=0,"",'Ch6'!H136)</f>
        <v/>
      </c>
      <c r="C374" s="190" t="str">
        <f t="shared" ca="1" si="10"/>
        <v/>
      </c>
      <c r="D374" s="75" t="s">
        <v>2499</v>
      </c>
      <c r="E374" s="374"/>
      <c r="F374" s="374"/>
      <c r="G374" s="620" t="s">
        <v>2500</v>
      </c>
      <c r="J374" s="649" t="s">
        <v>3399</v>
      </c>
    </row>
    <row r="375" spans="1:10" ht="16" thickBot="1" x14ac:dyDescent="0.25">
      <c r="B375" s="190" t="str">
        <f>IF(LEN('Ch6'!H137)=0,"",'Ch6'!H137)</f>
        <v/>
      </c>
      <c r="C375" s="190" t="str">
        <f t="shared" si="10"/>
        <v/>
      </c>
      <c r="D375" s="107"/>
      <c r="E375" s="345"/>
      <c r="F375" s="345"/>
      <c r="G375" s="706" t="s">
        <v>2502</v>
      </c>
      <c r="H375" s="56">
        <f>'Ch6'!W137</f>
        <v>0</v>
      </c>
      <c r="J375" s="394"/>
    </row>
    <row r="376" spans="1:10" ht="15" customHeight="1" x14ac:dyDescent="0.2">
      <c r="B376" s="190" t="str">
        <f>IF(LEN('Ch6'!H138)=0,"",'Ch6'!H138)</f>
        <v/>
      </c>
      <c r="C376" s="190" t="str">
        <f t="shared" si="10"/>
        <v/>
      </c>
      <c r="D376" s="107"/>
      <c r="E376" s="347" t="s">
        <v>2181</v>
      </c>
      <c r="F376" s="388"/>
      <c r="G376" s="791" t="s">
        <v>2503</v>
      </c>
      <c r="H376" s="56">
        <f>'Ch6'!W138</f>
        <v>0</v>
      </c>
      <c r="I376" s="56">
        <f ca="1">'Ch6'!O138</f>
        <v>0</v>
      </c>
      <c r="J376" s="649"/>
    </row>
    <row r="377" spans="1:10" ht="16" thickBot="1" x14ac:dyDescent="0.25">
      <c r="B377" s="190" t="str">
        <f>IF(LEN('Ch6'!H139)=0,"",'Ch6'!H139)</f>
        <v/>
      </c>
      <c r="C377" s="190" t="str">
        <f t="shared" si="10"/>
        <v/>
      </c>
      <c r="D377" s="107"/>
      <c r="E377" s="160"/>
      <c r="F377" s="160"/>
      <c r="G377" s="792"/>
      <c r="J377" s="649"/>
    </row>
    <row r="378" spans="1:10" ht="15" customHeight="1" x14ac:dyDescent="0.2">
      <c r="B378" s="190" t="str">
        <f>IF(LEN('Ch6'!H140)=0,"",'Ch6'!H140)</f>
        <v/>
      </c>
      <c r="C378" s="190" t="str">
        <f t="shared" si="10"/>
        <v/>
      </c>
      <c r="D378" s="107"/>
      <c r="E378" s="346" t="s">
        <v>2183</v>
      </c>
      <c r="F378" s="345"/>
      <c r="G378" s="817" t="s">
        <v>2504</v>
      </c>
      <c r="H378" s="56">
        <f>'Ch6'!W140</f>
        <v>0</v>
      </c>
      <c r="I378" s="56">
        <f ca="1">'Ch6'!O140</f>
        <v>0</v>
      </c>
      <c r="J378" s="649"/>
    </row>
    <row r="379" spans="1:10" ht="16" thickBot="1" x14ac:dyDescent="0.25">
      <c r="B379" s="190" t="str">
        <f>IF(LEN('Ch6'!H141)=0,"",'Ch6'!H141)</f>
        <v/>
      </c>
      <c r="C379" s="190" t="str">
        <f t="shared" si="10"/>
        <v/>
      </c>
      <c r="D379" s="107"/>
      <c r="E379" s="345"/>
      <c r="F379" s="345"/>
      <c r="G379" s="817"/>
      <c r="J379" s="649"/>
    </row>
    <row r="380" spans="1:10" ht="16" thickBot="1" x14ac:dyDescent="0.25">
      <c r="B380" s="190" t="str">
        <f>IF(LEN('Ch6'!H142)=0,"",'Ch6'!H142)</f>
        <v/>
      </c>
      <c r="C380" s="190" t="str">
        <f t="shared" si="10"/>
        <v/>
      </c>
      <c r="D380" s="107"/>
      <c r="E380" s="345"/>
      <c r="F380" s="345"/>
      <c r="G380" s="817"/>
      <c r="J380" s="649"/>
    </row>
    <row r="381" spans="1:10" ht="15.75" customHeight="1" thickTop="1" x14ac:dyDescent="0.2">
      <c r="A381" s="294" t="str">
        <f ca="1">IF(SUM(I384:I392)&gt;0,"P","")</f>
        <v/>
      </c>
      <c r="B381" s="190" t="str">
        <f>IF(LEN('Ch6'!H143)=0,"",'Ch6'!H143)</f>
        <v/>
      </c>
      <c r="C381" s="190" t="str">
        <f t="shared" ca="1" si="10"/>
        <v/>
      </c>
      <c r="D381" s="75" t="s">
        <v>2506</v>
      </c>
      <c r="E381" s="374"/>
      <c r="F381" s="374"/>
      <c r="G381" s="819" t="s">
        <v>2507</v>
      </c>
      <c r="J381" s="889" t="s">
        <v>3399</v>
      </c>
    </row>
    <row r="382" spans="1:10" ht="16" thickBot="1" x14ac:dyDescent="0.25">
      <c r="A382" s="294" t="str">
        <f ca="1">A381</f>
        <v/>
      </c>
      <c r="B382" s="190" t="str">
        <f>IF(LEN('Ch6'!H144)=0,"",'Ch6'!H144)</f>
        <v/>
      </c>
      <c r="C382" s="190" t="str">
        <f t="shared" ca="1" si="10"/>
        <v/>
      </c>
      <c r="D382" s="70"/>
      <c r="E382" s="388"/>
      <c r="F382" s="388"/>
      <c r="G382" s="820"/>
      <c r="J382" s="889"/>
    </row>
    <row r="383" spans="1:10" ht="16" thickBot="1" x14ac:dyDescent="0.25">
      <c r="B383" s="190" t="str">
        <f>IF(LEN('Ch6'!H145)=0,"",'Ch6'!H145)</f>
        <v/>
      </c>
      <c r="C383" s="190" t="str">
        <f t="shared" si="10"/>
        <v/>
      </c>
      <c r="D383" s="107"/>
      <c r="E383" s="345"/>
      <c r="F383" s="345"/>
      <c r="G383" s="706" t="s">
        <v>2502</v>
      </c>
      <c r="J383" s="650"/>
    </row>
    <row r="384" spans="1:10" ht="15" customHeight="1" x14ac:dyDescent="0.2">
      <c r="B384" s="190" t="str">
        <f>IF(LEN('Ch6'!H146)=0,"",'Ch6'!H146)</f>
        <v/>
      </c>
      <c r="C384" s="190" t="str">
        <f t="shared" si="10"/>
        <v/>
      </c>
      <c r="D384" s="107"/>
      <c r="E384" s="347" t="s">
        <v>2181</v>
      </c>
      <c r="F384" s="388"/>
      <c r="G384" s="791" t="s">
        <v>2508</v>
      </c>
      <c r="H384" s="56">
        <f>'Ch6'!W146</f>
        <v>0</v>
      </c>
      <c r="I384" s="56">
        <f ca="1">'Ch6'!O146</f>
        <v>0</v>
      </c>
      <c r="J384" s="394"/>
    </row>
    <row r="385" spans="1:10" ht="16" thickBot="1" x14ac:dyDescent="0.25">
      <c r="B385" s="190" t="str">
        <f>IF(LEN('Ch6'!H147)=0,"",'Ch6'!H147)</f>
        <v/>
      </c>
      <c r="C385" s="190" t="str">
        <f t="shared" si="10"/>
        <v/>
      </c>
      <c r="D385" s="107"/>
      <c r="E385" s="388"/>
      <c r="F385" s="388"/>
      <c r="G385" s="791"/>
      <c r="J385" s="650"/>
    </row>
    <row r="386" spans="1:10" ht="16" thickBot="1" x14ac:dyDescent="0.25">
      <c r="B386" s="190" t="str">
        <f>IF(LEN('Ch6'!H148)=0,"",'Ch6'!H148)</f>
        <v/>
      </c>
      <c r="C386" s="190" t="str">
        <f t="shared" si="10"/>
        <v/>
      </c>
      <c r="D386" s="107"/>
      <c r="E386" s="388"/>
      <c r="F386" s="388"/>
      <c r="G386" s="791"/>
      <c r="J386" s="650"/>
    </row>
    <row r="387" spans="1:10" ht="16" thickBot="1" x14ac:dyDescent="0.25">
      <c r="B387" s="190" t="str">
        <f>IF(LEN('Ch6'!H149)=0,"",'Ch6'!H149)</f>
        <v/>
      </c>
      <c r="C387" s="190" t="str">
        <f t="shared" si="10"/>
        <v/>
      </c>
      <c r="D387" s="107"/>
      <c r="E387" s="160"/>
      <c r="F387" s="160"/>
      <c r="G387" s="792"/>
      <c r="J387" s="650"/>
    </row>
    <row r="388" spans="1:10" ht="15" customHeight="1" x14ac:dyDescent="0.2">
      <c r="B388" s="190" t="str">
        <f>IF(LEN('Ch6'!H150)=0,"",'Ch6'!H150)</f>
        <v/>
      </c>
      <c r="C388" s="190" t="str">
        <f t="shared" si="10"/>
        <v/>
      </c>
      <c r="D388" s="107"/>
      <c r="E388" s="378" t="s">
        <v>2183</v>
      </c>
      <c r="F388" s="379"/>
      <c r="G388" s="831" t="s">
        <v>2509</v>
      </c>
      <c r="H388" s="56">
        <f>'Ch6'!W150</f>
        <v>0</v>
      </c>
      <c r="I388" s="56">
        <f ca="1">'Ch6'!O150</f>
        <v>0</v>
      </c>
      <c r="J388" s="650"/>
    </row>
    <row r="389" spans="1:10" ht="16" thickBot="1" x14ac:dyDescent="0.25">
      <c r="B389" s="190" t="str">
        <f>IF(LEN('Ch6'!H151)=0,"",'Ch6'!H151)</f>
        <v/>
      </c>
      <c r="C389" s="190" t="str">
        <f t="shared" ref="C389:C453" si="21">IF(LEN(B389)=0,IF(A389="P","P",""),B389)</f>
        <v/>
      </c>
      <c r="D389" s="107"/>
      <c r="E389" s="388"/>
      <c r="F389" s="388"/>
      <c r="G389" s="791"/>
      <c r="J389" s="650"/>
    </row>
    <row r="390" spans="1:10" ht="16" thickBot="1" x14ac:dyDescent="0.25">
      <c r="B390" s="190" t="str">
        <f>IF(LEN('Ch6'!H152)=0,"",'Ch6'!H152)</f>
        <v/>
      </c>
      <c r="C390" s="190" t="str">
        <f t="shared" si="21"/>
        <v/>
      </c>
      <c r="D390" s="107"/>
      <c r="E390" s="388"/>
      <c r="F390" s="388"/>
      <c r="G390" s="791"/>
      <c r="J390" s="650"/>
    </row>
    <row r="391" spans="1:10" ht="16" thickBot="1" x14ac:dyDescent="0.25">
      <c r="B391" s="190" t="str">
        <f>IF(LEN('Ch6'!H153)=0,"",'Ch6'!H153)</f>
        <v/>
      </c>
      <c r="C391" s="190" t="str">
        <f t="shared" si="21"/>
        <v/>
      </c>
      <c r="D391" s="107"/>
      <c r="E391" s="160"/>
      <c r="F391" s="160"/>
      <c r="G391" s="792"/>
      <c r="J391" s="650"/>
    </row>
    <row r="392" spans="1:10" ht="15" customHeight="1" x14ac:dyDescent="0.2">
      <c r="B392" s="190" t="str">
        <f>IF(LEN('Ch6'!H154)=0,"",'Ch6'!H154)</f>
        <v/>
      </c>
      <c r="C392" s="190" t="str">
        <f t="shared" si="21"/>
        <v/>
      </c>
      <c r="D392" s="107"/>
      <c r="E392" s="346" t="s">
        <v>2185</v>
      </c>
      <c r="F392" s="345"/>
      <c r="G392" s="817" t="s">
        <v>2510</v>
      </c>
      <c r="H392" s="56">
        <f>'Ch6'!W154</f>
        <v>0</v>
      </c>
      <c r="I392" s="56">
        <f ca="1">'Ch6'!O154</f>
        <v>0</v>
      </c>
      <c r="J392" s="650"/>
    </row>
    <row r="393" spans="1:10" ht="16" thickBot="1" x14ac:dyDescent="0.25">
      <c r="B393" s="190" t="str">
        <f>IF(LEN('Ch6'!H155)=0,"",'Ch6'!H155)</f>
        <v/>
      </c>
      <c r="C393" s="190" t="str">
        <f t="shared" si="21"/>
        <v/>
      </c>
      <c r="D393" s="107"/>
      <c r="E393" s="345"/>
      <c r="F393" s="345"/>
      <c r="G393" s="817"/>
      <c r="J393" s="650"/>
    </row>
    <row r="394" spans="1:10" ht="16" thickBot="1" x14ac:dyDescent="0.25">
      <c r="B394" s="190" t="str">
        <f>IF(LEN('Ch6'!H156)=0,"",'Ch6'!H156)</f>
        <v/>
      </c>
      <c r="C394" s="190" t="str">
        <f t="shared" si="21"/>
        <v/>
      </c>
      <c r="D394" s="107"/>
      <c r="E394" s="345"/>
      <c r="F394" s="345"/>
      <c r="G394" s="817"/>
      <c r="J394" s="650"/>
    </row>
    <row r="395" spans="1:10" ht="17" thickTop="1" thickBot="1" x14ac:dyDescent="0.25">
      <c r="A395" s="539" t="str">
        <f>IF(COUNTIF(A397:A406,"P")&gt;0,"P","")</f>
        <v/>
      </c>
      <c r="B395" s="190" t="str">
        <f>IF(LEN('Ch6'!H157)=0,"",'Ch6'!H157)</f>
        <v/>
      </c>
      <c r="C395" s="190" t="str">
        <f t="shared" si="21"/>
        <v/>
      </c>
      <c r="D395" s="75" t="s">
        <v>2512</v>
      </c>
      <c r="E395" s="374"/>
      <c r="F395" s="374"/>
      <c r="G395" s="646" t="s">
        <v>2513</v>
      </c>
      <c r="J395" s="650"/>
    </row>
    <row r="396" spans="1:10" ht="16" thickBot="1" x14ac:dyDescent="0.25">
      <c r="A396" s="539" t="str">
        <f>IF(COUNTIF(A397:A402,"P")&gt;0,"P","")</f>
        <v/>
      </c>
      <c r="B396" s="190" t="str">
        <f>IF(LEN('Ch6'!H158)=0,"",'Ch6'!H158)</f>
        <v/>
      </c>
      <c r="C396" s="190" t="str">
        <f t="shared" si="21"/>
        <v/>
      </c>
      <c r="D396" s="107" t="s">
        <v>2515</v>
      </c>
      <c r="E396" s="345"/>
      <c r="F396" s="345"/>
      <c r="G396" s="654" t="s">
        <v>2516</v>
      </c>
      <c r="J396" s="650"/>
    </row>
    <row r="397" spans="1:10" ht="15" customHeight="1" x14ac:dyDescent="0.2">
      <c r="A397" s="294" t="str">
        <f>IF(AND(LEN('Ch6'!W159)&gt;0,NOT('Ch6'!W159=FALSE)),"P","")</f>
        <v/>
      </c>
      <c r="B397" s="190" t="str">
        <f>IF(LEN('Ch6'!H159)=0,"",'Ch6'!H159)</f>
        <v/>
      </c>
      <c r="C397" s="190" t="str">
        <f t="shared" si="21"/>
        <v/>
      </c>
      <c r="D397" s="107"/>
      <c r="E397" s="347" t="s">
        <v>2181</v>
      </c>
      <c r="F397" s="388"/>
      <c r="G397" s="791" t="s">
        <v>2517</v>
      </c>
      <c r="H397" s="56">
        <f>'Ch6'!W159</f>
        <v>0</v>
      </c>
      <c r="I397" s="56">
        <f>'Ch6'!O159</f>
        <v>0</v>
      </c>
      <c r="J397" s="889" t="s">
        <v>3399</v>
      </c>
    </row>
    <row r="398" spans="1:10" ht="16" thickBot="1" x14ac:dyDescent="0.25">
      <c r="A398" s="294" t="str">
        <f>A397</f>
        <v/>
      </c>
      <c r="B398" s="190" t="str">
        <f>IF(LEN('Ch6'!H160)=0,"",'Ch6'!H160)</f>
        <v/>
      </c>
      <c r="C398" s="190" t="str">
        <f t="shared" si="21"/>
        <v/>
      </c>
      <c r="D398" s="107"/>
      <c r="E398" s="160"/>
      <c r="F398" s="160"/>
      <c r="G398" s="792"/>
      <c r="J398" s="889"/>
    </row>
    <row r="399" spans="1:10" ht="15" customHeight="1" x14ac:dyDescent="0.2">
      <c r="A399" s="294" t="str">
        <f>IF(AND(LEN('Ch6'!W161)&gt;0,NOT('Ch6'!W161=FALSE)),"P","")</f>
        <v/>
      </c>
      <c r="B399" s="190" t="str">
        <f>IF(LEN('Ch6'!H161)=0,"",'Ch6'!H161)</f>
        <v/>
      </c>
      <c r="C399" s="190" t="str">
        <f t="shared" si="21"/>
        <v/>
      </c>
      <c r="D399" s="107"/>
      <c r="E399" s="347" t="s">
        <v>2183</v>
      </c>
      <c r="F399" s="388"/>
      <c r="G399" s="791" t="s">
        <v>2518</v>
      </c>
      <c r="H399" s="56">
        <f>'Ch6'!W161</f>
        <v>0</v>
      </c>
      <c r="I399" s="56">
        <f>'Ch6'!O161</f>
        <v>0</v>
      </c>
      <c r="J399" s="889" t="s">
        <v>3421</v>
      </c>
    </row>
    <row r="400" spans="1:10" ht="16" thickBot="1" x14ac:dyDescent="0.25">
      <c r="A400" s="294" t="str">
        <f>A399</f>
        <v/>
      </c>
      <c r="B400" s="190" t="str">
        <f>IF(LEN('Ch6'!H162)=0,"",'Ch6'!H162)</f>
        <v/>
      </c>
      <c r="C400" s="190" t="str">
        <f t="shared" si="21"/>
        <v/>
      </c>
      <c r="D400" s="107"/>
      <c r="E400" s="388"/>
      <c r="F400" s="388"/>
      <c r="G400" s="791"/>
      <c r="J400" s="889"/>
    </row>
    <row r="401" spans="1:10" ht="16" thickBot="1" x14ac:dyDescent="0.25">
      <c r="B401" s="190" t="str">
        <f>IF(LEN('Ch6'!H163)=0,"",'Ch6'!H163)</f>
        <v/>
      </c>
      <c r="C401" s="190" t="str">
        <f t="shared" si="21"/>
        <v/>
      </c>
      <c r="D401" s="107"/>
      <c r="E401" s="160"/>
      <c r="F401" s="160"/>
      <c r="G401" s="634" t="s">
        <v>2519</v>
      </c>
      <c r="J401" s="650"/>
    </row>
    <row r="402" spans="1:10" ht="15" customHeight="1" x14ac:dyDescent="0.2">
      <c r="A402" s="294" t="str">
        <f>IF(AND(LEN('Ch6'!W164)&gt;0,NOT('Ch6'!W164=FALSE)),"P","")</f>
        <v/>
      </c>
      <c r="B402" s="190" t="str">
        <f>IF(LEN('Ch6'!H164)=0,"",'Ch6'!H164)</f>
        <v/>
      </c>
      <c r="C402" s="190" t="str">
        <f t="shared" si="21"/>
        <v/>
      </c>
      <c r="D402" s="70"/>
      <c r="E402" s="347" t="s">
        <v>2185</v>
      </c>
      <c r="F402" s="388"/>
      <c r="G402" s="791" t="s">
        <v>2520</v>
      </c>
      <c r="H402" s="56">
        <f>'Ch6'!W164</f>
        <v>0</v>
      </c>
      <c r="I402" s="56">
        <f>'Ch6'!O164</f>
        <v>0</v>
      </c>
      <c r="J402" s="889" t="s">
        <v>3422</v>
      </c>
    </row>
    <row r="403" spans="1:10" ht="16" thickBot="1" x14ac:dyDescent="0.25">
      <c r="A403" s="294" t="str">
        <f>A402</f>
        <v/>
      </c>
      <c r="B403" s="190" t="str">
        <f>IF(LEN('Ch6'!H165)=0,"",'Ch6'!H165)</f>
        <v/>
      </c>
      <c r="C403" s="190" t="str">
        <f t="shared" si="21"/>
        <v/>
      </c>
      <c r="D403" s="348"/>
      <c r="E403" s="160"/>
      <c r="F403" s="160"/>
      <c r="G403" s="792"/>
      <c r="J403" s="889"/>
    </row>
    <row r="404" spans="1:10" ht="15" customHeight="1" x14ac:dyDescent="0.2">
      <c r="A404" s="294" t="str">
        <f>IF(AND(LEN('Ch6'!W166)&gt;0,NOT('Ch6'!W166=FALSE)),"P","")</f>
        <v/>
      </c>
      <c r="B404" s="190" t="str">
        <f>IF(LEN('Ch6'!H166)=0,"",'Ch6'!H166)</f>
        <v/>
      </c>
      <c r="C404" s="190" t="str">
        <f t="shared" si="21"/>
        <v/>
      </c>
      <c r="D404" s="350" t="s">
        <v>2522</v>
      </c>
      <c r="E404" s="379"/>
      <c r="F404" s="379"/>
      <c r="G404" s="847" t="s">
        <v>2523</v>
      </c>
      <c r="H404" s="56">
        <f>'Ch6'!W166</f>
        <v>0</v>
      </c>
      <c r="I404" s="56">
        <f>'Ch6'!O166</f>
        <v>0</v>
      </c>
      <c r="J404" s="888" t="s">
        <v>3423</v>
      </c>
    </row>
    <row r="405" spans="1:10" ht="16" thickBot="1" x14ac:dyDescent="0.25">
      <c r="A405" s="294" t="str">
        <f>A404</f>
        <v/>
      </c>
      <c r="B405" s="190" t="str">
        <f>IF(LEN('Ch6'!H167)=0,"",'Ch6'!H167)</f>
        <v/>
      </c>
      <c r="C405" s="190" t="str">
        <f t="shared" si="21"/>
        <v/>
      </c>
      <c r="D405" s="348"/>
      <c r="E405" s="160"/>
      <c r="F405" s="160"/>
      <c r="G405" s="832"/>
      <c r="J405" s="888"/>
    </row>
    <row r="406" spans="1:10" ht="15" customHeight="1" x14ac:dyDescent="0.2">
      <c r="A406" s="294" t="str">
        <f>IF(AND(LEN('Ch6'!W168)&gt;0,NOT('Ch6'!W168=FALSE)),"P","")</f>
        <v/>
      </c>
      <c r="B406" s="190" t="str">
        <f>IF(LEN('Ch6'!H168)=0,"",'Ch6'!H168)</f>
        <v/>
      </c>
      <c r="C406" s="190" t="str">
        <f t="shared" si="21"/>
        <v/>
      </c>
      <c r="D406" s="107" t="s">
        <v>2525</v>
      </c>
      <c r="E406" s="345"/>
      <c r="F406" s="345"/>
      <c r="G406" s="775" t="s">
        <v>2526</v>
      </c>
      <c r="H406" s="56">
        <f>'Ch6'!W168</f>
        <v>0</v>
      </c>
      <c r="I406" s="56">
        <f>'Ch6'!O168</f>
        <v>0</v>
      </c>
      <c r="J406" s="891" t="s">
        <v>3424</v>
      </c>
    </row>
    <row r="407" spans="1:10" ht="16" thickBot="1" x14ac:dyDescent="0.25">
      <c r="A407" s="294" t="str">
        <f>A406</f>
        <v/>
      </c>
      <c r="B407" s="190" t="str">
        <f>IF(LEN('Ch6'!H169)=0,"",'Ch6'!H169)</f>
        <v/>
      </c>
      <c r="C407" s="190" t="str">
        <f t="shared" si="21"/>
        <v/>
      </c>
      <c r="D407" s="107"/>
      <c r="E407" s="345"/>
      <c r="F407" s="345"/>
      <c r="G407" s="775"/>
      <c r="J407" s="891"/>
    </row>
    <row r="408" spans="1:10" ht="16" thickBot="1" x14ac:dyDescent="0.25">
      <c r="A408" s="294" t="str">
        <f>A407</f>
        <v/>
      </c>
      <c r="B408" s="190" t="str">
        <f>IF(LEN('Ch6'!H170)=0,"",'Ch6'!H170)</f>
        <v/>
      </c>
      <c r="C408" s="190" t="str">
        <f t="shared" si="21"/>
        <v/>
      </c>
      <c r="D408" s="107"/>
      <c r="E408" s="345"/>
      <c r="F408" s="345"/>
      <c r="G408" s="775"/>
      <c r="J408" s="891"/>
    </row>
    <row r="409" spans="1:10" ht="16" thickBot="1" x14ac:dyDescent="0.25">
      <c r="A409" s="294" t="str">
        <f>A408</f>
        <v/>
      </c>
      <c r="B409" s="190" t="str">
        <f>IF(LEN('Ch6'!H171)=0,"",'Ch6'!H171)</f>
        <v/>
      </c>
      <c r="C409" s="190" t="str">
        <f t="shared" si="21"/>
        <v/>
      </c>
      <c r="D409" s="107"/>
      <c r="E409" s="345"/>
      <c r="F409" s="345"/>
      <c r="G409" s="775"/>
      <c r="J409" s="891"/>
    </row>
    <row r="410" spans="1:10" ht="15.75" customHeight="1" thickTop="1" x14ac:dyDescent="0.2">
      <c r="A410" s="294" t="str">
        <f>IF(AND(LEN('Ch6'!W172)&gt;0,NOT('Ch6'!W172=FALSE)),"P","")</f>
        <v/>
      </c>
      <c r="B410" s="190" t="str">
        <f>IF(LEN('Ch6'!H172)=0,"",'Ch6'!H172)</f>
        <v/>
      </c>
      <c r="C410" s="190" t="str">
        <f t="shared" si="21"/>
        <v/>
      </c>
      <c r="D410" s="75" t="s">
        <v>2528</v>
      </c>
      <c r="E410" s="374"/>
      <c r="F410" s="374"/>
      <c r="G410" s="819" t="s">
        <v>2529</v>
      </c>
      <c r="H410" s="56">
        <f>'Ch6'!W172</f>
        <v>0</v>
      </c>
      <c r="J410" s="889" t="s">
        <v>3425</v>
      </c>
    </row>
    <row r="411" spans="1:10" s="498" customFormat="1" ht="15.75" customHeight="1" x14ac:dyDescent="0.2">
      <c r="A411" s="294" t="str">
        <f t="shared" ref="A411:A412" si="22">A410</f>
        <v/>
      </c>
      <c r="B411" s="190" t="str">
        <f>IF(LEN('Ch6'!H173)=0,"",'Ch6'!H173)</f>
        <v/>
      </c>
      <c r="C411" s="190" t="str">
        <f t="shared" ref="C411:C412" si="23">IF(LEN(B411)=0,IF(A411="P","P",""),B411)</f>
        <v/>
      </c>
      <c r="D411" s="70"/>
      <c r="E411" s="388"/>
      <c r="F411" s="388"/>
      <c r="G411" s="820"/>
      <c r="H411" s="56"/>
      <c r="I411" s="56"/>
      <c r="J411" s="889"/>
    </row>
    <row r="412" spans="1:10" x14ac:dyDescent="0.2">
      <c r="A412" s="294" t="str">
        <f t="shared" si="22"/>
        <v/>
      </c>
      <c r="B412" s="190" t="str">
        <f>IF(LEN('Ch6'!H174)=0,"",'Ch6'!H174)</f>
        <v/>
      </c>
      <c r="C412" s="190" t="str">
        <f t="shared" si="23"/>
        <v/>
      </c>
      <c r="D412" s="70"/>
      <c r="E412" s="388"/>
      <c r="F412" s="388"/>
      <c r="G412" s="820"/>
      <c r="J412" s="889"/>
    </row>
    <row r="413" spans="1:10" ht="16" thickBot="1" x14ac:dyDescent="0.25">
      <c r="B413" s="190" t="str">
        <f>IF(LEN('Ch6'!H175)=0,"",'Ch6'!H175)</f>
        <v/>
      </c>
      <c r="C413" s="190" t="str">
        <f t="shared" si="21"/>
        <v/>
      </c>
      <c r="D413" s="70"/>
      <c r="E413" s="388"/>
      <c r="F413" s="388"/>
      <c r="G413" s="629" t="s">
        <v>2519</v>
      </c>
      <c r="J413" s="650"/>
    </row>
    <row r="414" spans="1:10" ht="15.75" customHeight="1" thickTop="1" x14ac:dyDescent="0.2">
      <c r="A414" s="294" t="s">
        <v>3343</v>
      </c>
      <c r="B414" s="190" t="str">
        <f>IF(LEN('Ch6'!H176)=0,"",'Ch6'!H176)</f>
        <v/>
      </c>
      <c r="C414" s="190" t="str">
        <f t="shared" si="21"/>
        <v>P</v>
      </c>
      <c r="D414" s="75" t="s">
        <v>2531</v>
      </c>
      <c r="E414" s="374"/>
      <c r="F414" s="374"/>
      <c r="G414" s="819" t="s">
        <v>2532</v>
      </c>
      <c r="J414" s="888" t="s">
        <v>3426</v>
      </c>
    </row>
    <row r="415" spans="1:10" x14ac:dyDescent="0.2">
      <c r="A415" s="294" t="s">
        <v>3343</v>
      </c>
      <c r="B415" s="190" t="str">
        <f>IF(LEN('Ch6'!H177)=0,"",'Ch6'!H177)</f>
        <v/>
      </c>
      <c r="C415" s="190" t="str">
        <f t="shared" si="21"/>
        <v>P</v>
      </c>
      <c r="D415" s="70"/>
      <c r="E415" s="388"/>
      <c r="F415" s="388"/>
      <c r="G415" s="820"/>
      <c r="J415" s="888"/>
    </row>
    <row r="416" spans="1:10" x14ac:dyDescent="0.2">
      <c r="A416" s="294" t="s">
        <v>3343</v>
      </c>
      <c r="B416" s="190" t="str">
        <f>IF(LEN('Ch6'!H178)=0,"",'Ch6'!H178)</f>
        <v/>
      </c>
      <c r="C416" s="190" t="str">
        <f t="shared" si="21"/>
        <v>P</v>
      </c>
      <c r="D416" s="70"/>
      <c r="E416" s="388"/>
      <c r="F416" s="388"/>
      <c r="G416" s="820"/>
      <c r="J416" s="888"/>
    </row>
    <row r="417" spans="1:10" x14ac:dyDescent="0.2">
      <c r="A417" s="294" t="s">
        <v>3343</v>
      </c>
      <c r="B417" s="190" t="str">
        <f>IF(LEN('Ch6'!H179)=0,"",'Ch6'!H179)</f>
        <v/>
      </c>
      <c r="C417" s="190" t="str">
        <f t="shared" si="21"/>
        <v>P</v>
      </c>
      <c r="D417" s="70"/>
      <c r="E417" s="388"/>
      <c r="F417" s="388"/>
      <c r="G417" s="820"/>
      <c r="J417" s="888"/>
    </row>
    <row r="418" spans="1:10" x14ac:dyDescent="0.2">
      <c r="A418" s="294" t="s">
        <v>3343</v>
      </c>
      <c r="B418" s="190" t="str">
        <f>IF(LEN('Ch6'!H180)=0,"",'Ch6'!H180)</f>
        <v/>
      </c>
      <c r="C418" s="190" t="str">
        <f t="shared" si="21"/>
        <v>P</v>
      </c>
      <c r="D418" s="70"/>
      <c r="E418" s="388"/>
      <c r="F418" s="388"/>
      <c r="G418" s="820"/>
      <c r="J418" s="888"/>
    </row>
    <row r="419" spans="1:10" s="484" customFormat="1" x14ac:dyDescent="0.2">
      <c r="A419" s="294"/>
      <c r="B419" s="190" t="str">
        <f>IF(LEN('Ch6'!H181)=0,"",'Ch6'!H181)</f>
        <v/>
      </c>
      <c r="C419" s="190" t="str">
        <f t="shared" si="21"/>
        <v/>
      </c>
      <c r="D419" s="70"/>
      <c r="E419" s="388"/>
      <c r="F419" s="388"/>
      <c r="G419" s="846" t="s">
        <v>2533</v>
      </c>
      <c r="H419" s="56"/>
      <c r="I419" s="56"/>
      <c r="J419" s="649"/>
    </row>
    <row r="420" spans="1:10" s="484" customFormat="1" x14ac:dyDescent="0.2">
      <c r="A420" s="294"/>
      <c r="B420" s="190" t="str">
        <f>IF(LEN('Ch6'!H182)=0,"",'Ch6'!H182)</f>
        <v/>
      </c>
      <c r="C420" s="190" t="str">
        <f t="shared" si="21"/>
        <v/>
      </c>
      <c r="D420" s="70"/>
      <c r="E420" s="388"/>
      <c r="F420" s="388"/>
      <c r="G420" s="846"/>
      <c r="H420" s="56"/>
      <c r="I420" s="56"/>
      <c r="J420" s="649"/>
    </row>
    <row r="421" spans="1:10" s="484" customFormat="1" x14ac:dyDescent="0.2">
      <c r="A421" s="294"/>
      <c r="B421" s="190" t="str">
        <f>IF(LEN('Ch6'!H183)=0,"",'Ch6'!H183)</f>
        <v/>
      </c>
      <c r="C421" s="190" t="str">
        <f t="shared" si="21"/>
        <v/>
      </c>
      <c r="D421" s="70"/>
      <c r="E421" s="388"/>
      <c r="F421" s="388"/>
      <c r="G421" s="846"/>
      <c r="H421" s="56"/>
      <c r="I421" s="56"/>
      <c r="J421" s="649"/>
    </row>
    <row r="422" spans="1:10" ht="15" customHeight="1" x14ac:dyDescent="0.2">
      <c r="B422" s="190" t="str">
        <f>IF(LEN('Ch6'!H184)=0,"",'Ch6'!H184)</f>
        <v/>
      </c>
      <c r="C422" s="190" t="str">
        <f t="shared" si="21"/>
        <v/>
      </c>
      <c r="D422" s="107"/>
      <c r="E422" s="347" t="s">
        <v>2181</v>
      </c>
      <c r="F422" s="388"/>
      <c r="G422" s="598" t="s">
        <v>2534</v>
      </c>
      <c r="H422" s="56">
        <f>'Ch6'!W184</f>
        <v>0</v>
      </c>
      <c r="J422" s="394"/>
    </row>
    <row r="423" spans="1:10" x14ac:dyDescent="0.2">
      <c r="B423" s="190" t="str">
        <f>IF(LEN('Ch6'!H185)=0,"",'Ch6'!H185)</f>
        <v/>
      </c>
      <c r="C423" s="190" t="str">
        <f t="shared" si="21"/>
        <v/>
      </c>
      <c r="D423" s="107"/>
      <c r="E423" s="388"/>
      <c r="F423" s="347" t="s">
        <v>2196</v>
      </c>
      <c r="G423" s="598" t="s">
        <v>2535</v>
      </c>
      <c r="J423" s="652"/>
    </row>
    <row r="424" spans="1:10" x14ac:dyDescent="0.2">
      <c r="B424" s="190" t="str">
        <f>IF(LEN('Ch6'!H186)=0,"",'Ch6'!H186)</f>
        <v/>
      </c>
      <c r="C424" s="190" t="str">
        <f t="shared" si="21"/>
        <v/>
      </c>
      <c r="D424" s="107"/>
      <c r="E424" s="388"/>
      <c r="F424" s="347" t="s">
        <v>2198</v>
      </c>
      <c r="G424" s="598" t="s">
        <v>2536</v>
      </c>
      <c r="J424" s="652"/>
    </row>
    <row r="425" spans="1:10" x14ac:dyDescent="0.2">
      <c r="B425" s="190" t="str">
        <f>IF(LEN('Ch6'!H187)=0,"",'Ch6'!H187)</f>
        <v/>
      </c>
      <c r="C425" s="190" t="str">
        <f t="shared" si="21"/>
        <v/>
      </c>
      <c r="D425" s="107"/>
      <c r="E425" s="388"/>
      <c r="F425" s="371" t="s">
        <v>2200</v>
      </c>
      <c r="G425" s="598" t="s">
        <v>2537</v>
      </c>
      <c r="J425" s="652"/>
    </row>
    <row r="426" spans="1:10" ht="15" customHeight="1" x14ac:dyDescent="0.2">
      <c r="B426" s="190" t="str">
        <f>IF(LEN('Ch6'!H188)=0,"",'Ch6'!H188)</f>
        <v/>
      </c>
      <c r="C426" s="190" t="str">
        <f t="shared" si="21"/>
        <v/>
      </c>
      <c r="D426" s="107"/>
      <c r="E426" s="388"/>
      <c r="F426" s="70" t="s">
        <v>2247</v>
      </c>
      <c r="G426" s="791" t="s">
        <v>2538</v>
      </c>
      <c r="J426" s="652"/>
    </row>
    <row r="427" spans="1:10" x14ac:dyDescent="0.2">
      <c r="B427" s="190" t="str">
        <f>IF(LEN('Ch6'!H189)=0,"",'Ch6'!H189)</f>
        <v/>
      </c>
      <c r="C427" s="190" t="str">
        <f t="shared" si="21"/>
        <v/>
      </c>
      <c r="D427" s="107"/>
      <c r="E427" s="388"/>
      <c r="F427" s="388"/>
      <c r="G427" s="791"/>
      <c r="J427" s="652"/>
    </row>
    <row r="428" spans="1:10" x14ac:dyDescent="0.2">
      <c r="B428" s="190" t="str">
        <f>IF(LEN('Ch6'!H190)=0,"",'Ch6'!H190)</f>
        <v/>
      </c>
      <c r="C428" s="190" t="str">
        <f t="shared" si="21"/>
        <v/>
      </c>
      <c r="D428" s="107"/>
      <c r="E428" s="388"/>
      <c r="F428" s="70" t="s">
        <v>2444</v>
      </c>
      <c r="G428" s="598" t="s">
        <v>2539</v>
      </c>
      <c r="J428" s="652"/>
    </row>
    <row r="429" spans="1:10" x14ac:dyDescent="0.2">
      <c r="B429" s="190" t="str">
        <f>IF(LEN('Ch6'!H191)=0,"",'Ch6'!H191)</f>
        <v/>
      </c>
      <c r="C429" s="190" t="str">
        <f t="shared" si="21"/>
        <v/>
      </c>
      <c r="D429" s="107"/>
      <c r="E429" s="388"/>
      <c r="F429" s="371" t="s">
        <v>2540</v>
      </c>
      <c r="G429" s="598" t="s">
        <v>2541</v>
      </c>
      <c r="J429" s="652"/>
    </row>
    <row r="430" spans="1:10" x14ac:dyDescent="0.2">
      <c r="B430" s="190" t="str">
        <f>IF(LEN('Ch6'!H192)=0,"",'Ch6'!H192)</f>
        <v/>
      </c>
      <c r="C430" s="190" t="str">
        <f t="shared" si="21"/>
        <v/>
      </c>
      <c r="D430" s="107"/>
      <c r="E430" s="388"/>
      <c r="F430" s="70" t="s">
        <v>2542</v>
      </c>
      <c r="G430" s="598" t="s">
        <v>2543</v>
      </c>
      <c r="J430" s="652"/>
    </row>
    <row r="431" spans="1:10" x14ac:dyDescent="0.2">
      <c r="B431" s="190" t="str">
        <f>IF(LEN('Ch6'!H193)=0,"",'Ch6'!H193)</f>
        <v/>
      </c>
      <c r="C431" s="190" t="str">
        <f t="shared" si="21"/>
        <v/>
      </c>
      <c r="D431" s="107"/>
      <c r="E431" s="388"/>
      <c r="F431" s="70" t="s">
        <v>2544</v>
      </c>
      <c r="G431" s="598" t="s">
        <v>2545</v>
      </c>
      <c r="J431" s="652"/>
    </row>
    <row r="432" spans="1:10" s="484" customFormat="1" x14ac:dyDescent="0.2">
      <c r="A432" s="294"/>
      <c r="B432" s="190" t="str">
        <f>IF(LEN('Ch6'!H194)=0,"",'Ch6'!H194)</f>
        <v/>
      </c>
      <c r="C432" s="190" t="str">
        <f t="shared" si="21"/>
        <v/>
      </c>
      <c r="D432" s="107"/>
      <c r="E432" s="388"/>
      <c r="F432" s="70"/>
      <c r="G432" s="846" t="s">
        <v>2546</v>
      </c>
      <c r="H432" s="56"/>
      <c r="I432" s="56"/>
      <c r="J432" s="652"/>
    </row>
    <row r="433" spans="1:10" s="484" customFormat="1" x14ac:dyDescent="0.2">
      <c r="A433" s="294"/>
      <c r="B433" s="190" t="str">
        <f>IF(LEN('Ch6'!H195)=0,"",'Ch6'!H195)</f>
        <v/>
      </c>
      <c r="C433" s="190" t="str">
        <f t="shared" si="21"/>
        <v/>
      </c>
      <c r="D433" s="107"/>
      <c r="E433" s="160"/>
      <c r="F433" s="348"/>
      <c r="G433" s="855"/>
      <c r="H433" s="56"/>
      <c r="I433" s="56"/>
      <c r="J433" s="652"/>
    </row>
    <row r="434" spans="1:10" ht="15" customHeight="1" x14ac:dyDescent="0.2">
      <c r="B434" s="190" t="str">
        <f>IF(LEN('Ch6'!H196)=0,"",'Ch6'!H196)</f>
        <v/>
      </c>
      <c r="C434" s="190" t="str">
        <f t="shared" si="21"/>
        <v/>
      </c>
      <c r="D434" s="107"/>
      <c r="E434" s="347" t="s">
        <v>2183</v>
      </c>
      <c r="F434" s="388"/>
      <c r="G434" s="791" t="s">
        <v>2547</v>
      </c>
      <c r="H434" s="56">
        <f>'Ch6'!W196</f>
        <v>0</v>
      </c>
      <c r="I434" s="56">
        <f>'Ch6'!O196</f>
        <v>0</v>
      </c>
      <c r="J434" s="652"/>
    </row>
    <row r="435" spans="1:10" x14ac:dyDescent="0.2">
      <c r="B435" s="190" t="str">
        <f>IF(LEN('Ch6'!H197)=0,"",'Ch6'!H197)</f>
        <v/>
      </c>
      <c r="C435" s="190" t="str">
        <f t="shared" si="21"/>
        <v/>
      </c>
      <c r="D435" s="107"/>
      <c r="E435" s="388"/>
      <c r="F435" s="388"/>
      <c r="G435" s="791"/>
      <c r="J435" s="652"/>
    </row>
    <row r="436" spans="1:10" x14ac:dyDescent="0.2">
      <c r="B436" s="190" t="str">
        <f>IF(LEN('Ch6'!H198)=0,"",'Ch6'!H198)</f>
        <v/>
      </c>
      <c r="C436" s="190" t="str">
        <f t="shared" si="21"/>
        <v/>
      </c>
      <c r="D436" s="107"/>
      <c r="E436" s="160"/>
      <c r="F436" s="160"/>
      <c r="G436" s="792"/>
      <c r="J436" s="652"/>
    </row>
    <row r="437" spans="1:10" x14ac:dyDescent="0.2">
      <c r="B437" s="190" t="str">
        <f>IF(LEN('Ch6'!H199)=0,"",'Ch6'!H199)</f>
        <v/>
      </c>
      <c r="C437" s="190" t="str">
        <f t="shared" si="21"/>
        <v/>
      </c>
      <c r="D437" s="107"/>
      <c r="E437" s="375" t="s">
        <v>2185</v>
      </c>
      <c r="F437" s="163"/>
      <c r="G437" s="205" t="s">
        <v>2548</v>
      </c>
      <c r="H437" s="56">
        <f>'Ch6'!W199</f>
        <v>0</v>
      </c>
      <c r="I437" s="56">
        <f>'Ch6'!O199</f>
        <v>0</v>
      </c>
      <c r="J437" s="652"/>
    </row>
    <row r="438" spans="1:10" ht="15" customHeight="1" x14ac:dyDescent="0.2">
      <c r="B438" s="190" t="str">
        <f>IF(LEN('Ch6'!H200)=0,"",'Ch6'!H200)</f>
        <v/>
      </c>
      <c r="C438" s="190" t="str">
        <f t="shared" si="21"/>
        <v/>
      </c>
      <c r="D438" s="107"/>
      <c r="E438" s="378" t="s">
        <v>2192</v>
      </c>
      <c r="F438" s="379"/>
      <c r="G438" s="831" t="s">
        <v>2549</v>
      </c>
      <c r="H438" s="56">
        <f>'Ch6'!W200</f>
        <v>0</v>
      </c>
      <c r="I438" s="56">
        <f>'Ch6'!O200</f>
        <v>0</v>
      </c>
      <c r="J438" s="652"/>
    </row>
    <row r="439" spans="1:10" x14ac:dyDescent="0.2">
      <c r="B439" s="190" t="str">
        <f>IF(LEN('Ch6'!H201)=0,"",'Ch6'!H201)</f>
        <v/>
      </c>
      <c r="C439" s="190" t="str">
        <f t="shared" si="21"/>
        <v/>
      </c>
      <c r="D439" s="107"/>
      <c r="E439" s="388"/>
      <c r="F439" s="388"/>
      <c r="G439" s="791"/>
      <c r="J439" s="652"/>
    </row>
    <row r="440" spans="1:10" x14ac:dyDescent="0.2">
      <c r="B440" s="190" t="str">
        <f>IF(LEN('Ch6'!H202)=0,"",'Ch6'!H202)</f>
        <v/>
      </c>
      <c r="C440" s="190" t="str">
        <f t="shared" si="21"/>
        <v/>
      </c>
      <c r="D440" s="107"/>
      <c r="E440" s="388"/>
      <c r="F440" s="388"/>
      <c r="G440" s="791"/>
      <c r="J440" s="652"/>
    </row>
    <row r="441" spans="1:10" x14ac:dyDescent="0.2">
      <c r="B441" s="190" t="str">
        <f>IF(LEN('Ch6'!H203)=0,"",'Ch6'!H203)</f>
        <v/>
      </c>
      <c r="C441" s="190" t="str">
        <f t="shared" si="21"/>
        <v/>
      </c>
      <c r="D441" s="107"/>
      <c r="E441" s="160"/>
      <c r="F441" s="160"/>
      <c r="G441" s="792"/>
      <c r="J441" s="652"/>
    </row>
    <row r="442" spans="1:10" x14ac:dyDescent="0.2">
      <c r="B442" s="190" t="str">
        <f>IF(LEN('Ch6'!H204)=0,"",'Ch6'!H204)</f>
        <v/>
      </c>
      <c r="C442" s="190" t="str">
        <f t="shared" si="21"/>
        <v/>
      </c>
      <c r="D442" s="107"/>
      <c r="E442" s="346" t="s">
        <v>2194</v>
      </c>
      <c r="F442" s="345"/>
      <c r="G442" s="632" t="s">
        <v>2550</v>
      </c>
      <c r="H442" s="56">
        <f>'Ch6'!W204</f>
        <v>0</v>
      </c>
      <c r="I442" s="56">
        <f ca="1">'Ch6'!O204</f>
        <v>0</v>
      </c>
      <c r="J442" s="652"/>
    </row>
    <row r="443" spans="1:10" ht="15" customHeight="1" x14ac:dyDescent="0.2">
      <c r="B443" s="190" t="str">
        <f>IF(LEN('Ch6'!H205)=0,"",'Ch6'!H205)</f>
        <v/>
      </c>
      <c r="C443" s="190" t="str">
        <f t="shared" si="21"/>
        <v/>
      </c>
      <c r="D443" s="107"/>
      <c r="E443" s="345"/>
      <c r="F443" s="347" t="s">
        <v>2196</v>
      </c>
      <c r="G443" s="791" t="s">
        <v>2551</v>
      </c>
      <c r="J443" s="652"/>
    </row>
    <row r="444" spans="1:10" x14ac:dyDescent="0.2">
      <c r="B444" s="190" t="str">
        <f>IF(LEN('Ch6'!H206)=0,"",'Ch6'!H206)</f>
        <v/>
      </c>
      <c r="C444" s="190" t="str">
        <f t="shared" si="21"/>
        <v/>
      </c>
      <c r="D444" s="107"/>
      <c r="E444" s="345"/>
      <c r="F444" s="347"/>
      <c r="G444" s="791"/>
      <c r="J444" s="652"/>
    </row>
    <row r="445" spans="1:10" x14ac:dyDescent="0.2">
      <c r="B445" s="190" t="str">
        <f>IF(LEN('Ch6'!H207)=0,"",'Ch6'!H207)</f>
        <v/>
      </c>
      <c r="C445" s="190" t="str">
        <f t="shared" si="21"/>
        <v/>
      </c>
      <c r="D445" s="107"/>
      <c r="E445" s="345"/>
      <c r="F445" s="366"/>
      <c r="G445" s="792"/>
      <c r="J445" s="652"/>
    </row>
    <row r="446" spans="1:10" ht="15" customHeight="1" x14ac:dyDescent="0.2">
      <c r="B446" s="190" t="str">
        <f>IF(LEN('Ch6'!H208)=0,"",'Ch6'!H208)</f>
        <v/>
      </c>
      <c r="C446" s="190" t="str">
        <f t="shared" si="21"/>
        <v/>
      </c>
      <c r="D446" s="107"/>
      <c r="E446" s="388"/>
      <c r="F446" s="347" t="s">
        <v>2198</v>
      </c>
      <c r="G446" s="791" t="s">
        <v>2552</v>
      </c>
      <c r="J446" s="652"/>
    </row>
    <row r="447" spans="1:10" x14ac:dyDescent="0.2">
      <c r="B447" s="190" t="str">
        <f>IF(LEN('Ch6'!H209)=0,"",'Ch6'!H209)</f>
        <v/>
      </c>
      <c r="C447" s="190" t="str">
        <f t="shared" si="21"/>
        <v/>
      </c>
      <c r="D447" s="107"/>
      <c r="E447" s="160"/>
      <c r="F447" s="160"/>
      <c r="G447" s="792"/>
      <c r="J447" s="652"/>
    </row>
    <row r="448" spans="1:10" ht="15" customHeight="1" x14ac:dyDescent="0.2">
      <c r="B448" s="190" t="str">
        <f>IF(LEN('Ch6'!H210)=0,"",'Ch6'!H210)</f>
        <v/>
      </c>
      <c r="C448" s="190" t="str">
        <f t="shared" si="21"/>
        <v/>
      </c>
      <c r="D448" s="107"/>
      <c r="E448" s="378" t="s">
        <v>2221</v>
      </c>
      <c r="F448" s="379"/>
      <c r="G448" s="831" t="s">
        <v>2553</v>
      </c>
      <c r="H448" s="56">
        <f>'Ch6'!W210</f>
        <v>0</v>
      </c>
      <c r="I448" s="56">
        <f>'Ch6'!O210</f>
        <v>0</v>
      </c>
      <c r="J448" s="652"/>
    </row>
    <row r="449" spans="1:10" x14ac:dyDescent="0.2">
      <c r="B449" s="190" t="str">
        <f>IF(LEN('Ch6'!H211)=0,"",'Ch6'!H211)</f>
        <v/>
      </c>
      <c r="C449" s="190" t="str">
        <f t="shared" si="21"/>
        <v/>
      </c>
      <c r="D449" s="107"/>
      <c r="E449" s="160"/>
      <c r="F449" s="160"/>
      <c r="G449" s="792"/>
      <c r="J449" s="652"/>
    </row>
    <row r="450" spans="1:10" x14ac:dyDescent="0.2">
      <c r="B450" s="190" t="str">
        <f>IF(LEN('Ch6'!H212)=0,"",'Ch6'!H212)</f>
        <v/>
      </c>
      <c r="C450" s="190" t="str">
        <f t="shared" si="21"/>
        <v/>
      </c>
      <c r="D450" s="107"/>
      <c r="E450" s="346" t="s">
        <v>2223</v>
      </c>
      <c r="F450" s="345"/>
      <c r="G450" s="632" t="s">
        <v>2554</v>
      </c>
      <c r="H450" s="56">
        <f>'Ch6'!W212</f>
        <v>0</v>
      </c>
      <c r="I450" s="56">
        <f>'Ch6'!O212</f>
        <v>0</v>
      </c>
      <c r="J450" s="652"/>
    </row>
    <row r="451" spans="1:10" ht="15.75" customHeight="1" thickTop="1" x14ac:dyDescent="0.2">
      <c r="A451" s="294" t="str">
        <f ca="1">IF('Ch6'!O213&gt;0,"P","")</f>
        <v/>
      </c>
      <c r="B451" s="190" t="str">
        <f>IF(LEN('Ch6'!H213)=0,"",'Ch6'!H213)</f>
        <v/>
      </c>
      <c r="C451" s="190" t="str">
        <f t="shared" ca="1" si="21"/>
        <v/>
      </c>
      <c r="D451" s="75" t="s">
        <v>2556</v>
      </c>
      <c r="E451" s="374"/>
      <c r="F451" s="374"/>
      <c r="G451" s="819" t="s">
        <v>2557</v>
      </c>
      <c r="I451" s="56">
        <f ca="1">'Ch6'!O213</f>
        <v>0</v>
      </c>
      <c r="J451" s="888" t="s">
        <v>3427</v>
      </c>
    </row>
    <row r="452" spans="1:10" x14ac:dyDescent="0.2">
      <c r="A452" s="294" t="str">
        <f ca="1">A451</f>
        <v/>
      </c>
      <c r="B452" s="190" t="str">
        <f>IF(LEN('Ch6'!H214)=0,"",'Ch6'!H214)</f>
        <v/>
      </c>
      <c r="C452" s="190" t="str">
        <f t="shared" ca="1" si="21"/>
        <v/>
      </c>
      <c r="D452" s="70"/>
      <c r="E452" s="388"/>
      <c r="F452" s="388"/>
      <c r="G452" s="820"/>
      <c r="H452" s="56">
        <f>'Ch6'!W214</f>
        <v>0</v>
      </c>
      <c r="J452" s="888"/>
    </row>
    <row r="453" spans="1:10" x14ac:dyDescent="0.2">
      <c r="A453" s="294" t="str">
        <f ca="1">A452</f>
        <v/>
      </c>
      <c r="B453" s="190" t="str">
        <f>IF(LEN('Ch6'!H215)=0,"",'Ch6'!H215)</f>
        <v/>
      </c>
      <c r="C453" s="190" t="str">
        <f t="shared" ca="1" si="21"/>
        <v/>
      </c>
      <c r="D453" s="70"/>
      <c r="E453" s="388"/>
      <c r="F453" s="388"/>
      <c r="G453" s="820"/>
      <c r="J453" s="888"/>
    </row>
    <row r="454" spans="1:10" x14ac:dyDescent="0.2">
      <c r="A454" s="294" t="str">
        <f ca="1">A453</f>
        <v/>
      </c>
      <c r="B454" s="190" t="str">
        <f>IF(LEN('Ch6'!H216)=0,"",'Ch6'!H216)</f>
        <v/>
      </c>
      <c r="C454" s="190" t="str">
        <f t="shared" ref="C454:C517" ca="1" si="24">IF(LEN(B454)=0,IF(A454="P","P",""),B454)</f>
        <v/>
      </c>
      <c r="D454" s="70"/>
      <c r="E454" s="388"/>
      <c r="F454" s="388"/>
      <c r="G454" s="820"/>
      <c r="J454" s="888"/>
    </row>
    <row r="455" spans="1:10" x14ac:dyDescent="0.2">
      <c r="A455" s="294" t="str">
        <f ca="1">A454</f>
        <v/>
      </c>
      <c r="B455" s="190" t="str">
        <f>IF(LEN('Ch6'!H217)=0,"",'Ch6'!H217)</f>
        <v/>
      </c>
      <c r="C455" s="190" t="str">
        <f t="shared" ca="1" si="24"/>
        <v/>
      </c>
      <c r="D455" s="70"/>
      <c r="E455" s="388"/>
      <c r="F455" s="388"/>
      <c r="G455" s="820"/>
      <c r="J455" s="888"/>
    </row>
    <row r="456" spans="1:10" x14ac:dyDescent="0.2">
      <c r="A456" s="294" t="str">
        <f ca="1">A455</f>
        <v/>
      </c>
      <c r="B456" s="190" t="str">
        <f>IF(LEN('Ch6'!H218)=0,"",'Ch6'!H218)</f>
        <v/>
      </c>
      <c r="C456" s="190" t="str">
        <f t="shared" ca="1" si="24"/>
        <v/>
      </c>
      <c r="D456" s="70"/>
      <c r="E456" s="388"/>
      <c r="F456" s="388"/>
      <c r="G456" s="820"/>
      <c r="J456" s="888"/>
    </row>
    <row r="457" spans="1:10" x14ac:dyDescent="0.2">
      <c r="B457" s="190" t="str">
        <f>IF(LEN('Ch6'!H219)=0,"",'Ch6'!H219)</f>
        <v/>
      </c>
      <c r="C457" s="190" t="str">
        <f t="shared" si="24"/>
        <v/>
      </c>
      <c r="D457" s="70"/>
      <c r="E457" s="388"/>
      <c r="F457" s="388"/>
      <c r="G457" s="633" t="str">
        <f>"This Project's Climate Zone: "&amp;AY255</f>
        <v xml:space="preserve">This Project's Climate Zone: </v>
      </c>
      <c r="J457" s="649"/>
    </row>
    <row r="458" spans="1:10" x14ac:dyDescent="0.2">
      <c r="B458" s="190" t="str">
        <f>IF(LEN('Ch6'!H220)=0,"",'Ch6'!H220)</f>
        <v/>
      </c>
      <c r="C458" s="190" t="str">
        <f t="shared" si="24"/>
        <v/>
      </c>
      <c r="D458" s="70"/>
      <c r="E458" s="388"/>
      <c r="F458" s="347" t="s">
        <v>2196</v>
      </c>
      <c r="G458" s="598" t="s">
        <v>2559</v>
      </c>
      <c r="J458" s="649"/>
    </row>
    <row r="459" spans="1:10" x14ac:dyDescent="0.2">
      <c r="B459" s="190" t="str">
        <f>IF(LEN('Ch6'!H221)=0,"",'Ch6'!H221)</f>
        <v/>
      </c>
      <c r="C459" s="190" t="str">
        <f t="shared" si="24"/>
        <v/>
      </c>
      <c r="D459" s="70"/>
      <c r="E459" s="388"/>
      <c r="F459" s="347" t="s">
        <v>2198</v>
      </c>
      <c r="G459" s="598" t="s">
        <v>2560</v>
      </c>
      <c r="J459" s="649"/>
    </row>
    <row r="460" spans="1:10" x14ac:dyDescent="0.2">
      <c r="B460" s="190" t="str">
        <f>IF(LEN('Ch6'!H222)=0,"",'Ch6'!H222)</f>
        <v/>
      </c>
      <c r="C460" s="190" t="str">
        <f t="shared" si="24"/>
        <v/>
      </c>
      <c r="D460" s="70"/>
      <c r="E460" s="388"/>
      <c r="F460" s="371" t="s">
        <v>2200</v>
      </c>
      <c r="G460" s="598" t="s">
        <v>2561</v>
      </c>
      <c r="J460" s="649"/>
    </row>
    <row r="461" spans="1:10" x14ac:dyDescent="0.2">
      <c r="B461" s="190" t="str">
        <f>IF(LEN('Ch6'!H223)=0,"",'Ch6'!H223)</f>
        <v/>
      </c>
      <c r="C461" s="190" t="str">
        <f t="shared" si="24"/>
        <v/>
      </c>
      <c r="D461" s="70"/>
      <c r="E461" s="388"/>
      <c r="F461" s="70" t="s">
        <v>2247</v>
      </c>
      <c r="G461" s="598" t="s">
        <v>2562</v>
      </c>
      <c r="J461" s="649"/>
    </row>
    <row r="462" spans="1:10" ht="15" customHeight="1" x14ac:dyDescent="0.2">
      <c r="B462" s="190" t="str">
        <f>IF(LEN('Ch6'!H224)=0,"",'Ch6'!H224)</f>
        <v/>
      </c>
      <c r="C462" s="190" t="str">
        <f t="shared" si="24"/>
        <v/>
      </c>
      <c r="D462" s="70"/>
      <c r="E462" s="388"/>
      <c r="F462" s="70"/>
      <c r="G462" s="849" t="s">
        <v>2563</v>
      </c>
      <c r="J462" s="650"/>
    </row>
    <row r="463" spans="1:10" x14ac:dyDescent="0.2">
      <c r="B463" s="190" t="str">
        <f>IF(LEN('Ch6'!H225)=0,"",'Ch6'!H225)</f>
        <v/>
      </c>
      <c r="C463" s="190" t="str">
        <f t="shared" si="24"/>
        <v/>
      </c>
      <c r="D463" s="70"/>
      <c r="E463" s="388"/>
      <c r="F463" s="70"/>
      <c r="G463" s="833"/>
      <c r="J463" s="650"/>
    </row>
    <row r="464" spans="1:10" ht="15.75" customHeight="1" thickTop="1" x14ac:dyDescent="0.2">
      <c r="A464" s="294" t="str">
        <f>IF(AND(LEN('Ch6'!W226)&gt;0,NOT('Ch6'!W226=FALSE)),"P","")</f>
        <v/>
      </c>
      <c r="B464" s="190" t="str">
        <f>IF(LEN('Ch6'!H226)=0,"",'Ch6'!H226)</f>
        <v/>
      </c>
      <c r="C464" s="190" t="str">
        <f t="shared" si="24"/>
        <v/>
      </c>
      <c r="D464" s="75" t="s">
        <v>2565</v>
      </c>
      <c r="E464" s="374"/>
      <c r="F464" s="374"/>
      <c r="G464" s="819" t="s">
        <v>2566</v>
      </c>
      <c r="H464" s="56">
        <f>'Ch6'!W226</f>
        <v>0</v>
      </c>
      <c r="J464" s="891" t="s">
        <v>3428</v>
      </c>
    </row>
    <row r="465" spans="1:10" x14ac:dyDescent="0.2">
      <c r="A465" s="294" t="str">
        <f>A464</f>
        <v/>
      </c>
      <c r="B465" s="190" t="str">
        <f>IF(LEN('Ch6'!H227)=0,"",'Ch6'!H227)</f>
        <v/>
      </c>
      <c r="C465" s="190" t="str">
        <f t="shared" si="24"/>
        <v/>
      </c>
      <c r="D465" s="70"/>
      <c r="E465" s="388"/>
      <c r="F465" s="388"/>
      <c r="G465" s="820"/>
      <c r="J465" s="891"/>
    </row>
    <row r="466" spans="1:10" s="484" customFormat="1" x14ac:dyDescent="0.2">
      <c r="A466" s="294"/>
      <c r="B466" s="190" t="str">
        <f>IF(LEN('Ch6'!H228)=0,"",'Ch6'!H228)</f>
        <v/>
      </c>
      <c r="C466" s="190" t="str">
        <f t="shared" si="24"/>
        <v/>
      </c>
      <c r="D466" s="70"/>
      <c r="E466" s="388"/>
      <c r="F466" s="388"/>
      <c r="G466" s="846" t="s">
        <v>2567</v>
      </c>
      <c r="H466" s="56"/>
      <c r="I466" s="56"/>
      <c r="J466" s="652"/>
    </row>
    <row r="467" spans="1:10" s="484" customFormat="1" ht="16" thickBot="1" x14ac:dyDescent="0.25">
      <c r="A467" s="294"/>
      <c r="B467" s="190" t="str">
        <f>IF(LEN('Ch6'!H229)=0,"",'Ch6'!H229)</f>
        <v/>
      </c>
      <c r="C467" s="190" t="str">
        <f t="shared" si="24"/>
        <v/>
      </c>
      <c r="D467" s="70"/>
      <c r="E467" s="388"/>
      <c r="F467" s="388"/>
      <c r="G467" s="860"/>
      <c r="H467" s="56"/>
      <c r="I467" s="56"/>
      <c r="J467" s="652"/>
    </row>
    <row r="468" spans="1:10" ht="15.75" customHeight="1" thickTop="1" x14ac:dyDescent="0.2">
      <c r="A468" s="294" t="str">
        <f>IF(AND(LEN('Ch6'!W230)&gt;0,NOT('Ch6'!W230=FALSE)),"P","")</f>
        <v/>
      </c>
      <c r="B468" s="190" t="str">
        <f>IF(LEN('Ch6'!H230)=0,"",'Ch6'!H230)</f>
        <v/>
      </c>
      <c r="C468" s="190" t="str">
        <f t="shared" si="24"/>
        <v/>
      </c>
      <c r="D468" s="75" t="s">
        <v>2569</v>
      </c>
      <c r="E468" s="374"/>
      <c r="F468" s="374"/>
      <c r="G468" s="819" t="s">
        <v>2570</v>
      </c>
      <c r="H468" s="56">
        <f>'Ch6'!W230</f>
        <v>0</v>
      </c>
      <c r="I468" s="56" t="e">
        <f ca="1">'Ch6'!O230</f>
        <v>#REF!</v>
      </c>
      <c r="J468" s="889" t="s">
        <v>3399</v>
      </c>
    </row>
    <row r="469" spans="1:10" x14ac:dyDescent="0.2">
      <c r="A469" s="294" t="str">
        <f>A468</f>
        <v/>
      </c>
      <c r="B469" s="190" t="str">
        <f>IF(LEN('Ch6'!H231)=0,"",'Ch6'!H231)</f>
        <v/>
      </c>
      <c r="C469" s="190" t="str">
        <f t="shared" si="24"/>
        <v/>
      </c>
      <c r="D469" s="70"/>
      <c r="E469" s="388"/>
      <c r="F469" s="388"/>
      <c r="G469" s="820"/>
      <c r="J469" s="889"/>
    </row>
    <row r="470" spans="1:10" x14ac:dyDescent="0.2">
      <c r="B470" s="190" t="str">
        <f>IF(LEN('Ch6'!H232)=0,"",'Ch6'!H232)</f>
        <v/>
      </c>
      <c r="C470" s="190" t="str">
        <f t="shared" si="24"/>
        <v/>
      </c>
      <c r="D470" s="70"/>
      <c r="E470" s="388"/>
      <c r="F470" s="388"/>
      <c r="G470" s="195" t="s">
        <v>3429</v>
      </c>
      <c r="J470" s="650"/>
    </row>
    <row r="471" spans="1:10" ht="15.75" customHeight="1" thickTop="1" x14ac:dyDescent="0.2">
      <c r="A471" s="294" t="str">
        <f>IF(AND(LEN('Ch6'!W233)&gt;0,NOT('Ch6'!W233=FALSE)),"P","")</f>
        <v/>
      </c>
      <c r="B471" s="190" t="str">
        <f>IF(LEN('Ch6'!H233)=0,"",'Ch6'!H233)</f>
        <v/>
      </c>
      <c r="C471" s="190" t="str">
        <f t="shared" si="24"/>
        <v/>
      </c>
      <c r="D471" s="75" t="s">
        <v>2573</v>
      </c>
      <c r="E471" s="374"/>
      <c r="F471" s="374"/>
      <c r="G471" s="819" t="s">
        <v>2574</v>
      </c>
      <c r="H471" s="56">
        <f>'Ch6'!W233</f>
        <v>0</v>
      </c>
      <c r="J471" s="890" t="s">
        <v>3430</v>
      </c>
    </row>
    <row r="472" spans="1:10" x14ac:dyDescent="0.2">
      <c r="A472" s="294" t="str">
        <f>A471</f>
        <v/>
      </c>
      <c r="B472" s="190" t="str">
        <f>IF(LEN('Ch6'!H234)=0,"",'Ch6'!H234)</f>
        <v/>
      </c>
      <c r="C472" s="190" t="str">
        <f t="shared" si="24"/>
        <v/>
      </c>
      <c r="D472" s="70"/>
      <c r="E472" s="388"/>
      <c r="F472" s="388"/>
      <c r="G472" s="820"/>
      <c r="J472" s="890"/>
    </row>
    <row r="473" spans="1:10" x14ac:dyDescent="0.2">
      <c r="A473" s="294" t="str">
        <f>A472</f>
        <v/>
      </c>
      <c r="B473" s="190" t="str">
        <f>IF(LEN('Ch6'!H235)=0,"",'Ch6'!H235)</f>
        <v/>
      </c>
      <c r="C473" s="190" t="str">
        <f t="shared" si="24"/>
        <v/>
      </c>
      <c r="D473" s="70"/>
      <c r="E473" s="388"/>
      <c r="F473" s="388"/>
      <c r="G473" s="820"/>
      <c r="J473" s="890"/>
    </row>
    <row r="474" spans="1:10" x14ac:dyDescent="0.2">
      <c r="A474" s="294" t="str">
        <f>A473</f>
        <v/>
      </c>
      <c r="B474" s="190" t="str">
        <f>IF(LEN('Ch6'!H236)=0,"",'Ch6'!H236)</f>
        <v/>
      </c>
      <c r="C474" s="190" t="str">
        <f t="shared" si="24"/>
        <v/>
      </c>
      <c r="D474" s="70"/>
      <c r="E474" s="388"/>
      <c r="F474" s="388"/>
      <c r="G474" s="820"/>
      <c r="J474" s="890"/>
    </row>
    <row r="475" spans="1:10" ht="15.75" customHeight="1" thickTop="1" x14ac:dyDescent="0.2">
      <c r="A475" s="294" t="str">
        <f>IF(SUM(I477:I480)&gt;0,"P","")</f>
        <v/>
      </c>
      <c r="B475" s="190" t="str">
        <f>IF(LEN('Ch6'!H237)=0,"",'Ch6'!H237)</f>
        <v/>
      </c>
      <c r="C475" s="190" t="str">
        <f t="shared" si="24"/>
        <v/>
      </c>
      <c r="D475" s="75" t="s">
        <v>2576</v>
      </c>
      <c r="E475" s="374"/>
      <c r="F475" s="374"/>
      <c r="G475" s="819" t="s">
        <v>2577</v>
      </c>
      <c r="J475" s="891" t="s">
        <v>3431</v>
      </c>
    </row>
    <row r="476" spans="1:10" x14ac:dyDescent="0.2">
      <c r="A476" s="294" t="str">
        <f>A475</f>
        <v/>
      </c>
      <c r="B476" s="190" t="str">
        <f>IF(LEN('Ch6'!H238)=0,"",'Ch6'!H238)</f>
        <v/>
      </c>
      <c r="C476" s="190" t="str">
        <f t="shared" si="24"/>
        <v/>
      </c>
      <c r="D476" s="70"/>
      <c r="E476" s="388"/>
      <c r="F476" s="388"/>
      <c r="G476" s="820"/>
      <c r="J476" s="891"/>
    </row>
    <row r="477" spans="1:10" ht="15" customHeight="1" x14ac:dyDescent="0.2">
      <c r="B477" s="190" t="str">
        <f>IF(LEN('Ch6'!H239)=0,"",'Ch6'!H239)</f>
        <v/>
      </c>
      <c r="C477" s="190" t="str">
        <f t="shared" si="24"/>
        <v/>
      </c>
      <c r="D477" s="107"/>
      <c r="E477" s="347" t="s">
        <v>2181</v>
      </c>
      <c r="F477" s="388"/>
      <c r="G477" s="791" t="s">
        <v>2578</v>
      </c>
      <c r="H477" s="56">
        <f>'Ch6'!W239</f>
        <v>0</v>
      </c>
      <c r="I477" s="56">
        <f>'Ch6'!O239</f>
        <v>0</v>
      </c>
      <c r="J477" s="394"/>
    </row>
    <row r="478" spans="1:10" x14ac:dyDescent="0.2">
      <c r="B478" s="190" t="str">
        <f>IF(LEN('Ch6'!H240)=0,"",'Ch6'!H240)</f>
        <v/>
      </c>
      <c r="C478" s="190" t="str">
        <f t="shared" si="24"/>
        <v/>
      </c>
      <c r="D478" s="107"/>
      <c r="E478" s="160"/>
      <c r="F478" s="160"/>
      <c r="G478" s="792"/>
      <c r="J478" s="652"/>
    </row>
    <row r="479" spans="1:10" x14ac:dyDescent="0.2">
      <c r="B479" s="190" t="str">
        <f>IF(LEN('Ch6'!H241)=0,"",'Ch6'!H241)</f>
        <v/>
      </c>
      <c r="C479" s="190" t="str">
        <f t="shared" si="24"/>
        <v/>
      </c>
      <c r="D479" s="107"/>
      <c r="E479" s="375" t="s">
        <v>2183</v>
      </c>
      <c r="F479" s="163"/>
      <c r="G479" s="205" t="s">
        <v>2579</v>
      </c>
      <c r="H479" s="56">
        <f>'Ch6'!W241</f>
        <v>0</v>
      </c>
      <c r="I479" s="56">
        <f>'Ch6'!O241</f>
        <v>0</v>
      </c>
      <c r="J479" s="652"/>
    </row>
    <row r="480" spans="1:10" x14ac:dyDescent="0.2">
      <c r="B480" s="190" t="str">
        <f>IF(LEN('Ch6'!H242)=0,"",'Ch6'!H242)</f>
        <v/>
      </c>
      <c r="C480" s="190" t="str">
        <f t="shared" si="24"/>
        <v/>
      </c>
      <c r="D480" s="107"/>
      <c r="E480" s="346" t="s">
        <v>2185</v>
      </c>
      <c r="F480" s="345"/>
      <c r="G480" s="632" t="s">
        <v>2580</v>
      </c>
      <c r="H480" s="56">
        <f>'Ch6'!W242</f>
        <v>0</v>
      </c>
      <c r="I480" s="56">
        <f>'Ch6'!O242</f>
        <v>0</v>
      </c>
      <c r="J480" s="652"/>
    </row>
    <row r="481" spans="1:10" ht="15.75" customHeight="1" thickTop="1" x14ac:dyDescent="0.2">
      <c r="A481" s="294" t="str">
        <f>IF('Ch6'!O243&gt;0,"P","")</f>
        <v/>
      </c>
      <c r="B481" s="190" t="str">
        <f>IF(LEN('Ch6'!H243)=0,"",'Ch6'!H243)</f>
        <v/>
      </c>
      <c r="C481" s="190" t="str">
        <f t="shared" si="24"/>
        <v/>
      </c>
      <c r="D481" s="75" t="s">
        <v>2581</v>
      </c>
      <c r="E481" s="374"/>
      <c r="F481" s="374"/>
      <c r="G481" s="819" t="s">
        <v>2582</v>
      </c>
      <c r="I481" s="56">
        <f>'Ch6'!O243</f>
        <v>0</v>
      </c>
      <c r="J481" s="888" t="s">
        <v>3432</v>
      </c>
    </row>
    <row r="482" spans="1:10" x14ac:dyDescent="0.2">
      <c r="A482" s="294" t="str">
        <f>A481</f>
        <v/>
      </c>
      <c r="B482" s="190" t="str">
        <f>IF(LEN('Ch6'!H244)=0,"",'Ch6'!H244)</f>
        <v/>
      </c>
      <c r="C482" s="190" t="str">
        <f t="shared" si="24"/>
        <v/>
      </c>
      <c r="D482" s="70"/>
      <c r="E482" s="388"/>
      <c r="F482" s="388"/>
      <c r="G482" s="820"/>
      <c r="J482" s="888"/>
    </row>
    <row r="483" spans="1:10" x14ac:dyDescent="0.2">
      <c r="A483" s="294" t="str">
        <f>A482</f>
        <v/>
      </c>
      <c r="B483" s="190" t="str">
        <f>IF(LEN('Ch6'!H245)=0,"",'Ch6'!H245)</f>
        <v/>
      </c>
      <c r="C483" s="190" t="str">
        <f t="shared" si="24"/>
        <v/>
      </c>
      <c r="D483" s="70"/>
      <c r="E483" s="388"/>
      <c r="F483" s="388"/>
      <c r="G483" s="820"/>
      <c r="J483" s="888"/>
    </row>
    <row r="484" spans="1:10" x14ac:dyDescent="0.2">
      <c r="A484" s="294" t="str">
        <f>A483</f>
        <v/>
      </c>
      <c r="B484" s="190" t="str">
        <f>IF(LEN('Ch6'!H246)=0,"",'Ch6'!H246)</f>
        <v/>
      </c>
      <c r="C484" s="190" t="str">
        <f t="shared" si="24"/>
        <v/>
      </c>
      <c r="D484" s="70"/>
      <c r="E484" s="388"/>
      <c r="F484" s="388"/>
      <c r="G484" s="820"/>
      <c r="J484" s="888"/>
    </row>
    <row r="485" spans="1:10" ht="15" customHeight="1" x14ac:dyDescent="0.2">
      <c r="B485" s="190" t="str">
        <f>IF(LEN('Ch6'!H247)=0,"",'Ch6'!H247)</f>
        <v/>
      </c>
      <c r="C485" s="190" t="str">
        <f t="shared" si="24"/>
        <v/>
      </c>
      <c r="D485" s="107"/>
      <c r="E485" s="347" t="s">
        <v>2181</v>
      </c>
      <c r="F485" s="388"/>
      <c r="G485" s="776" t="s">
        <v>2583</v>
      </c>
      <c r="H485" s="56">
        <f>'Ch6'!W247</f>
        <v>0</v>
      </c>
      <c r="J485" s="394"/>
    </row>
    <row r="486" spans="1:10" x14ac:dyDescent="0.2">
      <c r="B486" s="190" t="str">
        <f>IF(LEN('Ch6'!H248)=0,"",'Ch6'!H248)</f>
        <v/>
      </c>
      <c r="C486" s="190" t="str">
        <f t="shared" si="24"/>
        <v/>
      </c>
      <c r="D486" s="107"/>
      <c r="E486" s="366"/>
      <c r="F486" s="160"/>
      <c r="G486" s="777"/>
      <c r="J486" s="394"/>
    </row>
    <row r="487" spans="1:10" x14ac:dyDescent="0.2">
      <c r="B487" s="190" t="str">
        <f>IF(LEN('Ch6'!H249)=0,"",'Ch6'!H249)</f>
        <v/>
      </c>
      <c r="C487" s="190" t="str">
        <f t="shared" si="24"/>
        <v/>
      </c>
      <c r="D487" s="107"/>
      <c r="E487" s="375" t="s">
        <v>2183</v>
      </c>
      <c r="F487" s="163"/>
      <c r="G487" s="205" t="s">
        <v>2584</v>
      </c>
      <c r="H487" s="56">
        <f>'Ch6'!W249</f>
        <v>0</v>
      </c>
      <c r="J487" s="649"/>
    </row>
    <row r="488" spans="1:10" ht="15" customHeight="1" x14ac:dyDescent="0.2">
      <c r="B488" s="190" t="str">
        <f>IF(LEN('Ch6'!H250)=0,"",'Ch6'!H250)</f>
        <v/>
      </c>
      <c r="C488" s="190" t="str">
        <f t="shared" si="24"/>
        <v/>
      </c>
      <c r="D488" s="107"/>
      <c r="E488" s="346" t="s">
        <v>2185</v>
      </c>
      <c r="F488" s="345"/>
      <c r="G488" s="817" t="s">
        <v>2585</v>
      </c>
      <c r="H488" s="56">
        <f>'Ch6'!W250</f>
        <v>0</v>
      </c>
      <c r="J488" s="649"/>
    </row>
    <row r="489" spans="1:10" x14ac:dyDescent="0.2">
      <c r="B489" s="190" t="str">
        <f>IF(LEN('Ch6'!H251)=0,"",'Ch6'!H251)</f>
        <v/>
      </c>
      <c r="C489" s="190" t="str">
        <f t="shared" si="24"/>
        <v/>
      </c>
      <c r="D489" s="107"/>
      <c r="E489" s="345"/>
      <c r="F489" s="345"/>
      <c r="G489" s="817"/>
      <c r="J489" s="649"/>
    </row>
    <row r="490" spans="1:10" x14ac:dyDescent="0.2">
      <c r="B490" s="190" t="str">
        <f>IF(LEN('Ch6'!H252)=0,"",'Ch6'!H252)</f>
        <v/>
      </c>
      <c r="C490" s="190" t="str">
        <f t="shared" si="24"/>
        <v/>
      </c>
      <c r="D490" s="107"/>
      <c r="E490" s="345"/>
      <c r="F490" s="345"/>
      <c r="G490" s="817"/>
      <c r="J490" s="649"/>
    </row>
    <row r="491" spans="1:10" ht="15.75" customHeight="1" thickTop="1" x14ac:dyDescent="0.2">
      <c r="A491" s="294" t="str">
        <f>IF(AND(LEN('Ch6'!W253)&gt;0,NOT('Ch6'!W253=FALSE)),"P","")</f>
        <v/>
      </c>
      <c r="B491" s="190" t="str">
        <f>IF(LEN('Ch6'!H253)=0,"",'Ch6'!H253)</f>
        <v/>
      </c>
      <c r="C491" s="190" t="str">
        <f t="shared" si="24"/>
        <v/>
      </c>
      <c r="D491" s="75" t="s">
        <v>2586</v>
      </c>
      <c r="E491" s="374"/>
      <c r="F491" s="374"/>
      <c r="G491" s="819" t="s">
        <v>2587</v>
      </c>
      <c r="H491" s="56">
        <f>'Ch6'!W253</f>
        <v>0</v>
      </c>
      <c r="I491" s="56">
        <f>'Ch6'!O253</f>
        <v>0</v>
      </c>
      <c r="J491" s="890" t="s">
        <v>3433</v>
      </c>
    </row>
    <row r="492" spans="1:10" x14ac:dyDescent="0.2">
      <c r="A492" s="294" t="str">
        <f>A491</f>
        <v/>
      </c>
      <c r="B492" s="190" t="str">
        <f>IF(LEN('Ch6'!H254)=0,"",'Ch6'!H254)</f>
        <v/>
      </c>
      <c r="C492" s="190" t="str">
        <f t="shared" si="24"/>
        <v/>
      </c>
      <c r="D492" s="70"/>
      <c r="E492" s="388"/>
      <c r="F492" s="388"/>
      <c r="G492" s="820"/>
      <c r="J492" s="890"/>
    </row>
    <row r="493" spans="1:10" x14ac:dyDescent="0.2">
      <c r="A493" s="294" t="str">
        <f>A492</f>
        <v/>
      </c>
      <c r="B493" s="190" t="str">
        <f>IF(LEN('Ch6'!H255)=0,"",'Ch6'!H255)</f>
        <v/>
      </c>
      <c r="C493" s="190" t="str">
        <f t="shared" si="24"/>
        <v/>
      </c>
      <c r="D493" s="70"/>
      <c r="E493" s="388"/>
      <c r="F493" s="388"/>
      <c r="G493" s="820"/>
      <c r="J493" s="890"/>
    </row>
    <row r="494" spans="1:10" ht="16" thickTop="1" x14ac:dyDescent="0.2">
      <c r="A494" s="539" t="str">
        <f>IF(COUNTIF(A495:A502,"P")&gt;0,"P","")</f>
        <v/>
      </c>
      <c r="B494" s="190" t="str">
        <f>IF(LEN('Ch6'!H256)=0,"",'Ch6'!H256)</f>
        <v/>
      </c>
      <c r="C494" s="190" t="str">
        <f t="shared" si="24"/>
        <v/>
      </c>
      <c r="D494" s="75" t="s">
        <v>2588</v>
      </c>
      <c r="E494" s="374"/>
      <c r="F494" s="374"/>
      <c r="G494" s="646" t="s">
        <v>2589</v>
      </c>
      <c r="J494" s="650"/>
    </row>
    <row r="495" spans="1:10" ht="15" customHeight="1" x14ac:dyDescent="0.2">
      <c r="A495" s="294" t="str">
        <f>IF(AND(LEN('Ch6'!W257)&gt;0,NOT('Ch6'!W257=FALSE)),"P","")</f>
        <v/>
      </c>
      <c r="B495" s="190" t="str">
        <f>IF(LEN('Ch6'!H257)=0,"",'Ch6'!H257)</f>
        <v/>
      </c>
      <c r="C495" s="190" t="str">
        <f t="shared" si="24"/>
        <v/>
      </c>
      <c r="D495" s="70" t="s">
        <v>2591</v>
      </c>
      <c r="E495" s="388"/>
      <c r="F495" s="388"/>
      <c r="G495" s="820" t="s">
        <v>2592</v>
      </c>
      <c r="H495" s="56">
        <f>'Ch6'!W257</f>
        <v>0</v>
      </c>
      <c r="J495" s="890" t="s">
        <v>3434</v>
      </c>
    </row>
    <row r="496" spans="1:10" x14ac:dyDescent="0.2">
      <c r="A496" s="294" t="str">
        <f>A495</f>
        <v/>
      </c>
      <c r="B496" s="190" t="str">
        <f>IF(LEN('Ch6'!H258)=0,"",'Ch6'!H258)</f>
        <v/>
      </c>
      <c r="C496" s="190" t="str">
        <f t="shared" si="24"/>
        <v/>
      </c>
      <c r="D496" s="70"/>
      <c r="E496" s="388"/>
      <c r="F496" s="388"/>
      <c r="G496" s="820"/>
      <c r="J496" s="890"/>
    </row>
    <row r="497" spans="1:10" x14ac:dyDescent="0.2">
      <c r="A497" s="294" t="str">
        <f>A496</f>
        <v/>
      </c>
      <c r="B497" s="190" t="str">
        <f>IF(LEN('Ch6'!H259)=0,"",'Ch6'!H259)</f>
        <v/>
      </c>
      <c r="C497" s="190" t="str">
        <f t="shared" si="24"/>
        <v/>
      </c>
      <c r="D497" s="70"/>
      <c r="E497" s="388"/>
      <c r="F497" s="388"/>
      <c r="G497" s="820"/>
      <c r="J497" s="890"/>
    </row>
    <row r="498" spans="1:10" x14ac:dyDescent="0.2">
      <c r="A498" s="294" t="str">
        <f>A497</f>
        <v/>
      </c>
      <c r="B498" s="190" t="str">
        <f>IF(LEN('Ch6'!H260)=0,"",'Ch6'!H260)</f>
        <v/>
      </c>
      <c r="C498" s="190" t="str">
        <f t="shared" si="24"/>
        <v/>
      </c>
      <c r="D498" s="70"/>
      <c r="E498" s="388"/>
      <c r="F498" s="388"/>
      <c r="G498" s="820"/>
      <c r="J498" s="890"/>
    </row>
    <row r="499" spans="1:10" x14ac:dyDescent="0.2">
      <c r="A499" s="294" t="str">
        <f>A498</f>
        <v/>
      </c>
      <c r="B499" s="190" t="str">
        <f>IF(LEN('Ch6'!H261)=0,"",'Ch6'!H261)</f>
        <v/>
      </c>
      <c r="C499" s="190" t="str">
        <f t="shared" si="24"/>
        <v/>
      </c>
      <c r="D499" s="348"/>
      <c r="E499" s="160"/>
      <c r="F499" s="160"/>
      <c r="G499" s="832"/>
      <c r="J499" s="890"/>
    </row>
    <row r="500" spans="1:10" ht="15" customHeight="1" x14ac:dyDescent="0.2">
      <c r="A500" s="294" t="str">
        <f>IF(AND(LEN('Ch6'!W262)&gt;0,NOT('Ch6'!W262=FALSE)),"P","")</f>
        <v/>
      </c>
      <c r="B500" s="190" t="str">
        <f>IF(LEN('Ch6'!H262)=0,"",'Ch6'!H262)</f>
        <v/>
      </c>
      <c r="C500" s="190" t="str">
        <f t="shared" si="24"/>
        <v/>
      </c>
      <c r="D500" s="70" t="s">
        <v>2594</v>
      </c>
      <c r="E500" s="388"/>
      <c r="F500" s="388"/>
      <c r="G500" s="820" t="s">
        <v>2595</v>
      </c>
      <c r="H500" s="56">
        <f>'Ch6'!W262</f>
        <v>0</v>
      </c>
      <c r="I500" s="56">
        <f>'Ch6'!O262</f>
        <v>0</v>
      </c>
      <c r="J500" s="889" t="s">
        <v>3399</v>
      </c>
    </row>
    <row r="501" spans="1:10" x14ac:dyDescent="0.2">
      <c r="A501" s="294" t="str">
        <f>A500</f>
        <v/>
      </c>
      <c r="B501" s="190" t="str">
        <f>IF(LEN('Ch6'!H263)=0,"",'Ch6'!H263)</f>
        <v/>
      </c>
      <c r="C501" s="190" t="str">
        <f t="shared" si="24"/>
        <v/>
      </c>
      <c r="D501" s="348"/>
      <c r="E501" s="160"/>
      <c r="F501" s="160"/>
      <c r="G501" s="832"/>
      <c r="J501" s="889"/>
    </row>
    <row r="502" spans="1:10" ht="15" customHeight="1" x14ac:dyDescent="0.2">
      <c r="A502" s="294" t="str">
        <f>IF(AND(LEN('Ch6'!W264)&gt;0,NOT('Ch6'!W264=FALSE)),"P","")</f>
        <v/>
      </c>
      <c r="B502" s="190" t="str">
        <f>IF(LEN('Ch6'!H264)=0,"",'Ch6'!H264)</f>
        <v/>
      </c>
      <c r="C502" s="190" t="str">
        <f t="shared" si="24"/>
        <v/>
      </c>
      <c r="D502" s="107" t="s">
        <v>2597</v>
      </c>
      <c r="E502" s="345"/>
      <c r="F502" s="345"/>
      <c r="G502" s="654" t="s">
        <v>2598</v>
      </c>
      <c r="H502" s="56">
        <f>'Ch6'!W264</f>
        <v>0</v>
      </c>
      <c r="I502" s="56">
        <f>'Ch6'!O264</f>
        <v>0</v>
      </c>
      <c r="J502" s="650" t="s">
        <v>3399</v>
      </c>
    </row>
    <row r="503" spans="1:10" ht="19" x14ac:dyDescent="0.2">
      <c r="A503" s="294" t="s">
        <v>3343</v>
      </c>
      <c r="B503" s="190" t="str">
        <f>IF(LEN('Ch6'!H265)=0,"",'Ch6'!H265)</f>
        <v/>
      </c>
      <c r="C503" s="190" t="str">
        <f t="shared" si="24"/>
        <v>P</v>
      </c>
      <c r="D503" s="45" t="s">
        <v>2599</v>
      </c>
      <c r="E503" s="45"/>
      <c r="F503" s="45"/>
      <c r="G503" s="180"/>
      <c r="H503" s="180"/>
      <c r="I503" s="180"/>
      <c r="J503" s="400"/>
    </row>
    <row r="504" spans="1:10" ht="15" customHeight="1" x14ac:dyDescent="0.2">
      <c r="B504" s="190" t="str">
        <f>IF(LEN('Ch6'!H266)=0,"",'Ch6'!H266)</f>
        <v/>
      </c>
      <c r="C504" s="190" t="str">
        <f t="shared" si="24"/>
        <v/>
      </c>
      <c r="D504" s="346" t="s">
        <v>2601</v>
      </c>
      <c r="E504" s="345"/>
      <c r="F504" s="345"/>
      <c r="G504" s="775" t="s">
        <v>2602</v>
      </c>
      <c r="J504" s="650"/>
    </row>
    <row r="505" spans="1:10" x14ac:dyDescent="0.2">
      <c r="B505" s="190" t="str">
        <f>IF(LEN('Ch6'!H267)=0,"",'Ch6'!H267)</f>
        <v/>
      </c>
      <c r="C505" s="190" t="str">
        <f t="shared" si="24"/>
        <v/>
      </c>
      <c r="D505" s="107"/>
      <c r="E505" s="345"/>
      <c r="F505" s="345"/>
      <c r="G505" s="775"/>
      <c r="J505" s="650"/>
    </row>
    <row r="506" spans="1:10" ht="15.75" customHeight="1" thickTop="1" x14ac:dyDescent="0.2">
      <c r="A506" s="294" t="str">
        <f>IF(AND(LEN('Ch6'!W268)&gt;0,NOT('Ch6'!W268=FALSE)),"P","")</f>
        <v/>
      </c>
      <c r="B506" s="190" t="str">
        <f>IF(LEN('Ch6'!H268)=0,"",'Ch6'!H268)</f>
        <v/>
      </c>
      <c r="C506" s="190" t="str">
        <f t="shared" si="24"/>
        <v/>
      </c>
      <c r="D506" s="75" t="s">
        <v>2603</v>
      </c>
      <c r="E506" s="374"/>
      <c r="F506" s="374"/>
      <c r="G506" s="819" t="s">
        <v>2604</v>
      </c>
      <c r="H506" s="56">
        <f>'Ch6'!W268</f>
        <v>0</v>
      </c>
      <c r="I506" s="56">
        <f>'Ch6'!O268</f>
        <v>0</v>
      </c>
      <c r="J506" s="888" t="s">
        <v>3435</v>
      </c>
    </row>
    <row r="507" spans="1:10" ht="26.25" customHeight="1" x14ac:dyDescent="0.2">
      <c r="A507" s="294" t="str">
        <f>A506</f>
        <v/>
      </c>
      <c r="B507" s="190" t="str">
        <f>IF(LEN('Ch6'!H269)=0,"",'Ch6'!H269)</f>
        <v/>
      </c>
      <c r="C507" s="190" t="str">
        <f t="shared" si="24"/>
        <v/>
      </c>
      <c r="D507" s="70"/>
      <c r="E507" s="388"/>
      <c r="F507" s="388"/>
      <c r="G507" s="820"/>
      <c r="J507" s="888"/>
    </row>
    <row r="508" spans="1:10" ht="17" x14ac:dyDescent="0.2">
      <c r="B508" s="190" t="str">
        <f>IF(LEN('Ch6'!H270)=0,"",'Ch6'!H270)</f>
        <v/>
      </c>
      <c r="C508" s="190" t="str">
        <f t="shared" si="24"/>
        <v/>
      </c>
      <c r="D508" s="70"/>
      <c r="E508" s="388"/>
      <c r="F508" s="388"/>
      <c r="G508" s="631" t="s">
        <v>2606</v>
      </c>
      <c r="J508" s="650"/>
    </row>
    <row r="509" spans="1:10" ht="15" customHeight="1" x14ac:dyDescent="0.2">
      <c r="B509" s="190" t="str">
        <f>IF(LEN('Ch6'!H271)=0,"",'Ch6'!H271)</f>
        <v/>
      </c>
      <c r="C509" s="190" t="str">
        <f t="shared" si="24"/>
        <v/>
      </c>
      <c r="D509" s="70"/>
      <c r="E509" s="388"/>
      <c r="F509" s="388"/>
      <c r="G509" s="833" t="s">
        <v>2607</v>
      </c>
      <c r="J509" s="650"/>
    </row>
    <row r="510" spans="1:10" x14ac:dyDescent="0.2">
      <c r="B510" s="190" t="str">
        <f>IF(LEN('Ch6'!H272)=0,"",'Ch6'!H272)</f>
        <v/>
      </c>
      <c r="C510" s="190" t="str">
        <f t="shared" si="24"/>
        <v/>
      </c>
      <c r="D510" s="70"/>
      <c r="E510" s="388"/>
      <c r="F510" s="388"/>
      <c r="G510" s="834"/>
      <c r="J510" s="650"/>
    </row>
    <row r="511" spans="1:10" x14ac:dyDescent="0.2">
      <c r="B511" s="190" t="str">
        <f>IF(LEN('Ch6'!H273)=0,"",'Ch6'!H273)</f>
        <v/>
      </c>
      <c r="C511" s="190" t="str">
        <f t="shared" si="24"/>
        <v/>
      </c>
      <c r="D511" s="70"/>
      <c r="E511" s="388"/>
      <c r="F511" s="388"/>
      <c r="G511" s="834"/>
      <c r="J511" s="650"/>
    </row>
    <row r="512" spans="1:10" ht="15.75" customHeight="1" thickTop="1" x14ac:dyDescent="0.2">
      <c r="A512" s="294" t="str">
        <f>IF(AND(LEN('Ch6'!W274)&gt;0,NOT('Ch6'!W274=FALSE)),"P","")</f>
        <v/>
      </c>
      <c r="B512" s="190" t="str">
        <f>IF(LEN('Ch6'!H274)=0,"",'Ch6'!H274)</f>
        <v/>
      </c>
      <c r="C512" s="190" t="str">
        <f t="shared" si="24"/>
        <v/>
      </c>
      <c r="D512" s="75" t="s">
        <v>2608</v>
      </c>
      <c r="E512" s="374"/>
      <c r="F512" s="374"/>
      <c r="G512" s="819" t="s">
        <v>2609</v>
      </c>
      <c r="H512" s="56">
        <f>'Ch6'!W274</f>
        <v>0</v>
      </c>
      <c r="I512" s="56">
        <f>'Ch6'!O274</f>
        <v>0</v>
      </c>
      <c r="J512" s="888" t="s">
        <v>3436</v>
      </c>
    </row>
    <row r="513" spans="1:10" x14ac:dyDescent="0.2">
      <c r="A513" s="294" t="str">
        <f>A512</f>
        <v/>
      </c>
      <c r="B513" s="190" t="str">
        <f>IF(LEN('Ch6'!H275)=0,"",'Ch6'!H275)</f>
        <v/>
      </c>
      <c r="C513" s="190" t="str">
        <f t="shared" si="24"/>
        <v/>
      </c>
      <c r="D513" s="70"/>
      <c r="E513" s="388"/>
      <c r="F513" s="388"/>
      <c r="G513" s="820"/>
      <c r="J513" s="888"/>
    </row>
    <row r="514" spans="1:10" x14ac:dyDescent="0.2">
      <c r="A514" s="294" t="str">
        <f>A513</f>
        <v/>
      </c>
      <c r="B514" s="190" t="str">
        <f>IF(LEN('Ch6'!H276)=0,"",'Ch6'!H276)</f>
        <v/>
      </c>
      <c r="C514" s="190" t="str">
        <f t="shared" si="24"/>
        <v/>
      </c>
      <c r="D514" s="70"/>
      <c r="E514" s="388"/>
      <c r="F514" s="388"/>
      <c r="G514" s="820"/>
      <c r="J514" s="888"/>
    </row>
    <row r="515" spans="1:10" ht="15" customHeight="1" x14ac:dyDescent="0.2">
      <c r="B515" s="190" t="str">
        <f>IF(LEN('Ch6'!H277)=0,"",'Ch6'!H277)</f>
        <v/>
      </c>
      <c r="C515" s="190" t="str">
        <f t="shared" si="24"/>
        <v/>
      </c>
      <c r="D515" s="70"/>
      <c r="E515" s="388"/>
      <c r="F515" s="388"/>
      <c r="G515" s="645" t="s">
        <v>2611</v>
      </c>
      <c r="J515" s="650"/>
    </row>
    <row r="516" spans="1:10" ht="15" customHeight="1" x14ac:dyDescent="0.2">
      <c r="B516" s="190" t="str">
        <f>IF(LEN('Ch6'!H278)=0,"",'Ch6'!H278)</f>
        <v/>
      </c>
      <c r="C516" s="190" t="str">
        <f t="shared" si="24"/>
        <v/>
      </c>
      <c r="D516" s="70"/>
      <c r="E516" s="388"/>
      <c r="F516" s="388"/>
      <c r="G516" s="833" t="s">
        <v>2607</v>
      </c>
      <c r="J516" s="650"/>
    </row>
    <row r="517" spans="1:10" x14ac:dyDescent="0.2">
      <c r="B517" s="190" t="str">
        <f>IF(LEN('Ch6'!H279)=0,"",'Ch6'!H279)</f>
        <v/>
      </c>
      <c r="C517" s="190" t="str">
        <f t="shared" si="24"/>
        <v/>
      </c>
      <c r="D517" s="70"/>
      <c r="E517" s="388"/>
      <c r="F517" s="388"/>
      <c r="G517" s="834"/>
      <c r="J517" s="650"/>
    </row>
    <row r="518" spans="1:10" x14ac:dyDescent="0.2">
      <c r="B518" s="190" t="str">
        <f>IF(LEN('Ch6'!H280)=0,"",'Ch6'!H280)</f>
        <v/>
      </c>
      <c r="C518" s="190" t="str">
        <f t="shared" ref="C518:C580" si="25">IF(LEN(B518)=0,IF(A518="P","P",""),B518)</f>
        <v/>
      </c>
      <c r="D518" s="70"/>
      <c r="E518" s="388"/>
      <c r="F518" s="388"/>
      <c r="G518" s="834"/>
      <c r="J518" s="650"/>
    </row>
    <row r="519" spans="1:10" ht="15.75" customHeight="1" thickTop="1" x14ac:dyDescent="0.2">
      <c r="A519" s="294" t="str">
        <f>IF(AND(LEN('Ch6'!W281)&gt;0,NOT('Ch6'!W281=FALSE)),"P","")</f>
        <v/>
      </c>
      <c r="B519" s="190" t="str">
        <f>IF(LEN('Ch6'!H281)=0,"",'Ch6'!H281)</f>
        <v/>
      </c>
      <c r="C519" s="190" t="str">
        <f t="shared" si="25"/>
        <v/>
      </c>
      <c r="D519" s="75" t="s">
        <v>2612</v>
      </c>
      <c r="E519" s="374"/>
      <c r="F519" s="374"/>
      <c r="G519" s="819" t="s">
        <v>2613</v>
      </c>
      <c r="H519" s="56">
        <f>'Ch6'!W281</f>
        <v>0</v>
      </c>
      <c r="I519" s="56">
        <f>'Ch6'!O281</f>
        <v>0</v>
      </c>
      <c r="J519" s="889" t="s">
        <v>3399</v>
      </c>
    </row>
    <row r="520" spans="1:10" x14ac:dyDescent="0.2">
      <c r="A520" s="294" t="str">
        <f>A519</f>
        <v/>
      </c>
      <c r="B520" s="190" t="str">
        <f>IF(LEN('Ch6'!H282)=0,"",'Ch6'!H282)</f>
        <v/>
      </c>
      <c r="C520" s="190" t="str">
        <f t="shared" si="25"/>
        <v/>
      </c>
      <c r="D520" s="70"/>
      <c r="E520" s="388"/>
      <c r="F520" s="388"/>
      <c r="G520" s="820"/>
      <c r="J520" s="889"/>
    </row>
    <row r="521" spans="1:10" ht="15" customHeight="1" x14ac:dyDescent="0.2">
      <c r="B521" s="190" t="str">
        <f>IF(LEN('Ch6'!H283)=0,"",'Ch6'!H283)</f>
        <v/>
      </c>
      <c r="C521" s="190" t="str">
        <f t="shared" si="25"/>
        <v/>
      </c>
      <c r="D521" s="70"/>
      <c r="E521" s="388"/>
      <c r="F521" s="388"/>
      <c r="G521" s="633" t="s">
        <v>2614</v>
      </c>
      <c r="J521" s="650"/>
    </row>
    <row r="522" spans="1:10" ht="19" x14ac:dyDescent="0.2">
      <c r="A522" s="294" t="s">
        <v>3343</v>
      </c>
      <c r="B522" s="190" t="str">
        <f>IF(LEN('Ch6'!H284)=0,"",'Ch6'!H284)</f>
        <v/>
      </c>
      <c r="C522" s="190" t="str">
        <f t="shared" si="25"/>
        <v>P</v>
      </c>
      <c r="D522" s="45" t="s">
        <v>2615</v>
      </c>
      <c r="E522" s="45"/>
      <c r="F522" s="45"/>
      <c r="G522" s="180"/>
      <c r="H522" s="180"/>
      <c r="I522" s="180"/>
      <c r="J522" s="400"/>
    </row>
    <row r="523" spans="1:10" ht="15" customHeight="1" x14ac:dyDescent="0.2">
      <c r="A523" s="294" t="str">
        <f>IF('Ch6'!O285&gt;0,"P","")</f>
        <v/>
      </c>
      <c r="B523" s="190" t="str">
        <f>IF(LEN('Ch6'!H285)=0,"",'Ch6'!H285)</f>
        <v/>
      </c>
      <c r="C523" s="190" t="str">
        <f t="shared" si="25"/>
        <v/>
      </c>
      <c r="D523" s="107" t="s">
        <v>2616</v>
      </c>
      <c r="E523" s="345"/>
      <c r="F523" s="345"/>
      <c r="G523" s="775" t="s">
        <v>2617</v>
      </c>
      <c r="I523" s="56">
        <f>'Ch6'!O285</f>
        <v>0</v>
      </c>
      <c r="J523" s="888" t="s">
        <v>3437</v>
      </c>
    </row>
    <row r="524" spans="1:10" x14ac:dyDescent="0.2">
      <c r="A524" s="294" t="str">
        <f>A523</f>
        <v/>
      </c>
      <c r="B524" s="190" t="str">
        <f>IF(LEN('Ch6'!H286)=0,"",'Ch6'!H286)</f>
        <v/>
      </c>
      <c r="C524" s="190" t="str">
        <f t="shared" si="25"/>
        <v/>
      </c>
      <c r="D524" s="107"/>
      <c r="E524" s="345"/>
      <c r="F524" s="345"/>
      <c r="G524" s="775"/>
      <c r="H524" s="56">
        <f>'Ch6'!W286</f>
        <v>0</v>
      </c>
      <c r="J524" s="888"/>
    </row>
    <row r="525" spans="1:10" x14ac:dyDescent="0.2">
      <c r="B525" s="190" t="str">
        <f>IF(LEN('Ch6'!H287)=0,"",'Ch6'!H287)</f>
        <v/>
      </c>
      <c r="C525" s="190" t="str">
        <f t="shared" si="25"/>
        <v/>
      </c>
      <c r="D525" s="107"/>
      <c r="E525" s="345"/>
      <c r="F525" s="345"/>
      <c r="G525" s="618" t="s">
        <v>2620</v>
      </c>
      <c r="J525" s="649"/>
    </row>
    <row r="526" spans="1:10" x14ac:dyDescent="0.2">
      <c r="B526" s="190" t="str">
        <f>IF(LEN('Ch6'!H288)=0,"",'Ch6'!H288)</f>
        <v/>
      </c>
      <c r="C526" s="190" t="str">
        <f t="shared" si="25"/>
        <v/>
      </c>
      <c r="D526" s="107"/>
      <c r="E526" s="345"/>
      <c r="F526" s="345"/>
      <c r="G526" s="196" t="s">
        <v>3438</v>
      </c>
      <c r="H526" s="56">
        <f>'Ch6'!W288</f>
        <v>0</v>
      </c>
      <c r="J526" s="649"/>
    </row>
    <row r="527" spans="1:10" ht="15" customHeight="1" x14ac:dyDescent="0.2">
      <c r="B527" s="190" t="str">
        <f>IF(LEN('Ch6'!H289)=0,"",'Ch6'!H289)</f>
        <v/>
      </c>
      <c r="C527" s="190" t="str">
        <f t="shared" si="25"/>
        <v/>
      </c>
      <c r="D527" s="107"/>
      <c r="E527" s="345"/>
      <c r="F527" s="345"/>
      <c r="G527" s="816" t="s">
        <v>2623</v>
      </c>
      <c r="J527" s="649"/>
    </row>
    <row r="528" spans="1:10" x14ac:dyDescent="0.2">
      <c r="B528" s="190" t="str">
        <f>IF(LEN('Ch6'!H290)=0,"",'Ch6'!H290)</f>
        <v/>
      </c>
      <c r="C528" s="190" t="str">
        <f t="shared" si="25"/>
        <v/>
      </c>
      <c r="D528" s="107"/>
      <c r="E528" s="345"/>
      <c r="F528" s="345"/>
      <c r="G528" s="816"/>
      <c r="H528" s="56">
        <f>'Ch6'!W290</f>
        <v>0</v>
      </c>
      <c r="J528" s="649"/>
    </row>
    <row r="529" spans="1:10" x14ac:dyDescent="0.2">
      <c r="B529" s="190" t="str">
        <f>IF(LEN('Ch6'!H291)=0,"",'Ch6'!H291)</f>
        <v/>
      </c>
      <c r="C529" s="190" t="str">
        <f t="shared" si="25"/>
        <v/>
      </c>
      <c r="D529" s="107"/>
      <c r="E529" s="345"/>
      <c r="F529" s="345"/>
      <c r="G529" s="589"/>
      <c r="J529" s="649"/>
    </row>
    <row r="530" spans="1:10" x14ac:dyDescent="0.2">
      <c r="B530" s="190" t="str">
        <f>IF(LEN('Ch6'!H292)=0,"",'Ch6'!H292)</f>
        <v/>
      </c>
      <c r="C530" s="190" t="str">
        <f t="shared" si="25"/>
        <v/>
      </c>
      <c r="D530" s="107"/>
      <c r="E530" s="345"/>
      <c r="F530" s="345"/>
      <c r="G530" s="589"/>
      <c r="H530" s="56">
        <f>'Ch6'!W292</f>
        <v>0</v>
      </c>
      <c r="J530" s="649"/>
    </row>
    <row r="531" spans="1:10" ht="19" x14ac:dyDescent="0.2">
      <c r="A531" s="294" t="s">
        <v>3343</v>
      </c>
      <c r="B531" s="190" t="str">
        <f>IF(LEN('Ch6'!H293)=0,"",'Ch6'!H293)</f>
        <v/>
      </c>
      <c r="C531" s="190" t="str">
        <f t="shared" si="25"/>
        <v>P</v>
      </c>
      <c r="D531" s="45" t="s">
        <v>2626</v>
      </c>
      <c r="E531" s="45"/>
      <c r="F531" s="45"/>
      <c r="G531" s="179"/>
      <c r="H531" s="179"/>
      <c r="I531" s="179"/>
      <c r="J531" s="401"/>
    </row>
    <row r="532" spans="1:10" ht="15" customHeight="1" x14ac:dyDescent="0.2">
      <c r="B532" s="190" t="str">
        <f>IF(LEN('Ch6'!H294)=0,"",'Ch6'!H294)</f>
        <v/>
      </c>
      <c r="C532" s="190" t="str">
        <f t="shared" si="25"/>
        <v/>
      </c>
      <c r="D532" s="346" t="s">
        <v>2628</v>
      </c>
      <c r="E532" s="345"/>
      <c r="F532" s="345"/>
      <c r="G532" s="775" t="s">
        <v>2629</v>
      </c>
      <c r="J532" s="650"/>
    </row>
    <row r="533" spans="1:10" ht="16" thickBot="1" x14ac:dyDescent="0.25">
      <c r="B533" s="190" t="str">
        <f>IF(LEN('Ch6'!H295)=0,"",'Ch6'!H295)</f>
        <v/>
      </c>
      <c r="C533" s="190" t="str">
        <f t="shared" si="25"/>
        <v/>
      </c>
      <c r="D533" s="107"/>
      <c r="E533" s="345"/>
      <c r="F533" s="345"/>
      <c r="G533" s="775"/>
      <c r="J533" s="650"/>
    </row>
    <row r="534" spans="1:10" s="485" customFormat="1" ht="15.75" customHeight="1" thickTop="1" x14ac:dyDescent="0.2">
      <c r="A534" s="294" t="str">
        <f>IF(AND(LEN('Ch6'!W296)&gt;0,NOT('Ch6'!W296=FALSE)),"P","")</f>
        <v/>
      </c>
      <c r="B534" s="190" t="str">
        <f>IF(LEN('Ch6'!H296)=0,"",'Ch6'!H296)</f>
        <v/>
      </c>
      <c r="C534" s="190" t="str">
        <f t="shared" si="25"/>
        <v/>
      </c>
      <c r="D534" s="75" t="s">
        <v>2630</v>
      </c>
      <c r="E534" s="374"/>
      <c r="F534" s="374"/>
      <c r="G534" s="819" t="s">
        <v>2631</v>
      </c>
      <c r="H534" s="56"/>
      <c r="I534" s="56"/>
      <c r="J534" s="650"/>
    </row>
    <row r="535" spans="1:10" s="485" customFormat="1" x14ac:dyDescent="0.2">
      <c r="A535" s="294" t="str">
        <f>A534</f>
        <v/>
      </c>
      <c r="B535" s="190" t="str">
        <f>IF(LEN('Ch6'!H297)=0,"",'Ch6'!H297)</f>
        <v/>
      </c>
      <c r="C535" s="190" t="str">
        <f t="shared" si="25"/>
        <v/>
      </c>
      <c r="D535" s="107"/>
      <c r="E535" s="345"/>
      <c r="F535" s="345"/>
      <c r="G535" s="820"/>
      <c r="H535" s="56"/>
      <c r="I535" s="56"/>
      <c r="J535" s="650"/>
    </row>
    <row r="536" spans="1:10" s="485" customFormat="1" ht="16" thickBot="1" x14ac:dyDescent="0.25">
      <c r="A536" s="294" t="str">
        <f>A535</f>
        <v/>
      </c>
      <c r="B536" s="190" t="str">
        <f>IF(LEN('Ch6'!H298)=0,"",'Ch6'!H298)</f>
        <v/>
      </c>
      <c r="C536" s="190" t="str">
        <f t="shared" si="25"/>
        <v/>
      </c>
      <c r="D536" s="107"/>
      <c r="E536" s="345"/>
      <c r="F536" s="345"/>
      <c r="G536" s="822"/>
      <c r="H536" s="56"/>
      <c r="I536" s="56"/>
      <c r="J536" s="650"/>
    </row>
    <row r="537" spans="1:10" ht="15.75" customHeight="1" thickTop="1" x14ac:dyDescent="0.2">
      <c r="A537" s="294" t="str">
        <f>IF(AND(LEN('Ch6'!W299)&gt;0,NOT('Ch6'!W299=FALSE)),"P","")</f>
        <v/>
      </c>
      <c r="B537" s="190" t="str">
        <f>IF(LEN('Ch6'!H299)=0,"",'Ch6'!H299)</f>
        <v/>
      </c>
      <c r="C537" s="190" t="str">
        <f t="shared" si="25"/>
        <v/>
      </c>
      <c r="D537" s="75" t="s">
        <v>2632</v>
      </c>
      <c r="E537" s="374"/>
      <c r="F537" s="374"/>
      <c r="G537" s="819" t="s">
        <v>2633</v>
      </c>
      <c r="H537" s="56">
        <f>'Ch6'!W299</f>
        <v>0</v>
      </c>
      <c r="I537" s="56">
        <f>'Ch6'!O299</f>
        <v>0</v>
      </c>
      <c r="J537" s="888" t="s">
        <v>3439</v>
      </c>
    </row>
    <row r="538" spans="1:10" x14ac:dyDescent="0.2">
      <c r="A538" s="294" t="str">
        <f>A537</f>
        <v/>
      </c>
      <c r="B538" s="190" t="str">
        <f>IF(LEN('Ch6'!H300)=0,"",'Ch6'!H300)</f>
        <v/>
      </c>
      <c r="C538" s="190" t="str">
        <f t="shared" si="25"/>
        <v/>
      </c>
      <c r="D538" s="70"/>
      <c r="E538" s="388"/>
      <c r="F538" s="388"/>
      <c r="G538" s="820"/>
      <c r="J538" s="888"/>
    </row>
    <row r="539" spans="1:10" x14ac:dyDescent="0.2">
      <c r="A539" s="294" t="str">
        <f>A538</f>
        <v/>
      </c>
      <c r="B539" s="190" t="str">
        <f>IF(LEN('Ch6'!H301)=0,"",'Ch6'!H301)</f>
        <v/>
      </c>
      <c r="C539" s="190" t="str">
        <f t="shared" si="25"/>
        <v/>
      </c>
      <c r="D539" s="70"/>
      <c r="E539" s="388"/>
      <c r="F539" s="388"/>
      <c r="G539" s="820"/>
      <c r="J539" s="888"/>
    </row>
    <row r="540" spans="1:10" x14ac:dyDescent="0.2">
      <c r="A540" s="294" t="str">
        <f>A539</f>
        <v/>
      </c>
      <c r="B540" s="190" t="str">
        <f>IF(LEN('Ch6'!H302)=0,"",'Ch6'!H302)</f>
        <v/>
      </c>
      <c r="C540" s="190" t="str">
        <f t="shared" si="25"/>
        <v/>
      </c>
      <c r="D540" s="70"/>
      <c r="E540" s="388"/>
      <c r="F540" s="388"/>
      <c r="G540" s="820"/>
      <c r="J540" s="888"/>
    </row>
    <row r="541" spans="1:10" x14ac:dyDescent="0.2">
      <c r="A541" s="294" t="str">
        <f>A540</f>
        <v/>
      </c>
      <c r="B541" s="190" t="str">
        <f>IF(LEN('Ch6'!H303)=0,"",'Ch6'!H303)</f>
        <v/>
      </c>
      <c r="C541" s="190" t="str">
        <f t="shared" si="25"/>
        <v/>
      </c>
      <c r="D541" s="70"/>
      <c r="E541" s="388"/>
      <c r="F541" s="388"/>
      <c r="G541" s="820"/>
      <c r="J541" s="888"/>
    </row>
    <row r="542" spans="1:10" x14ac:dyDescent="0.2">
      <c r="A542" s="294" t="str">
        <f>A541</f>
        <v/>
      </c>
      <c r="B542" s="190" t="str">
        <f>IF(LEN('Ch6'!H304)=0,"",'Ch6'!H304)</f>
        <v/>
      </c>
      <c r="C542" s="190" t="str">
        <f t="shared" si="25"/>
        <v/>
      </c>
      <c r="D542" s="70"/>
      <c r="E542" s="388"/>
      <c r="F542" s="388"/>
      <c r="G542" s="820"/>
      <c r="J542" s="888"/>
    </row>
    <row r="543" spans="1:10" ht="15" customHeight="1" x14ac:dyDescent="0.2">
      <c r="B543" s="190" t="str">
        <f>IF(LEN('Ch6'!H305)=0,"",'Ch6'!H305)</f>
        <v/>
      </c>
      <c r="C543" s="190" t="str">
        <f t="shared" si="25"/>
        <v/>
      </c>
      <c r="D543" s="70"/>
      <c r="E543" s="388"/>
      <c r="F543" s="388"/>
      <c r="G543" s="791" t="s">
        <v>2634</v>
      </c>
      <c r="J543" s="649"/>
    </row>
    <row r="544" spans="1:10" x14ac:dyDescent="0.2">
      <c r="B544" s="190" t="str">
        <f>IF(LEN('Ch6'!H306)=0,"",'Ch6'!H306)</f>
        <v/>
      </c>
      <c r="C544" s="190" t="str">
        <f t="shared" si="25"/>
        <v/>
      </c>
      <c r="D544" s="70"/>
      <c r="E544" s="388"/>
      <c r="F544" s="388"/>
      <c r="G544" s="791"/>
      <c r="J544" s="649"/>
    </row>
    <row r="545" spans="1:10" x14ac:dyDescent="0.2">
      <c r="B545" s="190" t="str">
        <f>IF(LEN('Ch6'!H307)=0,"",'Ch6'!H307)</f>
        <v/>
      </c>
      <c r="C545" s="190" t="str">
        <f t="shared" si="25"/>
        <v/>
      </c>
      <c r="D545" s="70"/>
      <c r="E545" s="388"/>
      <c r="F545" s="388"/>
      <c r="G545" s="791"/>
      <c r="J545" s="649"/>
    </row>
    <row r="546" spans="1:10" x14ac:dyDescent="0.2">
      <c r="B546" s="190" t="str">
        <f>IF(LEN('Ch6'!H308)=0,"",'Ch6'!H308)</f>
        <v/>
      </c>
      <c r="C546" s="190" t="str">
        <f t="shared" si="25"/>
        <v/>
      </c>
      <c r="D546" s="70"/>
      <c r="E546" s="388"/>
      <c r="F546" s="388"/>
      <c r="G546" s="791"/>
      <c r="J546" s="649"/>
    </row>
    <row r="547" spans="1:10" x14ac:dyDescent="0.2">
      <c r="B547" s="190" t="str">
        <f>IF(LEN('Ch6'!H309)=0,"",'Ch6'!H309)</f>
        <v/>
      </c>
      <c r="C547" s="190" t="str">
        <f t="shared" si="25"/>
        <v/>
      </c>
      <c r="D547" s="70"/>
      <c r="E547" s="388"/>
      <c r="F547" s="388"/>
      <c r="G547" s="640" t="s">
        <v>2635</v>
      </c>
      <c r="J547" s="649"/>
    </row>
    <row r="548" spans="1:10" ht="15" customHeight="1" x14ac:dyDescent="0.2">
      <c r="B548" s="190" t="str">
        <f>IF(LEN('Ch6'!H310)=0,"",'Ch6'!H310)</f>
        <v/>
      </c>
      <c r="C548" s="190" t="str">
        <f t="shared" si="25"/>
        <v/>
      </c>
      <c r="D548" s="70"/>
      <c r="E548" s="347" t="s">
        <v>2181</v>
      </c>
      <c r="F548" s="388"/>
      <c r="G548" s="791" t="s">
        <v>2636</v>
      </c>
      <c r="J548" s="649"/>
    </row>
    <row r="549" spans="1:10" x14ac:dyDescent="0.2">
      <c r="B549" s="190" t="str">
        <f>IF(LEN('Ch6'!H311)=0,"",'Ch6'!H311)</f>
        <v/>
      </c>
      <c r="C549" s="190" t="str">
        <f t="shared" si="25"/>
        <v/>
      </c>
      <c r="D549" s="70"/>
      <c r="E549" s="388"/>
      <c r="F549" s="388"/>
      <c r="G549" s="791"/>
      <c r="J549" s="649"/>
    </row>
    <row r="550" spans="1:10" ht="15" customHeight="1" x14ac:dyDescent="0.2">
      <c r="B550" s="190" t="str">
        <f>IF(LEN('Ch6'!H312)=0,"",'Ch6'!H312)</f>
        <v/>
      </c>
      <c r="C550" s="190" t="str">
        <f t="shared" si="25"/>
        <v/>
      </c>
      <c r="D550" s="70"/>
      <c r="E550" s="347" t="s">
        <v>2183</v>
      </c>
      <c r="F550" s="388"/>
      <c r="G550" s="791" t="s">
        <v>2637</v>
      </c>
      <c r="H550" s="56">
        <f>'Ch6'!W312</f>
        <v>0</v>
      </c>
      <c r="J550" s="649"/>
    </row>
    <row r="551" spans="1:10" x14ac:dyDescent="0.2">
      <c r="B551" s="190" t="str">
        <f>IF(LEN('Ch6'!H313)=0,"",'Ch6'!H313)</f>
        <v/>
      </c>
      <c r="C551" s="190" t="str">
        <f t="shared" si="25"/>
        <v/>
      </c>
      <c r="D551" s="70"/>
      <c r="E551" s="388"/>
      <c r="F551" s="388"/>
      <c r="G551" s="791"/>
      <c r="J551" s="649"/>
    </row>
    <row r="552" spans="1:10" ht="15.75" customHeight="1" thickTop="1" x14ac:dyDescent="0.2">
      <c r="A552" s="294" t="str">
        <f>IF(AND(LEN('Ch6'!W314)&gt;0,NOT('Ch6'!W314=FALSE)),"P","")</f>
        <v/>
      </c>
      <c r="B552" s="190" t="str">
        <f>IF(LEN('Ch6'!H314)=0,"",'Ch6'!H314)</f>
        <v/>
      </c>
      <c r="C552" s="190" t="str">
        <f t="shared" si="25"/>
        <v/>
      </c>
      <c r="D552" s="75" t="s">
        <v>2638</v>
      </c>
      <c r="E552" s="374"/>
      <c r="F552" s="374"/>
      <c r="G552" s="819" t="s">
        <v>2639</v>
      </c>
      <c r="H552" s="56">
        <f>'Ch6'!W314</f>
        <v>0</v>
      </c>
      <c r="I552" s="56">
        <f>'Ch6'!O314</f>
        <v>0</v>
      </c>
      <c r="J552" s="888" t="s">
        <v>3440</v>
      </c>
    </row>
    <row r="553" spans="1:10" x14ac:dyDescent="0.2">
      <c r="A553" s="294" t="str">
        <f>A552</f>
        <v/>
      </c>
      <c r="B553" s="190" t="str">
        <f>IF(LEN('Ch6'!H315)=0,"",'Ch6'!H315)</f>
        <v/>
      </c>
      <c r="C553" s="190" t="str">
        <f t="shared" si="25"/>
        <v/>
      </c>
      <c r="D553" s="70"/>
      <c r="E553" s="388"/>
      <c r="F553" s="388"/>
      <c r="G553" s="820"/>
      <c r="J553" s="888"/>
    </row>
    <row r="554" spans="1:10" ht="15" customHeight="1" x14ac:dyDescent="0.2">
      <c r="B554" s="190" t="str">
        <f>IF(LEN('Ch6'!H316)=0,"",'Ch6'!H316)</f>
        <v/>
      </c>
      <c r="C554" s="190" t="str">
        <f t="shared" si="25"/>
        <v/>
      </c>
      <c r="D554" s="70"/>
      <c r="E554" s="388"/>
      <c r="F554" s="347" t="s">
        <v>2196</v>
      </c>
      <c r="G554" s="791" t="s">
        <v>2640</v>
      </c>
      <c r="J554" s="649"/>
    </row>
    <row r="555" spans="1:10" x14ac:dyDescent="0.2">
      <c r="B555" s="190" t="str">
        <f>IF(LEN('Ch6'!H317)=0,"",'Ch6'!H317)</f>
        <v/>
      </c>
      <c r="C555" s="190" t="str">
        <f t="shared" si="25"/>
        <v/>
      </c>
      <c r="D555" s="70"/>
      <c r="E555" s="388"/>
      <c r="F555" s="388"/>
      <c r="G555" s="791"/>
      <c r="J555" s="649"/>
    </row>
    <row r="556" spans="1:10" x14ac:dyDescent="0.2">
      <c r="B556" s="190" t="str">
        <f>IF(LEN('Ch6'!H318)=0,"",'Ch6'!H318)</f>
        <v/>
      </c>
      <c r="C556" s="190" t="str">
        <f t="shared" si="25"/>
        <v/>
      </c>
      <c r="D556" s="70"/>
      <c r="E556" s="388"/>
      <c r="F556" s="160"/>
      <c r="G556" s="792"/>
      <c r="J556" s="649"/>
    </row>
    <row r="557" spans="1:10" x14ac:dyDescent="0.2">
      <c r="B557" s="190" t="str">
        <f>IF(LEN('Ch6'!H319)=0,"",'Ch6'!H319)</f>
        <v/>
      </c>
      <c r="C557" s="190" t="str">
        <f t="shared" si="25"/>
        <v/>
      </c>
      <c r="D557" s="70"/>
      <c r="E557" s="388"/>
      <c r="F557" s="375" t="s">
        <v>2198</v>
      </c>
      <c r="G557" s="205" t="s">
        <v>2641</v>
      </c>
      <c r="J557" s="649"/>
    </row>
    <row r="558" spans="1:10" ht="15" customHeight="1" x14ac:dyDescent="0.2">
      <c r="B558" s="190" t="str">
        <f>IF(LEN('Ch6'!H320)=0,"",'Ch6'!H320)</f>
        <v/>
      </c>
      <c r="C558" s="190" t="str">
        <f t="shared" si="25"/>
        <v/>
      </c>
      <c r="D558" s="70"/>
      <c r="E558" s="388"/>
      <c r="F558" s="371" t="s">
        <v>2200</v>
      </c>
      <c r="G558" s="791" t="s">
        <v>3441</v>
      </c>
      <c r="J558" s="649"/>
    </row>
    <row r="559" spans="1:10" x14ac:dyDescent="0.2">
      <c r="B559" s="190" t="str">
        <f>IF(LEN('Ch6'!H321)=0,"",'Ch6'!H321)</f>
        <v/>
      </c>
      <c r="C559" s="190" t="str">
        <f t="shared" si="25"/>
        <v/>
      </c>
      <c r="D559" s="70"/>
      <c r="E559" s="388"/>
      <c r="F559" s="70"/>
      <c r="G559" s="791"/>
      <c r="J559" s="649"/>
    </row>
    <row r="560" spans="1:10" x14ac:dyDescent="0.2">
      <c r="B560" s="190" t="str">
        <f>IF(LEN('Ch6'!H322)=0,"",'Ch6'!H322)</f>
        <v/>
      </c>
      <c r="C560" s="190" t="str">
        <f t="shared" si="25"/>
        <v/>
      </c>
      <c r="D560" s="70"/>
      <c r="E560" s="388"/>
      <c r="F560" s="388"/>
      <c r="G560" s="791"/>
      <c r="J560" s="649"/>
    </row>
    <row r="561" spans="1:10" ht="15.75" customHeight="1" thickTop="1" x14ac:dyDescent="0.2">
      <c r="A561" s="294" t="str">
        <f>IF('Ch6'!O323&gt;0,"P","")</f>
        <v/>
      </c>
      <c r="B561" s="190" t="str">
        <f>IF(LEN('Ch6'!H323)=0,"",'Ch6'!H323)</f>
        <v/>
      </c>
      <c r="C561" s="190" t="str">
        <f t="shared" si="25"/>
        <v/>
      </c>
      <c r="D561" s="75" t="s">
        <v>2644</v>
      </c>
      <c r="E561" s="374"/>
      <c r="F561" s="374"/>
      <c r="G561" s="819" t="s">
        <v>2645</v>
      </c>
      <c r="I561" s="56">
        <f>'Ch6'!O323</f>
        <v>0</v>
      </c>
      <c r="J561" s="888" t="s">
        <v>3442</v>
      </c>
    </row>
    <row r="562" spans="1:10" x14ac:dyDescent="0.2">
      <c r="A562" s="294" t="str">
        <f>A561</f>
        <v/>
      </c>
      <c r="B562" s="190" t="str">
        <f>IF(LEN('Ch6'!H324)=0,"",'Ch6'!H324)</f>
        <v/>
      </c>
      <c r="C562" s="190" t="str">
        <f t="shared" si="25"/>
        <v/>
      </c>
      <c r="D562" s="70"/>
      <c r="E562" s="388"/>
      <c r="F562" s="388"/>
      <c r="G562" s="820"/>
      <c r="J562" s="888"/>
    </row>
    <row r="563" spans="1:10" x14ac:dyDescent="0.2">
      <c r="B563" s="190" t="str">
        <f>IF(LEN('Ch6'!H325)=0,"",'Ch6'!H325)</f>
        <v/>
      </c>
      <c r="C563" s="190" t="str">
        <f t="shared" si="25"/>
        <v/>
      </c>
      <c r="D563" s="107"/>
      <c r="E563" s="366" t="s">
        <v>2181</v>
      </c>
      <c r="F563" s="160"/>
      <c r="G563" s="599" t="s">
        <v>2647</v>
      </c>
      <c r="J563" s="650"/>
    </row>
    <row r="564" spans="1:10" x14ac:dyDescent="0.2">
      <c r="B564" s="190" t="str">
        <f>IF(LEN('Ch6'!H326)=0,"",'Ch6'!H326)</f>
        <v/>
      </c>
      <c r="C564" s="190" t="str">
        <f t="shared" si="25"/>
        <v/>
      </c>
      <c r="D564" s="107"/>
      <c r="E564" s="346" t="s">
        <v>2183</v>
      </c>
      <c r="F564" s="345"/>
      <c r="G564" s="632" t="s">
        <v>2648</v>
      </c>
      <c r="J564" s="650"/>
    </row>
    <row r="565" spans="1:10" ht="15" customHeight="1" x14ac:dyDescent="0.2">
      <c r="B565" s="190" t="str">
        <f>IF(LEN('Ch6'!H327)=0,"",'Ch6'!H327)</f>
        <v/>
      </c>
      <c r="C565" s="190" t="str">
        <f t="shared" si="25"/>
        <v/>
      </c>
      <c r="D565" s="107"/>
      <c r="E565" s="345"/>
      <c r="F565" s="366" t="s">
        <v>2196</v>
      </c>
      <c r="G565" s="599" t="s">
        <v>2649</v>
      </c>
      <c r="H565" s="56">
        <f>'Ch6'!W327</f>
        <v>0</v>
      </c>
      <c r="J565" s="394"/>
    </row>
    <row r="566" spans="1:10" x14ac:dyDescent="0.2">
      <c r="B566" s="190" t="str">
        <f>IF(LEN('Ch6'!H328)=0,"",'Ch6'!H328)</f>
        <v/>
      </c>
      <c r="C566" s="190" t="str">
        <f t="shared" si="25"/>
        <v/>
      </c>
      <c r="D566" s="107"/>
      <c r="E566" s="345"/>
      <c r="F566" s="375" t="s">
        <v>2198</v>
      </c>
      <c r="G566" s="205" t="s">
        <v>2650</v>
      </c>
      <c r="H566" s="56">
        <f>'Ch6'!W328</f>
        <v>0</v>
      </c>
      <c r="J566" s="394"/>
    </row>
    <row r="567" spans="1:10" x14ac:dyDescent="0.2">
      <c r="B567" s="190" t="str">
        <f>IF(LEN('Ch6'!H329)=0,"",'Ch6'!H329)</f>
        <v/>
      </c>
      <c r="C567" s="190" t="str">
        <f t="shared" si="25"/>
        <v/>
      </c>
      <c r="D567" s="107"/>
      <c r="E567" s="345"/>
      <c r="F567" s="380" t="s">
        <v>2200</v>
      </c>
      <c r="G567" s="205" t="s">
        <v>2651</v>
      </c>
      <c r="H567" s="56">
        <f>'Ch6'!W329</f>
        <v>0</v>
      </c>
      <c r="J567" s="649"/>
    </row>
    <row r="568" spans="1:10" x14ac:dyDescent="0.2">
      <c r="B568" s="190" t="str">
        <f>IF(LEN('Ch6'!H330)=0,"",'Ch6'!H330)</f>
        <v/>
      </c>
      <c r="C568" s="190" t="str">
        <f t="shared" si="25"/>
        <v/>
      </c>
      <c r="D568" s="107"/>
      <c r="E568" s="345"/>
      <c r="F568" s="364" t="s">
        <v>2247</v>
      </c>
      <c r="G568" s="205" t="s">
        <v>2652</v>
      </c>
      <c r="H568" s="56">
        <f>'Ch6'!W330</f>
        <v>0</v>
      </c>
      <c r="J568" s="649"/>
    </row>
    <row r="569" spans="1:10" x14ac:dyDescent="0.2">
      <c r="B569" s="190" t="str">
        <f>IF(LEN('Ch6'!H331)=0,"",'Ch6'!H331)</f>
        <v/>
      </c>
      <c r="C569" s="190" t="str">
        <f t="shared" si="25"/>
        <v/>
      </c>
      <c r="D569" s="107"/>
      <c r="E569" s="345"/>
      <c r="F569" s="375" t="s">
        <v>2444</v>
      </c>
      <c r="G569" s="205" t="s">
        <v>2653</v>
      </c>
      <c r="H569" s="56">
        <f>'Ch6'!W331</f>
        <v>0</v>
      </c>
      <c r="J569" s="649"/>
    </row>
    <row r="570" spans="1:10" x14ac:dyDescent="0.2">
      <c r="B570" s="190" t="str">
        <f>IF(LEN('Ch6'!H332)=0,"",'Ch6'!H332)</f>
        <v/>
      </c>
      <c r="C570" s="190" t="str">
        <f t="shared" si="25"/>
        <v/>
      </c>
      <c r="D570" s="107"/>
      <c r="E570" s="345"/>
      <c r="F570" s="375" t="s">
        <v>2540</v>
      </c>
      <c r="G570" s="205" t="s">
        <v>2654</v>
      </c>
      <c r="H570" s="56">
        <f>'Ch6'!W332</f>
        <v>0</v>
      </c>
      <c r="J570" s="649"/>
    </row>
    <row r="571" spans="1:10" x14ac:dyDescent="0.2">
      <c r="B571" s="190" t="str">
        <f>IF(LEN('Ch6'!H333)=0,"",'Ch6'!H333)</f>
        <v/>
      </c>
      <c r="C571" s="190" t="str">
        <f t="shared" si="25"/>
        <v/>
      </c>
      <c r="D571" s="107"/>
      <c r="E571" s="345"/>
      <c r="F571" s="380" t="s">
        <v>2542</v>
      </c>
      <c r="G571" s="205" t="s">
        <v>2655</v>
      </c>
      <c r="H571" s="56">
        <f>'Ch6'!W333</f>
        <v>0</v>
      </c>
      <c r="J571" s="649"/>
    </row>
    <row r="572" spans="1:10" x14ac:dyDescent="0.2">
      <c r="B572" s="190" t="str">
        <f>IF(LEN('Ch6'!H334)=0,"",'Ch6'!H334)</f>
        <v/>
      </c>
      <c r="C572" s="190" t="str">
        <f t="shared" si="25"/>
        <v/>
      </c>
      <c r="D572" s="107"/>
      <c r="E572" s="687"/>
      <c r="F572" s="364" t="s">
        <v>2544</v>
      </c>
      <c r="G572" s="205" t="s">
        <v>2656</v>
      </c>
      <c r="H572" s="56">
        <f>'Ch6'!W334</f>
        <v>0</v>
      </c>
      <c r="J572" s="649"/>
    </row>
    <row r="573" spans="1:10" x14ac:dyDescent="0.2">
      <c r="B573" s="190" t="str">
        <f>IF(LEN('Ch6'!H335)=0,"",'Ch6'!H335)</f>
        <v/>
      </c>
      <c r="C573" s="190" t="str">
        <f t="shared" si="25"/>
        <v/>
      </c>
      <c r="D573" s="107"/>
      <c r="E573" s="687"/>
      <c r="F573" s="107" t="s">
        <v>2657</v>
      </c>
      <c r="G573" s="632" t="s">
        <v>2656</v>
      </c>
      <c r="H573" s="56">
        <f>'Ch6'!W335</f>
        <v>0</v>
      </c>
      <c r="J573" s="649"/>
    </row>
    <row r="574" spans="1:10" x14ac:dyDescent="0.2">
      <c r="B574" s="190" t="str">
        <f>IF(LEN('Ch6'!H336)=0,"",'Ch6'!H336)</f>
        <v/>
      </c>
      <c r="C574" s="190" t="str">
        <f t="shared" si="25"/>
        <v/>
      </c>
      <c r="D574" s="107"/>
      <c r="E574" s="687"/>
      <c r="F574" s="107"/>
      <c r="G574" s="618" t="s">
        <v>2658</v>
      </c>
      <c r="J574" s="650"/>
    </row>
    <row r="575" spans="1:10" ht="19" x14ac:dyDescent="0.2">
      <c r="A575" s="294" t="s">
        <v>3343</v>
      </c>
      <c r="B575" s="190" t="str">
        <f>IF(LEN('Ch6'!H337)=0,"",'Ch6'!H337)</f>
        <v/>
      </c>
      <c r="C575" s="190" t="str">
        <f t="shared" si="25"/>
        <v>P</v>
      </c>
      <c r="D575" s="45" t="s">
        <v>2659</v>
      </c>
      <c r="E575" s="45"/>
      <c r="F575" s="45"/>
      <c r="G575" s="180"/>
      <c r="H575" s="180"/>
      <c r="I575" s="180"/>
      <c r="J575" s="400"/>
    </row>
    <row r="576" spans="1:10" ht="16" thickBot="1" x14ac:dyDescent="0.25">
      <c r="B576" s="190" t="str">
        <f>IF(LEN('Ch6'!H338)=0,"",'Ch6'!H338)</f>
        <v/>
      </c>
      <c r="C576" s="190" t="str">
        <f t="shared" si="25"/>
        <v/>
      </c>
      <c r="D576" s="346" t="s">
        <v>2661</v>
      </c>
      <c r="E576" s="345"/>
      <c r="F576" s="345"/>
      <c r="G576" s="654" t="s">
        <v>2662</v>
      </c>
      <c r="J576" s="650"/>
    </row>
    <row r="577" spans="1:10" ht="31" thickTop="1" x14ac:dyDescent="0.2">
      <c r="A577" s="294" t="e">
        <f ca="1">IF('Ch6'!O339&gt;0,"P","")</f>
        <v>#REF!</v>
      </c>
      <c r="B577" s="190" t="str">
        <f>IF(LEN('Ch6'!H339)=0,"",'Ch6'!H339)</f>
        <v/>
      </c>
      <c r="C577" s="190" t="e">
        <f t="shared" ca="1" si="25"/>
        <v>#REF!</v>
      </c>
      <c r="D577" s="75" t="s">
        <v>2663</v>
      </c>
      <c r="E577" s="374"/>
      <c r="F577" s="374"/>
      <c r="G577" s="646" t="s">
        <v>2664</v>
      </c>
      <c r="I577" s="56" t="e">
        <f ca="1">'Ch6'!O339</f>
        <v>#REF!</v>
      </c>
      <c r="J577" s="649" t="s">
        <v>3443</v>
      </c>
    </row>
    <row r="578" spans="1:10" ht="15" customHeight="1" x14ac:dyDescent="0.2">
      <c r="B578" s="190" t="str">
        <f>IF(LEN('Ch6'!H340)=0,"",'Ch6'!H340)</f>
        <v/>
      </c>
      <c r="C578" s="190" t="str">
        <f t="shared" si="25"/>
        <v/>
      </c>
      <c r="D578" s="70"/>
      <c r="E578" s="388"/>
      <c r="F578" s="347" t="s">
        <v>2196</v>
      </c>
      <c r="G578" s="598" t="s">
        <v>2665</v>
      </c>
      <c r="H578" s="56">
        <f>'Ch6'!W340</f>
        <v>0</v>
      </c>
      <c r="J578" s="394"/>
    </row>
    <row r="579" spans="1:10" x14ac:dyDescent="0.2">
      <c r="B579" s="190" t="str">
        <f>IF(LEN('Ch6'!H341)=0,"",'Ch6'!H341)</f>
        <v/>
      </c>
      <c r="C579" s="190" t="str">
        <f t="shared" si="25"/>
        <v/>
      </c>
      <c r="D579" s="70"/>
      <c r="E579" s="388"/>
      <c r="F579" s="347" t="s">
        <v>2198</v>
      </c>
      <c r="G579" s="598" t="s">
        <v>2666</v>
      </c>
      <c r="H579" s="56">
        <f>'Ch6'!W341</f>
        <v>0</v>
      </c>
      <c r="J579" s="649"/>
    </row>
    <row r="580" spans="1:10" x14ac:dyDescent="0.2">
      <c r="B580" s="190" t="str">
        <f>IF(LEN('Ch6'!H342)=0,"",'Ch6'!H342)</f>
        <v/>
      </c>
      <c r="C580" s="190" t="str">
        <f t="shared" si="25"/>
        <v/>
      </c>
      <c r="D580" s="70"/>
      <c r="E580" s="388"/>
      <c r="F580" s="371" t="s">
        <v>2200</v>
      </c>
      <c r="G580" s="598" t="s">
        <v>2667</v>
      </c>
      <c r="H580" s="56">
        <f>'Ch6'!W342</f>
        <v>0</v>
      </c>
      <c r="J580" s="649"/>
    </row>
    <row r="581" spans="1:10" x14ac:dyDescent="0.2">
      <c r="B581" s="190" t="str">
        <f>IF(LEN('Ch6'!H343)=0,"",'Ch6'!H343)</f>
        <v/>
      </c>
      <c r="C581" s="190" t="str">
        <f t="shared" ref="C581:C644" si="26">IF(LEN(B581)=0,IF(A581="P","P",""),B581)</f>
        <v/>
      </c>
      <c r="D581" s="70"/>
      <c r="E581" s="388"/>
      <c r="F581" s="70" t="s">
        <v>2247</v>
      </c>
      <c r="G581" s="598" t="s">
        <v>2668</v>
      </c>
      <c r="H581" s="56">
        <f>'Ch6'!W343</f>
        <v>0</v>
      </c>
      <c r="J581" s="649"/>
    </row>
    <row r="582" spans="1:10" x14ac:dyDescent="0.2">
      <c r="B582" s="190" t="str">
        <f>IF(LEN('Ch6'!H344)=0,"",'Ch6'!H344)</f>
        <v/>
      </c>
      <c r="C582" s="190" t="str">
        <f t="shared" si="26"/>
        <v/>
      </c>
      <c r="D582" s="70"/>
      <c r="E582" s="388"/>
      <c r="F582" s="347" t="s">
        <v>2444</v>
      </c>
      <c r="G582" s="598" t="s">
        <v>2669</v>
      </c>
      <c r="H582" s="56">
        <f>'Ch6'!W344</f>
        <v>0</v>
      </c>
      <c r="J582" s="649"/>
    </row>
    <row r="583" spans="1:10" x14ac:dyDescent="0.2">
      <c r="B583" s="190" t="str">
        <f>IF(LEN('Ch6'!H345)=0,"",'Ch6'!H345)</f>
        <v/>
      </c>
      <c r="C583" s="190" t="str">
        <f t="shared" si="26"/>
        <v/>
      </c>
      <c r="D583" s="70"/>
      <c r="E583" s="388"/>
      <c r="F583" s="347" t="s">
        <v>2540</v>
      </c>
      <c r="G583" s="598" t="s">
        <v>2670</v>
      </c>
      <c r="H583" s="56">
        <f>'Ch6'!W345</f>
        <v>0</v>
      </c>
      <c r="J583" s="649"/>
    </row>
    <row r="584" spans="1:10" x14ac:dyDescent="0.2">
      <c r="B584" s="190" t="str">
        <f>IF(LEN('Ch6'!H346)=0,"",'Ch6'!H346)</f>
        <v/>
      </c>
      <c r="C584" s="190" t="str">
        <f t="shared" si="26"/>
        <v/>
      </c>
      <c r="D584" s="70"/>
      <c r="E584" s="388"/>
      <c r="F584" s="371" t="s">
        <v>2542</v>
      </c>
      <c r="G584" s="598" t="s">
        <v>2671</v>
      </c>
      <c r="H584" s="56">
        <f>'Ch6'!W346</f>
        <v>0</v>
      </c>
      <c r="J584" s="649"/>
    </row>
    <row r="585" spans="1:10" ht="15" customHeight="1" x14ac:dyDescent="0.2">
      <c r="B585" s="190" t="str">
        <f>IF(LEN('Ch6'!H347)=0,"",'Ch6'!H347)</f>
        <v/>
      </c>
      <c r="C585" s="190" t="str">
        <f t="shared" si="26"/>
        <v/>
      </c>
      <c r="D585" s="70"/>
      <c r="E585" s="388"/>
      <c r="F585" s="70" t="s">
        <v>2544</v>
      </c>
      <c r="G585" s="791" t="s">
        <v>2672</v>
      </c>
      <c r="H585" s="56">
        <f>'Ch6'!W347</f>
        <v>0</v>
      </c>
      <c r="J585" s="649"/>
    </row>
    <row r="586" spans="1:10" x14ac:dyDescent="0.2">
      <c r="B586" s="190" t="str">
        <f>IF(LEN('Ch6'!H348)=0,"",'Ch6'!H348)</f>
        <v/>
      </c>
      <c r="C586" s="190" t="str">
        <f t="shared" si="26"/>
        <v/>
      </c>
      <c r="D586" s="70"/>
      <c r="E586" s="388"/>
      <c r="F586" s="70"/>
      <c r="G586" s="791"/>
      <c r="J586" s="649"/>
    </row>
    <row r="587" spans="1:10" x14ac:dyDescent="0.2">
      <c r="B587" s="190" t="str">
        <f>IF(LEN('Ch6'!H349)=0,"",'Ch6'!H349)</f>
        <v/>
      </c>
      <c r="C587" s="190" t="str">
        <f t="shared" si="26"/>
        <v/>
      </c>
      <c r="D587" s="70"/>
      <c r="E587" s="388"/>
      <c r="F587" s="70"/>
      <c r="G587" s="633" t="s">
        <v>2673</v>
      </c>
      <c r="J587" s="650"/>
    </row>
    <row r="588" spans="1:10" ht="15" customHeight="1" x14ac:dyDescent="0.2">
      <c r="B588" s="190" t="str">
        <f>IF(LEN('Ch6'!H350)=0,"",'Ch6'!H350)</f>
        <v/>
      </c>
      <c r="C588" s="190" t="str">
        <f t="shared" si="26"/>
        <v/>
      </c>
      <c r="D588" s="70"/>
      <c r="E588" s="347" t="s">
        <v>2181</v>
      </c>
      <c r="F588" s="388"/>
      <c r="G588" s="791" t="s">
        <v>2674</v>
      </c>
      <c r="J588" s="650"/>
    </row>
    <row r="589" spans="1:10" x14ac:dyDescent="0.2">
      <c r="B589" s="190" t="str">
        <f>IF(LEN('Ch6'!H351)=0,"",'Ch6'!H351)</f>
        <v/>
      </c>
      <c r="C589" s="190" t="str">
        <f t="shared" si="26"/>
        <v/>
      </c>
      <c r="D589" s="70"/>
      <c r="E589" s="160"/>
      <c r="F589" s="160"/>
      <c r="G589" s="792"/>
      <c r="J589" s="650"/>
    </row>
    <row r="590" spans="1:10" ht="15" customHeight="1" x14ac:dyDescent="0.2">
      <c r="B590" s="190" t="str">
        <f>IF(LEN('Ch6'!H352)=0,"",'Ch6'!H352)</f>
        <v/>
      </c>
      <c r="C590" s="190" t="str">
        <f t="shared" si="26"/>
        <v/>
      </c>
      <c r="D590" s="70"/>
      <c r="E590" s="378" t="s">
        <v>2183</v>
      </c>
      <c r="F590" s="379"/>
      <c r="G590" s="831" t="s">
        <v>2675</v>
      </c>
      <c r="J590" s="650"/>
    </row>
    <row r="591" spans="1:10" x14ac:dyDescent="0.2">
      <c r="B591" s="190" t="str">
        <f>IF(LEN('Ch6'!H353)=0,"",'Ch6'!H353)</f>
        <v/>
      </c>
      <c r="C591" s="190" t="str">
        <f t="shared" si="26"/>
        <v/>
      </c>
      <c r="D591" s="70"/>
      <c r="E591" s="160"/>
      <c r="F591" s="160"/>
      <c r="G591" s="792"/>
      <c r="J591" s="650"/>
    </row>
    <row r="592" spans="1:10" ht="15" customHeight="1" x14ac:dyDescent="0.2">
      <c r="B592" s="190" t="str">
        <f>IF(LEN('Ch6'!H354)=0,"",'Ch6'!H354)</f>
        <v/>
      </c>
      <c r="C592" s="190" t="str">
        <f t="shared" si="26"/>
        <v/>
      </c>
      <c r="D592" s="70"/>
      <c r="E592" s="347" t="s">
        <v>2185</v>
      </c>
      <c r="F592" s="388"/>
      <c r="G592" s="791" t="s">
        <v>2676</v>
      </c>
      <c r="J592" s="650"/>
    </row>
    <row r="593" spans="1:10" x14ac:dyDescent="0.2">
      <c r="B593" s="190" t="str">
        <f>IF(LEN('Ch6'!H355)=0,"",'Ch6'!H355)</f>
        <v/>
      </c>
      <c r="C593" s="190" t="str">
        <f t="shared" si="26"/>
        <v/>
      </c>
      <c r="D593" s="70"/>
      <c r="E593" s="388"/>
      <c r="F593" s="388"/>
      <c r="G593" s="791"/>
      <c r="J593" s="650"/>
    </row>
    <row r="594" spans="1:10" ht="15.75" customHeight="1" thickTop="1" x14ac:dyDescent="0.2">
      <c r="A594" s="294" t="str">
        <f>IF(SUM(I605:I608)&gt;0,"P","")</f>
        <v/>
      </c>
      <c r="B594" s="190" t="str">
        <f>IF(LEN('Ch6'!H356)=0,"",'Ch6'!H356)</f>
        <v/>
      </c>
      <c r="C594" s="190" t="str">
        <f t="shared" si="26"/>
        <v/>
      </c>
      <c r="D594" s="75" t="s">
        <v>2678</v>
      </c>
      <c r="E594" s="374"/>
      <c r="F594" s="374"/>
      <c r="G594" s="819" t="s">
        <v>2679</v>
      </c>
      <c r="J594" s="888" t="s">
        <v>3444</v>
      </c>
    </row>
    <row r="595" spans="1:10" x14ac:dyDescent="0.2">
      <c r="A595" s="294" t="str">
        <f>A594</f>
        <v/>
      </c>
      <c r="B595" s="190" t="str">
        <f>IF(LEN('Ch6'!H357)=0,"",'Ch6'!H357)</f>
        <v/>
      </c>
      <c r="C595" s="190" t="str">
        <f t="shared" si="26"/>
        <v/>
      </c>
      <c r="D595" s="70"/>
      <c r="E595" s="388"/>
      <c r="F595" s="388"/>
      <c r="G595" s="820"/>
      <c r="J595" s="888"/>
    </row>
    <row r="596" spans="1:10" x14ac:dyDescent="0.2">
      <c r="B596" s="190" t="str">
        <f>IF(LEN('Ch6'!H358)=0,"",'Ch6'!H358)</f>
        <v/>
      </c>
      <c r="C596" s="190" t="str">
        <f t="shared" si="26"/>
        <v/>
      </c>
      <c r="D596" s="107"/>
      <c r="E596" s="345"/>
      <c r="F596" s="346" t="s">
        <v>2196</v>
      </c>
      <c r="G596" s="632" t="s">
        <v>2680</v>
      </c>
      <c r="J596" s="649"/>
    </row>
    <row r="597" spans="1:10" ht="15" customHeight="1" x14ac:dyDescent="0.2">
      <c r="B597" s="190" t="str">
        <f>IF(LEN('Ch6'!H359)=0,"",'Ch6'!H359)</f>
        <v/>
      </c>
      <c r="C597" s="190" t="str">
        <f t="shared" si="26"/>
        <v/>
      </c>
      <c r="D597" s="107"/>
      <c r="E597" s="345"/>
      <c r="F597" s="346" t="s">
        <v>2198</v>
      </c>
      <c r="G597" s="817" t="s">
        <v>2681</v>
      </c>
      <c r="J597" s="649"/>
    </row>
    <row r="598" spans="1:10" x14ac:dyDescent="0.2">
      <c r="B598" s="190" t="str">
        <f>IF(LEN('Ch6'!H360)=0,"",'Ch6'!H360)</f>
        <v/>
      </c>
      <c r="C598" s="190" t="str">
        <f t="shared" si="26"/>
        <v/>
      </c>
      <c r="D598" s="107"/>
      <c r="E598" s="345"/>
      <c r="F598" s="346"/>
      <c r="G598" s="817"/>
      <c r="J598" s="649"/>
    </row>
    <row r="599" spans="1:10" x14ac:dyDescent="0.2">
      <c r="B599" s="190" t="str">
        <f>IF(LEN('Ch6'!H361)=0,"",'Ch6'!H361)</f>
        <v/>
      </c>
      <c r="C599" s="190" t="str">
        <f t="shared" si="26"/>
        <v/>
      </c>
      <c r="D599" s="107"/>
      <c r="E599" s="345"/>
      <c r="F599" s="346" t="s">
        <v>2200</v>
      </c>
      <c r="G599" s="183" t="s">
        <v>2682</v>
      </c>
      <c r="J599" s="650"/>
    </row>
    <row r="600" spans="1:10" x14ac:dyDescent="0.2">
      <c r="B600" s="190" t="str">
        <f>IF(LEN('Ch6'!H362)=0,"",'Ch6'!H362)</f>
        <v/>
      </c>
      <c r="C600" s="190" t="str">
        <f t="shared" si="26"/>
        <v/>
      </c>
      <c r="D600" s="107"/>
      <c r="E600" s="345"/>
      <c r="F600" s="367" t="s">
        <v>2247</v>
      </c>
      <c r="G600" s="183" t="s">
        <v>2683</v>
      </c>
      <c r="J600" s="650"/>
    </row>
    <row r="601" spans="1:10" x14ac:dyDescent="0.2">
      <c r="B601" s="190" t="str">
        <f>IF(LEN('Ch6'!H363)=0,"",'Ch6'!H363)</f>
        <v/>
      </c>
      <c r="C601" s="190" t="str">
        <f t="shared" si="26"/>
        <v/>
      </c>
      <c r="D601" s="107"/>
      <c r="E601" s="345"/>
      <c r="F601" s="107" t="s">
        <v>2444</v>
      </c>
      <c r="G601" s="183" t="s">
        <v>2684</v>
      </c>
      <c r="J601" s="650"/>
    </row>
    <row r="602" spans="1:10" x14ac:dyDescent="0.2">
      <c r="B602" s="190" t="str">
        <f>IF(LEN('Ch6'!H364)=0,"",'Ch6'!H364)</f>
        <v/>
      </c>
      <c r="C602" s="190" t="str">
        <f t="shared" si="26"/>
        <v/>
      </c>
      <c r="D602" s="107"/>
      <c r="E602" s="345"/>
      <c r="F602" s="346" t="s">
        <v>2540</v>
      </c>
      <c r="G602" s="632" t="s">
        <v>2685</v>
      </c>
      <c r="J602" s="650"/>
    </row>
    <row r="603" spans="1:10" x14ac:dyDescent="0.2">
      <c r="B603" s="190" t="str">
        <f>IF(LEN('Ch6'!H365)=0,"",'Ch6'!H365)</f>
        <v/>
      </c>
      <c r="C603" s="190" t="str">
        <f t="shared" si="26"/>
        <v/>
      </c>
      <c r="D603" s="107"/>
      <c r="E603" s="345"/>
      <c r="F603" s="346" t="s">
        <v>2542</v>
      </c>
      <c r="G603" s="632" t="s">
        <v>2686</v>
      </c>
      <c r="J603" s="650"/>
    </row>
    <row r="604" spans="1:10" x14ac:dyDescent="0.2">
      <c r="B604" s="190" t="str">
        <f>IF(LEN('Ch6'!H366)=0,"",'Ch6'!H366)</f>
        <v/>
      </c>
      <c r="C604" s="190" t="str">
        <f t="shared" si="26"/>
        <v/>
      </c>
      <c r="D604" s="107"/>
      <c r="E604" s="345"/>
      <c r="F604" s="346" t="s">
        <v>2544</v>
      </c>
      <c r="G604" s="632" t="s">
        <v>3445</v>
      </c>
      <c r="J604" s="650"/>
    </row>
    <row r="605" spans="1:10" ht="15" customHeight="1" x14ac:dyDescent="0.2">
      <c r="B605" s="190" t="str">
        <f>IF(LEN('Ch6'!H367)=0,"",'Ch6'!H367)</f>
        <v/>
      </c>
      <c r="C605" s="190" t="str">
        <f t="shared" si="26"/>
        <v/>
      </c>
      <c r="D605" s="107"/>
      <c r="E605" s="347" t="s">
        <v>2181</v>
      </c>
      <c r="F605" s="388"/>
      <c r="G605" s="791" t="s">
        <v>2688</v>
      </c>
      <c r="H605" s="56">
        <f>'Ch6'!W367</f>
        <v>0</v>
      </c>
      <c r="I605" s="56">
        <f>'Ch6'!O367</f>
        <v>0</v>
      </c>
      <c r="J605" s="394"/>
    </row>
    <row r="606" spans="1:10" x14ac:dyDescent="0.2">
      <c r="B606" s="190" t="str">
        <f>IF(LEN('Ch6'!H368)=0,"",'Ch6'!H368)</f>
        <v/>
      </c>
      <c r="C606" s="190" t="str">
        <f t="shared" si="26"/>
        <v/>
      </c>
      <c r="D606" s="107"/>
      <c r="E606" s="347"/>
      <c r="F606" s="388"/>
      <c r="G606" s="791"/>
      <c r="H606" s="56">
        <f>'Ch6'!W368</f>
        <v>0</v>
      </c>
      <c r="J606" s="394"/>
    </row>
    <row r="607" spans="1:10" x14ac:dyDescent="0.2">
      <c r="B607" s="190" t="str">
        <f>IF(LEN('Ch6'!H369)=0,"",'Ch6'!H369)</f>
        <v/>
      </c>
      <c r="C607" s="190" t="str">
        <f t="shared" si="26"/>
        <v/>
      </c>
      <c r="D607" s="107"/>
      <c r="E607" s="366"/>
      <c r="F607" s="160"/>
      <c r="G607" s="634" t="s">
        <v>2689</v>
      </c>
      <c r="J607" s="394"/>
    </row>
    <row r="608" spans="1:10" ht="15" customHeight="1" x14ac:dyDescent="0.2">
      <c r="B608" s="190" t="str">
        <f>IF(LEN('Ch6'!H370)=0,"",'Ch6'!H370)</f>
        <v/>
      </c>
      <c r="C608" s="190" t="str">
        <f t="shared" si="26"/>
        <v/>
      </c>
      <c r="D608" s="107"/>
      <c r="E608" s="346" t="s">
        <v>2183</v>
      </c>
      <c r="F608" s="345"/>
      <c r="G608" s="817" t="s">
        <v>2690</v>
      </c>
      <c r="H608" s="56">
        <f>'Ch6'!W370</f>
        <v>0</v>
      </c>
      <c r="I608" s="56">
        <f>'Ch6'!O370</f>
        <v>0</v>
      </c>
      <c r="J608" s="394"/>
    </row>
    <row r="609" spans="1:10" x14ac:dyDescent="0.2">
      <c r="B609" s="190" t="str">
        <f>IF(LEN('Ch6'!H371)=0,"",'Ch6'!H371)</f>
        <v/>
      </c>
      <c r="C609" s="190" t="str">
        <f t="shared" si="26"/>
        <v/>
      </c>
      <c r="D609" s="107"/>
      <c r="E609" s="345"/>
      <c r="F609" s="345"/>
      <c r="G609" s="817"/>
      <c r="H609" s="56">
        <f>'Ch6'!W371</f>
        <v>0</v>
      </c>
      <c r="J609" s="394"/>
    </row>
    <row r="610" spans="1:10" x14ac:dyDescent="0.2">
      <c r="B610" s="190" t="str">
        <f>IF(LEN('Ch6'!H372)=0,"",'Ch6'!H372)</f>
        <v/>
      </c>
      <c r="C610" s="190" t="str">
        <f t="shared" si="26"/>
        <v/>
      </c>
      <c r="D610" s="107"/>
      <c r="E610" s="345"/>
      <c r="F610" s="345"/>
      <c r="G610" s="629" t="s">
        <v>2689</v>
      </c>
      <c r="J610" s="650"/>
    </row>
    <row r="611" spans="1:10" ht="15.75" customHeight="1" thickTop="1" x14ac:dyDescent="0.2">
      <c r="A611" s="294" t="str">
        <f>IF(AND(LEN('Ch6'!W373)&gt;0,NOT('Ch6'!W373=FALSE)),"P","")</f>
        <v/>
      </c>
      <c r="B611" s="190" t="str">
        <f>IF(LEN('Ch6'!H373)=0,"",'Ch6'!H373)</f>
        <v/>
      </c>
      <c r="C611" s="190" t="str">
        <f t="shared" si="26"/>
        <v/>
      </c>
      <c r="D611" s="75" t="s">
        <v>2691</v>
      </c>
      <c r="E611" s="374"/>
      <c r="F611" s="374"/>
      <c r="G611" s="819" t="s">
        <v>2692</v>
      </c>
      <c r="H611" s="56">
        <f>'Ch6'!W373</f>
        <v>0</v>
      </c>
      <c r="I611" s="56">
        <f ca="1">'Ch6'!O373</f>
        <v>0</v>
      </c>
      <c r="J611" s="888" t="s">
        <v>3446</v>
      </c>
    </row>
    <row r="612" spans="1:10" x14ac:dyDescent="0.2">
      <c r="A612" s="294" t="str">
        <f>A611</f>
        <v/>
      </c>
      <c r="B612" s="190" t="str">
        <f>IF(LEN('Ch6'!H374)=0,"",'Ch6'!H374)</f>
        <v/>
      </c>
      <c r="C612" s="190" t="str">
        <f t="shared" si="26"/>
        <v/>
      </c>
      <c r="D612" s="70"/>
      <c r="E612" s="388"/>
      <c r="F612" s="388"/>
      <c r="G612" s="820"/>
      <c r="J612" s="888"/>
    </row>
    <row r="613" spans="1:10" x14ac:dyDescent="0.2">
      <c r="A613" s="294" t="str">
        <f>A612</f>
        <v/>
      </c>
      <c r="B613" s="190" t="str">
        <f>IF(LEN('Ch6'!H375)=0,"",'Ch6'!H375)</f>
        <v/>
      </c>
      <c r="C613" s="190" t="str">
        <f t="shared" si="26"/>
        <v/>
      </c>
      <c r="D613" s="70"/>
      <c r="E613" s="388"/>
      <c r="F613" s="388"/>
      <c r="G613" s="820"/>
      <c r="J613" s="888"/>
    </row>
    <row r="614" spans="1:10" x14ac:dyDescent="0.2">
      <c r="A614" s="294" t="str">
        <f>A613</f>
        <v/>
      </c>
      <c r="B614" s="190" t="str">
        <f>IF(LEN('Ch6'!H376)=0,"",'Ch6'!H376)</f>
        <v/>
      </c>
      <c r="C614" s="190" t="str">
        <f t="shared" si="26"/>
        <v/>
      </c>
      <c r="D614" s="70"/>
      <c r="E614" s="388"/>
      <c r="F614" s="388"/>
      <c r="G614" s="820"/>
      <c r="J614" s="888"/>
    </row>
    <row r="615" spans="1:10" x14ac:dyDescent="0.2">
      <c r="B615" s="190" t="str">
        <f>IF(LEN('Ch6'!H377)=0,"",'Ch6'!H377)</f>
        <v/>
      </c>
      <c r="C615" s="190" t="str">
        <f t="shared" si="26"/>
        <v/>
      </c>
      <c r="D615" s="70"/>
      <c r="E615" s="388"/>
      <c r="F615" s="388"/>
      <c r="G615" s="631" t="s">
        <v>2693</v>
      </c>
      <c r="J615" s="649"/>
    </row>
    <row r="616" spans="1:10" x14ac:dyDescent="0.2">
      <c r="B616" s="190" t="str">
        <f>IF(LEN('Ch6'!H378)=0,"",'Ch6'!H378)</f>
        <v/>
      </c>
      <c r="C616" s="190" t="str">
        <f t="shared" si="26"/>
        <v/>
      </c>
      <c r="D616" s="70"/>
      <c r="E616" s="388"/>
      <c r="F616" s="388"/>
      <c r="G616" s="633" t="s">
        <v>2694</v>
      </c>
      <c r="J616" s="650"/>
    </row>
    <row r="617" spans="1:10" ht="19" x14ac:dyDescent="0.2">
      <c r="A617" s="294" t="s">
        <v>3343</v>
      </c>
      <c r="B617" s="190" t="str">
        <f>IF(LEN('Ch6'!H379)=0,"",'Ch6'!H379)</f>
        <v/>
      </c>
      <c r="C617" s="190" t="str">
        <f t="shared" si="26"/>
        <v>P</v>
      </c>
      <c r="D617" s="45" t="s">
        <v>2695</v>
      </c>
      <c r="E617" s="45"/>
      <c r="F617" s="45"/>
      <c r="G617" s="180"/>
      <c r="H617" s="180"/>
      <c r="I617" s="180"/>
      <c r="J617" s="400"/>
    </row>
    <row r="618" spans="1:10" ht="15" customHeight="1" x14ac:dyDescent="0.2">
      <c r="A618" s="294" t="str">
        <f>IF(SUM(I620:I622)&gt;0,"P","")</f>
        <v/>
      </c>
      <c r="B618" s="190" t="str">
        <f>IF(LEN('Ch6'!H380)=0,"",'Ch6'!H380)</f>
        <v/>
      </c>
      <c r="C618" s="190" t="str">
        <f t="shared" si="26"/>
        <v/>
      </c>
      <c r="D618" s="107" t="s">
        <v>2696</v>
      </c>
      <c r="E618" s="345"/>
      <c r="F618" s="345"/>
      <c r="G618" s="775" t="s">
        <v>2697</v>
      </c>
      <c r="J618" s="888" t="s">
        <v>3399</v>
      </c>
    </row>
    <row r="619" spans="1:10" x14ac:dyDescent="0.2">
      <c r="A619" s="294" t="str">
        <f>A618</f>
        <v/>
      </c>
      <c r="B619" s="190" t="str">
        <f>IF(LEN('Ch6'!H381)=0,"",'Ch6'!H381)</f>
        <v/>
      </c>
      <c r="C619" s="190" t="str">
        <f t="shared" si="26"/>
        <v/>
      </c>
      <c r="D619" s="107"/>
      <c r="E619" s="345"/>
      <c r="F619" s="345"/>
      <c r="G619" s="775"/>
      <c r="J619" s="888"/>
    </row>
    <row r="620" spans="1:10" ht="15" customHeight="1" x14ac:dyDescent="0.2">
      <c r="B620" s="190" t="str">
        <f>IF(LEN('Ch6'!H382)=0,"",'Ch6'!H382)</f>
        <v/>
      </c>
      <c r="C620" s="190" t="str">
        <f t="shared" si="26"/>
        <v/>
      </c>
      <c r="D620" s="107"/>
      <c r="E620" s="347" t="s">
        <v>2181</v>
      </c>
      <c r="F620" s="388"/>
      <c r="G620" s="791" t="s">
        <v>2698</v>
      </c>
      <c r="H620" s="56">
        <f>'Ch6'!W382</f>
        <v>0</v>
      </c>
      <c r="I620" s="56">
        <f>'Ch6'!O382</f>
        <v>0</v>
      </c>
      <c r="J620" s="394"/>
    </row>
    <row r="621" spans="1:10" x14ac:dyDescent="0.2">
      <c r="B621" s="190" t="str">
        <f>IF(LEN('Ch6'!H383)=0,"",'Ch6'!H383)</f>
        <v/>
      </c>
      <c r="C621" s="190" t="str">
        <f t="shared" si="26"/>
        <v/>
      </c>
      <c r="D621" s="107"/>
      <c r="E621" s="366"/>
      <c r="F621" s="160"/>
      <c r="G621" s="792"/>
      <c r="J621" s="649"/>
    </row>
    <row r="622" spans="1:10" x14ac:dyDescent="0.2">
      <c r="B622" s="190" t="str">
        <f>IF(LEN('Ch6'!H384)=0,"",'Ch6'!H384)</f>
        <v/>
      </c>
      <c r="C622" s="190" t="str">
        <f t="shared" si="26"/>
        <v/>
      </c>
      <c r="D622" s="107"/>
      <c r="E622" s="346" t="s">
        <v>2183</v>
      </c>
      <c r="F622" s="345"/>
      <c r="G622" s="632" t="s">
        <v>2699</v>
      </c>
      <c r="H622" s="56">
        <f>'Ch6'!W384</f>
        <v>0</v>
      </c>
      <c r="I622" s="56">
        <f>'Ch6'!O384</f>
        <v>0</v>
      </c>
      <c r="J622" s="649"/>
    </row>
    <row r="623" spans="1:10" ht="15.75" customHeight="1" thickTop="1" x14ac:dyDescent="0.2">
      <c r="A623" s="294" t="str">
        <f>IF(AND(LEN('Ch6'!W385)&gt;0,NOT('Ch6'!W385=FALSE)),"P","")</f>
        <v/>
      </c>
      <c r="B623" s="190" t="str">
        <f>IF(LEN('Ch6'!H385)=0,"",'Ch6'!H385)</f>
        <v/>
      </c>
      <c r="C623" s="190" t="str">
        <f t="shared" si="26"/>
        <v/>
      </c>
      <c r="D623" s="75" t="s">
        <v>2700</v>
      </c>
      <c r="E623" s="374"/>
      <c r="F623" s="374"/>
      <c r="G623" s="819" t="s">
        <v>2701</v>
      </c>
      <c r="H623" s="56">
        <f>'Ch6'!W385</f>
        <v>0</v>
      </c>
      <c r="I623" s="56">
        <f>'Ch6'!O385</f>
        <v>0</v>
      </c>
      <c r="J623" s="889" t="s">
        <v>3399</v>
      </c>
    </row>
    <row r="624" spans="1:10" x14ac:dyDescent="0.2">
      <c r="A624" s="294" t="str">
        <f>A623</f>
        <v/>
      </c>
      <c r="B624" s="190" t="str">
        <f>IF(LEN('Ch6'!H386)=0,"",'Ch6'!H386)</f>
        <v/>
      </c>
      <c r="C624" s="190" t="str">
        <f t="shared" si="26"/>
        <v/>
      </c>
      <c r="D624" s="70"/>
      <c r="E624" s="388"/>
      <c r="F624" s="388"/>
      <c r="G624" s="820"/>
      <c r="J624" s="889"/>
    </row>
    <row r="625" spans="1:10" ht="19" x14ac:dyDescent="0.2">
      <c r="A625" s="294" t="s">
        <v>3343</v>
      </c>
      <c r="B625" s="190" t="str">
        <f>IF(LEN('Ch6'!H387)=0,"",'Ch6'!H387)</f>
        <v/>
      </c>
      <c r="C625" s="190" t="str">
        <f t="shared" si="26"/>
        <v>P</v>
      </c>
      <c r="D625" s="45" t="s">
        <v>2702</v>
      </c>
      <c r="E625" s="45"/>
      <c r="F625" s="45"/>
      <c r="G625" s="180"/>
      <c r="H625" s="180"/>
      <c r="I625" s="180"/>
      <c r="J625" s="400"/>
    </row>
    <row r="626" spans="1:10" ht="15" customHeight="1" x14ac:dyDescent="0.2">
      <c r="A626" s="294" t="str">
        <f>IF(AND(LEN('Ch6'!W388)&gt;0,NOT('Ch6'!W388=FALSE)),"P","")</f>
        <v/>
      </c>
      <c r="B626" s="190" t="str">
        <f>IF(LEN('Ch6'!H388)=0,"",'Ch6'!H388)</f>
        <v/>
      </c>
      <c r="C626" s="190" t="str">
        <f t="shared" si="26"/>
        <v/>
      </c>
      <c r="D626" s="107" t="s">
        <v>2703</v>
      </c>
      <c r="E626" s="345"/>
      <c r="F626" s="345"/>
      <c r="G626" s="775" t="s">
        <v>2704</v>
      </c>
      <c r="H626" s="56">
        <f>'Ch6'!W388</f>
        <v>0</v>
      </c>
      <c r="I626" s="56">
        <f ca="1">'Ch6'!O388</f>
        <v>0</v>
      </c>
      <c r="J626" s="888" t="s">
        <v>3447</v>
      </c>
    </row>
    <row r="627" spans="1:10" x14ac:dyDescent="0.2">
      <c r="A627" s="294" t="str">
        <f>A626</f>
        <v/>
      </c>
      <c r="B627" s="190" t="str">
        <f>IF(LEN('Ch6'!H389)=0,"",'Ch6'!H389)</f>
        <v/>
      </c>
      <c r="C627" s="190" t="str">
        <f t="shared" si="26"/>
        <v/>
      </c>
      <c r="D627" s="107"/>
      <c r="E627" s="345"/>
      <c r="F627" s="345"/>
      <c r="G627" s="775"/>
      <c r="J627" s="888"/>
    </row>
    <row r="628" spans="1:10" x14ac:dyDescent="0.2">
      <c r="A628" s="294" t="str">
        <f>A627</f>
        <v/>
      </c>
      <c r="B628" s="190" t="str">
        <f>IF(LEN('Ch6'!H390)=0,"",'Ch6'!H390)</f>
        <v/>
      </c>
      <c r="C628" s="190" t="str">
        <f t="shared" si="26"/>
        <v/>
      </c>
      <c r="D628" s="107"/>
      <c r="E628" s="345"/>
      <c r="F628" s="345"/>
      <c r="G628" s="775"/>
      <c r="J628" s="888"/>
    </row>
    <row r="629" spans="1:10" ht="15" customHeight="1" x14ac:dyDescent="0.2">
      <c r="B629" s="190" t="str">
        <f>IF(LEN('Ch6'!H391)=0,"",'Ch6'!H391)</f>
        <v/>
      </c>
      <c r="C629" s="190" t="str">
        <f t="shared" si="26"/>
        <v/>
      </c>
      <c r="D629" s="107"/>
      <c r="E629" s="346" t="s">
        <v>2181</v>
      </c>
      <c r="F629" s="345"/>
      <c r="G629" s="817" t="s">
        <v>2706</v>
      </c>
      <c r="J629" s="649"/>
    </row>
    <row r="630" spans="1:10" x14ac:dyDescent="0.2">
      <c r="B630" s="190" t="str">
        <f>IF(LEN('Ch6'!H392)=0,"",'Ch6'!H392)</f>
        <v/>
      </c>
      <c r="C630" s="190" t="str">
        <f t="shared" si="26"/>
        <v/>
      </c>
      <c r="D630" s="107"/>
      <c r="E630" s="346"/>
      <c r="F630" s="345"/>
      <c r="G630" s="817"/>
      <c r="J630" s="649"/>
    </row>
    <row r="631" spans="1:10" x14ac:dyDescent="0.2">
      <c r="B631" s="190" t="str">
        <f>IF(LEN('Ch6'!H393)=0,"",'Ch6'!H393)</f>
        <v/>
      </c>
      <c r="C631" s="190" t="str">
        <f t="shared" si="26"/>
        <v/>
      </c>
      <c r="D631" s="107"/>
      <c r="E631" s="346" t="s">
        <v>2183</v>
      </c>
      <c r="F631" s="345"/>
      <c r="G631" s="632" t="s">
        <v>2707</v>
      </c>
      <c r="J631" s="649"/>
    </row>
    <row r="632" spans="1:10" x14ac:dyDescent="0.2">
      <c r="B632" s="190" t="str">
        <f>IF(LEN('Ch6'!H394)=0,"",'Ch6'!H394)</f>
        <v/>
      </c>
      <c r="C632" s="190" t="str">
        <f t="shared" si="26"/>
        <v/>
      </c>
      <c r="D632" s="107"/>
      <c r="E632" s="346" t="s">
        <v>2185</v>
      </c>
      <c r="F632" s="345"/>
      <c r="G632" s="632" t="s">
        <v>2708</v>
      </c>
      <c r="J632" s="649"/>
    </row>
    <row r="633" spans="1:10" ht="15" customHeight="1" x14ac:dyDescent="0.2">
      <c r="B633" s="190" t="str">
        <f>IF(LEN('Ch6'!H395)=0,"",'Ch6'!H395)</f>
        <v/>
      </c>
      <c r="C633" s="190" t="str">
        <f t="shared" si="26"/>
        <v/>
      </c>
      <c r="D633" s="107"/>
      <c r="E633" s="346"/>
      <c r="F633" s="345"/>
      <c r="G633" s="618" t="s">
        <v>2709</v>
      </c>
      <c r="J633" s="650"/>
    </row>
    <row r="634" spans="1:10" ht="19" x14ac:dyDescent="0.2">
      <c r="A634" s="294" t="s">
        <v>3343</v>
      </c>
      <c r="B634" s="190" t="str">
        <f>IF(LEN('Ch6'!H396)=0,"",'Ch6'!H396)</f>
        <v/>
      </c>
      <c r="C634" s="190" t="str">
        <f t="shared" si="26"/>
        <v>P</v>
      </c>
      <c r="D634" s="45" t="s">
        <v>2710</v>
      </c>
      <c r="E634" s="45"/>
      <c r="F634" s="45"/>
      <c r="G634" s="180"/>
      <c r="H634" s="180"/>
      <c r="I634" s="180"/>
      <c r="J634" s="400"/>
    </row>
    <row r="635" spans="1:10" ht="15" customHeight="1" x14ac:dyDescent="0.2">
      <c r="A635" s="294" t="str">
        <f ca="1">IF('Ch6'!O397&gt;0,"P","")</f>
        <v/>
      </c>
      <c r="B635" s="190" t="str">
        <f>IF(LEN('Ch6'!H397)=0,"",'Ch6'!H397)</f>
        <v/>
      </c>
      <c r="C635" s="190" t="str">
        <f t="shared" ca="1" si="26"/>
        <v/>
      </c>
      <c r="D635" s="107" t="s">
        <v>2711</v>
      </c>
      <c r="E635" s="345"/>
      <c r="F635" s="345"/>
      <c r="G635" s="775" t="s">
        <v>2712</v>
      </c>
      <c r="I635" s="56">
        <f ca="1">'Ch6'!O397</f>
        <v>0</v>
      </c>
      <c r="J635" s="888" t="s">
        <v>3448</v>
      </c>
    </row>
    <row r="636" spans="1:10" ht="15" customHeight="1" x14ac:dyDescent="0.2">
      <c r="A636" s="294" t="str">
        <f ca="1">A635</f>
        <v/>
      </c>
      <c r="B636" s="190" t="str">
        <f>IF(LEN('Ch6'!H398)=0,"",'Ch6'!H398)</f>
        <v/>
      </c>
      <c r="C636" s="190" t="str">
        <f t="shared" ca="1" si="26"/>
        <v/>
      </c>
      <c r="D636" s="107"/>
      <c r="E636" s="345"/>
      <c r="F636" s="345"/>
      <c r="G636" s="775"/>
      <c r="H636" s="56">
        <f>'Ch6'!W398</f>
        <v>0</v>
      </c>
      <c r="J636" s="888"/>
    </row>
    <row r="637" spans="1:10" ht="15" customHeight="1" x14ac:dyDescent="0.2">
      <c r="B637" s="190" t="str">
        <f>IF(LEN('Ch6'!H399)=0,"",'Ch6'!H399)</f>
        <v/>
      </c>
      <c r="C637" s="190" t="str">
        <f t="shared" si="26"/>
        <v/>
      </c>
      <c r="D637" s="107"/>
      <c r="E637" s="345"/>
      <c r="F637" s="345"/>
      <c r="G637" s="851" t="s">
        <v>2715</v>
      </c>
      <c r="J637" s="394"/>
    </row>
    <row r="638" spans="1:10" x14ac:dyDescent="0.2">
      <c r="B638" s="190" t="str">
        <f>IF(LEN('Ch6'!H400)=0,"",'Ch6'!H400)</f>
        <v/>
      </c>
      <c r="C638" s="190" t="str">
        <f t="shared" si="26"/>
        <v/>
      </c>
      <c r="D638" s="107"/>
      <c r="E638" s="345"/>
      <c r="F638" s="345"/>
      <c r="G638" s="851"/>
      <c r="J638" s="394"/>
    </row>
    <row r="639" spans="1:10" x14ac:dyDescent="0.2">
      <c r="B639" s="190" t="str">
        <f>IF(LEN('Ch6'!H401)=0,"",'Ch6'!H401)</f>
        <v/>
      </c>
      <c r="C639" s="190" t="str">
        <f t="shared" si="26"/>
        <v/>
      </c>
      <c r="D639" s="107"/>
      <c r="E639" s="345"/>
      <c r="F639" s="345"/>
      <c r="G639" s="851"/>
      <c r="H639" s="56">
        <f>'Ch6'!W401</f>
        <v>0</v>
      </c>
      <c r="J639" s="394"/>
    </row>
    <row r="640" spans="1:10" ht="15" customHeight="1" x14ac:dyDescent="0.2">
      <c r="B640" s="190" t="str">
        <f>IF(LEN('Ch6'!H402)=0,"",'Ch6'!H402)</f>
        <v/>
      </c>
      <c r="C640" s="190" t="str">
        <f t="shared" si="26"/>
        <v/>
      </c>
      <c r="D640" s="107"/>
      <c r="E640" s="345"/>
      <c r="F640" s="345"/>
      <c r="G640" s="833" t="s">
        <v>2717</v>
      </c>
      <c r="J640" s="650"/>
    </row>
    <row r="641" spans="1:10" x14ac:dyDescent="0.2">
      <c r="B641" s="190" t="str">
        <f>IF(LEN('Ch6'!H403)=0,"",'Ch6'!H403)</f>
        <v/>
      </c>
      <c r="C641" s="190" t="str">
        <f t="shared" si="26"/>
        <v/>
      </c>
      <c r="D641" s="107"/>
      <c r="E641" s="345"/>
      <c r="F641" s="345"/>
      <c r="G641" s="845"/>
      <c r="J641" s="650"/>
    </row>
    <row r="642" spans="1:10" ht="19" x14ac:dyDescent="0.2">
      <c r="A642" s="294" t="s">
        <v>3343</v>
      </c>
      <c r="B642" s="190" t="str">
        <f>IF(LEN('Ch6'!H404)=0,"",'Ch6'!H404)</f>
        <v/>
      </c>
      <c r="C642" s="190" t="str">
        <f t="shared" si="26"/>
        <v>P</v>
      </c>
      <c r="D642" s="45" t="s">
        <v>2718</v>
      </c>
      <c r="E642" s="45"/>
      <c r="F642" s="45"/>
      <c r="G642" s="180"/>
      <c r="H642" s="180"/>
      <c r="I642" s="180"/>
      <c r="J642" s="400"/>
    </row>
    <row r="643" spans="1:10" ht="15" customHeight="1" x14ac:dyDescent="0.2">
      <c r="B643" s="190" t="str">
        <f>IF(LEN('Ch6'!H405)=0,"",'Ch6'!H405)</f>
        <v/>
      </c>
      <c r="C643" s="190" t="str">
        <f t="shared" si="26"/>
        <v/>
      </c>
      <c r="D643" s="107" t="s">
        <v>2719</v>
      </c>
      <c r="E643" s="345"/>
      <c r="F643" s="345"/>
      <c r="G643" s="775" t="s">
        <v>3449</v>
      </c>
      <c r="J643" s="650"/>
    </row>
    <row r="644" spans="1:10" x14ac:dyDescent="0.2">
      <c r="B644" s="190" t="str">
        <f>IF(LEN('Ch6'!H406)=0,"",'Ch6'!H406)</f>
        <v/>
      </c>
      <c r="C644" s="190" t="str">
        <f t="shared" si="26"/>
        <v/>
      </c>
      <c r="D644" s="107"/>
      <c r="E644" s="345"/>
      <c r="F644" s="345"/>
      <c r="G644" s="775"/>
      <c r="J644" s="650"/>
    </row>
    <row r="645" spans="1:10" x14ac:dyDescent="0.2">
      <c r="B645" s="190" t="str">
        <f>IF(LEN('Ch6'!H407)=0,"",'Ch6'!H407)</f>
        <v/>
      </c>
      <c r="C645" s="190" t="str">
        <f t="shared" ref="C645:C708" si="27">IF(LEN(B645)=0,IF(A645="P","P",""),B645)</f>
        <v/>
      </c>
      <c r="D645" s="107"/>
      <c r="E645" s="345"/>
      <c r="F645" s="345"/>
      <c r="G645" s="775"/>
      <c r="J645" s="650"/>
    </row>
    <row r="646" spans="1:10" x14ac:dyDescent="0.2">
      <c r="B646" s="190" t="str">
        <f>IF(LEN('Ch6'!H408)=0,"",'Ch6'!H408)</f>
        <v/>
      </c>
      <c r="C646" s="190" t="str">
        <f t="shared" si="27"/>
        <v/>
      </c>
      <c r="D646" s="107"/>
      <c r="E646" s="345"/>
      <c r="F646" s="345"/>
      <c r="G646" s="775"/>
      <c r="J646" s="650"/>
    </row>
    <row r="647" spans="1:10" x14ac:dyDescent="0.2">
      <c r="B647" s="190" t="str">
        <f>IF(LEN('Ch6'!H409)=0,"",'Ch6'!H409)</f>
        <v/>
      </c>
      <c r="C647" s="190" t="str">
        <f t="shared" si="27"/>
        <v/>
      </c>
      <c r="D647" s="107"/>
      <c r="E647" s="345"/>
      <c r="F647" s="345"/>
      <c r="G647" s="775"/>
      <c r="J647" s="650"/>
    </row>
    <row r="648" spans="1:10" x14ac:dyDescent="0.2">
      <c r="B648" s="190" t="str">
        <f>IF(LEN('Ch6'!H410)=0,"",'Ch6'!H410)</f>
        <v/>
      </c>
      <c r="C648" s="190" t="str">
        <f t="shared" si="27"/>
        <v/>
      </c>
      <c r="D648" s="107"/>
      <c r="E648" s="345"/>
      <c r="F648" s="345"/>
      <c r="G648" s="775"/>
      <c r="J648" s="650"/>
    </row>
    <row r="649" spans="1:10" ht="15.75" customHeight="1" thickTop="1" x14ac:dyDescent="0.2">
      <c r="A649" s="294" t="str">
        <f>IF(SUM(I651:I667)&gt;0,"P","")</f>
        <v/>
      </c>
      <c r="B649" s="190" t="str">
        <f>IF(LEN('Ch6'!H411)=0,"",'Ch6'!H411)</f>
        <v/>
      </c>
      <c r="C649" s="190" t="str">
        <f t="shared" si="27"/>
        <v/>
      </c>
      <c r="D649" s="75" t="s">
        <v>2722</v>
      </c>
      <c r="E649" s="374"/>
      <c r="F649" s="374"/>
      <c r="G649" s="819" t="s">
        <v>2723</v>
      </c>
      <c r="J649" s="897" t="s">
        <v>3450</v>
      </c>
    </row>
    <row r="650" spans="1:10" x14ac:dyDescent="0.2">
      <c r="A650" s="294" t="str">
        <f>A649</f>
        <v/>
      </c>
      <c r="B650" s="190" t="str">
        <f>IF(LEN('Ch6'!H412)=0,"",'Ch6'!H412)</f>
        <v/>
      </c>
      <c r="C650" s="190" t="str">
        <f t="shared" si="27"/>
        <v/>
      </c>
      <c r="D650" s="70"/>
      <c r="E650" s="388"/>
      <c r="F650" s="388"/>
      <c r="G650" s="820"/>
      <c r="J650" s="897"/>
    </row>
    <row r="651" spans="1:10" ht="15" customHeight="1" x14ac:dyDescent="0.2">
      <c r="B651" s="190" t="str">
        <f>IF(LEN('Ch6'!H413)=0,"",'Ch6'!H413)</f>
        <v/>
      </c>
      <c r="C651" s="190" t="str">
        <f t="shared" si="27"/>
        <v/>
      </c>
      <c r="D651" s="107"/>
      <c r="E651" s="347" t="s">
        <v>2181</v>
      </c>
      <c r="F651" s="388"/>
      <c r="G651" s="791" t="s">
        <v>2724</v>
      </c>
      <c r="H651" s="56">
        <f>'Ch6'!W413</f>
        <v>0</v>
      </c>
      <c r="I651" s="56">
        <f>'Ch6'!O413</f>
        <v>0</v>
      </c>
      <c r="J651" s="394"/>
    </row>
    <row r="652" spans="1:10" x14ac:dyDescent="0.2">
      <c r="B652" s="190" t="str">
        <f>IF(LEN('Ch6'!H414)=0,"",'Ch6'!H414)</f>
        <v/>
      </c>
      <c r="C652" s="190" t="str">
        <f t="shared" si="27"/>
        <v/>
      </c>
      <c r="D652" s="107"/>
      <c r="E652" s="388"/>
      <c r="F652" s="388"/>
      <c r="G652" s="791"/>
      <c r="J652" s="655"/>
    </row>
    <row r="653" spans="1:10" x14ac:dyDescent="0.2">
      <c r="B653" s="190" t="str">
        <f>IF(LEN('Ch6'!H415)=0,"",'Ch6'!H415)</f>
        <v/>
      </c>
      <c r="C653" s="190" t="str">
        <f t="shared" si="27"/>
        <v/>
      </c>
      <c r="D653" s="107"/>
      <c r="E653" s="388"/>
      <c r="F653" s="388"/>
      <c r="G653" s="791"/>
      <c r="J653" s="655"/>
    </row>
    <row r="654" spans="1:10" x14ac:dyDescent="0.2">
      <c r="B654" s="190" t="str">
        <f>IF(LEN('Ch6'!H416)=0,"",'Ch6'!H416)</f>
        <v/>
      </c>
      <c r="C654" s="190" t="str">
        <f t="shared" si="27"/>
        <v/>
      </c>
      <c r="D654" s="107"/>
      <c r="E654" s="388"/>
      <c r="F654" s="347" t="s">
        <v>2196</v>
      </c>
      <c r="G654" s="598" t="s">
        <v>2725</v>
      </c>
      <c r="J654" s="655"/>
    </row>
    <row r="655" spans="1:10" x14ac:dyDescent="0.2">
      <c r="B655" s="190" t="str">
        <f>IF(LEN('Ch6'!H417)=0,"",'Ch6'!H417)</f>
        <v/>
      </c>
      <c r="C655" s="190" t="str">
        <f t="shared" si="27"/>
        <v/>
      </c>
      <c r="D655" s="107"/>
      <c r="E655" s="388"/>
      <c r="F655" s="347" t="s">
        <v>2198</v>
      </c>
      <c r="G655" s="598" t="s">
        <v>2726</v>
      </c>
      <c r="J655" s="655"/>
    </row>
    <row r="656" spans="1:10" x14ac:dyDescent="0.2">
      <c r="B656" s="190" t="str">
        <f>IF(LEN('Ch6'!H418)=0,"",'Ch6'!H418)</f>
        <v/>
      </c>
      <c r="C656" s="190" t="str">
        <f t="shared" si="27"/>
        <v/>
      </c>
      <c r="D656" s="107"/>
      <c r="E656" s="388"/>
      <c r="F656" s="347" t="s">
        <v>2200</v>
      </c>
      <c r="G656" s="598" t="s">
        <v>2727</v>
      </c>
      <c r="J656" s="655"/>
    </row>
    <row r="657" spans="2:10" x14ac:dyDescent="0.2">
      <c r="B657" s="190" t="str">
        <f>IF(LEN('Ch6'!H419)=0,"",'Ch6'!H419)</f>
        <v/>
      </c>
      <c r="C657" s="190" t="str">
        <f t="shared" si="27"/>
        <v/>
      </c>
      <c r="D657" s="107"/>
      <c r="E657" s="388"/>
      <c r="F657" s="371" t="s">
        <v>2247</v>
      </c>
      <c r="G657" s="598" t="s">
        <v>2728</v>
      </c>
      <c r="J657" s="655"/>
    </row>
    <row r="658" spans="2:10" x14ac:dyDescent="0.2">
      <c r="B658" s="190" t="str">
        <f>IF(LEN('Ch6'!H420)=0,"",'Ch6'!H420)</f>
        <v/>
      </c>
      <c r="C658" s="190" t="str">
        <f t="shared" si="27"/>
        <v/>
      </c>
      <c r="D658" s="107"/>
      <c r="E658" s="388"/>
      <c r="F658" s="70" t="s">
        <v>2444</v>
      </c>
      <c r="G658" s="598" t="s">
        <v>2729</v>
      </c>
      <c r="J658" s="655"/>
    </row>
    <row r="659" spans="2:10" x14ac:dyDescent="0.2">
      <c r="B659" s="190" t="str">
        <f>IF(LEN('Ch6'!H421)=0,"",'Ch6'!H421)</f>
        <v/>
      </c>
      <c r="C659" s="190" t="str">
        <f t="shared" si="27"/>
        <v/>
      </c>
      <c r="D659" s="107"/>
      <c r="E659" s="160"/>
      <c r="F659" s="366" t="s">
        <v>2540</v>
      </c>
      <c r="G659" s="599" t="s">
        <v>2730</v>
      </c>
      <c r="J659" s="655"/>
    </row>
    <row r="660" spans="2:10" ht="15" customHeight="1" x14ac:dyDescent="0.2">
      <c r="B660" s="190" t="str">
        <f>IF(LEN('Ch6'!H422)=0,"",'Ch6'!H422)</f>
        <v/>
      </c>
      <c r="C660" s="190" t="str">
        <f t="shared" si="27"/>
        <v/>
      </c>
      <c r="D660" s="107"/>
      <c r="E660" s="378" t="s">
        <v>2183</v>
      </c>
      <c r="F660" s="379"/>
      <c r="G660" s="831" t="s">
        <v>2731</v>
      </c>
      <c r="H660" s="56">
        <f>'Ch6'!W422</f>
        <v>0</v>
      </c>
      <c r="I660" s="56">
        <f>'Ch6'!O422</f>
        <v>0</v>
      </c>
      <c r="J660" s="655"/>
    </row>
    <row r="661" spans="2:10" x14ac:dyDescent="0.2">
      <c r="B661" s="190" t="str">
        <f>IF(LEN('Ch6'!H423)=0,"",'Ch6'!H423)</f>
        <v/>
      </c>
      <c r="C661" s="190" t="str">
        <f t="shared" si="27"/>
        <v/>
      </c>
      <c r="D661" s="107"/>
      <c r="E661" s="388"/>
      <c r="F661" s="388"/>
      <c r="G661" s="791"/>
      <c r="J661" s="655"/>
    </row>
    <row r="662" spans="2:10" x14ac:dyDescent="0.2">
      <c r="B662" s="190" t="str">
        <f>IF(LEN('Ch6'!H424)=0,"",'Ch6'!H424)</f>
        <v/>
      </c>
      <c r="C662" s="190" t="str">
        <f t="shared" si="27"/>
        <v/>
      </c>
      <c r="D662" s="107"/>
      <c r="E662" s="388"/>
      <c r="F662" s="388"/>
      <c r="G662" s="791"/>
      <c r="J662" s="655"/>
    </row>
    <row r="663" spans="2:10" x14ac:dyDescent="0.2">
      <c r="B663" s="190" t="str">
        <f>IF(LEN('Ch6'!H425)=0,"",'Ch6'!H425)</f>
        <v/>
      </c>
      <c r="C663" s="190" t="str">
        <f t="shared" si="27"/>
        <v/>
      </c>
      <c r="D663" s="107"/>
      <c r="E663" s="388"/>
      <c r="F663" s="388"/>
      <c r="G663" s="791"/>
      <c r="J663" s="655"/>
    </row>
    <row r="664" spans="2:10" x14ac:dyDescent="0.2">
      <c r="B664" s="190" t="str">
        <f>IF(LEN('Ch6'!H426)=0,"",'Ch6'!H426)</f>
        <v/>
      </c>
      <c r="C664" s="190" t="str">
        <f t="shared" si="27"/>
        <v/>
      </c>
      <c r="D664" s="107"/>
      <c r="E664" s="388"/>
      <c r="F664" s="388"/>
      <c r="G664" s="791"/>
      <c r="J664" s="655"/>
    </row>
    <row r="665" spans="2:10" x14ac:dyDescent="0.2">
      <c r="B665" s="190" t="str">
        <f>IF(LEN('Ch6'!H427)=0,"",'Ch6'!H427)</f>
        <v/>
      </c>
      <c r="C665" s="190" t="str">
        <f t="shared" si="27"/>
        <v/>
      </c>
      <c r="D665" s="107"/>
      <c r="E665" s="388"/>
      <c r="F665" s="388"/>
      <c r="G665" s="791"/>
      <c r="J665" s="655"/>
    </row>
    <row r="666" spans="2:10" x14ac:dyDescent="0.2">
      <c r="B666" s="190" t="str">
        <f>IF(LEN('Ch6'!H428)=0,"",'Ch6'!H428)</f>
        <v/>
      </c>
      <c r="C666" s="190" t="str">
        <f t="shared" si="27"/>
        <v/>
      </c>
      <c r="D666" s="107"/>
      <c r="E666" s="160"/>
      <c r="F666" s="160"/>
      <c r="G666" s="792"/>
      <c r="J666" s="655"/>
    </row>
    <row r="667" spans="2:10" ht="15" customHeight="1" x14ac:dyDescent="0.2">
      <c r="B667" s="190" t="str">
        <f>IF(LEN('Ch6'!H429)=0,"",'Ch6'!H429)</f>
        <v/>
      </c>
      <c r="C667" s="190" t="str">
        <f t="shared" si="27"/>
        <v/>
      </c>
      <c r="D667" s="107"/>
      <c r="E667" s="346" t="s">
        <v>2185</v>
      </c>
      <c r="F667" s="345"/>
      <c r="G667" s="817" t="s">
        <v>2732</v>
      </c>
      <c r="H667" s="56">
        <f>'Ch6'!W429</f>
        <v>0</v>
      </c>
      <c r="I667" s="56">
        <f>'Ch6'!O429</f>
        <v>0</v>
      </c>
      <c r="J667" s="655"/>
    </row>
    <row r="668" spans="2:10" x14ac:dyDescent="0.2">
      <c r="B668" s="190" t="str">
        <f>IF(LEN('Ch6'!H430)=0,"",'Ch6'!H430)</f>
        <v/>
      </c>
      <c r="C668" s="190" t="str">
        <f t="shared" si="27"/>
        <v/>
      </c>
      <c r="D668" s="107"/>
      <c r="E668" s="345"/>
      <c r="F668" s="345"/>
      <c r="G668" s="817"/>
      <c r="J668" s="655"/>
    </row>
    <row r="669" spans="2:10" ht="15.75" customHeight="1" thickTop="1" x14ac:dyDescent="0.2">
      <c r="B669" s="190" t="str">
        <f>IF(LEN('Ch6'!H431)=0,"",'Ch6'!H431)</f>
        <v/>
      </c>
      <c r="C669" s="190" t="str">
        <f t="shared" si="27"/>
        <v/>
      </c>
      <c r="D669" s="75" t="s">
        <v>2734</v>
      </c>
      <c r="E669" s="374"/>
      <c r="F669" s="374"/>
      <c r="G669" s="819" t="s">
        <v>2735</v>
      </c>
      <c r="I669" s="56">
        <f ca="1">'Ch6'!O431</f>
        <v>0</v>
      </c>
      <c r="J669" s="650"/>
    </row>
    <row r="670" spans="2:10" x14ac:dyDescent="0.2">
      <c r="B670" s="190" t="str">
        <f>IF(LEN('Ch6'!H432)=0,"",'Ch6'!H432)</f>
        <v/>
      </c>
      <c r="C670" s="190" t="str">
        <f t="shared" si="27"/>
        <v/>
      </c>
      <c r="D670" s="70"/>
      <c r="E670" s="388"/>
      <c r="F670" s="388"/>
      <c r="G670" s="820"/>
      <c r="J670" s="650"/>
    </row>
    <row r="671" spans="2:10" x14ac:dyDescent="0.2">
      <c r="B671" s="190" t="str">
        <f>IF(LEN('Ch6'!H433)=0,"",'Ch6'!H433)</f>
        <v/>
      </c>
      <c r="C671" s="190" t="str">
        <f t="shared" si="27"/>
        <v/>
      </c>
      <c r="D671" s="70"/>
      <c r="E671" s="388"/>
      <c r="F671" s="388"/>
      <c r="G671" s="820"/>
      <c r="J671" s="650"/>
    </row>
    <row r="672" spans="2:10" x14ac:dyDescent="0.2">
      <c r="B672" s="190" t="str">
        <f>IF(LEN('Ch6'!H434)=0,"",'Ch6'!H434)</f>
        <v/>
      </c>
      <c r="C672" s="190" t="str">
        <f t="shared" si="27"/>
        <v/>
      </c>
      <c r="D672" s="348"/>
      <c r="E672" s="160"/>
      <c r="F672" s="160"/>
      <c r="G672" s="832"/>
      <c r="J672" s="650"/>
    </row>
    <row r="673" spans="1:10" ht="15" customHeight="1" x14ac:dyDescent="0.2">
      <c r="A673" s="294" t="str">
        <f>IF(OR(H675&lt;&gt;0,H682&lt;&gt;0),"P","")</f>
        <v/>
      </c>
      <c r="B673" s="190" t="str">
        <f>IF(LEN('Ch6'!H435)=0,"",'Ch6'!H435)</f>
        <v/>
      </c>
      <c r="C673" s="190" t="str">
        <f t="shared" si="27"/>
        <v/>
      </c>
      <c r="D673" s="350" t="s">
        <v>2738</v>
      </c>
      <c r="E673" s="379"/>
      <c r="F673" s="379"/>
      <c r="G673" s="847" t="s">
        <v>2739</v>
      </c>
      <c r="J673" s="888" t="s">
        <v>3451</v>
      </c>
    </row>
    <row r="674" spans="1:10" x14ac:dyDescent="0.2">
      <c r="A674" s="294" t="str">
        <f>A673</f>
        <v/>
      </c>
      <c r="B674" s="190" t="str">
        <f>IF(LEN('Ch6'!H436)=0,"",'Ch6'!H436)</f>
        <v/>
      </c>
      <c r="C674" s="190" t="str">
        <f t="shared" si="27"/>
        <v/>
      </c>
      <c r="D674" s="70"/>
      <c r="E674" s="388"/>
      <c r="F674" s="388"/>
      <c r="G674" s="820"/>
      <c r="J674" s="888"/>
    </row>
    <row r="675" spans="1:10" ht="15" customHeight="1" x14ac:dyDescent="0.2">
      <c r="A675" s="294" t="str">
        <f>A674</f>
        <v/>
      </c>
      <c r="B675" s="190" t="str">
        <f>IF(LEN('Ch6'!H437)=0,"",'Ch6'!H437)</f>
        <v/>
      </c>
      <c r="C675" s="190" t="str">
        <f t="shared" si="27"/>
        <v/>
      </c>
      <c r="D675" s="70"/>
      <c r="E675" s="388"/>
      <c r="F675" s="388"/>
      <c r="G675" s="820"/>
      <c r="H675" s="56">
        <f>'Ch6'!W437</f>
        <v>0</v>
      </c>
      <c r="J675" s="888"/>
    </row>
    <row r="676" spans="1:10" x14ac:dyDescent="0.2">
      <c r="B676" s="190" t="str">
        <f>IF(LEN('Ch6'!H438)=0,"",'Ch6'!H438)</f>
        <v/>
      </c>
      <c r="C676" s="190" t="str">
        <f t="shared" si="27"/>
        <v/>
      </c>
      <c r="D676" s="70"/>
      <c r="E676" s="388"/>
      <c r="F676" s="347" t="s">
        <v>2196</v>
      </c>
      <c r="G676" s="598" t="s">
        <v>2725</v>
      </c>
      <c r="J676" s="649"/>
    </row>
    <row r="677" spans="1:10" x14ac:dyDescent="0.2">
      <c r="B677" s="190" t="str">
        <f>IF(LEN('Ch6'!H439)=0,"",'Ch6'!H439)</f>
        <v/>
      </c>
      <c r="C677" s="190" t="str">
        <f t="shared" si="27"/>
        <v/>
      </c>
      <c r="D677" s="70"/>
      <c r="E677" s="388"/>
      <c r="F677" s="347" t="s">
        <v>2198</v>
      </c>
      <c r="G677" s="598" t="s">
        <v>2726</v>
      </c>
      <c r="J677" s="649"/>
    </row>
    <row r="678" spans="1:10" x14ac:dyDescent="0.2">
      <c r="B678" s="190" t="str">
        <f>IF(LEN('Ch6'!H440)=0,"",'Ch6'!H440)</f>
        <v/>
      </c>
      <c r="C678" s="190" t="str">
        <f t="shared" si="27"/>
        <v/>
      </c>
      <c r="D678" s="70"/>
      <c r="E678" s="388"/>
      <c r="F678" s="347" t="s">
        <v>2200</v>
      </c>
      <c r="G678" s="598" t="s">
        <v>2727</v>
      </c>
      <c r="J678" s="649"/>
    </row>
    <row r="679" spans="1:10" x14ac:dyDescent="0.2">
      <c r="B679" s="190" t="str">
        <f>IF(LEN('Ch6'!H441)=0,"",'Ch6'!H441)</f>
        <v/>
      </c>
      <c r="C679" s="190" t="str">
        <f t="shared" si="27"/>
        <v/>
      </c>
      <c r="D679" s="70"/>
      <c r="E679" s="388"/>
      <c r="F679" s="371" t="s">
        <v>2247</v>
      </c>
      <c r="G679" s="598" t="s">
        <v>2728</v>
      </c>
      <c r="J679" s="649"/>
    </row>
    <row r="680" spans="1:10" x14ac:dyDescent="0.2">
      <c r="B680" s="190" t="str">
        <f>IF(LEN('Ch6'!H442)=0,"",'Ch6'!H442)</f>
        <v/>
      </c>
      <c r="C680" s="190" t="str">
        <f t="shared" si="27"/>
        <v/>
      </c>
      <c r="D680" s="70"/>
      <c r="E680" s="388"/>
      <c r="F680" s="70" t="s">
        <v>2444</v>
      </c>
      <c r="G680" s="598" t="s">
        <v>2729</v>
      </c>
      <c r="J680" s="649"/>
    </row>
    <row r="681" spans="1:10" x14ac:dyDescent="0.2">
      <c r="B681" s="190" t="str">
        <f>IF(LEN('Ch6'!H443)=0,"",'Ch6'!H443)</f>
        <v/>
      </c>
      <c r="C681" s="190" t="str">
        <f t="shared" si="27"/>
        <v/>
      </c>
      <c r="D681" s="70"/>
      <c r="E681" s="388"/>
      <c r="F681" s="347" t="s">
        <v>2540</v>
      </c>
      <c r="G681" s="598" t="s">
        <v>2730</v>
      </c>
      <c r="J681" s="649"/>
    </row>
    <row r="682" spans="1:10" ht="15" customHeight="1" x14ac:dyDescent="0.2">
      <c r="B682" s="190" t="str">
        <f>IF(LEN('Ch6'!H444)=0,"",'Ch6'!H444)</f>
        <v/>
      </c>
      <c r="C682" s="190" t="str">
        <f t="shared" si="27"/>
        <v/>
      </c>
      <c r="D682" s="70"/>
      <c r="E682" s="388"/>
      <c r="F682" s="2"/>
      <c r="G682" s="846" t="s">
        <v>2743</v>
      </c>
      <c r="H682" s="56">
        <f>'Ch6'!W444</f>
        <v>0</v>
      </c>
      <c r="J682" s="649"/>
    </row>
    <row r="683" spans="1:10" x14ac:dyDescent="0.2">
      <c r="B683" s="190" t="str">
        <f>IF(LEN('Ch6'!H445)=0,"",'Ch6'!H445)</f>
        <v/>
      </c>
      <c r="C683" s="190" t="str">
        <f t="shared" si="27"/>
        <v/>
      </c>
      <c r="D683" s="70"/>
      <c r="E683" s="388"/>
      <c r="F683" s="621"/>
      <c r="G683" s="846"/>
      <c r="J683" s="649"/>
    </row>
    <row r="684" spans="1:10" x14ac:dyDescent="0.2">
      <c r="B684" s="190" t="str">
        <f>IF(LEN('Ch6'!H446)=0,"",'Ch6'!H446)</f>
        <v/>
      </c>
      <c r="C684" s="190" t="str">
        <f t="shared" si="27"/>
        <v/>
      </c>
      <c r="D684" s="70"/>
      <c r="E684" s="388"/>
      <c r="F684" s="621"/>
      <c r="G684" s="846"/>
      <c r="J684" s="649"/>
    </row>
    <row r="685" spans="1:10" ht="15" customHeight="1" x14ac:dyDescent="0.2">
      <c r="B685" s="190" t="str">
        <f>IF(LEN('Ch6'!H447)=0,"",'Ch6'!H447)</f>
        <v/>
      </c>
      <c r="C685" s="190" t="str">
        <f t="shared" si="27"/>
        <v/>
      </c>
      <c r="D685" s="70"/>
      <c r="E685" s="388"/>
      <c r="F685" s="621"/>
      <c r="G685" s="849" t="s">
        <v>2744</v>
      </c>
      <c r="J685" s="650"/>
    </row>
    <row r="686" spans="1:10" x14ac:dyDescent="0.2">
      <c r="B686" s="190" t="str">
        <f>IF(LEN('Ch6'!H448)=0,"",'Ch6'!H448)</f>
        <v/>
      </c>
      <c r="C686" s="190" t="str">
        <f t="shared" si="27"/>
        <v/>
      </c>
      <c r="D686" s="348"/>
      <c r="E686" s="160"/>
      <c r="F686" s="628"/>
      <c r="G686" s="850"/>
      <c r="J686" s="650"/>
    </row>
    <row r="687" spans="1:10" ht="15" customHeight="1" x14ac:dyDescent="0.2">
      <c r="A687" s="294" t="str">
        <f>IF(OR(H688&lt;&gt;0,H694&lt;&gt;0,H700&lt;&gt;0,H706&lt;&gt;0),"P","")</f>
        <v/>
      </c>
      <c r="B687" s="190" t="str">
        <f>IF(LEN('Ch6'!H449)=0,"",'Ch6'!H449)</f>
        <v/>
      </c>
      <c r="C687" s="190" t="str">
        <f t="shared" si="27"/>
        <v/>
      </c>
      <c r="D687" s="107" t="s">
        <v>2746</v>
      </c>
      <c r="E687" s="345"/>
      <c r="F687" s="345"/>
      <c r="G687" s="775" t="s">
        <v>2747</v>
      </c>
      <c r="J687" s="888" t="s">
        <v>3452</v>
      </c>
    </row>
    <row r="688" spans="1:10" ht="15" customHeight="1" x14ac:dyDescent="0.2">
      <c r="A688" s="294" t="str">
        <f t="shared" ref="A688:A694" si="28">A687</f>
        <v/>
      </c>
      <c r="B688" s="190" t="str">
        <f>IF(LEN('Ch6'!H450)=0,"",'Ch6'!H450)</f>
        <v/>
      </c>
      <c r="C688" s="190" t="str">
        <f t="shared" si="27"/>
        <v/>
      </c>
      <c r="D688" s="107"/>
      <c r="E688" s="345"/>
      <c r="F688" s="345"/>
      <c r="G688" s="775"/>
      <c r="H688" s="56">
        <f>'Ch6'!W450</f>
        <v>0</v>
      </c>
      <c r="J688" s="888"/>
    </row>
    <row r="689" spans="1:10" x14ac:dyDescent="0.2">
      <c r="A689" s="294" t="str">
        <f t="shared" si="28"/>
        <v/>
      </c>
      <c r="B689" s="190" t="str">
        <f>IF(LEN('Ch6'!H451)=0,"",'Ch6'!H451)</f>
        <v/>
      </c>
      <c r="C689" s="190" t="str">
        <f t="shared" si="27"/>
        <v/>
      </c>
      <c r="D689" s="107"/>
      <c r="E689" s="345"/>
      <c r="F689" s="345"/>
      <c r="G689" s="775"/>
      <c r="J689" s="888"/>
    </row>
    <row r="690" spans="1:10" x14ac:dyDescent="0.2">
      <c r="A690" s="294" t="str">
        <f t="shared" si="28"/>
        <v/>
      </c>
      <c r="B690" s="190" t="str">
        <f>IF(LEN('Ch6'!H452)=0,"",'Ch6'!H452)</f>
        <v/>
      </c>
      <c r="C690" s="190" t="str">
        <f t="shared" si="27"/>
        <v/>
      </c>
      <c r="D690" s="107"/>
      <c r="E690" s="345"/>
      <c r="F690" s="345"/>
      <c r="G690" s="775"/>
      <c r="J690" s="888"/>
    </row>
    <row r="691" spans="1:10" x14ac:dyDescent="0.2">
      <c r="A691" s="294" t="str">
        <f t="shared" si="28"/>
        <v/>
      </c>
      <c r="B691" s="190" t="str">
        <f>IF(LEN('Ch6'!H453)=0,"",'Ch6'!H453)</f>
        <v/>
      </c>
      <c r="C691" s="190" t="str">
        <f t="shared" si="27"/>
        <v/>
      </c>
      <c r="D691" s="107"/>
      <c r="E691" s="345"/>
      <c r="F691" s="345"/>
      <c r="G691" s="775"/>
      <c r="J691" s="888"/>
    </row>
    <row r="692" spans="1:10" x14ac:dyDescent="0.2">
      <c r="A692" s="294" t="str">
        <f t="shared" si="28"/>
        <v/>
      </c>
      <c r="B692" s="190" t="str">
        <f>IF(LEN('Ch6'!H454)=0,"",'Ch6'!H454)</f>
        <v/>
      </c>
      <c r="C692" s="190" t="str">
        <f t="shared" si="27"/>
        <v/>
      </c>
      <c r="D692" s="107"/>
      <c r="E692" s="345"/>
      <c r="F692" s="345"/>
      <c r="G692" s="775"/>
      <c r="J692" s="888"/>
    </row>
    <row r="693" spans="1:10" x14ac:dyDescent="0.2">
      <c r="A693" s="294" t="str">
        <f t="shared" si="28"/>
        <v/>
      </c>
      <c r="B693" s="190" t="str">
        <f>IF(LEN('Ch6'!H455)=0,"",'Ch6'!H455)</f>
        <v/>
      </c>
      <c r="C693" s="190" t="str">
        <f t="shared" si="27"/>
        <v/>
      </c>
      <c r="D693" s="107"/>
      <c r="E693" s="345"/>
      <c r="F693" s="345"/>
      <c r="G693" s="775"/>
      <c r="J693" s="888"/>
    </row>
    <row r="694" spans="1:10" x14ac:dyDescent="0.2">
      <c r="A694" s="294" t="str">
        <f t="shared" si="28"/>
        <v/>
      </c>
      <c r="B694" s="190" t="str">
        <f>IF(LEN('Ch6'!H456)=0,"",'Ch6'!H456)</f>
        <v/>
      </c>
      <c r="C694" s="190" t="str">
        <f t="shared" si="27"/>
        <v/>
      </c>
      <c r="D694" s="107"/>
      <c r="E694" s="345"/>
      <c r="F694" s="345"/>
      <c r="G694" s="775"/>
      <c r="H694" s="56">
        <f>'Ch6'!W456</f>
        <v>0</v>
      </c>
      <c r="J694" s="888"/>
    </row>
    <row r="695" spans="1:10" x14ac:dyDescent="0.2">
      <c r="B695" s="190" t="str">
        <f>IF(LEN('Ch6'!H457)=0,"",'Ch6'!H457)</f>
        <v/>
      </c>
      <c r="C695" s="190" t="str">
        <f t="shared" si="27"/>
        <v/>
      </c>
      <c r="D695" s="107"/>
      <c r="E695" s="345"/>
      <c r="F695" s="346" t="s">
        <v>2196</v>
      </c>
      <c r="G695" s="632" t="s">
        <v>2751</v>
      </c>
      <c r="J695" s="649"/>
    </row>
    <row r="696" spans="1:10" x14ac:dyDescent="0.2">
      <c r="B696" s="190" t="str">
        <f>IF(LEN('Ch6'!H458)=0,"",'Ch6'!H458)</f>
        <v/>
      </c>
      <c r="C696" s="190" t="str">
        <f t="shared" si="27"/>
        <v/>
      </c>
      <c r="D696" s="107"/>
      <c r="E696" s="345"/>
      <c r="F696" s="346" t="s">
        <v>2198</v>
      </c>
      <c r="G696" s="632" t="s">
        <v>2752</v>
      </c>
      <c r="J696" s="649"/>
    </row>
    <row r="697" spans="1:10" x14ac:dyDescent="0.2">
      <c r="B697" s="190" t="str">
        <f>IF(LEN('Ch6'!H459)=0,"",'Ch6'!H459)</f>
        <v/>
      </c>
      <c r="C697" s="190" t="str">
        <f t="shared" si="27"/>
        <v/>
      </c>
      <c r="D697" s="107"/>
      <c r="E697" s="345"/>
      <c r="F697" s="346" t="s">
        <v>2200</v>
      </c>
      <c r="G697" s="632" t="s">
        <v>2753</v>
      </c>
      <c r="J697" s="649"/>
    </row>
    <row r="698" spans="1:10" x14ac:dyDescent="0.2">
      <c r="B698" s="190" t="str">
        <f>IF(LEN('Ch6'!H460)=0,"",'Ch6'!H460)</f>
        <v/>
      </c>
      <c r="C698" s="190" t="str">
        <f t="shared" si="27"/>
        <v/>
      </c>
      <c r="D698" s="107"/>
      <c r="E698" s="345"/>
      <c r="F698" s="367" t="s">
        <v>2247</v>
      </c>
      <c r="G698" s="632" t="s">
        <v>2754</v>
      </c>
      <c r="J698" s="649"/>
    </row>
    <row r="699" spans="1:10" ht="15" customHeight="1" x14ac:dyDescent="0.2">
      <c r="B699" s="190" t="str">
        <f>IF(LEN('Ch6'!H461)=0,"",'Ch6'!H461)</f>
        <v/>
      </c>
      <c r="C699" s="190" t="str">
        <f t="shared" si="27"/>
        <v/>
      </c>
      <c r="D699" s="107"/>
      <c r="E699" s="345"/>
      <c r="F699" s="345"/>
      <c r="G699" s="848" t="s">
        <v>2755</v>
      </c>
      <c r="J699" s="649"/>
    </row>
    <row r="700" spans="1:10" x14ac:dyDescent="0.2">
      <c r="B700" s="190" t="str">
        <f>IF(LEN('Ch6'!H462)=0,"",'Ch6'!H462)</f>
        <v/>
      </c>
      <c r="C700" s="190" t="str">
        <f t="shared" si="27"/>
        <v/>
      </c>
      <c r="D700" s="107"/>
      <c r="E700" s="345"/>
      <c r="F700" s="345"/>
      <c r="G700" s="848"/>
      <c r="H700" s="56">
        <f>'Ch6'!W462</f>
        <v>0</v>
      </c>
      <c r="J700" s="649"/>
    </row>
    <row r="701" spans="1:10" x14ac:dyDescent="0.2">
      <c r="B701" s="190" t="str">
        <f>IF(LEN('Ch6'!H463)=0,"",'Ch6'!H463)</f>
        <v/>
      </c>
      <c r="C701" s="190" t="str">
        <f t="shared" si="27"/>
        <v/>
      </c>
      <c r="D701" s="107"/>
      <c r="E701" s="345"/>
      <c r="F701" s="346" t="s">
        <v>2196</v>
      </c>
      <c r="G701" s="632" t="s">
        <v>2725</v>
      </c>
      <c r="J701" s="649"/>
    </row>
    <row r="702" spans="1:10" x14ac:dyDescent="0.2">
      <c r="B702" s="190" t="str">
        <f>IF(LEN('Ch6'!H464)=0,"",'Ch6'!H464)</f>
        <v/>
      </c>
      <c r="C702" s="190" t="str">
        <f t="shared" si="27"/>
        <v/>
      </c>
      <c r="D702" s="107"/>
      <c r="E702" s="345"/>
      <c r="F702" s="346" t="s">
        <v>2198</v>
      </c>
      <c r="G702" s="632" t="s">
        <v>2726</v>
      </c>
      <c r="J702" s="649"/>
    </row>
    <row r="703" spans="1:10" x14ac:dyDescent="0.2">
      <c r="B703" s="190" t="str">
        <f>IF(LEN('Ch6'!H465)=0,"",'Ch6'!H465)</f>
        <v/>
      </c>
      <c r="C703" s="190" t="str">
        <f t="shared" si="27"/>
        <v/>
      </c>
      <c r="D703" s="107"/>
      <c r="E703" s="345"/>
      <c r="F703" s="346" t="s">
        <v>2200</v>
      </c>
      <c r="G703" s="632" t="s">
        <v>2727</v>
      </c>
      <c r="J703" s="649"/>
    </row>
    <row r="704" spans="1:10" x14ac:dyDescent="0.2">
      <c r="B704" s="190" t="str">
        <f>IF(LEN('Ch6'!H466)=0,"",'Ch6'!H466)</f>
        <v/>
      </c>
      <c r="C704" s="190" t="str">
        <f t="shared" si="27"/>
        <v/>
      </c>
      <c r="D704" s="107"/>
      <c r="E704" s="345"/>
      <c r="F704" s="367" t="s">
        <v>2247</v>
      </c>
      <c r="G704" s="632" t="s">
        <v>2728</v>
      </c>
      <c r="J704" s="649"/>
    </row>
    <row r="705" spans="1:10" x14ac:dyDescent="0.2">
      <c r="B705" s="190" t="str">
        <f>IF(LEN('Ch6'!H467)=0,"",'Ch6'!H467)</f>
        <v/>
      </c>
      <c r="C705" s="190" t="str">
        <f t="shared" si="27"/>
        <v/>
      </c>
      <c r="D705" s="107"/>
      <c r="E705" s="345"/>
      <c r="F705" s="107" t="s">
        <v>2444</v>
      </c>
      <c r="G705" s="632" t="s">
        <v>2729</v>
      </c>
      <c r="J705" s="649"/>
    </row>
    <row r="706" spans="1:10" x14ac:dyDescent="0.2">
      <c r="B706" s="190" t="str">
        <f>IF(LEN('Ch6'!H468)=0,"",'Ch6'!H468)</f>
        <v/>
      </c>
      <c r="C706" s="190" t="str">
        <f t="shared" si="27"/>
        <v/>
      </c>
      <c r="D706" s="107"/>
      <c r="E706" s="345"/>
      <c r="F706" s="346" t="s">
        <v>2540</v>
      </c>
      <c r="G706" s="632" t="s">
        <v>2730</v>
      </c>
      <c r="H706" s="56">
        <f>'Ch6'!W468</f>
        <v>0</v>
      </c>
      <c r="J706" s="649"/>
    </row>
    <row r="707" spans="1:10" ht="15" customHeight="1" x14ac:dyDescent="0.2">
      <c r="B707" s="190" t="str">
        <f>IF(LEN('Ch6'!H469)=0,"",'Ch6'!H469)</f>
        <v/>
      </c>
      <c r="C707" s="190" t="str">
        <f t="shared" si="27"/>
        <v/>
      </c>
      <c r="D707" s="107"/>
      <c r="E707" s="345"/>
      <c r="F707" s="345"/>
      <c r="G707" s="851" t="s">
        <v>2758</v>
      </c>
      <c r="J707" s="649"/>
    </row>
    <row r="708" spans="1:10" x14ac:dyDescent="0.2">
      <c r="B708" s="190" t="str">
        <f>IF(LEN('Ch6'!H470)=0,"",'Ch6'!H470)</f>
        <v/>
      </c>
      <c r="C708" s="190" t="str">
        <f t="shared" si="27"/>
        <v/>
      </c>
      <c r="D708" s="107"/>
      <c r="E708" s="345"/>
      <c r="F708" s="345"/>
      <c r="G708" s="851"/>
      <c r="J708" s="649"/>
    </row>
    <row r="709" spans="1:10" ht="15" customHeight="1" x14ac:dyDescent="0.2">
      <c r="B709" s="190" t="str">
        <f>IF(LEN('Ch6'!H471)=0,"",'Ch6'!H471)</f>
        <v/>
      </c>
      <c r="C709" s="190" t="str">
        <f t="shared" ref="C709:C772" si="29">IF(LEN(B709)=0,IF(A709="P","P",""),B709)</f>
        <v/>
      </c>
      <c r="D709" s="107"/>
      <c r="E709" s="345"/>
      <c r="F709" s="345"/>
      <c r="G709" s="833" t="s">
        <v>2759</v>
      </c>
      <c r="J709" s="650"/>
    </row>
    <row r="710" spans="1:10" x14ac:dyDescent="0.2">
      <c r="B710" s="190" t="str">
        <f>IF(LEN('Ch6'!H472)=0,"",'Ch6'!H472)</f>
        <v/>
      </c>
      <c r="C710" s="190" t="str">
        <f t="shared" si="29"/>
        <v/>
      </c>
      <c r="D710" s="107"/>
      <c r="E710" s="345"/>
      <c r="F710" s="345"/>
      <c r="G710" s="845"/>
      <c r="J710" s="650"/>
    </row>
    <row r="711" spans="1:10" ht="19" x14ac:dyDescent="0.2">
      <c r="A711" s="294" t="s">
        <v>3343</v>
      </c>
      <c r="B711" s="190" t="str">
        <f>IF(LEN('Ch6'!H473)=0,"",'Ch6'!H473)</f>
        <v/>
      </c>
      <c r="C711" s="190" t="str">
        <f t="shared" si="29"/>
        <v>P</v>
      </c>
      <c r="D711" s="45" t="s">
        <v>2760</v>
      </c>
      <c r="E711" s="45"/>
      <c r="F711" s="45"/>
      <c r="G711" s="180"/>
      <c r="H711" s="180"/>
      <c r="I711" s="180"/>
      <c r="J711" s="400"/>
    </row>
    <row r="712" spans="1:10" ht="15" customHeight="1" x14ac:dyDescent="0.2">
      <c r="A712" s="294" t="str">
        <f>IF(AND(LEN('Ch6'!W474)&gt;0,NOT('Ch6'!W474=FALSE)),"P","")</f>
        <v/>
      </c>
      <c r="B712" s="190" t="str">
        <f>IF(LEN('Ch6'!H474)=0,"",'Ch6'!H474)</f>
        <v/>
      </c>
      <c r="C712" s="190" t="str">
        <f t="shared" si="29"/>
        <v/>
      </c>
      <c r="D712" s="107" t="s">
        <v>2761</v>
      </c>
      <c r="E712" s="345"/>
      <c r="F712" s="345"/>
      <c r="G712" s="775" t="s">
        <v>2762</v>
      </c>
      <c r="H712" s="56">
        <f>'Ch6'!W474</f>
        <v>0</v>
      </c>
      <c r="I712" s="56">
        <f ca="1">'Ch6'!O474</f>
        <v>0</v>
      </c>
      <c r="J712" s="888" t="s">
        <v>3453</v>
      </c>
    </row>
    <row r="713" spans="1:10" x14ac:dyDescent="0.2">
      <c r="A713" s="294" t="str">
        <f>A712</f>
        <v/>
      </c>
      <c r="B713" s="190" t="str">
        <f>IF(LEN('Ch6'!H475)=0,"",'Ch6'!H475)</f>
        <v/>
      </c>
      <c r="C713" s="190" t="str">
        <f t="shared" si="29"/>
        <v/>
      </c>
      <c r="D713" s="107"/>
      <c r="E713" s="345"/>
      <c r="F713" s="345"/>
      <c r="G713" s="775"/>
      <c r="J713" s="888"/>
    </row>
    <row r="714" spans="1:10" x14ac:dyDescent="0.2">
      <c r="A714" s="294" t="str">
        <f>A713</f>
        <v/>
      </c>
      <c r="B714" s="190" t="str">
        <f>IF(LEN('Ch6'!H476)=0,"",'Ch6'!H476)</f>
        <v/>
      </c>
      <c r="C714" s="190" t="str">
        <f t="shared" si="29"/>
        <v/>
      </c>
      <c r="D714" s="107"/>
      <c r="E714" s="345"/>
      <c r="F714" s="345"/>
      <c r="G714" s="775"/>
      <c r="J714" s="888"/>
    </row>
    <row r="715" spans="1:10" x14ac:dyDescent="0.2">
      <c r="A715" s="294" t="str">
        <f>A714</f>
        <v/>
      </c>
      <c r="B715" s="190" t="str">
        <f>IF(LEN('Ch6'!H477)=0,"",'Ch6'!H477)</f>
        <v/>
      </c>
      <c r="C715" s="190" t="str">
        <f t="shared" si="29"/>
        <v/>
      </c>
      <c r="D715" s="107"/>
      <c r="E715" s="345"/>
      <c r="F715" s="345"/>
      <c r="G715" s="775"/>
      <c r="J715" s="888"/>
    </row>
    <row r="716" spans="1:10" x14ac:dyDescent="0.2">
      <c r="A716" s="294" t="str">
        <f>A715</f>
        <v/>
      </c>
      <c r="B716" s="190" t="str">
        <f>IF(LEN('Ch6'!H478)=0,"",'Ch6'!H478)</f>
        <v/>
      </c>
      <c r="C716" s="190" t="str">
        <f t="shared" si="29"/>
        <v/>
      </c>
      <c r="D716" s="107"/>
      <c r="E716" s="345"/>
      <c r="F716" s="345"/>
      <c r="G716" s="775"/>
      <c r="J716" s="888"/>
    </row>
    <row r="717" spans="1:10" x14ac:dyDescent="0.2">
      <c r="B717" s="190" t="str">
        <f>IF(LEN('Ch6'!H479)=0,"",'Ch6'!H479)</f>
        <v/>
      </c>
      <c r="C717" s="190" t="str">
        <f t="shared" si="29"/>
        <v/>
      </c>
      <c r="D717" s="107"/>
      <c r="E717" s="345"/>
      <c r="F717" s="345"/>
      <c r="G717" s="288" t="s">
        <v>2764</v>
      </c>
      <c r="J717" s="650"/>
    </row>
    <row r="718" spans="1:10" ht="15" customHeight="1" x14ac:dyDescent="0.2">
      <c r="B718" s="190" t="str">
        <f>IF(LEN('Ch6'!H480)=0,"",'Ch6'!H480)</f>
        <v/>
      </c>
      <c r="C718" s="190" t="str">
        <f t="shared" si="29"/>
        <v/>
      </c>
      <c r="D718" s="107"/>
      <c r="E718" s="345"/>
      <c r="F718" s="345"/>
      <c r="G718" s="816" t="s">
        <v>2765</v>
      </c>
      <c r="J718" s="650"/>
    </row>
    <row r="719" spans="1:10" x14ac:dyDescent="0.2">
      <c r="B719" s="190" t="str">
        <f>IF(LEN('Ch6'!H481)=0,"",'Ch6'!H481)</f>
        <v/>
      </c>
      <c r="C719" s="190" t="str">
        <f t="shared" si="29"/>
        <v/>
      </c>
      <c r="D719" s="107"/>
      <c r="E719" s="345"/>
      <c r="F719" s="345"/>
      <c r="G719" s="833"/>
      <c r="J719" s="650"/>
    </row>
    <row r="720" spans="1:10" ht="15.75" customHeight="1" thickTop="1" x14ac:dyDescent="0.2">
      <c r="A720" s="294" t="str">
        <f>IF('Ch6'!O482&gt;0,"P","")</f>
        <v/>
      </c>
      <c r="B720" s="190" t="str">
        <f>IF(LEN('Ch6'!H482)=0,"",'Ch6'!H482)</f>
        <v/>
      </c>
      <c r="C720" s="190" t="str">
        <f t="shared" si="29"/>
        <v/>
      </c>
      <c r="D720" s="75" t="s">
        <v>2766</v>
      </c>
      <c r="E720" s="374"/>
      <c r="F720" s="374"/>
      <c r="G720" s="819" t="s">
        <v>2767</v>
      </c>
      <c r="I720" s="56">
        <f>'Ch6'!O482</f>
        <v>0</v>
      </c>
      <c r="J720" s="888" t="s">
        <v>3454</v>
      </c>
    </row>
    <row r="721" spans="1:10" x14ac:dyDescent="0.2">
      <c r="A721" s="294" t="str">
        <f>A720</f>
        <v/>
      </c>
      <c r="B721" s="190" t="str">
        <f>IF(LEN('Ch6'!H483)=0,"",'Ch6'!H483)</f>
        <v/>
      </c>
      <c r="C721" s="190" t="str">
        <f t="shared" si="29"/>
        <v/>
      </c>
      <c r="D721" s="70"/>
      <c r="E721" s="388"/>
      <c r="F721" s="388"/>
      <c r="G721" s="820"/>
      <c r="J721" s="888"/>
    </row>
    <row r="722" spans="1:10" x14ac:dyDescent="0.2">
      <c r="A722" s="294" t="str">
        <f>A721</f>
        <v/>
      </c>
      <c r="B722" s="190" t="str">
        <f>IF(LEN('Ch6'!H484)=0,"",'Ch6'!H484)</f>
        <v/>
      </c>
      <c r="C722" s="190" t="str">
        <f t="shared" si="29"/>
        <v/>
      </c>
      <c r="D722" s="70"/>
      <c r="E722" s="388"/>
      <c r="F722" s="388"/>
      <c r="G722" s="820"/>
      <c r="J722" s="888"/>
    </row>
    <row r="723" spans="1:10" x14ac:dyDescent="0.2">
      <c r="B723" s="190" t="str">
        <f>IF(LEN('Ch6'!H485)=0,"",'Ch6'!H485)</f>
        <v/>
      </c>
      <c r="C723" s="190" t="str">
        <f t="shared" si="29"/>
        <v/>
      </c>
      <c r="D723" s="107"/>
      <c r="E723" s="366" t="s">
        <v>2181</v>
      </c>
      <c r="F723" s="160"/>
      <c r="G723" s="599" t="s">
        <v>2769</v>
      </c>
      <c r="H723" s="56">
        <f>'Ch6'!W485</f>
        <v>0</v>
      </c>
      <c r="J723" s="394"/>
    </row>
    <row r="724" spans="1:10" x14ac:dyDescent="0.2">
      <c r="B724" s="190" t="str">
        <f>IF(LEN('Ch6'!H486)=0,"",'Ch6'!H486)</f>
        <v/>
      </c>
      <c r="C724" s="190" t="str">
        <f t="shared" si="29"/>
        <v/>
      </c>
      <c r="D724" s="107"/>
      <c r="E724" s="375" t="s">
        <v>2183</v>
      </c>
      <c r="F724" s="163"/>
      <c r="G724" s="205" t="s">
        <v>2770</v>
      </c>
      <c r="H724" s="56">
        <f>'Ch6'!W486</f>
        <v>0</v>
      </c>
      <c r="J724" s="649"/>
    </row>
    <row r="725" spans="1:10" x14ac:dyDescent="0.2">
      <c r="B725" s="190" t="str">
        <f>IF(LEN('Ch6'!H487)=0,"",'Ch6'!H487)</f>
        <v/>
      </c>
      <c r="C725" s="190" t="str">
        <f t="shared" si="29"/>
        <v/>
      </c>
      <c r="D725" s="107"/>
      <c r="E725" s="375" t="s">
        <v>2185</v>
      </c>
      <c r="F725" s="163"/>
      <c r="G725" s="205" t="s">
        <v>2771</v>
      </c>
      <c r="H725" s="56">
        <f>'Ch6'!W487</f>
        <v>0</v>
      </c>
      <c r="J725" s="649"/>
    </row>
    <row r="726" spans="1:10" x14ac:dyDescent="0.2">
      <c r="B726" s="190" t="str">
        <f>IF(LEN('Ch6'!H488)=0,"",'Ch6'!H488)</f>
        <v/>
      </c>
      <c r="C726" s="190" t="str">
        <f t="shared" si="29"/>
        <v/>
      </c>
      <c r="D726" s="107"/>
      <c r="E726" s="375" t="s">
        <v>2192</v>
      </c>
      <c r="F726" s="163"/>
      <c r="G726" s="205" t="s">
        <v>2772</v>
      </c>
      <c r="H726" s="56">
        <f>'Ch6'!W488</f>
        <v>0</v>
      </c>
      <c r="J726" s="649"/>
    </row>
    <row r="727" spans="1:10" x14ac:dyDescent="0.2">
      <c r="B727" s="190" t="str">
        <f>IF(LEN('Ch6'!H489)=0,"",'Ch6'!H489)</f>
        <v/>
      </c>
      <c r="C727" s="190" t="str">
        <f t="shared" si="29"/>
        <v/>
      </c>
      <c r="D727" s="107"/>
      <c r="E727" s="375" t="s">
        <v>2194</v>
      </c>
      <c r="F727" s="163"/>
      <c r="G727" s="205" t="s">
        <v>2773</v>
      </c>
      <c r="H727" s="56">
        <f>'Ch6'!W489</f>
        <v>0</v>
      </c>
      <c r="J727" s="649"/>
    </row>
    <row r="728" spans="1:10" x14ac:dyDescent="0.2">
      <c r="B728" s="190" t="str">
        <f>IF(LEN('Ch6'!H490)=0,"",'Ch6'!H490)</f>
        <v/>
      </c>
      <c r="C728" s="190" t="str">
        <f t="shared" si="29"/>
        <v/>
      </c>
      <c r="D728" s="107"/>
      <c r="E728" s="375" t="s">
        <v>2221</v>
      </c>
      <c r="F728" s="163"/>
      <c r="G728" s="205" t="s">
        <v>2774</v>
      </c>
      <c r="H728" s="56">
        <f>'Ch6'!W490</f>
        <v>0</v>
      </c>
      <c r="J728" s="649"/>
    </row>
    <row r="729" spans="1:10" ht="15" customHeight="1" x14ac:dyDescent="0.2">
      <c r="B729" s="190" t="str">
        <f>IF(LEN('Ch6'!H491)=0,"",'Ch6'!H491)</f>
        <v/>
      </c>
      <c r="C729" s="190" t="str">
        <f t="shared" si="29"/>
        <v/>
      </c>
      <c r="D729" s="107"/>
      <c r="E729" s="346" t="s">
        <v>2223</v>
      </c>
      <c r="F729" s="345"/>
      <c r="G729" s="817" t="s">
        <v>2775</v>
      </c>
      <c r="H729" s="56">
        <f>'Ch6'!W491</f>
        <v>0</v>
      </c>
      <c r="J729" s="649"/>
    </row>
    <row r="730" spans="1:10" x14ac:dyDescent="0.2">
      <c r="B730" s="190" t="str">
        <f>IF(LEN('Ch6'!H492)=0,"",'Ch6'!H492)</f>
        <v/>
      </c>
      <c r="C730" s="190" t="str">
        <f t="shared" si="29"/>
        <v/>
      </c>
      <c r="D730" s="107"/>
      <c r="E730" s="346"/>
      <c r="F730" s="345"/>
      <c r="G730" s="817"/>
      <c r="J730" s="649"/>
    </row>
    <row r="731" spans="1:10" ht="15.75" customHeight="1" thickTop="1" x14ac:dyDescent="0.2">
      <c r="A731" s="294" t="str">
        <f>IF('Ch6'!O493&gt;0,"P","")</f>
        <v/>
      </c>
      <c r="B731" s="190" t="str">
        <f>IF(LEN('Ch6'!H493)=0,"",'Ch6'!H493)</f>
        <v/>
      </c>
      <c r="C731" s="190" t="str">
        <f t="shared" si="29"/>
        <v/>
      </c>
      <c r="D731" s="75" t="s">
        <v>2776</v>
      </c>
      <c r="E731" s="361"/>
      <c r="F731" s="374"/>
      <c r="G731" s="819" t="s">
        <v>2777</v>
      </c>
      <c r="I731" s="56">
        <f>'Ch6'!O493</f>
        <v>0</v>
      </c>
      <c r="J731" s="888" t="s">
        <v>3399</v>
      </c>
    </row>
    <row r="732" spans="1:10" x14ac:dyDescent="0.2">
      <c r="A732" s="294" t="str">
        <f>A731</f>
        <v/>
      </c>
      <c r="B732" s="190" t="str">
        <f>IF(LEN('Ch6'!H494)=0,"",'Ch6'!H494)</f>
        <v/>
      </c>
      <c r="C732" s="190" t="str">
        <f t="shared" si="29"/>
        <v/>
      </c>
      <c r="D732" s="70"/>
      <c r="E732" s="388"/>
      <c r="F732" s="388"/>
      <c r="G732" s="820"/>
      <c r="J732" s="888"/>
    </row>
    <row r="733" spans="1:10" ht="15" customHeight="1" x14ac:dyDescent="0.2">
      <c r="B733" s="190" t="str">
        <f>IF(LEN('Ch6'!H495)=0,"",'Ch6'!H495)</f>
        <v/>
      </c>
      <c r="C733" s="190" t="str">
        <f t="shared" si="29"/>
        <v/>
      </c>
      <c r="D733" s="107"/>
      <c r="E733" s="347" t="s">
        <v>2181</v>
      </c>
      <c r="F733" s="388"/>
      <c r="G733" s="791" t="s">
        <v>2778</v>
      </c>
      <c r="H733" s="56">
        <f>'Ch6'!W495</f>
        <v>0</v>
      </c>
      <c r="J733" s="394"/>
    </row>
    <row r="734" spans="1:10" x14ac:dyDescent="0.2">
      <c r="B734" s="190" t="str">
        <f>IF(LEN('Ch6'!H496)=0,"",'Ch6'!H496)</f>
        <v/>
      </c>
      <c r="C734" s="190" t="str">
        <f t="shared" si="29"/>
        <v/>
      </c>
      <c r="D734" s="107"/>
      <c r="E734" s="388"/>
      <c r="F734" s="388"/>
      <c r="G734" s="791"/>
      <c r="J734" s="649"/>
    </row>
    <row r="735" spans="1:10" x14ac:dyDescent="0.2">
      <c r="B735" s="190" t="str">
        <f>IF(LEN('Ch6'!H497)=0,"",'Ch6'!H497)</f>
        <v/>
      </c>
      <c r="C735" s="190" t="str">
        <f t="shared" si="29"/>
        <v/>
      </c>
      <c r="D735" s="107"/>
      <c r="E735" s="388"/>
      <c r="F735" s="388"/>
      <c r="G735" s="791"/>
      <c r="J735" s="649"/>
    </row>
    <row r="736" spans="1:10" x14ac:dyDescent="0.2">
      <c r="B736" s="190" t="str">
        <f>IF(LEN('Ch6'!H498)=0,"",'Ch6'!H498)</f>
        <v/>
      </c>
      <c r="C736" s="190" t="str">
        <f t="shared" si="29"/>
        <v/>
      </c>
      <c r="D736" s="107"/>
      <c r="E736" s="388"/>
      <c r="F736" s="388"/>
      <c r="G736" s="791"/>
      <c r="J736" s="649"/>
    </row>
    <row r="737" spans="2:10" x14ac:dyDescent="0.2">
      <c r="B737" s="190" t="str">
        <f>IF(LEN('Ch6'!H499)=0,"",'Ch6'!H499)</f>
        <v/>
      </c>
      <c r="C737" s="190" t="str">
        <f t="shared" si="29"/>
        <v/>
      </c>
      <c r="D737" s="107"/>
      <c r="E737" s="160"/>
      <c r="F737" s="160"/>
      <c r="G737" s="792"/>
      <c r="J737" s="649"/>
    </row>
    <row r="738" spans="2:10" ht="15" customHeight="1" x14ac:dyDescent="0.2">
      <c r="B738" s="190" t="str">
        <f>IF(LEN('Ch6'!H500)=0,"",'Ch6'!H500)</f>
        <v/>
      </c>
      <c r="C738" s="190" t="str">
        <f t="shared" si="29"/>
        <v/>
      </c>
      <c r="D738" s="107"/>
      <c r="E738" s="378" t="s">
        <v>2183</v>
      </c>
      <c r="F738" s="379"/>
      <c r="G738" s="831" t="s">
        <v>2779</v>
      </c>
      <c r="H738" s="56">
        <f>'Ch6'!W500</f>
        <v>0</v>
      </c>
      <c r="J738" s="649"/>
    </row>
    <row r="739" spans="2:10" x14ac:dyDescent="0.2">
      <c r="B739" s="190" t="str">
        <f>IF(LEN('Ch6'!H501)=0,"",'Ch6'!H501)</f>
        <v/>
      </c>
      <c r="C739" s="190" t="str">
        <f t="shared" si="29"/>
        <v/>
      </c>
      <c r="D739" s="107"/>
      <c r="E739" s="388"/>
      <c r="F739" s="388"/>
      <c r="G739" s="791"/>
      <c r="J739" s="649"/>
    </row>
    <row r="740" spans="2:10" x14ac:dyDescent="0.2">
      <c r="B740" s="190" t="str">
        <f>IF(LEN('Ch6'!H502)=0,"",'Ch6'!H502)</f>
        <v/>
      </c>
      <c r="C740" s="190" t="str">
        <f t="shared" si="29"/>
        <v/>
      </c>
      <c r="D740" s="107"/>
      <c r="E740" s="388"/>
      <c r="F740" s="388"/>
      <c r="G740" s="791"/>
      <c r="J740" s="649"/>
    </row>
    <row r="741" spans="2:10" x14ac:dyDescent="0.2">
      <c r="B741" s="190" t="str">
        <f>IF(LEN('Ch6'!H503)=0,"",'Ch6'!H503)</f>
        <v/>
      </c>
      <c r="C741" s="190" t="str">
        <f t="shared" si="29"/>
        <v/>
      </c>
      <c r="D741" s="107"/>
      <c r="E741" s="160"/>
      <c r="F741" s="160"/>
      <c r="G741" s="792"/>
      <c r="J741" s="649"/>
    </row>
    <row r="742" spans="2:10" ht="15" customHeight="1" x14ac:dyDescent="0.2">
      <c r="B742" s="190" t="str">
        <f>IF(LEN('Ch6'!H504)=0,"",'Ch6'!H504)</f>
        <v/>
      </c>
      <c r="C742" s="190" t="str">
        <f t="shared" si="29"/>
        <v/>
      </c>
      <c r="D742" s="107"/>
      <c r="E742" s="378" t="s">
        <v>2185</v>
      </c>
      <c r="F742" s="379"/>
      <c r="G742" s="831" t="s">
        <v>2780</v>
      </c>
      <c r="H742" s="56">
        <f>'Ch6'!W504</f>
        <v>0</v>
      </c>
      <c r="J742" s="649"/>
    </row>
    <row r="743" spans="2:10" x14ac:dyDescent="0.2">
      <c r="B743" s="190" t="str">
        <f>IF(LEN('Ch6'!H505)=0,"",'Ch6'!H505)</f>
        <v/>
      </c>
      <c r="C743" s="190" t="str">
        <f t="shared" si="29"/>
        <v/>
      </c>
      <c r="D743" s="107"/>
      <c r="E743" s="160"/>
      <c r="F743" s="160"/>
      <c r="G743" s="792"/>
      <c r="J743" s="649"/>
    </row>
    <row r="744" spans="2:10" ht="15" customHeight="1" x14ac:dyDescent="0.2">
      <c r="B744" s="190" t="str">
        <f>IF(LEN('Ch6'!H506)=0,"",'Ch6'!H506)</f>
        <v/>
      </c>
      <c r="C744" s="190" t="str">
        <f t="shared" si="29"/>
        <v/>
      </c>
      <c r="D744" s="107"/>
      <c r="E744" s="378" t="s">
        <v>2192</v>
      </c>
      <c r="F744" s="379"/>
      <c r="G744" s="831" t="s">
        <v>2781</v>
      </c>
      <c r="H744" s="56">
        <f>'Ch6'!W506</f>
        <v>0</v>
      </c>
      <c r="J744" s="649"/>
    </row>
    <row r="745" spans="2:10" x14ac:dyDescent="0.2">
      <c r="B745" s="190" t="str">
        <f>IF(LEN('Ch6'!H507)=0,"",'Ch6'!H507)</f>
        <v/>
      </c>
      <c r="C745" s="190" t="str">
        <f t="shared" si="29"/>
        <v/>
      </c>
      <c r="D745" s="107"/>
      <c r="E745" s="160"/>
      <c r="F745" s="160"/>
      <c r="G745" s="792"/>
      <c r="J745" s="649"/>
    </row>
    <row r="746" spans="2:10" x14ac:dyDescent="0.2">
      <c r="B746" s="190" t="str">
        <f>IF(LEN('Ch6'!H508)=0,"",'Ch6'!H508)</f>
        <v/>
      </c>
      <c r="C746" s="190" t="str">
        <f t="shared" si="29"/>
        <v/>
      </c>
      <c r="D746" s="107"/>
      <c r="E746" s="375" t="s">
        <v>2194</v>
      </c>
      <c r="F746" s="163"/>
      <c r="G746" s="205" t="s">
        <v>2782</v>
      </c>
      <c r="H746" s="56">
        <f>'Ch6'!W508</f>
        <v>0</v>
      </c>
      <c r="J746" s="649"/>
    </row>
    <row r="747" spans="2:10" x14ac:dyDescent="0.2">
      <c r="B747" s="190" t="str">
        <f>IF(LEN('Ch6'!H509)=0,"",'Ch6'!H509)</f>
        <v/>
      </c>
      <c r="C747" s="190" t="str">
        <f t="shared" si="29"/>
        <v/>
      </c>
      <c r="D747" s="107"/>
      <c r="E747" s="375" t="s">
        <v>2221</v>
      </c>
      <c r="F747" s="163"/>
      <c r="G747" s="205" t="s">
        <v>2783</v>
      </c>
      <c r="H747" s="56">
        <f>'Ch6'!W509</f>
        <v>0</v>
      </c>
      <c r="J747" s="649"/>
    </row>
    <row r="748" spans="2:10" ht="15" customHeight="1" x14ac:dyDescent="0.2">
      <c r="B748" s="190" t="str">
        <f>IF(LEN('Ch6'!H510)=0,"",'Ch6'!H510)</f>
        <v/>
      </c>
      <c r="C748" s="190" t="str">
        <f t="shared" si="29"/>
        <v/>
      </c>
      <c r="D748" s="107"/>
      <c r="E748" s="378" t="s">
        <v>2223</v>
      </c>
      <c r="F748" s="379"/>
      <c r="G748" s="831" t="s">
        <v>2784</v>
      </c>
      <c r="H748" s="56">
        <f>'Ch6'!W510</f>
        <v>0</v>
      </c>
      <c r="J748" s="649"/>
    </row>
    <row r="749" spans="2:10" x14ac:dyDescent="0.2">
      <c r="B749" s="190" t="str">
        <f>IF(LEN('Ch6'!H511)=0,"",'Ch6'!H511)</f>
        <v/>
      </c>
      <c r="C749" s="190" t="str">
        <f t="shared" si="29"/>
        <v/>
      </c>
      <c r="D749" s="107"/>
      <c r="E749" s="388"/>
      <c r="F749" s="388"/>
      <c r="G749" s="791"/>
      <c r="J749" s="649"/>
    </row>
    <row r="750" spans="2:10" x14ac:dyDescent="0.2">
      <c r="B750" s="190" t="str">
        <f>IF(LEN('Ch6'!H512)=0,"",'Ch6'!H512)</f>
        <v/>
      </c>
      <c r="C750" s="190" t="str">
        <f t="shared" si="29"/>
        <v/>
      </c>
      <c r="D750" s="107"/>
      <c r="E750" s="388"/>
      <c r="F750" s="388"/>
      <c r="G750" s="791"/>
      <c r="J750" s="649"/>
    </row>
    <row r="751" spans="2:10" x14ac:dyDescent="0.2">
      <c r="B751" s="190" t="str">
        <f>IF(LEN('Ch6'!H513)=0,"",'Ch6'!H513)</f>
        <v/>
      </c>
      <c r="C751" s="190" t="str">
        <f t="shared" si="29"/>
        <v/>
      </c>
      <c r="D751" s="107"/>
      <c r="E751" s="160"/>
      <c r="F751" s="160"/>
      <c r="G751" s="792"/>
      <c r="J751" s="649"/>
    </row>
    <row r="752" spans="2:10" ht="15" customHeight="1" x14ac:dyDescent="0.2">
      <c r="B752" s="190" t="str">
        <f>IF(LEN('Ch6'!H514)=0,"",'Ch6'!H514)</f>
        <v/>
      </c>
      <c r="C752" s="190" t="str">
        <f t="shared" si="29"/>
        <v/>
      </c>
      <c r="D752" s="107"/>
      <c r="E752" s="378" t="s">
        <v>2282</v>
      </c>
      <c r="F752" s="379"/>
      <c r="G752" s="831" t="s">
        <v>2785</v>
      </c>
      <c r="H752" s="56">
        <f>'Ch6'!W514</f>
        <v>0</v>
      </c>
      <c r="J752" s="649"/>
    </row>
    <row r="753" spans="1:10" x14ac:dyDescent="0.2">
      <c r="B753" s="190" t="str">
        <f>IF(LEN('Ch6'!H515)=0,"",'Ch6'!H515)</f>
        <v/>
      </c>
      <c r="C753" s="190" t="str">
        <f t="shared" si="29"/>
        <v/>
      </c>
      <c r="D753" s="107"/>
      <c r="E753" s="160"/>
      <c r="F753" s="160"/>
      <c r="G753" s="792"/>
      <c r="J753" s="649"/>
    </row>
    <row r="754" spans="1:10" ht="15" customHeight="1" x14ac:dyDescent="0.2">
      <c r="B754" s="190" t="str">
        <f>IF(LEN('Ch6'!H516)=0,"",'Ch6'!H516)</f>
        <v/>
      </c>
      <c r="C754" s="190" t="str">
        <f t="shared" si="29"/>
        <v/>
      </c>
      <c r="D754" s="107"/>
      <c r="E754" s="346" t="s">
        <v>2284</v>
      </c>
      <c r="F754" s="345"/>
      <c r="G754" s="817" t="s">
        <v>2786</v>
      </c>
      <c r="H754" s="56">
        <f>'Ch6'!W516</f>
        <v>0</v>
      </c>
      <c r="J754" s="649"/>
    </row>
    <row r="755" spans="1:10" x14ac:dyDescent="0.2">
      <c r="B755" s="190" t="str">
        <f>IF(LEN('Ch6'!H517)=0,"",'Ch6'!H517)</f>
        <v/>
      </c>
      <c r="C755" s="190" t="str">
        <f t="shared" si="29"/>
        <v/>
      </c>
      <c r="D755" s="107"/>
      <c r="E755" s="345"/>
      <c r="F755" s="345"/>
      <c r="G755" s="817"/>
      <c r="J755" s="649"/>
    </row>
    <row r="756" spans="1:10" ht="15.75" customHeight="1" thickTop="1" x14ac:dyDescent="0.2">
      <c r="A756" s="294" t="str">
        <f>IF('Ch6'!O518&gt;0,"P","")</f>
        <v/>
      </c>
      <c r="B756" s="190" t="str">
        <f>IF(LEN('Ch6'!H518)=0,"",'Ch6'!H518)</f>
        <v/>
      </c>
      <c r="C756" s="190" t="str">
        <f t="shared" si="29"/>
        <v/>
      </c>
      <c r="D756" s="75" t="s">
        <v>2787</v>
      </c>
      <c r="E756" s="374"/>
      <c r="F756" s="374"/>
      <c r="G756" s="819" t="s">
        <v>2788</v>
      </c>
      <c r="I756" s="56">
        <f>'Ch6'!O518</f>
        <v>0</v>
      </c>
      <c r="J756" s="650"/>
    </row>
    <row r="757" spans="1:10" x14ac:dyDescent="0.2">
      <c r="A757" s="294" t="str">
        <f>A756</f>
        <v/>
      </c>
      <c r="B757" s="190" t="str">
        <f>IF(LEN('Ch6'!H519)=0,"",'Ch6'!H519)</f>
        <v/>
      </c>
      <c r="C757" s="190" t="str">
        <f t="shared" si="29"/>
        <v/>
      </c>
      <c r="D757" s="70"/>
      <c r="E757" s="388"/>
      <c r="F757" s="388"/>
      <c r="G757" s="820"/>
      <c r="J757" s="650"/>
    </row>
    <row r="758" spans="1:10" x14ac:dyDescent="0.2">
      <c r="A758" s="294" t="str">
        <f>A757</f>
        <v/>
      </c>
      <c r="B758" s="190" t="str">
        <f>IF(LEN('Ch6'!H520)=0,"",'Ch6'!H520)</f>
        <v/>
      </c>
      <c r="C758" s="190" t="str">
        <f t="shared" si="29"/>
        <v/>
      </c>
      <c r="D758" s="70"/>
      <c r="E758" s="388"/>
      <c r="F758" s="388"/>
      <c r="G758" s="820"/>
      <c r="J758" s="650"/>
    </row>
    <row r="759" spans="1:10" x14ac:dyDescent="0.2">
      <c r="A759" s="294" t="str">
        <f>A758</f>
        <v/>
      </c>
      <c r="B759" s="190" t="str">
        <f>IF(LEN('Ch6'!H521)=0,"",'Ch6'!H521)</f>
        <v/>
      </c>
      <c r="C759" s="190" t="str">
        <f t="shared" si="29"/>
        <v/>
      </c>
      <c r="D759" s="70"/>
      <c r="E759" s="388"/>
      <c r="F759" s="388"/>
      <c r="G759" s="820"/>
      <c r="J759" s="650"/>
    </row>
    <row r="760" spans="1:10" x14ac:dyDescent="0.2">
      <c r="A760" s="294" t="str">
        <f>A759</f>
        <v/>
      </c>
      <c r="B760" s="190" t="str">
        <f>IF(LEN('Ch6'!H522)=0,"",'Ch6'!H522)</f>
        <v/>
      </c>
      <c r="C760" s="190" t="str">
        <f t="shared" si="29"/>
        <v/>
      </c>
      <c r="D760" s="348"/>
      <c r="E760" s="160"/>
      <c r="F760" s="160"/>
      <c r="G760" s="832"/>
      <c r="J760" s="650"/>
    </row>
    <row r="761" spans="1:10" ht="15" customHeight="1" x14ac:dyDescent="0.2">
      <c r="A761" s="539" t="str">
        <f>IF(COUNTIF(A762,"P")&gt;0,"P","")</f>
        <v/>
      </c>
      <c r="B761" s="190" t="str">
        <f>IF(LEN('Ch6'!H523)=0,"",'Ch6'!H523)</f>
        <v/>
      </c>
      <c r="C761" s="190" t="str">
        <f t="shared" si="29"/>
        <v/>
      </c>
      <c r="D761" s="107" t="s">
        <v>2790</v>
      </c>
      <c r="E761" s="345"/>
      <c r="F761" s="345"/>
      <c r="G761" s="862" t="s">
        <v>2791</v>
      </c>
      <c r="J761" s="891" t="s">
        <v>3455</v>
      </c>
    </row>
    <row r="762" spans="1:10" ht="15" customHeight="1" x14ac:dyDescent="0.2">
      <c r="A762" s="294" t="str">
        <f>IF(AND(LEN('Ch6'!W524)&gt;0,NOT('Ch6'!W524=FALSE)),"P","")</f>
        <v/>
      </c>
      <c r="B762" s="190" t="str">
        <f>IF(LEN('Ch6'!H524)=0,"",'Ch6'!H524)</f>
        <v/>
      </c>
      <c r="C762" s="190" t="str">
        <f t="shared" si="29"/>
        <v/>
      </c>
      <c r="D762" s="107"/>
      <c r="E762" s="345"/>
      <c r="F762" s="345"/>
      <c r="G762" s="862"/>
      <c r="H762" s="56">
        <f>'Ch6'!W524</f>
        <v>0</v>
      </c>
      <c r="J762" s="891"/>
    </row>
    <row r="763" spans="1:10" x14ac:dyDescent="0.2">
      <c r="A763" s="294" t="str">
        <f t="shared" ref="A763:A768" si="30">A762</f>
        <v/>
      </c>
      <c r="B763" s="190" t="str">
        <f>IF(LEN('Ch6'!H525)=0,"",'Ch6'!H525)</f>
        <v/>
      </c>
      <c r="C763" s="190" t="str">
        <f t="shared" si="29"/>
        <v/>
      </c>
      <c r="D763" s="107"/>
      <c r="E763" s="345"/>
      <c r="F763" s="345"/>
      <c r="G763" s="862"/>
      <c r="J763" s="891"/>
    </row>
    <row r="764" spans="1:10" x14ac:dyDescent="0.2">
      <c r="A764" s="294" t="str">
        <f t="shared" si="30"/>
        <v/>
      </c>
      <c r="B764" s="190" t="str">
        <f>IF(LEN('Ch6'!H526)=0,"",'Ch6'!H526)</f>
        <v/>
      </c>
      <c r="C764" s="190" t="str">
        <f t="shared" si="29"/>
        <v/>
      </c>
      <c r="D764" s="107"/>
      <c r="E764" s="345"/>
      <c r="F764" s="345"/>
      <c r="G764" s="862"/>
      <c r="J764" s="891"/>
    </row>
    <row r="765" spans="1:10" x14ac:dyDescent="0.2">
      <c r="A765" s="294" t="str">
        <f t="shared" si="30"/>
        <v/>
      </c>
      <c r="B765" s="190" t="str">
        <f>IF(LEN('Ch6'!H527)=0,"",'Ch6'!H527)</f>
        <v/>
      </c>
      <c r="C765" s="190" t="str">
        <f t="shared" si="29"/>
        <v/>
      </c>
      <c r="D765" s="107"/>
      <c r="E765" s="345"/>
      <c r="F765" s="345"/>
      <c r="G765" s="862"/>
      <c r="J765" s="891"/>
    </row>
    <row r="766" spans="1:10" x14ac:dyDescent="0.2">
      <c r="A766" s="294" t="str">
        <f t="shared" si="30"/>
        <v/>
      </c>
      <c r="B766" s="190" t="str">
        <f>IF(LEN('Ch6'!H528)=0,"",'Ch6'!H528)</f>
        <v/>
      </c>
      <c r="C766" s="190" t="str">
        <f t="shared" si="29"/>
        <v/>
      </c>
      <c r="D766" s="107"/>
      <c r="E766" s="345"/>
      <c r="F766" s="345"/>
      <c r="G766" s="862"/>
      <c r="J766" s="891"/>
    </row>
    <row r="767" spans="1:10" x14ac:dyDescent="0.2">
      <c r="A767" s="294" t="str">
        <f t="shared" si="30"/>
        <v/>
      </c>
      <c r="B767" s="190" t="str">
        <f>IF(LEN('Ch6'!H529)=0,"",'Ch6'!H529)</f>
        <v/>
      </c>
      <c r="C767" s="190" t="str">
        <f t="shared" si="29"/>
        <v/>
      </c>
      <c r="D767" s="107"/>
      <c r="E767" s="345"/>
      <c r="F767" s="345"/>
      <c r="G767" s="862"/>
      <c r="J767" s="891"/>
    </row>
    <row r="768" spans="1:10" x14ac:dyDescent="0.2">
      <c r="A768" s="294" t="str">
        <f t="shared" si="30"/>
        <v/>
      </c>
      <c r="B768" s="190" t="str">
        <f>IF(LEN('Ch6'!H530)=0,"",'Ch6'!H530)</f>
        <v/>
      </c>
      <c r="C768" s="190" t="str">
        <f t="shared" si="29"/>
        <v/>
      </c>
      <c r="D768" s="107"/>
      <c r="E768" s="345"/>
      <c r="F768" s="345"/>
      <c r="G768" s="862"/>
      <c r="J768" s="891"/>
    </row>
    <row r="769" spans="1:10" x14ac:dyDescent="0.2">
      <c r="B769" s="190" t="str">
        <f>IF(LEN('Ch6'!H531)=0,"",'Ch6'!H531)</f>
        <v/>
      </c>
      <c r="C769" s="190" t="str">
        <f t="shared" si="29"/>
        <v/>
      </c>
      <c r="D769" s="348"/>
      <c r="E769" s="160"/>
      <c r="F769" s="160"/>
      <c r="G769" s="634" t="s">
        <v>2793</v>
      </c>
      <c r="J769" s="650"/>
    </row>
    <row r="770" spans="1:10" ht="15" customHeight="1" x14ac:dyDescent="0.2">
      <c r="A770" s="539" t="str">
        <f>IF(COUNTIF(A772,"P")&gt;0,"P","")</f>
        <v/>
      </c>
      <c r="B770" s="190" t="str">
        <f>IF(LEN('Ch6'!H532)=0,"",'Ch6'!H532)</f>
        <v/>
      </c>
      <c r="C770" s="190" t="str">
        <f t="shared" si="29"/>
        <v/>
      </c>
      <c r="D770" s="70" t="s">
        <v>2795</v>
      </c>
      <c r="E770" s="388"/>
      <c r="F770" s="388"/>
      <c r="G770" s="812" t="s">
        <v>2796</v>
      </c>
      <c r="J770" s="891" t="s">
        <v>3456</v>
      </c>
    </row>
    <row r="771" spans="1:10" x14ac:dyDescent="0.2">
      <c r="A771" s="294" t="str">
        <f>A770</f>
        <v/>
      </c>
      <c r="B771" s="190" t="str">
        <f>IF(LEN('Ch6'!H533)=0,"",'Ch6'!H533)</f>
        <v/>
      </c>
      <c r="C771" s="190" t="str">
        <f t="shared" si="29"/>
        <v/>
      </c>
      <c r="D771" s="70"/>
      <c r="E771" s="388"/>
      <c r="F771" s="388"/>
      <c r="G771" s="812"/>
      <c r="J771" s="891"/>
    </row>
    <row r="772" spans="1:10" x14ac:dyDescent="0.2">
      <c r="A772" s="294" t="str">
        <f>IF(AND(LEN('Ch6'!W534)&gt;0,NOT('Ch6'!W534=FALSE)),"P","")</f>
        <v/>
      </c>
      <c r="B772" s="190" t="str">
        <f>IF(LEN('Ch6'!H534)=0,"",'Ch6'!H534)</f>
        <v/>
      </c>
      <c r="C772" s="190" t="str">
        <f t="shared" si="29"/>
        <v/>
      </c>
      <c r="D772" s="70"/>
      <c r="E772" s="388"/>
      <c r="F772" s="388"/>
      <c r="G772" s="812"/>
      <c r="H772" s="56">
        <f>'Ch6'!W534</f>
        <v>0</v>
      </c>
      <c r="J772" s="891"/>
    </row>
    <row r="773" spans="1:10" x14ac:dyDescent="0.2">
      <c r="A773" s="294" t="str">
        <f>A772</f>
        <v/>
      </c>
      <c r="B773" s="190" t="str">
        <f>IF(LEN('Ch6'!H535)=0,"",'Ch6'!H535)</f>
        <v/>
      </c>
      <c r="C773" s="190" t="str">
        <f t="shared" ref="C773:C845" si="31">IF(LEN(B773)=0,IF(A773="P","P",""),B773)</f>
        <v/>
      </c>
      <c r="D773" s="70"/>
      <c r="E773" s="388"/>
      <c r="F773" s="388"/>
      <c r="G773" s="812"/>
      <c r="J773" s="891"/>
    </row>
    <row r="774" spans="1:10" x14ac:dyDescent="0.2">
      <c r="A774" s="294" t="str">
        <f>A773</f>
        <v/>
      </c>
      <c r="B774" s="190" t="str">
        <f>IF(LEN('Ch6'!H536)=0,"",'Ch6'!H536)</f>
        <v/>
      </c>
      <c r="C774" s="190" t="str">
        <f t="shared" si="31"/>
        <v/>
      </c>
      <c r="D774" s="70"/>
      <c r="E774" s="388"/>
      <c r="F774" s="388"/>
      <c r="G774" s="812"/>
      <c r="J774" s="891"/>
    </row>
    <row r="775" spans="1:10" x14ac:dyDescent="0.2">
      <c r="A775" s="294" t="str">
        <f>A774</f>
        <v/>
      </c>
      <c r="B775" s="190" t="str">
        <f>IF(LEN('Ch6'!H537)=0,"",'Ch6'!H537)</f>
        <v/>
      </c>
      <c r="C775" s="190" t="str">
        <f t="shared" si="31"/>
        <v/>
      </c>
      <c r="D775" s="70"/>
      <c r="E775" s="388"/>
      <c r="F775" s="388"/>
      <c r="G775" s="812"/>
      <c r="J775" s="891"/>
    </row>
    <row r="776" spans="1:10" ht="16" thickBot="1" x14ac:dyDescent="0.25">
      <c r="B776" s="190" t="str">
        <f>IF(LEN('Ch6'!H538)=0,"",'Ch6'!H538)</f>
        <v/>
      </c>
      <c r="C776" s="190" t="str">
        <f t="shared" si="31"/>
        <v/>
      </c>
      <c r="D776" s="362"/>
      <c r="E776" s="362"/>
      <c r="F776" s="362"/>
      <c r="G776" s="207" t="s">
        <v>2793</v>
      </c>
      <c r="J776" s="650"/>
    </row>
    <row r="777" spans="1:10" ht="21" thickTop="1" thickBot="1" x14ac:dyDescent="0.3">
      <c r="A777" s="294" t="s">
        <v>3343</v>
      </c>
      <c r="B777" s="190" t="str">
        <f>IF(LEN('Ch6'!H539)=0,"",'Ch6'!H539)</f>
        <v/>
      </c>
      <c r="C777" s="190" t="str">
        <f t="shared" si="31"/>
        <v>P</v>
      </c>
      <c r="D777" s="50" t="s">
        <v>2806</v>
      </c>
      <c r="E777" s="50"/>
      <c r="F777" s="50"/>
      <c r="G777" s="16"/>
      <c r="H777" s="16"/>
      <c r="I777" s="16"/>
      <c r="J777" s="399"/>
    </row>
    <row r="778" spans="1:10" ht="16" thickTop="1" x14ac:dyDescent="0.2">
      <c r="A778" s="294" t="s">
        <v>3343</v>
      </c>
      <c r="B778" s="190" t="str">
        <f>IF(LEN('Ch6'!H540)=0,"",'Ch6'!H540)</f>
        <v/>
      </c>
      <c r="C778" s="190" t="str">
        <f t="shared" si="31"/>
        <v>P</v>
      </c>
      <c r="D778" s="75" t="s">
        <v>2808</v>
      </c>
      <c r="E778" s="642"/>
      <c r="F778" s="642"/>
      <c r="G778" s="646" t="s">
        <v>2809</v>
      </c>
      <c r="J778" s="650"/>
    </row>
    <row r="779" spans="1:10" s="485" customFormat="1" x14ac:dyDescent="0.2">
      <c r="A779" s="294" t="str">
        <f>IF(AND(LEN('Ch7'!W14)&gt;0,NOT('Ch7'!W14=FALSE)),"P","")</f>
        <v/>
      </c>
      <c r="B779" s="190" t="str">
        <f>IF(LEN('Ch6'!H541)=0,"",'Ch6'!H541)</f>
        <v/>
      </c>
      <c r="C779" s="190" t="str">
        <f t="shared" si="31"/>
        <v/>
      </c>
      <c r="D779" s="145" t="s">
        <v>2813</v>
      </c>
      <c r="E779" s="638"/>
      <c r="F779" s="638"/>
      <c r="G779" s="847" t="s">
        <v>2814</v>
      </c>
      <c r="H779" s="56"/>
      <c r="I779" s="56"/>
      <c r="J779" s="650"/>
    </row>
    <row r="780" spans="1:10" s="485" customFormat="1" x14ac:dyDescent="0.2">
      <c r="A780" s="294" t="str">
        <f>A779</f>
        <v/>
      </c>
      <c r="B780" s="190" t="str">
        <f>IF(LEN('Ch6'!H542)=0,"",'Ch6'!H542)</f>
        <v/>
      </c>
      <c r="C780" s="190" t="str">
        <f t="shared" si="31"/>
        <v/>
      </c>
      <c r="D780" s="98"/>
      <c r="E780" s="598"/>
      <c r="F780" s="598"/>
      <c r="G780" s="820"/>
      <c r="H780" s="56"/>
      <c r="I780" s="56"/>
      <c r="J780" s="650"/>
    </row>
    <row r="781" spans="1:10" s="485" customFormat="1" x14ac:dyDescent="0.2">
      <c r="A781" s="294" t="str">
        <f>A780</f>
        <v/>
      </c>
      <c r="B781" s="190" t="str">
        <f>IF(LEN('Ch6'!H543)=0,"",'Ch6'!H543)</f>
        <v/>
      </c>
      <c r="C781" s="190" t="str">
        <f t="shared" si="31"/>
        <v/>
      </c>
      <c r="D781" s="98"/>
      <c r="E781" s="598"/>
      <c r="F781" s="598"/>
      <c r="G781" s="820"/>
      <c r="H781" s="56"/>
      <c r="I781" s="56"/>
      <c r="J781" s="650"/>
    </row>
    <row r="782" spans="1:10" s="485" customFormat="1" x14ac:dyDescent="0.2">
      <c r="A782" s="294" t="str">
        <f t="shared" ref="A782:A785" si="32">A781</f>
        <v/>
      </c>
      <c r="B782" s="190" t="str">
        <f>IF(LEN('Ch6'!H544)=0,"",'Ch6'!H544)</f>
        <v/>
      </c>
      <c r="C782" s="190" t="str">
        <f t="shared" si="31"/>
        <v/>
      </c>
      <c r="D782" s="98"/>
      <c r="E782" s="598"/>
      <c r="F782" s="598"/>
      <c r="G782" s="820"/>
      <c r="H782" s="56"/>
      <c r="I782" s="56"/>
      <c r="J782" s="650"/>
    </row>
    <row r="783" spans="1:10" s="485" customFormat="1" x14ac:dyDescent="0.2">
      <c r="A783" s="294" t="str">
        <f t="shared" si="32"/>
        <v/>
      </c>
      <c r="B783" s="190" t="str">
        <f>IF(LEN('Ch6'!H545)=0,"",'Ch6'!H545)</f>
        <v/>
      </c>
      <c r="C783" s="190" t="str">
        <f t="shared" si="31"/>
        <v/>
      </c>
      <c r="D783" s="98"/>
      <c r="E783" s="598"/>
      <c r="F783" s="598"/>
      <c r="G783" s="820"/>
      <c r="H783" s="56"/>
      <c r="I783" s="56"/>
      <c r="J783" s="650"/>
    </row>
    <row r="784" spans="1:10" s="485" customFormat="1" x14ac:dyDescent="0.2">
      <c r="A784" s="294" t="str">
        <f t="shared" si="32"/>
        <v/>
      </c>
      <c r="B784" s="190" t="str">
        <f>IF(LEN('Ch6'!H546)=0,"",'Ch6'!H546)</f>
        <v/>
      </c>
      <c r="C784" s="190" t="str">
        <f t="shared" si="31"/>
        <v/>
      </c>
      <c r="D784" s="99"/>
      <c r="E784" s="598"/>
      <c r="F784" s="598"/>
      <c r="G784" s="820"/>
      <c r="H784" s="56"/>
      <c r="I784" s="56"/>
      <c r="J784" s="650"/>
    </row>
    <row r="785" spans="1:10" x14ac:dyDescent="0.2">
      <c r="A785" s="294" t="str">
        <f t="shared" si="32"/>
        <v/>
      </c>
      <c r="B785" s="190" t="str">
        <f>IF(LEN('Ch6'!H547)=0,"",'Ch6'!H547)</f>
        <v/>
      </c>
      <c r="C785" s="190" t="str">
        <f t="shared" si="31"/>
        <v/>
      </c>
      <c r="D785" s="348" t="s">
        <v>2816</v>
      </c>
      <c r="E785" s="606"/>
      <c r="F785" s="606"/>
      <c r="G785" s="641" t="s">
        <v>2817</v>
      </c>
      <c r="J785" s="650"/>
    </row>
    <row r="786" spans="1:10" x14ac:dyDescent="0.2">
      <c r="A786" s="294" t="str">
        <f>IF(AND(LEN('Ch7'!W21)&gt;0,NOT('Ch7'!W21=FALSE)),"P","")</f>
        <v/>
      </c>
      <c r="B786" s="190" t="str">
        <f>IF(LEN('Ch6'!H548)=0,"",'Ch6'!H548)</f>
        <v/>
      </c>
      <c r="C786" s="190" t="str">
        <f t="shared" si="31"/>
        <v/>
      </c>
      <c r="D786" s="350" t="s">
        <v>2819</v>
      </c>
      <c r="E786" s="627"/>
      <c r="F786" s="627"/>
      <c r="G786" s="847" t="s">
        <v>2820</v>
      </c>
      <c r="H786" s="56">
        <f>'Ch7'!W21</f>
        <v>0</v>
      </c>
      <c r="J786" s="891" t="s">
        <v>3457</v>
      </c>
    </row>
    <row r="787" spans="1:10" x14ac:dyDescent="0.2">
      <c r="A787" s="294" t="str">
        <f>A786</f>
        <v/>
      </c>
      <c r="B787" s="190" t="str">
        <f>IF(LEN('Ch6'!H549)=0,"",'Ch6'!H549)</f>
        <v/>
      </c>
      <c r="C787" s="190" t="str">
        <f t="shared" si="31"/>
        <v/>
      </c>
      <c r="D787" s="388"/>
      <c r="E787" s="605"/>
      <c r="F787" s="605"/>
      <c r="G787" s="820"/>
      <c r="J787" s="891"/>
    </row>
    <row r="788" spans="1:10" x14ac:dyDescent="0.2">
      <c r="A788" s="294" t="str">
        <f>A787</f>
        <v/>
      </c>
      <c r="B788" s="190" t="str">
        <f>IF(LEN('Ch6'!H550)=0,"",'Ch6'!H550)</f>
        <v/>
      </c>
      <c r="C788" s="190" t="str">
        <f t="shared" si="31"/>
        <v/>
      </c>
      <c r="D788" s="160"/>
      <c r="E788" s="606"/>
      <c r="F788" s="606"/>
      <c r="G788" s="832"/>
      <c r="J788" s="891"/>
    </row>
    <row r="789" spans="1:10" ht="15" customHeight="1" x14ac:dyDescent="0.2">
      <c r="A789" s="294" t="str">
        <f>IF(AND(LEN('Ch7'!W24)&gt;0,NOT('Ch7'!W24=FALSE)),"P","")</f>
        <v/>
      </c>
      <c r="B789" s="190" t="str">
        <f>IF(LEN('Ch6'!H551)=0,"",'Ch6'!H551)</f>
        <v/>
      </c>
      <c r="C789" s="190" t="str">
        <f t="shared" si="31"/>
        <v/>
      </c>
      <c r="D789" s="350" t="s">
        <v>2822</v>
      </c>
      <c r="E789" s="627"/>
      <c r="F789" s="627"/>
      <c r="G789" s="847" t="s">
        <v>3458</v>
      </c>
      <c r="H789" s="56">
        <f>'Ch7'!W24</f>
        <v>0</v>
      </c>
      <c r="J789" s="891" t="s">
        <v>3459</v>
      </c>
    </row>
    <row r="790" spans="1:10" x14ac:dyDescent="0.2">
      <c r="A790" s="294" t="str">
        <f>A789</f>
        <v/>
      </c>
      <c r="B790" s="190" t="str">
        <f>IF(LEN('Ch6'!H552)=0,"",'Ch6'!H552)</f>
        <v/>
      </c>
      <c r="C790" s="190" t="str">
        <f t="shared" si="31"/>
        <v/>
      </c>
      <c r="D790" s="388"/>
      <c r="E790" s="605"/>
      <c r="F790" s="605"/>
      <c r="G790" s="820"/>
      <c r="J790" s="891"/>
    </row>
    <row r="791" spans="1:10" x14ac:dyDescent="0.2">
      <c r="A791" s="294" t="str">
        <f>A790</f>
        <v/>
      </c>
      <c r="B791" s="190" t="str">
        <f>IF(LEN('Ch6'!H553)=0,"",'Ch6'!H553)</f>
        <v/>
      </c>
      <c r="C791" s="190" t="str">
        <f t="shared" si="31"/>
        <v/>
      </c>
      <c r="D791" s="388"/>
      <c r="E791" s="605"/>
      <c r="F791" s="605"/>
      <c r="G791" s="820"/>
      <c r="J791" s="891"/>
    </row>
    <row r="792" spans="1:10" x14ac:dyDescent="0.2">
      <c r="A792" s="294" t="str">
        <f>A791</f>
        <v/>
      </c>
      <c r="B792" s="190" t="str">
        <f>IF(LEN('Ch6'!H554)=0,"",'Ch6'!H554)</f>
        <v/>
      </c>
      <c r="C792" s="190" t="str">
        <f t="shared" si="31"/>
        <v/>
      </c>
      <c r="D792" s="388"/>
      <c r="E792" s="605"/>
      <c r="F792" s="605"/>
      <c r="G792" s="820"/>
      <c r="J792" s="891"/>
    </row>
    <row r="793" spans="1:10" x14ac:dyDescent="0.2">
      <c r="A793" s="294" t="str">
        <f>A792</f>
        <v/>
      </c>
      <c r="B793" s="190" t="str">
        <f>IF(LEN('Ch6'!H555)=0,"",'Ch6'!H555)</f>
        <v/>
      </c>
      <c r="C793" s="190" t="str">
        <f t="shared" si="31"/>
        <v/>
      </c>
      <c r="D793" s="160"/>
      <c r="E793" s="606"/>
      <c r="F793" s="606"/>
      <c r="G793" s="832"/>
      <c r="J793" s="891"/>
    </row>
    <row r="794" spans="1:10" x14ac:dyDescent="0.2">
      <c r="A794" s="539" t="str">
        <f>IF(COUNTIF(A795:A801,"P")&gt;0,"P","")</f>
        <v/>
      </c>
      <c r="B794" s="190" t="str">
        <f>IF(LEN('Ch6'!H556)=0,"",'Ch6'!H556)</f>
        <v/>
      </c>
      <c r="C794" s="190" t="str">
        <f t="shared" si="31"/>
        <v/>
      </c>
      <c r="D794" s="350" t="s">
        <v>2825</v>
      </c>
      <c r="E794" s="627"/>
      <c r="F794" s="627"/>
      <c r="G794" s="639" t="s">
        <v>2826</v>
      </c>
      <c r="J794" s="650"/>
    </row>
    <row r="795" spans="1:10" ht="15" customHeight="1" x14ac:dyDescent="0.2">
      <c r="A795" s="294" t="str">
        <f>IF(AND(LEN('Ch7'!W30)&gt;0,NOT('Ch7'!W30=FALSE)),"P","")</f>
        <v/>
      </c>
      <c r="B795" s="190" t="str">
        <f>IF(LEN('Ch6'!H557)=0,"",'Ch6'!H557)</f>
        <v/>
      </c>
      <c r="C795" s="190" t="str">
        <f t="shared" si="31"/>
        <v/>
      </c>
      <c r="D795" s="70" t="s">
        <v>2827</v>
      </c>
      <c r="E795" s="605"/>
      <c r="F795" s="605"/>
      <c r="G795" s="820" t="s">
        <v>2828</v>
      </c>
      <c r="H795" s="56">
        <f>'Ch7'!W30</f>
        <v>0</v>
      </c>
      <c r="J795" s="891" t="s">
        <v>3460</v>
      </c>
    </row>
    <row r="796" spans="1:10" x14ac:dyDescent="0.2">
      <c r="A796" s="294" t="str">
        <f>A795</f>
        <v/>
      </c>
      <c r="B796" s="190" t="str">
        <f>IF(LEN('Ch6'!H558)=0,"",'Ch6'!H558)</f>
        <v/>
      </c>
      <c r="C796" s="190" t="str">
        <f t="shared" si="31"/>
        <v/>
      </c>
      <c r="D796" s="70"/>
      <c r="E796" s="605"/>
      <c r="F796" s="605"/>
      <c r="G796" s="820"/>
      <c r="J796" s="891"/>
    </row>
    <row r="797" spans="1:10" x14ac:dyDescent="0.2">
      <c r="A797" s="294" t="str">
        <f>A796</f>
        <v/>
      </c>
      <c r="B797" s="190" t="str">
        <f>IF(LEN('Ch6'!H559)=0,"",'Ch6'!H559)</f>
        <v/>
      </c>
      <c r="C797" s="190" t="str">
        <f t="shared" si="31"/>
        <v/>
      </c>
      <c r="D797" s="348"/>
      <c r="E797" s="606"/>
      <c r="F797" s="606"/>
      <c r="G797" s="832"/>
      <c r="J797" s="891"/>
    </row>
    <row r="798" spans="1:10" ht="15" customHeight="1" x14ac:dyDescent="0.2">
      <c r="A798" s="294" t="str">
        <f>IF(AND(LEN('Ch7'!W33)&gt;0,NOT('Ch7'!W33=FALSE)),"P","")</f>
        <v/>
      </c>
      <c r="B798" s="190" t="str">
        <f>IF(LEN('Ch6'!H560)=0,"",'Ch6'!H560)</f>
        <v/>
      </c>
      <c r="C798" s="190" t="str">
        <f t="shared" si="31"/>
        <v/>
      </c>
      <c r="D798" s="350" t="s">
        <v>2830</v>
      </c>
      <c r="E798" s="627"/>
      <c r="F798" s="627"/>
      <c r="G798" s="865" t="s">
        <v>2831</v>
      </c>
      <c r="H798" s="56">
        <f>'Ch7'!W33</f>
        <v>0</v>
      </c>
      <c r="J798" s="650" t="s">
        <v>3399</v>
      </c>
    </row>
    <row r="799" spans="1:10" s="485" customFormat="1" ht="15" customHeight="1" x14ac:dyDescent="0.2">
      <c r="A799" s="294" t="str">
        <f>A798</f>
        <v/>
      </c>
      <c r="B799" s="190" t="str">
        <f>IF(LEN('Ch6'!H561)=0,"",'Ch6'!H561)</f>
        <v/>
      </c>
      <c r="C799" s="190" t="str">
        <f t="shared" si="31"/>
        <v/>
      </c>
      <c r="D799" s="70"/>
      <c r="E799" s="605"/>
      <c r="F799" s="605"/>
      <c r="G799" s="866"/>
      <c r="H799" s="56"/>
      <c r="I799" s="56"/>
      <c r="J799" s="650"/>
    </row>
    <row r="800" spans="1:10" s="485" customFormat="1" ht="15" customHeight="1" x14ac:dyDescent="0.2">
      <c r="A800" s="294" t="str">
        <f>A799</f>
        <v/>
      </c>
      <c r="B800" s="190" t="str">
        <f>IF(LEN('Ch6'!H562)=0,"",'Ch6'!H562)</f>
        <v/>
      </c>
      <c r="C800" s="190" t="str">
        <f t="shared" si="31"/>
        <v/>
      </c>
      <c r="D800" s="348"/>
      <c r="E800" s="606"/>
      <c r="F800" s="606"/>
      <c r="G800" s="868"/>
      <c r="H800" s="56"/>
      <c r="I800" s="56"/>
      <c r="J800" s="650"/>
    </row>
    <row r="801" spans="1:10" x14ac:dyDescent="0.2">
      <c r="A801" s="294" t="str">
        <f>IF(AND(LEN('Ch7'!W36)&gt;0,NOT('Ch7'!W36=FALSE)),"P","")</f>
        <v/>
      </c>
      <c r="B801" s="190" t="str">
        <f>IF(LEN('Ch6'!H563)=0,"",'Ch6'!H563)</f>
        <v/>
      </c>
      <c r="C801" s="190" t="str">
        <f t="shared" si="31"/>
        <v/>
      </c>
      <c r="D801" s="350" t="s">
        <v>2833</v>
      </c>
      <c r="E801" s="627"/>
      <c r="F801" s="627"/>
      <c r="G801" s="847" t="s">
        <v>2834</v>
      </c>
      <c r="H801" s="56">
        <f>'Ch7'!W36</f>
        <v>0</v>
      </c>
      <c r="J801" s="890" t="s">
        <v>3461</v>
      </c>
    </row>
    <row r="802" spans="1:10" x14ac:dyDescent="0.2">
      <c r="A802" s="294" t="str">
        <f>A801</f>
        <v/>
      </c>
      <c r="B802" s="190" t="str">
        <f>IF(LEN('Ch6'!H564)=0,"",'Ch6'!H564)</f>
        <v/>
      </c>
      <c r="C802" s="190" t="str">
        <f t="shared" si="31"/>
        <v/>
      </c>
      <c r="D802" s="348"/>
      <c r="E802" s="606"/>
      <c r="F802" s="606"/>
      <c r="G802" s="832"/>
      <c r="J802" s="890"/>
    </row>
    <row r="803" spans="1:10" x14ac:dyDescent="0.2">
      <c r="A803" s="294" t="str">
        <f>IF(AND(LEN('Ch7'!W42)&gt;0,NOT('Ch7'!W42=FALSE)),"P","")</f>
        <v/>
      </c>
      <c r="B803" s="190" t="str">
        <f>IF(LEN('Ch6'!H565)=0,"",'Ch6'!H565)</f>
        <v/>
      </c>
      <c r="C803" s="190" t="str">
        <f t="shared" si="31"/>
        <v/>
      </c>
      <c r="D803" s="350" t="s">
        <v>2836</v>
      </c>
      <c r="E803" s="627"/>
      <c r="F803" s="627"/>
      <c r="G803" s="639" t="s">
        <v>2837</v>
      </c>
      <c r="J803" s="650"/>
    </row>
    <row r="804" spans="1:10" x14ac:dyDescent="0.2">
      <c r="A804" s="294" t="str">
        <f t="shared" ref="A804:A808" si="33">A803</f>
        <v/>
      </c>
      <c r="B804" s="190" t="str">
        <f>IF(LEN('Ch6'!H566)=0,"",'Ch6'!H566)</f>
        <v/>
      </c>
      <c r="C804" s="190" t="str">
        <f t="shared" si="31"/>
        <v/>
      </c>
      <c r="D804" s="107" t="s">
        <v>2839</v>
      </c>
      <c r="E804" s="619"/>
      <c r="F804" s="619"/>
      <c r="G804" s="775" t="s">
        <v>2840</v>
      </c>
      <c r="J804" s="898" t="s">
        <v>3462</v>
      </c>
    </row>
    <row r="805" spans="1:10" ht="15" customHeight="1" x14ac:dyDescent="0.2">
      <c r="A805" s="294" t="str">
        <f t="shared" si="33"/>
        <v/>
      </c>
      <c r="B805" s="190" t="str">
        <f>IF(LEN('Ch6'!H567)=0,"",'Ch6'!H567)</f>
        <v/>
      </c>
      <c r="C805" s="190" t="str">
        <f t="shared" si="31"/>
        <v/>
      </c>
      <c r="D805" s="345"/>
      <c r="E805" s="619"/>
      <c r="F805" s="619"/>
      <c r="G805" s="775"/>
      <c r="H805" s="56">
        <f>'Ch7'!W40</f>
        <v>0</v>
      </c>
      <c r="J805" s="899"/>
    </row>
    <row r="806" spans="1:10" x14ac:dyDescent="0.2">
      <c r="A806" s="294" t="str">
        <f t="shared" si="33"/>
        <v/>
      </c>
      <c r="B806" s="190" t="str">
        <f>IF(LEN('Ch6'!H568)=0,"",'Ch6'!H568)</f>
        <v/>
      </c>
      <c r="C806" s="190" t="str">
        <f t="shared" si="31"/>
        <v/>
      </c>
      <c r="D806" s="345"/>
      <c r="E806" s="619"/>
      <c r="F806" s="619"/>
      <c r="G806" s="775"/>
      <c r="J806" s="899"/>
    </row>
    <row r="807" spans="1:10" x14ac:dyDescent="0.2">
      <c r="A807" s="294" t="str">
        <f t="shared" si="33"/>
        <v/>
      </c>
      <c r="B807" s="190" t="str">
        <f>IF(LEN('Ch6'!H569)=0,"",'Ch6'!H569)</f>
        <v/>
      </c>
      <c r="C807" s="190" t="str">
        <f t="shared" si="31"/>
        <v/>
      </c>
      <c r="D807" s="345"/>
      <c r="E807" s="619"/>
      <c r="F807" s="619"/>
      <c r="G807" s="775"/>
      <c r="H807" s="56">
        <f>'Ch7'!W42</f>
        <v>0</v>
      </c>
      <c r="J807" s="899"/>
    </row>
    <row r="808" spans="1:10" s="498" customFormat="1" x14ac:dyDescent="0.2">
      <c r="A808" s="294" t="str">
        <f t="shared" si="33"/>
        <v/>
      </c>
      <c r="B808" s="190" t="str">
        <f>IF(LEN('Ch6'!H570)=0,"",'Ch6'!H570)</f>
        <v/>
      </c>
      <c r="C808" s="190" t="str">
        <f t="shared" si="31"/>
        <v/>
      </c>
      <c r="D808" s="345"/>
      <c r="E808" s="619"/>
      <c r="F808" s="619"/>
      <c r="G808" s="775"/>
      <c r="H808" s="56"/>
      <c r="I808" s="56"/>
      <c r="J808" s="900"/>
    </row>
    <row r="809" spans="1:10" x14ac:dyDescent="0.2">
      <c r="B809" s="190" t="str">
        <f>IF(LEN('Ch6'!H571)=0,"",'Ch6'!H571)</f>
        <v/>
      </c>
      <c r="C809" s="190" t="str">
        <f t="shared" si="31"/>
        <v/>
      </c>
      <c r="D809" s="345"/>
      <c r="E809" s="619"/>
      <c r="F809" s="383" t="s">
        <v>2196</v>
      </c>
      <c r="G809" s="632" t="s">
        <v>2842</v>
      </c>
      <c r="J809" s="394"/>
    </row>
    <row r="810" spans="1:10" x14ac:dyDescent="0.2">
      <c r="B810" s="190" t="str">
        <f>IF(LEN('Ch6'!H572)=0,"",'Ch6'!H572)</f>
        <v/>
      </c>
      <c r="C810" s="190" t="str">
        <f t="shared" si="31"/>
        <v/>
      </c>
      <c r="D810" s="345"/>
      <c r="E810" s="619"/>
      <c r="F810" s="383" t="s">
        <v>2198</v>
      </c>
      <c r="G810" s="632" t="s">
        <v>2843</v>
      </c>
      <c r="J810" s="649"/>
    </row>
    <row r="811" spans="1:10" ht="15" customHeight="1" x14ac:dyDescent="0.2">
      <c r="B811" s="190" t="str">
        <f>IF(LEN('Ch6'!H573)=0,"",'Ch6'!H573)</f>
        <v/>
      </c>
      <c r="C811" s="190" t="str">
        <f t="shared" si="31"/>
        <v/>
      </c>
      <c r="D811" s="345"/>
      <c r="E811" s="619"/>
      <c r="F811" s="384" t="s">
        <v>2200</v>
      </c>
      <c r="G811" s="632" t="s">
        <v>2844</v>
      </c>
      <c r="J811" s="649"/>
    </row>
    <row r="812" spans="1:10" x14ac:dyDescent="0.2">
      <c r="B812" s="190" t="str">
        <f>IF(LEN('Ch6'!H574)=0,"",'Ch6'!H574)</f>
        <v/>
      </c>
      <c r="C812" s="190" t="str">
        <f t="shared" si="31"/>
        <v/>
      </c>
      <c r="D812" s="345"/>
      <c r="E812" s="619"/>
      <c r="F812" s="597" t="s">
        <v>2247</v>
      </c>
      <c r="G812" s="632" t="s">
        <v>2845</v>
      </c>
      <c r="J812" s="394"/>
    </row>
    <row r="813" spans="1:10" x14ac:dyDescent="0.2">
      <c r="B813" s="190" t="str">
        <f>IF(LEN('Ch6'!H575)=0,"",'Ch6'!H575)</f>
        <v/>
      </c>
      <c r="C813" s="190" t="str">
        <f t="shared" si="31"/>
        <v/>
      </c>
      <c r="D813" s="345"/>
      <c r="E813" s="619"/>
      <c r="F813" s="597" t="s">
        <v>2444</v>
      </c>
      <c r="G813" s="632" t="s">
        <v>2846</v>
      </c>
      <c r="J813" s="394"/>
    </row>
    <row r="814" spans="1:10" x14ac:dyDescent="0.2">
      <c r="B814" s="190" t="str">
        <f>IF(LEN('Ch6'!H576)=0,"",'Ch6'!H576)</f>
        <v/>
      </c>
      <c r="C814" s="190" t="str">
        <f t="shared" si="31"/>
        <v/>
      </c>
      <c r="D814" s="345"/>
      <c r="E814" s="619"/>
      <c r="F814" s="384" t="s">
        <v>2540</v>
      </c>
      <c r="G814" s="632" t="s">
        <v>2847</v>
      </c>
      <c r="J814" s="394"/>
    </row>
    <row r="815" spans="1:10" x14ac:dyDescent="0.2">
      <c r="B815" s="190" t="str">
        <f>IF(LEN('Ch6'!H577)=0,"",'Ch6'!H577)</f>
        <v/>
      </c>
      <c r="C815" s="190" t="str">
        <f t="shared" si="31"/>
        <v/>
      </c>
      <c r="D815" s="345"/>
      <c r="E815" s="619"/>
      <c r="F815" s="597" t="s">
        <v>2542</v>
      </c>
      <c r="G815" s="632" t="s">
        <v>2848</v>
      </c>
      <c r="J815" s="394"/>
    </row>
    <row r="816" spans="1:10" x14ac:dyDescent="0.2">
      <c r="B816" s="190" t="str">
        <f>IF(LEN('Ch6'!H578)=0,"",'Ch6'!H578)</f>
        <v/>
      </c>
      <c r="C816" s="190" t="str">
        <f t="shared" si="31"/>
        <v/>
      </c>
      <c r="D816" s="345"/>
      <c r="E816" s="619"/>
      <c r="F816" s="597" t="s">
        <v>2544</v>
      </c>
      <c r="G816" s="632" t="s">
        <v>2849</v>
      </c>
      <c r="J816" s="649"/>
    </row>
    <row r="817" spans="1:10" x14ac:dyDescent="0.2">
      <c r="B817" s="190" t="str">
        <f>IF(LEN('Ch6'!H579)=0,"",'Ch6'!H579)</f>
        <v/>
      </c>
      <c r="C817" s="190" t="str">
        <f t="shared" si="31"/>
        <v/>
      </c>
      <c r="D817" s="345"/>
      <c r="E817" s="619"/>
      <c r="F817" s="597" t="s">
        <v>2657</v>
      </c>
      <c r="G817" s="632" t="s">
        <v>2850</v>
      </c>
      <c r="J817" s="649"/>
    </row>
    <row r="818" spans="1:10" x14ac:dyDescent="0.2">
      <c r="B818" s="190" t="str">
        <f>IF(LEN('Ch6'!H580)=0,"",'Ch6'!H580)</f>
        <v/>
      </c>
      <c r="C818" s="190" t="str">
        <f t="shared" si="31"/>
        <v/>
      </c>
      <c r="D818" s="345"/>
      <c r="E818" s="619"/>
      <c r="F818" s="597" t="s">
        <v>2851</v>
      </c>
      <c r="G818" s="632" t="s">
        <v>2852</v>
      </c>
      <c r="J818" s="649"/>
    </row>
    <row r="819" spans="1:10" x14ac:dyDescent="0.2">
      <c r="B819" s="190" t="str">
        <f>IF(LEN('Ch6'!H581)=0,"",'Ch6'!H581)</f>
        <v/>
      </c>
      <c r="C819" s="190" t="str">
        <f t="shared" si="31"/>
        <v/>
      </c>
      <c r="D819" s="388"/>
      <c r="E819" s="605"/>
      <c r="F819" s="621" t="s">
        <v>2853</v>
      </c>
      <c r="G819" s="598" t="s">
        <v>2854</v>
      </c>
      <c r="J819" s="649"/>
    </row>
    <row r="820" spans="1:10" x14ac:dyDescent="0.2">
      <c r="B820" s="190" t="str">
        <f>IF(LEN('Ch6'!H582)=0,"",'Ch6'!H582)</f>
        <v/>
      </c>
      <c r="C820" s="190" t="str">
        <f t="shared" si="31"/>
        <v/>
      </c>
      <c r="D820" s="160"/>
      <c r="E820" s="606"/>
      <c r="F820" s="628" t="s">
        <v>2855</v>
      </c>
      <c r="G820" s="599" t="s">
        <v>2856</v>
      </c>
      <c r="J820" s="649"/>
    </row>
    <row r="821" spans="1:10" x14ac:dyDescent="0.2">
      <c r="A821" s="294" t="str">
        <f>IF(H824&lt;&gt;0,"P","")</f>
        <v/>
      </c>
      <c r="B821" s="190" t="str">
        <f>IF(LEN('Ch6'!H583)=0,"",'Ch6'!H583)</f>
        <v/>
      </c>
      <c r="C821" s="190" t="str">
        <f t="shared" si="31"/>
        <v/>
      </c>
      <c r="D821" s="107" t="s">
        <v>2858</v>
      </c>
      <c r="E821" s="619"/>
      <c r="F821" s="619"/>
      <c r="G821" s="775" t="s">
        <v>2859</v>
      </c>
      <c r="J821" s="650"/>
    </row>
    <row r="822" spans="1:10" x14ac:dyDescent="0.2">
      <c r="A822" s="294" t="str">
        <f>A821</f>
        <v/>
      </c>
      <c r="B822" s="190" t="str">
        <f>IF(LEN('Ch6'!H584)=0,"",'Ch6'!H584)</f>
        <v/>
      </c>
      <c r="C822" s="190" t="str">
        <f t="shared" si="31"/>
        <v/>
      </c>
      <c r="D822" s="345"/>
      <c r="E822" s="619"/>
      <c r="F822" s="619"/>
      <c r="G822" s="775"/>
      <c r="J822" s="650"/>
    </row>
    <row r="823" spans="1:10" x14ac:dyDescent="0.2">
      <c r="A823" s="294" t="str">
        <f>A822</f>
        <v/>
      </c>
      <c r="B823" s="190" t="str">
        <f>IF(LEN('Ch6'!H585)=0,"",'Ch6'!H585)</f>
        <v/>
      </c>
      <c r="C823" s="190" t="str">
        <f t="shared" si="31"/>
        <v/>
      </c>
      <c r="D823" s="345"/>
      <c r="E823" s="619"/>
      <c r="F823" s="619"/>
      <c r="G823" s="775"/>
      <c r="J823" s="650"/>
    </row>
    <row r="824" spans="1:10" x14ac:dyDescent="0.2">
      <c r="A824" s="294" t="str">
        <f>IF(AND(LEN('Ch7'!W59)&gt;0,NOT('Ch7'!W59=FALSE)),"P","")</f>
        <v/>
      </c>
      <c r="B824" s="190" t="str">
        <f>IF(LEN('Ch6'!H586)=0,"",'Ch6'!H586)</f>
        <v/>
      </c>
      <c r="C824" s="190" t="str">
        <f t="shared" si="31"/>
        <v/>
      </c>
      <c r="D824" s="345"/>
      <c r="E824" s="383" t="s">
        <v>2181</v>
      </c>
      <c r="F824" s="619"/>
      <c r="G824" s="775" t="s">
        <v>2863</v>
      </c>
      <c r="H824" s="56">
        <f>'Ch7'!W59</f>
        <v>0</v>
      </c>
      <c r="J824" s="890" t="s">
        <v>3463</v>
      </c>
    </row>
    <row r="825" spans="1:10" x14ac:dyDescent="0.2">
      <c r="A825" s="294" t="str">
        <f>A824</f>
        <v/>
      </c>
      <c r="B825" s="190" t="str">
        <f>IF(LEN('Ch6'!H587)=0,"",'Ch6'!H587)</f>
        <v/>
      </c>
      <c r="C825" s="190" t="str">
        <f t="shared" si="31"/>
        <v/>
      </c>
      <c r="D825" s="345"/>
      <c r="E825" s="619"/>
      <c r="F825" s="619"/>
      <c r="G825" s="775"/>
      <c r="J825" s="890"/>
    </row>
    <row r="826" spans="1:10" x14ac:dyDescent="0.2">
      <c r="A826" s="294" t="str">
        <f>A825</f>
        <v/>
      </c>
      <c r="B826" s="190" t="str">
        <f>IF(LEN('Ch6'!H588)=0,"",'Ch6'!H588)</f>
        <v/>
      </c>
      <c r="C826" s="190" t="str">
        <f t="shared" si="31"/>
        <v/>
      </c>
      <c r="D826" s="345"/>
      <c r="E826" s="619"/>
      <c r="F826" s="619"/>
      <c r="G826" s="775"/>
      <c r="J826" s="890"/>
    </row>
    <row r="827" spans="1:10" x14ac:dyDescent="0.2">
      <c r="A827" s="294" t="str">
        <f>A826</f>
        <v/>
      </c>
      <c r="B827" s="190" t="str">
        <f>IF(LEN('Ch6'!H589)=0,"",'Ch6'!H589)</f>
        <v/>
      </c>
      <c r="C827" s="190" t="str">
        <f t="shared" si="31"/>
        <v/>
      </c>
      <c r="D827" s="345"/>
      <c r="E827" s="619"/>
      <c r="F827" s="619"/>
      <c r="G827" s="775"/>
      <c r="J827" s="890"/>
    </row>
    <row r="828" spans="1:10" x14ac:dyDescent="0.2">
      <c r="A828" s="294" t="str">
        <f>A827</f>
        <v/>
      </c>
      <c r="B828" s="190" t="str">
        <f>IF(LEN('Ch6'!H590)=0,"",'Ch6'!H590)</f>
        <v/>
      </c>
      <c r="C828" s="190" t="str">
        <f t="shared" si="31"/>
        <v/>
      </c>
      <c r="D828" s="345"/>
      <c r="E828" s="619"/>
      <c r="F828" s="619"/>
      <c r="G828" s="775"/>
      <c r="J828" s="890"/>
    </row>
    <row r="829" spans="1:10" x14ac:dyDescent="0.2">
      <c r="B829" s="190" t="str">
        <f>IF(LEN('Ch6'!H591)=0,"",'Ch6'!H591)</f>
        <v/>
      </c>
      <c r="C829" s="190" t="str">
        <f t="shared" si="31"/>
        <v/>
      </c>
      <c r="D829" s="345"/>
      <c r="E829" s="619"/>
      <c r="F829" s="383" t="s">
        <v>2196</v>
      </c>
      <c r="G829" s="632" t="s">
        <v>2865</v>
      </c>
      <c r="J829" s="650"/>
    </row>
    <row r="830" spans="1:10" x14ac:dyDescent="0.2">
      <c r="B830" s="190" t="str">
        <f>IF(LEN('Ch6'!H592)=0,"",'Ch6'!H592)</f>
        <v/>
      </c>
      <c r="C830" s="190" t="str">
        <f t="shared" si="31"/>
        <v/>
      </c>
      <c r="D830" s="345"/>
      <c r="E830" s="619"/>
      <c r="F830" s="383" t="s">
        <v>2198</v>
      </c>
      <c r="G830" s="817" t="s">
        <v>2866</v>
      </c>
      <c r="J830" s="650"/>
    </row>
    <row r="831" spans="1:10" x14ac:dyDescent="0.2">
      <c r="B831" s="190" t="str">
        <f>IF(LEN('Ch6'!H593)=0,"",'Ch6'!H593)</f>
        <v/>
      </c>
      <c r="C831" s="190" t="str">
        <f t="shared" si="31"/>
        <v/>
      </c>
      <c r="D831" s="345"/>
      <c r="E831" s="619"/>
      <c r="F831" s="383"/>
      <c r="G831" s="817"/>
      <c r="J831" s="650"/>
    </row>
    <row r="832" spans="1:10" x14ac:dyDescent="0.2">
      <c r="B832" s="190" t="str">
        <f>IF(LEN('Ch6'!H594)=0,"",'Ch6'!H594)</f>
        <v/>
      </c>
      <c r="C832" s="190" t="str">
        <f t="shared" si="31"/>
        <v/>
      </c>
      <c r="D832" s="345"/>
      <c r="E832" s="619"/>
      <c r="F832" s="384" t="s">
        <v>2200</v>
      </c>
      <c r="G832" s="632" t="s">
        <v>2867</v>
      </c>
      <c r="J832" s="650"/>
    </row>
    <row r="833" spans="1:10" x14ac:dyDescent="0.2">
      <c r="B833" s="190" t="str">
        <f>IF(LEN('Ch6'!H595)=0,"",'Ch6'!H595)</f>
        <v/>
      </c>
      <c r="C833" s="190" t="str">
        <f t="shared" si="31"/>
        <v/>
      </c>
      <c r="D833" s="345"/>
      <c r="E833" s="619"/>
      <c r="F833" s="597" t="s">
        <v>2247</v>
      </c>
      <c r="G833" s="817" t="s">
        <v>2868</v>
      </c>
      <c r="J833" s="650"/>
    </row>
    <row r="834" spans="1:10" x14ac:dyDescent="0.2">
      <c r="B834" s="190" t="str">
        <f>IF(LEN('Ch6'!H596)=0,"",'Ch6'!H596)</f>
        <v/>
      </c>
      <c r="C834" s="190" t="str">
        <f t="shared" si="31"/>
        <v/>
      </c>
      <c r="D834" s="345"/>
      <c r="E834" s="619"/>
      <c r="F834" s="597"/>
      <c r="G834" s="817"/>
      <c r="J834" s="650"/>
    </row>
    <row r="835" spans="1:10" x14ac:dyDescent="0.2">
      <c r="B835" s="190" t="str">
        <f>IF(LEN('Ch6'!H597)=0,"",'Ch6'!H597)</f>
        <v/>
      </c>
      <c r="C835" s="190" t="str">
        <f t="shared" si="31"/>
        <v/>
      </c>
      <c r="D835" s="345"/>
      <c r="E835" s="619"/>
      <c r="F835" s="597" t="s">
        <v>2444</v>
      </c>
      <c r="G835" s="632" t="s">
        <v>2869</v>
      </c>
      <c r="J835" s="650"/>
    </row>
    <row r="836" spans="1:10" x14ac:dyDescent="0.2">
      <c r="B836" s="190" t="str">
        <f>IF(LEN('Ch6'!H598)=0,"",'Ch6'!H598)</f>
        <v/>
      </c>
      <c r="C836" s="190" t="str">
        <f t="shared" si="31"/>
        <v/>
      </c>
      <c r="D836" s="345"/>
      <c r="E836" s="619"/>
      <c r="F836" s="384" t="s">
        <v>2540</v>
      </c>
      <c r="G836" s="632" t="s">
        <v>2870</v>
      </c>
      <c r="J836" s="650"/>
    </row>
    <row r="837" spans="1:10" x14ac:dyDescent="0.2">
      <c r="B837" s="190" t="str">
        <f>IF(LEN('Ch6'!H599)=0,"",'Ch6'!H599)</f>
        <v/>
      </c>
      <c r="C837" s="190" t="str">
        <f t="shared" si="31"/>
        <v/>
      </c>
      <c r="D837" s="345"/>
      <c r="E837" s="619"/>
      <c r="F837" s="597" t="s">
        <v>2542</v>
      </c>
      <c r="G837" s="632" t="s">
        <v>2871</v>
      </c>
      <c r="J837" s="650"/>
    </row>
    <row r="838" spans="1:10" x14ac:dyDescent="0.2">
      <c r="B838" s="190" t="str">
        <f>IF(LEN('Ch6'!H600)=0,"",'Ch6'!H600)</f>
        <v/>
      </c>
      <c r="C838" s="190" t="str">
        <f t="shared" si="31"/>
        <v/>
      </c>
      <c r="D838" s="345"/>
      <c r="E838" s="605"/>
      <c r="F838" s="385"/>
      <c r="G838" s="849" t="s">
        <v>2872</v>
      </c>
      <c r="J838" s="650"/>
    </row>
    <row r="839" spans="1:10" x14ac:dyDescent="0.2">
      <c r="B839" s="190" t="str">
        <f>IF(LEN('Ch6'!H601)=0,"",'Ch6'!H601)</f>
        <v/>
      </c>
      <c r="C839" s="190" t="str">
        <f t="shared" si="31"/>
        <v/>
      </c>
      <c r="D839" s="345"/>
      <c r="E839" s="606"/>
      <c r="F839" s="671"/>
      <c r="G839" s="850"/>
      <c r="J839" s="650"/>
    </row>
    <row r="840" spans="1:10" x14ac:dyDescent="0.2">
      <c r="A840" s="294" t="str">
        <f>IF(AND(LEN('Ch7'!W75)&gt;0,NOT('Ch7'!W75=FALSE)),"P","")</f>
        <v/>
      </c>
      <c r="B840" s="190" t="str">
        <f>IF(LEN('Ch6'!H602)=0,"",'Ch6'!H602)</f>
        <v/>
      </c>
      <c r="C840" s="190" t="str">
        <f t="shared" si="31"/>
        <v/>
      </c>
      <c r="D840" s="388"/>
      <c r="E840" s="381" t="s">
        <v>2183</v>
      </c>
      <c r="F840" s="605"/>
      <c r="G840" s="820" t="s">
        <v>2873</v>
      </c>
      <c r="H840" s="56">
        <f>'Ch7'!W75</f>
        <v>0</v>
      </c>
      <c r="J840" s="889" t="s">
        <v>3399</v>
      </c>
    </row>
    <row r="841" spans="1:10" x14ac:dyDescent="0.2">
      <c r="A841" s="294" t="str">
        <f>A840</f>
        <v/>
      </c>
      <c r="B841" s="190" t="str">
        <f>IF(LEN('Ch6'!H603)=0,"",'Ch6'!H603)</f>
        <v/>
      </c>
      <c r="C841" s="190" t="str">
        <f t="shared" si="31"/>
        <v/>
      </c>
      <c r="D841" s="388"/>
      <c r="E841" s="605"/>
      <c r="F841" s="605"/>
      <c r="G841" s="820"/>
      <c r="J841" s="889"/>
    </row>
    <row r="842" spans="1:10" x14ac:dyDescent="0.2">
      <c r="B842" s="190" t="str">
        <f>IF(LEN('Ch6'!H604)=0,"",'Ch6'!H604)</f>
        <v/>
      </c>
      <c r="C842" s="190" t="str">
        <f t="shared" si="31"/>
        <v/>
      </c>
      <c r="D842" s="160"/>
      <c r="E842" s="606"/>
      <c r="F842" s="606"/>
      <c r="G842" s="280" t="s">
        <v>2874</v>
      </c>
      <c r="J842" s="650"/>
    </row>
    <row r="843" spans="1:10" x14ac:dyDescent="0.2">
      <c r="A843" s="294" t="str">
        <f>IF(AND(LEN('Ch7'!W78)&gt;0,NOT('Ch7'!W78=FALSE)),"P","")</f>
        <v/>
      </c>
      <c r="B843" s="190" t="str">
        <f>IF(LEN('Ch6'!H605)=0,"",'Ch6'!H605)</f>
        <v/>
      </c>
      <c r="C843" s="190" t="str">
        <f t="shared" si="31"/>
        <v/>
      </c>
      <c r="D843" s="107" t="s">
        <v>2876</v>
      </c>
      <c r="E843" s="619"/>
      <c r="F843" s="619"/>
      <c r="G843" s="654" t="s">
        <v>2877</v>
      </c>
      <c r="H843" s="56">
        <f>'Ch7'!W78</f>
        <v>0</v>
      </c>
      <c r="J843" s="650" t="s">
        <v>3399</v>
      </c>
    </row>
    <row r="844" spans="1:10" x14ac:dyDescent="0.2">
      <c r="B844" s="190" t="str">
        <f>IF(LEN('Ch6'!H606)=0,"",'Ch6'!H606)</f>
        <v/>
      </c>
      <c r="C844" s="190" t="str">
        <f t="shared" si="31"/>
        <v/>
      </c>
      <c r="D844" s="345"/>
      <c r="E844" s="382" t="s">
        <v>2181</v>
      </c>
      <c r="F844" s="606"/>
      <c r="G844" s="599" t="s">
        <v>2878</v>
      </c>
      <c r="J844" s="650"/>
    </row>
    <row r="845" spans="1:10" x14ac:dyDescent="0.2">
      <c r="B845" s="190" t="str">
        <f>IF(LEN('Ch6'!H607)=0,"",'Ch6'!H607)</f>
        <v/>
      </c>
      <c r="C845" s="190" t="str">
        <f t="shared" si="31"/>
        <v/>
      </c>
      <c r="D845" s="345"/>
      <c r="E845" s="386" t="s">
        <v>2183</v>
      </c>
      <c r="F845" s="627"/>
      <c r="G845" s="831" t="s">
        <v>2879</v>
      </c>
      <c r="J845" s="650"/>
    </row>
    <row r="846" spans="1:10" x14ac:dyDescent="0.2">
      <c r="B846" s="190" t="str">
        <f>IF(LEN('Ch6'!H608)=0,"",'Ch6'!H608)</f>
        <v/>
      </c>
      <c r="C846" s="190" t="str">
        <f t="shared" ref="C846:C919" si="34">IF(LEN(B846)=0,IF(A846="P","P",""),B846)</f>
        <v/>
      </c>
      <c r="D846" s="345"/>
      <c r="E846" s="382"/>
      <c r="F846" s="606"/>
      <c r="G846" s="792"/>
      <c r="J846" s="650"/>
    </row>
    <row r="847" spans="1:10" x14ac:dyDescent="0.2">
      <c r="B847" s="190" t="str">
        <f>IF(LEN('Ch6'!H609)=0,"",'Ch6'!H609)</f>
        <v/>
      </c>
      <c r="C847" s="190" t="str">
        <f t="shared" si="34"/>
        <v/>
      </c>
      <c r="D847" s="345"/>
      <c r="E847" s="387" t="s">
        <v>2185</v>
      </c>
      <c r="F847" s="204"/>
      <c r="G847" s="205" t="s">
        <v>2880</v>
      </c>
      <c r="J847" s="650"/>
    </row>
    <row r="848" spans="1:10" x14ac:dyDescent="0.2">
      <c r="B848" s="190" t="str">
        <f>IF(LEN('Ch6'!H610)=0,"",'Ch6'!H610)</f>
        <v/>
      </c>
      <c r="C848" s="190" t="str">
        <f t="shared" si="34"/>
        <v/>
      </c>
      <c r="D848" s="345"/>
      <c r="E848" s="383" t="s">
        <v>2192</v>
      </c>
      <c r="F848" s="619"/>
      <c r="G848" s="817" t="s">
        <v>2881</v>
      </c>
      <c r="J848" s="650"/>
    </row>
    <row r="849" spans="2:10" x14ac:dyDescent="0.2">
      <c r="B849" s="190" t="str">
        <f>IF(LEN('Ch6'!H611)=0,"",'Ch6'!H611)</f>
        <v/>
      </c>
      <c r="C849" s="190" t="str">
        <f t="shared" si="34"/>
        <v/>
      </c>
      <c r="D849" s="345"/>
      <c r="E849" s="383"/>
      <c r="F849" s="619"/>
      <c r="G849" s="817"/>
      <c r="J849" s="650"/>
    </row>
    <row r="850" spans="2:10" x14ac:dyDescent="0.2">
      <c r="B850" s="190" t="str">
        <f>IF(LEN('Ch6'!H612)=0,"",'Ch6'!H612)</f>
        <v/>
      </c>
      <c r="C850" s="190" t="str">
        <f t="shared" si="34"/>
        <v/>
      </c>
      <c r="D850" s="345"/>
      <c r="E850" s="383"/>
      <c r="F850" s="619"/>
      <c r="G850" s="817"/>
      <c r="J850" s="650"/>
    </row>
    <row r="851" spans="2:10" x14ac:dyDescent="0.2">
      <c r="B851" s="190" t="str">
        <f>IF(LEN('Ch6'!H613)=0,"",'Ch6'!H613)</f>
        <v/>
      </c>
      <c r="C851" s="190" t="str">
        <f t="shared" si="34"/>
        <v/>
      </c>
      <c r="D851" s="345"/>
      <c r="E851" s="383"/>
      <c r="F851" s="619"/>
      <c r="G851" s="817"/>
      <c r="J851" s="650"/>
    </row>
    <row r="852" spans="2:10" x14ac:dyDescent="0.2">
      <c r="B852" s="190" t="str">
        <f>IF(LEN('Ch6'!H614)=0,"",'Ch6'!H614)</f>
        <v/>
      </c>
      <c r="C852" s="190" t="str">
        <f t="shared" si="34"/>
        <v/>
      </c>
      <c r="D852" s="345"/>
      <c r="E852" s="381" t="s">
        <v>2194</v>
      </c>
      <c r="F852" s="605"/>
      <c r="G852" s="791" t="s">
        <v>2882</v>
      </c>
      <c r="J852" s="650"/>
    </row>
    <row r="853" spans="2:10" x14ac:dyDescent="0.2">
      <c r="B853" s="190" t="str">
        <f>IF(LEN('Ch6'!H615)=0,"",'Ch6'!H615)</f>
        <v/>
      </c>
      <c r="C853" s="190" t="str">
        <f t="shared" si="34"/>
        <v/>
      </c>
      <c r="D853" s="345"/>
      <c r="E853" s="382"/>
      <c r="F853" s="606"/>
      <c r="G853" s="792"/>
      <c r="J853" s="650"/>
    </row>
    <row r="854" spans="2:10" x14ac:dyDescent="0.2">
      <c r="B854" s="190" t="str">
        <f>IF(LEN('Ch6'!H616)=0,"",'Ch6'!H616)</f>
        <v/>
      </c>
      <c r="C854" s="190" t="str">
        <f t="shared" si="34"/>
        <v/>
      </c>
      <c r="D854" s="345"/>
      <c r="E854" s="386" t="s">
        <v>2221</v>
      </c>
      <c r="F854" s="627"/>
      <c r="G854" s="831" t="s">
        <v>2883</v>
      </c>
      <c r="J854" s="650"/>
    </row>
    <row r="855" spans="2:10" x14ac:dyDescent="0.2">
      <c r="B855" s="190" t="str">
        <f>IF(LEN('Ch6'!H617)=0,"",'Ch6'!H617)</f>
        <v/>
      </c>
      <c r="C855" s="190" t="str">
        <f t="shared" si="34"/>
        <v/>
      </c>
      <c r="D855" s="345"/>
      <c r="E855" s="381"/>
      <c r="F855" s="605"/>
      <c r="G855" s="791"/>
      <c r="J855" s="650"/>
    </row>
    <row r="856" spans="2:10" x14ac:dyDescent="0.2">
      <c r="B856" s="190" t="str">
        <f>IF(LEN('Ch6'!H618)=0,"",'Ch6'!H618)</f>
        <v/>
      </c>
      <c r="C856" s="190" t="str">
        <f t="shared" si="34"/>
        <v/>
      </c>
      <c r="D856" s="345"/>
      <c r="E856" s="382"/>
      <c r="F856" s="606"/>
      <c r="G856" s="792"/>
      <c r="J856" s="650"/>
    </row>
    <row r="857" spans="2:10" x14ac:dyDescent="0.2">
      <c r="B857" s="190" t="str">
        <f>IF(LEN('Ch6'!H619)=0,"",'Ch6'!H619)</f>
        <v/>
      </c>
      <c r="C857" s="190" t="str">
        <f t="shared" si="34"/>
        <v/>
      </c>
      <c r="D857" s="345"/>
      <c r="E857" s="386" t="s">
        <v>2223</v>
      </c>
      <c r="F857" s="627"/>
      <c r="G857" s="831" t="s">
        <v>2884</v>
      </c>
      <c r="J857" s="650"/>
    </row>
    <row r="858" spans="2:10" x14ac:dyDescent="0.2">
      <c r="B858" s="190" t="str">
        <f>IF(LEN('Ch6'!H620)=0,"",'Ch6'!H620)</f>
        <v/>
      </c>
      <c r="C858" s="190" t="str">
        <f t="shared" si="34"/>
        <v/>
      </c>
      <c r="D858" s="345"/>
      <c r="E858" s="382"/>
      <c r="F858" s="606"/>
      <c r="G858" s="792"/>
      <c r="J858" s="650"/>
    </row>
    <row r="859" spans="2:10" ht="15" customHeight="1" x14ac:dyDescent="0.2">
      <c r="B859" s="190" t="str">
        <f>IF(LEN('Ch6'!H621)=0,"",'Ch6'!H621)</f>
        <v/>
      </c>
      <c r="C859" s="190" t="str">
        <f t="shared" si="34"/>
        <v/>
      </c>
      <c r="D859" s="345"/>
      <c r="E859" s="387" t="s">
        <v>2282</v>
      </c>
      <c r="F859" s="204"/>
      <c r="G859" s="205" t="s">
        <v>2885</v>
      </c>
      <c r="J859" s="650"/>
    </row>
    <row r="860" spans="2:10" x14ac:dyDescent="0.2">
      <c r="B860" s="190" t="str">
        <f>IF(LEN('Ch6'!H622)=0,"",'Ch6'!H622)</f>
        <v/>
      </c>
      <c r="C860" s="190" t="str">
        <f t="shared" si="34"/>
        <v/>
      </c>
      <c r="D860" s="345"/>
      <c r="E860" s="387" t="s">
        <v>2284</v>
      </c>
      <c r="F860" s="204"/>
      <c r="G860" s="205" t="s">
        <v>2886</v>
      </c>
      <c r="J860" s="650"/>
    </row>
    <row r="861" spans="2:10" ht="15" customHeight="1" x14ac:dyDescent="0.2">
      <c r="B861" s="190" t="str">
        <f>IF(LEN('Ch6'!H623)=0,"",'Ch6'!H623)</f>
        <v/>
      </c>
      <c r="C861" s="190" t="str">
        <f t="shared" si="34"/>
        <v/>
      </c>
      <c r="D861" s="345"/>
      <c r="E861" s="386" t="s">
        <v>2286</v>
      </c>
      <c r="F861" s="627"/>
      <c r="G861" s="831" t="s">
        <v>2887</v>
      </c>
      <c r="J861" s="650"/>
    </row>
    <row r="862" spans="2:10" x14ac:dyDescent="0.2">
      <c r="B862" s="190" t="str">
        <f>IF(LEN('Ch6'!H624)=0,"",'Ch6'!H624)</f>
        <v/>
      </c>
      <c r="C862" s="190" t="str">
        <f t="shared" si="34"/>
        <v/>
      </c>
      <c r="D862" s="345"/>
      <c r="E862" s="381"/>
      <c r="F862" s="605"/>
      <c r="G862" s="791"/>
      <c r="J862" s="650"/>
    </row>
    <row r="863" spans="2:10" x14ac:dyDescent="0.2">
      <c r="B863" s="190" t="str">
        <f>IF(LEN('Ch6'!H625)=0,"",'Ch6'!H625)</f>
        <v/>
      </c>
      <c r="C863" s="190" t="str">
        <f t="shared" si="34"/>
        <v/>
      </c>
      <c r="D863" s="345"/>
      <c r="E863" s="382"/>
      <c r="F863" s="606"/>
      <c r="G863" s="792"/>
      <c r="J863" s="650"/>
    </row>
    <row r="864" spans="2:10" ht="15" customHeight="1" x14ac:dyDescent="0.2">
      <c r="B864" s="190" t="str">
        <f>IF(LEN('Ch6'!H626)=0,"",'Ch6'!H626)</f>
        <v/>
      </c>
      <c r="C864" s="190" t="str">
        <f t="shared" si="34"/>
        <v/>
      </c>
      <c r="D864" s="388"/>
      <c r="E864" s="381" t="s">
        <v>2288</v>
      </c>
      <c r="F864" s="605"/>
      <c r="G864" s="791" t="s">
        <v>2888</v>
      </c>
      <c r="J864" s="650"/>
    </row>
    <row r="865" spans="1:10" x14ac:dyDescent="0.2">
      <c r="B865" s="190" t="str">
        <f>IF(LEN('Ch6'!H627)=0,"",'Ch6'!H627)</f>
        <v/>
      </c>
      <c r="C865" s="190" t="str">
        <f t="shared" si="34"/>
        <v/>
      </c>
      <c r="D865" s="388"/>
      <c r="E865" s="381"/>
      <c r="F865" s="605"/>
      <c r="G865" s="791"/>
      <c r="J865" s="650"/>
    </row>
    <row r="866" spans="1:10" x14ac:dyDescent="0.2">
      <c r="B866" s="190" t="str">
        <f>IF(LEN('Ch6'!H628)=0,"",'Ch6'!H628)</f>
        <v/>
      </c>
      <c r="C866" s="190" t="str">
        <f t="shared" si="34"/>
        <v/>
      </c>
      <c r="D866" s="160"/>
      <c r="E866" s="382"/>
      <c r="F866" s="606"/>
      <c r="G866" s="792"/>
      <c r="J866" s="650"/>
    </row>
    <row r="867" spans="1:10" x14ac:dyDescent="0.2">
      <c r="A867" s="294" t="str">
        <f>IF(AND(LEN('Ch7'!W40)&gt;0,NOT('Ch7'!W40=FALSE)),"P","")</f>
        <v/>
      </c>
      <c r="B867" s="190" t="str">
        <f>IF(LEN('Ch6'!H629)=0,"",'Ch6'!H629)</f>
        <v/>
      </c>
      <c r="C867" s="190" t="str">
        <f t="shared" si="34"/>
        <v/>
      </c>
      <c r="D867" s="350" t="s">
        <v>2890</v>
      </c>
      <c r="E867" s="627"/>
      <c r="F867" s="627"/>
      <c r="G867" s="847" t="s">
        <v>3464</v>
      </c>
      <c r="J867" s="650"/>
    </row>
    <row r="868" spans="1:10" x14ac:dyDescent="0.2">
      <c r="A868" s="294" t="str">
        <f>A867</f>
        <v/>
      </c>
      <c r="B868" s="190" t="str">
        <f>IF(LEN('Ch6'!H630)=0,"",'Ch6'!H630)</f>
        <v/>
      </c>
      <c r="C868" s="190" t="str">
        <f t="shared" si="34"/>
        <v/>
      </c>
      <c r="D868" s="70"/>
      <c r="E868" s="605"/>
      <c r="F868" s="605"/>
      <c r="G868" s="820"/>
      <c r="J868" s="650"/>
    </row>
    <row r="869" spans="1:10" x14ac:dyDescent="0.2">
      <c r="A869" s="294" t="str">
        <f>A868</f>
        <v/>
      </c>
      <c r="B869" s="190" t="str">
        <f>IF(LEN('Ch6'!H631)=0,"",'Ch6'!H631)</f>
        <v/>
      </c>
      <c r="C869" s="190" t="str">
        <f t="shared" si="34"/>
        <v/>
      </c>
      <c r="D869" s="348"/>
      <c r="E869" s="606"/>
      <c r="F869" s="606"/>
      <c r="G869" s="832"/>
      <c r="J869" s="650"/>
    </row>
    <row r="870" spans="1:10" x14ac:dyDescent="0.2">
      <c r="A870" s="294" t="str">
        <f>IF(AND(LEN('Ch7'!W105)&gt;0,NOT('Ch7'!W105=FALSE)),"P","")</f>
        <v/>
      </c>
      <c r="B870" s="190" t="str">
        <f>IF(LEN('Ch6'!H632)=0,"",'Ch6'!H632)</f>
        <v/>
      </c>
      <c r="C870" s="190" t="str">
        <f t="shared" si="34"/>
        <v/>
      </c>
      <c r="D870" s="350" t="s">
        <v>2894</v>
      </c>
      <c r="E870" s="627"/>
      <c r="F870" s="627"/>
      <c r="G870" s="847" t="s">
        <v>2895</v>
      </c>
      <c r="H870" s="56">
        <f>'Ch7'!W105</f>
        <v>0</v>
      </c>
      <c r="J870" s="889" t="s">
        <v>3465</v>
      </c>
    </row>
    <row r="871" spans="1:10" x14ac:dyDescent="0.2">
      <c r="A871" s="294" t="str">
        <f>A870</f>
        <v/>
      </c>
      <c r="B871" s="190" t="str">
        <f>IF(LEN('Ch6'!H633)=0,"",'Ch6'!H633)</f>
        <v/>
      </c>
      <c r="C871" s="190" t="str">
        <f t="shared" si="34"/>
        <v/>
      </c>
      <c r="D871" s="388"/>
      <c r="E871" s="605"/>
      <c r="F871" s="605"/>
      <c r="G871" s="820"/>
      <c r="J871" s="889"/>
    </row>
    <row r="872" spans="1:10" x14ac:dyDescent="0.2">
      <c r="A872" s="294" t="str">
        <f>A871</f>
        <v/>
      </c>
      <c r="B872" s="190" t="str">
        <f>IF(LEN('Ch6'!H634)=0,"",'Ch6'!H634)</f>
        <v/>
      </c>
      <c r="C872" s="190" t="str">
        <f t="shared" si="34"/>
        <v/>
      </c>
      <c r="D872" s="388"/>
      <c r="E872" s="605"/>
      <c r="F872" s="605"/>
      <c r="G872" s="820"/>
      <c r="J872" s="889"/>
    </row>
    <row r="873" spans="1:10" x14ac:dyDescent="0.2">
      <c r="A873" s="294" t="str">
        <f>A872</f>
        <v/>
      </c>
      <c r="B873" s="190" t="str">
        <f>IF(LEN('Ch6'!H635)=0,"",'Ch6'!H635)</f>
        <v/>
      </c>
      <c r="C873" s="190" t="str">
        <f t="shared" si="34"/>
        <v/>
      </c>
      <c r="D873" s="388"/>
      <c r="E873" s="605"/>
      <c r="F873" s="605"/>
      <c r="G873" s="820"/>
      <c r="J873" s="889"/>
    </row>
    <row r="874" spans="1:10" x14ac:dyDescent="0.2">
      <c r="A874" s="294" t="str">
        <f>A873</f>
        <v/>
      </c>
      <c r="B874" s="190" t="str">
        <f>IF(LEN('Ch6'!H636)=0,"",'Ch6'!H636)</f>
        <v/>
      </c>
      <c r="C874" s="190" t="str">
        <f t="shared" si="34"/>
        <v/>
      </c>
      <c r="D874" s="388"/>
      <c r="E874" s="605"/>
      <c r="F874" s="605"/>
      <c r="G874" s="820"/>
      <c r="J874" s="889"/>
    </row>
    <row r="875" spans="1:10" x14ac:dyDescent="0.2">
      <c r="A875" s="294" t="str">
        <f>A874</f>
        <v/>
      </c>
      <c r="B875" s="190" t="str">
        <f>IF(LEN('Ch6'!H637)=0,"",'Ch6'!H637)</f>
        <v/>
      </c>
      <c r="C875" s="190" t="str">
        <f t="shared" si="34"/>
        <v/>
      </c>
      <c r="D875" s="160"/>
      <c r="E875" s="606"/>
      <c r="F875" s="606"/>
      <c r="G875" s="832"/>
      <c r="J875" s="889"/>
    </row>
    <row r="876" spans="1:10" x14ac:dyDescent="0.2">
      <c r="A876" s="294" t="str">
        <f>IF(AND(LEN('Ch7'!W111)&gt;0,NOT('Ch7'!W111=FALSE)),"P","")</f>
        <v/>
      </c>
      <c r="B876" s="190" t="str">
        <f>IF(LEN('Ch6'!H638)=0,"",'Ch6'!H638)</f>
        <v/>
      </c>
      <c r="C876" s="190" t="str">
        <f t="shared" si="34"/>
        <v/>
      </c>
      <c r="D876" s="350" t="s">
        <v>2897</v>
      </c>
      <c r="E876" s="627"/>
      <c r="F876" s="627"/>
      <c r="G876" s="847" t="s">
        <v>2898</v>
      </c>
      <c r="H876" s="56">
        <f>'Ch7'!W111</f>
        <v>0</v>
      </c>
      <c r="J876" s="889" t="s">
        <v>3466</v>
      </c>
    </row>
    <row r="877" spans="1:10" x14ac:dyDescent="0.2">
      <c r="A877" s="294" t="str">
        <f>A876</f>
        <v/>
      </c>
      <c r="B877" s="190" t="str">
        <f>IF(LEN('Ch6'!H639)=0,"",'Ch6'!H639)</f>
        <v/>
      </c>
      <c r="C877" s="190" t="str">
        <f t="shared" si="34"/>
        <v/>
      </c>
      <c r="D877" s="388"/>
      <c r="E877" s="605"/>
      <c r="F877" s="605"/>
      <c r="G877" s="820"/>
      <c r="J877" s="889"/>
    </row>
    <row r="878" spans="1:10" x14ac:dyDescent="0.2">
      <c r="A878" s="294" t="str">
        <f>A877</f>
        <v/>
      </c>
      <c r="B878" s="190" t="str">
        <f>IF(LEN('Ch6'!H640)=0,"",'Ch6'!H640)</f>
        <v/>
      </c>
      <c r="C878" s="190" t="str">
        <f t="shared" si="34"/>
        <v/>
      </c>
      <c r="D878" s="388"/>
      <c r="E878" s="605"/>
      <c r="F878" s="605"/>
      <c r="G878" s="820"/>
      <c r="J878" s="889"/>
    </row>
    <row r="879" spans="1:10" x14ac:dyDescent="0.2">
      <c r="A879" s="294" t="str">
        <f>A878</f>
        <v/>
      </c>
      <c r="B879" s="190" t="str">
        <f>IF(LEN('Ch6'!H641)=0,"",'Ch6'!H641)</f>
        <v/>
      </c>
      <c r="C879" s="190" t="str">
        <f t="shared" si="34"/>
        <v/>
      </c>
      <c r="D879" s="388"/>
      <c r="E879" s="605"/>
      <c r="F879" s="605"/>
      <c r="G879" s="820"/>
      <c r="J879" s="889"/>
    </row>
    <row r="880" spans="1:10" x14ac:dyDescent="0.2">
      <c r="A880" s="294" t="str">
        <f>A879</f>
        <v/>
      </c>
      <c r="B880" s="190" t="str">
        <f>IF(LEN('Ch6'!H642)=0,"",'Ch6'!H642)</f>
        <v/>
      </c>
      <c r="C880" s="190" t="str">
        <f t="shared" si="34"/>
        <v/>
      </c>
      <c r="D880" s="388"/>
      <c r="E880" s="605"/>
      <c r="F880" s="605"/>
      <c r="G880" s="820"/>
      <c r="J880" s="889"/>
    </row>
    <row r="881" spans="1:10" x14ac:dyDescent="0.2">
      <c r="A881" s="294" t="str">
        <f>A880</f>
        <v/>
      </c>
      <c r="B881" s="190" t="str">
        <f>IF(LEN('Ch6'!H643)=0,"",'Ch6'!H643)</f>
        <v/>
      </c>
      <c r="C881" s="190" t="str">
        <f t="shared" si="34"/>
        <v/>
      </c>
      <c r="D881" s="160"/>
      <c r="E881" s="606"/>
      <c r="F881" s="606"/>
      <c r="G881" s="832"/>
      <c r="J881" s="889"/>
    </row>
    <row r="882" spans="1:10" x14ac:dyDescent="0.2">
      <c r="A882" s="294" t="str">
        <f>IF(OR(H884&lt;&gt;0,H886&lt;&gt;0),"P","")</f>
        <v/>
      </c>
      <c r="B882" s="190" t="str">
        <f>IF(LEN('Ch6'!H644)=0,"",'Ch6'!H644)</f>
        <v/>
      </c>
      <c r="C882" s="190" t="str">
        <f t="shared" si="34"/>
        <v/>
      </c>
      <c r="D882" s="107" t="s">
        <v>2900</v>
      </c>
      <c r="E882" s="619"/>
      <c r="F882" s="619"/>
      <c r="G882" s="775" t="s">
        <v>2901</v>
      </c>
      <c r="J882" s="888" t="s">
        <v>3346</v>
      </c>
    </row>
    <row r="883" spans="1:10" x14ac:dyDescent="0.2">
      <c r="A883" s="294" t="str">
        <f>A882</f>
        <v/>
      </c>
      <c r="B883" s="190" t="str">
        <f>IF(LEN('Ch6'!H645)=0,"",'Ch6'!H645)</f>
        <v/>
      </c>
      <c r="C883" s="190" t="str">
        <f t="shared" si="34"/>
        <v/>
      </c>
      <c r="D883" s="345"/>
      <c r="E883" s="619"/>
      <c r="F883" s="619"/>
      <c r="G883" s="775"/>
      <c r="J883" s="888"/>
    </row>
    <row r="884" spans="1:10" x14ac:dyDescent="0.2">
      <c r="B884" s="190" t="str">
        <f>IF(LEN('Ch6'!H646)=0,"",'Ch6'!H646)</f>
        <v/>
      </c>
      <c r="C884" s="190" t="str">
        <f t="shared" si="34"/>
        <v/>
      </c>
      <c r="D884" s="345"/>
      <c r="E884" s="381" t="s">
        <v>2181</v>
      </c>
      <c r="F884" s="605"/>
      <c r="G884" s="791" t="s">
        <v>2902</v>
      </c>
      <c r="H884" s="56">
        <f>'Ch7'!W119</f>
        <v>0</v>
      </c>
      <c r="J884" s="394"/>
    </row>
    <row r="885" spans="1:10" x14ac:dyDescent="0.2">
      <c r="B885" s="190" t="str">
        <f>IF(LEN('Ch6'!H647)=0,"",'Ch6'!H647)</f>
        <v/>
      </c>
      <c r="C885" s="190" t="str">
        <f t="shared" si="34"/>
        <v/>
      </c>
      <c r="D885" s="345"/>
      <c r="E885" s="382"/>
      <c r="F885" s="606"/>
      <c r="G885" s="792"/>
      <c r="J885" s="649"/>
    </row>
    <row r="886" spans="1:10" x14ac:dyDescent="0.2">
      <c r="B886" s="190" t="str">
        <f>IF(LEN('Ch6'!H648)=0,"",'Ch6'!H648)</f>
        <v/>
      </c>
      <c r="C886" s="190" t="str">
        <f t="shared" si="34"/>
        <v/>
      </c>
      <c r="D886" s="160"/>
      <c r="E886" s="382" t="s">
        <v>2183</v>
      </c>
      <c r="F886" s="606"/>
      <c r="G886" s="599" t="s">
        <v>2903</v>
      </c>
      <c r="H886" s="56">
        <f>'Ch7'!W121</f>
        <v>0</v>
      </c>
      <c r="J886" s="649"/>
    </row>
    <row r="887" spans="1:10" ht="15" customHeight="1" x14ac:dyDescent="0.2">
      <c r="A887" s="294" t="str">
        <f>IF(AND(LEN('Ch7'!W122)&gt;0,NOT('Ch7'!W122=FALSE)),"P","")</f>
        <v/>
      </c>
      <c r="B887" s="190" t="str">
        <f>IF(LEN('Ch6'!H649)=0,"",'Ch6'!H649)</f>
        <v/>
      </c>
      <c r="C887" s="190" t="str">
        <f t="shared" si="34"/>
        <v/>
      </c>
      <c r="D887" s="107" t="s">
        <v>2905</v>
      </c>
      <c r="E887" s="619"/>
      <c r="F887" s="619"/>
      <c r="G887" s="865" t="s">
        <v>2906</v>
      </c>
      <c r="H887" s="56">
        <f>'Ch7'!W122</f>
        <v>0</v>
      </c>
      <c r="J887" s="650" t="s">
        <v>3399</v>
      </c>
    </row>
    <row r="888" spans="1:10" s="485" customFormat="1" x14ac:dyDescent="0.2">
      <c r="A888" s="294" t="str">
        <f>A887</f>
        <v/>
      </c>
      <c r="B888" s="190" t="str">
        <f>IF(LEN('Ch6'!H650)=0,"",'Ch6'!H650)</f>
        <v/>
      </c>
      <c r="C888" s="190" t="str">
        <f t="shared" si="34"/>
        <v/>
      </c>
      <c r="D888" s="107"/>
      <c r="E888" s="619"/>
      <c r="F888" s="619"/>
      <c r="G888" s="896"/>
      <c r="H888" s="56"/>
      <c r="I888" s="56"/>
      <c r="J888" s="650"/>
    </row>
    <row r="889" spans="1:10" s="485" customFormat="1" ht="15" customHeight="1" x14ac:dyDescent="0.2">
      <c r="A889" s="294" t="str">
        <f>IF(AND(LEN('Ch7'!W124)&gt;0,NOT('Ch7'!W124=FALSE)),"P","")</f>
        <v/>
      </c>
      <c r="B889" s="190" t="str">
        <f>IF(LEN('Ch6'!H651)=0,"",'Ch6'!H651)</f>
        <v/>
      </c>
      <c r="C889" s="190" t="str">
        <f t="shared" si="34"/>
        <v/>
      </c>
      <c r="D889" s="268" t="s">
        <v>2908</v>
      </c>
      <c r="E889" s="598"/>
      <c r="F889" s="598"/>
      <c r="G889" s="866" t="s">
        <v>2909</v>
      </c>
      <c r="H889" s="56"/>
      <c r="I889" s="56"/>
      <c r="J889" s="650"/>
    </row>
    <row r="890" spans="1:10" s="485" customFormat="1" x14ac:dyDescent="0.2">
      <c r="A890" s="294" t="str">
        <f>A889</f>
        <v/>
      </c>
      <c r="B890" s="190" t="str">
        <f>IF(LEN('Ch6'!H652)=0,"",'Ch6'!H652)</f>
        <v/>
      </c>
      <c r="C890" s="190" t="str">
        <f t="shared" si="34"/>
        <v/>
      </c>
      <c r="D890" s="268"/>
      <c r="E890" s="598"/>
      <c r="F890" s="598"/>
      <c r="G890" s="866"/>
      <c r="H890" s="56"/>
      <c r="I890" s="56"/>
      <c r="J890" s="650"/>
    </row>
    <row r="891" spans="1:10" s="485" customFormat="1" x14ac:dyDescent="0.2">
      <c r="A891" s="294" t="str">
        <f>A890</f>
        <v/>
      </c>
      <c r="B891" s="190" t="str">
        <f>IF(LEN('Ch6'!H653)=0,"",'Ch6'!H653)</f>
        <v/>
      </c>
      <c r="C891" s="190" t="str">
        <f t="shared" si="34"/>
        <v/>
      </c>
      <c r="D891" s="268"/>
      <c r="E891" s="598"/>
      <c r="F891" s="598"/>
      <c r="G891" s="866"/>
      <c r="H891" s="56"/>
      <c r="I891" s="56"/>
      <c r="J891" s="650"/>
    </row>
    <row r="892" spans="1:10" s="528" customFormat="1" x14ac:dyDescent="0.2">
      <c r="A892" s="294"/>
      <c r="B892" s="190"/>
      <c r="C892" s="190"/>
      <c r="D892" s="98"/>
      <c r="E892" s="598"/>
      <c r="F892" s="598"/>
      <c r="G892" s="275" t="s">
        <v>2911</v>
      </c>
      <c r="H892" s="56"/>
      <c r="I892" s="56"/>
      <c r="J892" s="650"/>
    </row>
    <row r="893" spans="1:10" s="485" customFormat="1" ht="15" customHeight="1" x14ac:dyDescent="0.2">
      <c r="A893" s="294" t="str">
        <f>IF(AND(LEN('Ch7'!W128)&gt;0,NOT('Ch7'!W128=FALSE)),"P","")</f>
        <v/>
      </c>
      <c r="B893" s="190" t="str">
        <f>IF(LEN('Ch6'!H654)=0,"",'Ch6'!H654)</f>
        <v/>
      </c>
      <c r="C893" s="190" t="str">
        <f t="shared" si="34"/>
        <v/>
      </c>
      <c r="D893" s="278" t="s">
        <v>2913</v>
      </c>
      <c r="E893" s="638"/>
      <c r="F893" s="638"/>
      <c r="G893" s="865" t="s">
        <v>2914</v>
      </c>
      <c r="H893" s="56"/>
      <c r="I893" s="56"/>
      <c r="J893" s="650"/>
    </row>
    <row r="894" spans="1:10" s="485" customFormat="1" x14ac:dyDescent="0.2">
      <c r="A894" s="294" t="str">
        <f>A893</f>
        <v/>
      </c>
      <c r="B894" s="190" t="str">
        <f>IF(LEN('Ch6'!H655)=0,"",'Ch6'!H655)</f>
        <v/>
      </c>
      <c r="C894" s="190" t="str">
        <f t="shared" si="34"/>
        <v/>
      </c>
      <c r="D894" s="268"/>
      <c r="E894" s="598"/>
      <c r="F894" s="598"/>
      <c r="G894" s="866"/>
      <c r="H894" s="56"/>
      <c r="I894" s="56"/>
      <c r="J894" s="650"/>
    </row>
    <row r="895" spans="1:10" s="485" customFormat="1" x14ac:dyDescent="0.2">
      <c r="A895" s="294" t="str">
        <f>A894</f>
        <v/>
      </c>
      <c r="B895" s="190" t="str">
        <f>IF(LEN('Ch6'!H656)=0,"",'Ch6'!H656)</f>
        <v/>
      </c>
      <c r="C895" s="190" t="str">
        <f t="shared" si="34"/>
        <v/>
      </c>
      <c r="D895" s="562"/>
      <c r="E895" s="562"/>
      <c r="F895" s="562"/>
      <c r="G895" s="866"/>
      <c r="H895" s="56"/>
      <c r="I895" s="56"/>
      <c r="J895" s="650"/>
    </row>
    <row r="896" spans="1:10" s="485" customFormat="1" x14ac:dyDescent="0.2">
      <c r="A896" s="294" t="str">
        <f>A895</f>
        <v/>
      </c>
      <c r="B896" s="190" t="str">
        <f>IF(LEN('Ch6'!H657)=0,"",'Ch6'!H657)</f>
        <v/>
      </c>
      <c r="C896" s="190" t="str">
        <f t="shared" si="34"/>
        <v/>
      </c>
      <c r="D896" s="3"/>
      <c r="E896" s="3"/>
      <c r="F896" s="3"/>
      <c r="G896" s="866"/>
      <c r="H896" s="56"/>
      <c r="I896" s="56"/>
      <c r="J896" s="650"/>
    </row>
    <row r="897" spans="1:10" s="528" customFormat="1" x14ac:dyDescent="0.2">
      <c r="A897" s="294"/>
      <c r="B897" s="190"/>
      <c r="C897" s="190"/>
      <c r="D897" s="98"/>
      <c r="E897" s="598"/>
      <c r="F897" s="598"/>
      <c r="G897" s="275" t="s">
        <v>2911</v>
      </c>
      <c r="H897" s="56"/>
      <c r="I897" s="56"/>
      <c r="J897" s="650"/>
    </row>
    <row r="898" spans="1:10" ht="19" x14ac:dyDescent="0.25">
      <c r="A898" s="294" t="s">
        <v>3343</v>
      </c>
      <c r="B898" s="190" t="str">
        <f>IF(LEN('Ch6'!H658)=0,"",'Ch6'!H658)</f>
        <v/>
      </c>
      <c r="C898" s="190" t="str">
        <f t="shared" si="34"/>
        <v>P</v>
      </c>
      <c r="D898" s="50" t="s">
        <v>2979</v>
      </c>
      <c r="E898" s="50"/>
      <c r="F898" s="50"/>
      <c r="G898" s="16"/>
      <c r="J898" s="399"/>
    </row>
    <row r="899" spans="1:10" x14ac:dyDescent="0.2">
      <c r="B899" s="190" t="str">
        <f>IF(LEN('Ch6'!H659)=0,"",'Ch6'!H659)</f>
        <v/>
      </c>
      <c r="C899" s="190" t="str">
        <f t="shared" si="34"/>
        <v/>
      </c>
      <c r="D899" s="352" t="s">
        <v>2981</v>
      </c>
      <c r="E899" s="345"/>
      <c r="F899" s="345"/>
      <c r="G899" s="654" t="s">
        <v>2982</v>
      </c>
      <c r="J899" s="650"/>
    </row>
    <row r="900" spans="1:10" x14ac:dyDescent="0.2">
      <c r="A900" s="539" t="str">
        <f ca="1">IF(COUNTIF(A901:A925,"P")&gt;0,"P","")</f>
        <v/>
      </c>
      <c r="B900" s="190" t="str">
        <f>IF(LEN('Ch6'!H660)=0,"",'Ch6'!H660)</f>
        <v/>
      </c>
      <c r="C900" s="190" t="str">
        <f t="shared" ca="1" si="34"/>
        <v/>
      </c>
      <c r="D900" s="353" t="s">
        <v>2983</v>
      </c>
      <c r="E900" s="388"/>
      <c r="F900" s="388"/>
      <c r="G900" s="640" t="s">
        <v>2984</v>
      </c>
      <c r="J900" s="650"/>
    </row>
    <row r="901" spans="1:10" x14ac:dyDescent="0.2">
      <c r="A901" s="294" t="str">
        <f>IF(AND(LEN('Ch9'!W12)&gt;0,NOT('Ch9'!W12=FALSE)),"P","")</f>
        <v/>
      </c>
      <c r="B901" s="190" t="str">
        <f>IF(LEN('Ch6'!H661)=0,"",'Ch6'!H661)</f>
        <v/>
      </c>
      <c r="C901" s="190" t="str">
        <f t="shared" si="34"/>
        <v/>
      </c>
      <c r="D901" s="353" t="s">
        <v>2986</v>
      </c>
      <c r="E901" s="388"/>
      <c r="F901" s="388"/>
      <c r="G901" s="820" t="s">
        <v>2987</v>
      </c>
      <c r="H901" s="56">
        <f>'Ch9'!W12</f>
        <v>0</v>
      </c>
      <c r="I901" s="56">
        <f>'Ch9'!O12</f>
        <v>0</v>
      </c>
      <c r="J901" s="889" t="s">
        <v>3399</v>
      </c>
    </row>
    <row r="902" spans="1:10" x14ac:dyDescent="0.2">
      <c r="A902" s="294" t="str">
        <f>A901</f>
        <v/>
      </c>
      <c r="B902" s="190" t="str">
        <f>IF(LEN('Ch6'!H662)=0,"",'Ch6'!H662)</f>
        <v/>
      </c>
      <c r="C902" s="190" t="str">
        <f t="shared" si="34"/>
        <v/>
      </c>
      <c r="D902" s="388"/>
      <c r="E902" s="388"/>
      <c r="F902" s="388"/>
      <c r="G902" s="820"/>
      <c r="J902" s="889"/>
    </row>
    <row r="903" spans="1:10" x14ac:dyDescent="0.2">
      <c r="A903" s="294" t="str">
        <f>A902</f>
        <v/>
      </c>
      <c r="B903" s="190" t="str">
        <f>IF(LEN('Ch6'!H663)=0,"",'Ch6'!H663)</f>
        <v/>
      </c>
      <c r="C903" s="190" t="str">
        <f t="shared" si="34"/>
        <v/>
      </c>
      <c r="D903" s="388"/>
      <c r="E903" s="388"/>
      <c r="F903" s="388"/>
      <c r="G903" s="820"/>
      <c r="J903" s="889"/>
    </row>
    <row r="904" spans="1:10" x14ac:dyDescent="0.2">
      <c r="A904" s="294" t="str">
        <f>A903</f>
        <v/>
      </c>
      <c r="B904" s="190" t="str">
        <f>IF(LEN('Ch6'!H664)=0,"",'Ch6'!H664)</f>
        <v/>
      </c>
      <c r="C904" s="190" t="str">
        <f t="shared" si="34"/>
        <v/>
      </c>
      <c r="D904" s="388"/>
      <c r="E904" s="388"/>
      <c r="F904" s="388"/>
      <c r="G904" s="820"/>
      <c r="J904" s="889"/>
    </row>
    <row r="905" spans="1:10" x14ac:dyDescent="0.2">
      <c r="B905" s="190" t="str">
        <f>IF(LEN('Ch6'!H665)=0,"",'Ch6'!H665)</f>
        <v/>
      </c>
      <c r="C905" s="190" t="str">
        <f t="shared" si="34"/>
        <v/>
      </c>
      <c r="D905" s="388"/>
      <c r="E905" s="388"/>
      <c r="F905" s="388"/>
      <c r="G905" s="881" t="s">
        <v>2988</v>
      </c>
      <c r="J905" s="650"/>
    </row>
    <row r="906" spans="1:10" x14ac:dyDescent="0.2">
      <c r="B906" s="190" t="str">
        <f>IF(LEN('Ch6'!H666)=0,"",'Ch6'!H666)</f>
        <v/>
      </c>
      <c r="C906" s="190" t="str">
        <f t="shared" si="34"/>
        <v/>
      </c>
      <c r="D906" s="160"/>
      <c r="E906" s="160"/>
      <c r="F906" s="160"/>
      <c r="G906" s="882"/>
      <c r="J906" s="650"/>
    </row>
    <row r="907" spans="1:10" x14ac:dyDescent="0.2">
      <c r="A907" s="294" t="str">
        <f>IF(AND(LEN('Ch9'!W18)&gt;0,NOT('Ch9'!W18=FALSE)),"P","")</f>
        <v/>
      </c>
      <c r="B907" s="190" t="str">
        <f>IF(LEN('Ch6'!H667)=0,"",'Ch6'!H667)</f>
        <v/>
      </c>
      <c r="C907" s="190" t="str">
        <f t="shared" si="34"/>
        <v/>
      </c>
      <c r="D907" s="350" t="s">
        <v>2990</v>
      </c>
      <c r="E907" s="379"/>
      <c r="F907" s="379"/>
      <c r="G907" s="847" t="s">
        <v>2991</v>
      </c>
      <c r="H907" s="56">
        <f>'Ch9'!W18</f>
        <v>0</v>
      </c>
      <c r="I907" s="56">
        <f>'Ch9'!O18</f>
        <v>0</v>
      </c>
      <c r="J907" s="889" t="s">
        <v>3399</v>
      </c>
    </row>
    <row r="908" spans="1:10" x14ac:dyDescent="0.2">
      <c r="A908" s="294" t="str">
        <f>A907</f>
        <v/>
      </c>
      <c r="B908" s="190" t="str">
        <f>IF(LEN('Ch6'!H668)=0,"",'Ch6'!H668)</f>
        <v/>
      </c>
      <c r="C908" s="190" t="str">
        <f t="shared" si="34"/>
        <v/>
      </c>
      <c r="D908" s="388"/>
      <c r="E908" s="388"/>
      <c r="F908" s="388"/>
      <c r="G908" s="820"/>
      <c r="J908" s="889"/>
    </row>
    <row r="909" spans="1:10" x14ac:dyDescent="0.2">
      <c r="B909" s="190" t="str">
        <f>IF(LEN('Ch6'!H669)=0,"",'Ch6'!H669)</f>
        <v/>
      </c>
      <c r="C909" s="190" t="str">
        <f t="shared" si="34"/>
        <v/>
      </c>
      <c r="D909" s="160"/>
      <c r="E909" s="160"/>
      <c r="F909" s="160"/>
      <c r="G909" s="571" t="s">
        <v>2992</v>
      </c>
      <c r="J909" s="889"/>
    </row>
    <row r="910" spans="1:10" x14ac:dyDescent="0.2">
      <c r="A910" s="294" t="str">
        <f ca="1">IF(SUM(I912:I915)&gt;0,"P","")</f>
        <v/>
      </c>
      <c r="B910" s="190" t="str">
        <f>IF(LEN('Ch6'!H670)=0,"",'Ch6'!H670)</f>
        <v/>
      </c>
      <c r="C910" s="190" t="str">
        <f t="shared" ca="1" si="34"/>
        <v/>
      </c>
      <c r="D910" s="107" t="s">
        <v>2994</v>
      </c>
      <c r="E910" s="345"/>
      <c r="F910" s="345"/>
      <c r="G910" s="775" t="s">
        <v>2995</v>
      </c>
      <c r="J910" s="888" t="s">
        <v>3399</v>
      </c>
    </row>
    <row r="911" spans="1:10" x14ac:dyDescent="0.2">
      <c r="A911" s="294" t="str">
        <f ca="1">A910</f>
        <v/>
      </c>
      <c r="B911" s="190" t="str">
        <f>IF(LEN('Ch6'!H671)=0,"",'Ch6'!H671)</f>
        <v/>
      </c>
      <c r="C911" s="190" t="str">
        <f t="shared" ca="1" si="34"/>
        <v/>
      </c>
      <c r="D911" s="345"/>
      <c r="E911" s="345"/>
      <c r="F911" s="345"/>
      <c r="G911" s="775"/>
      <c r="J911" s="888"/>
    </row>
    <row r="912" spans="1:10" x14ac:dyDescent="0.2">
      <c r="B912" s="190" t="str">
        <f>IF(LEN('Ch6'!H672)=0,"",'Ch6'!H672)</f>
        <v/>
      </c>
      <c r="C912" s="190" t="str">
        <f t="shared" si="34"/>
        <v/>
      </c>
      <c r="D912" s="345"/>
      <c r="E912" s="346" t="s">
        <v>2181</v>
      </c>
      <c r="F912" s="345"/>
      <c r="G912" s="632" t="s">
        <v>2996</v>
      </c>
      <c r="H912" s="56">
        <f>'Ch9'!W23</f>
        <v>0</v>
      </c>
      <c r="I912" s="56">
        <f ca="1">'Ch9'!O23</f>
        <v>0</v>
      </c>
      <c r="J912" s="394"/>
    </row>
    <row r="913" spans="1:10" x14ac:dyDescent="0.2">
      <c r="B913" s="190" t="str">
        <f>IF(LEN('Ch6'!H673)=0,"",'Ch6'!H673)</f>
        <v/>
      </c>
      <c r="C913" s="190" t="str">
        <f t="shared" si="34"/>
        <v/>
      </c>
      <c r="D913" s="345"/>
      <c r="E913" s="346"/>
      <c r="F913" s="346" t="s">
        <v>2196</v>
      </c>
      <c r="G913" s="632" t="s">
        <v>2997</v>
      </c>
      <c r="J913" s="649"/>
    </row>
    <row r="914" spans="1:10" x14ac:dyDescent="0.2">
      <c r="B914" s="190" t="str">
        <f>IF(LEN('Ch6'!H674)=0,"",'Ch6'!H674)</f>
        <v/>
      </c>
      <c r="C914" s="190" t="str">
        <f t="shared" si="34"/>
        <v/>
      </c>
      <c r="D914" s="345"/>
      <c r="E914" s="366"/>
      <c r="F914" s="366" t="s">
        <v>2198</v>
      </c>
      <c r="G914" s="599" t="s">
        <v>2998</v>
      </c>
      <c r="J914" s="649"/>
    </row>
    <row r="915" spans="1:10" x14ac:dyDescent="0.2">
      <c r="B915" s="190" t="str">
        <f>IF(LEN('Ch6'!H675)=0,"",'Ch6'!H675)</f>
        <v/>
      </c>
      <c r="C915" s="190" t="str">
        <f t="shared" si="34"/>
        <v/>
      </c>
      <c r="D915" s="388"/>
      <c r="E915" s="347" t="s">
        <v>2183</v>
      </c>
      <c r="F915" s="388"/>
      <c r="G915" s="598" t="s">
        <v>2999</v>
      </c>
      <c r="H915" s="56">
        <f>'Ch9'!W26</f>
        <v>0</v>
      </c>
      <c r="I915" s="56">
        <f ca="1">'Ch9'!O26</f>
        <v>0</v>
      </c>
      <c r="J915" s="649"/>
    </row>
    <row r="916" spans="1:10" x14ac:dyDescent="0.2">
      <c r="B916" s="190" t="str">
        <f>IF(LEN('Ch6'!H676)=0,"",'Ch6'!H676)</f>
        <v/>
      </c>
      <c r="C916" s="190" t="str">
        <f t="shared" si="34"/>
        <v/>
      </c>
      <c r="D916" s="388"/>
      <c r="E916" s="388"/>
      <c r="F916" s="347" t="s">
        <v>2196</v>
      </c>
      <c r="G916" s="598" t="s">
        <v>3000</v>
      </c>
      <c r="J916" s="649"/>
    </row>
    <row r="917" spans="1:10" x14ac:dyDescent="0.2">
      <c r="B917" s="190" t="str">
        <f>IF(LEN('Ch6'!H677)=0,"",'Ch6'!H677)</f>
        <v/>
      </c>
      <c r="C917" s="190" t="str">
        <f t="shared" si="34"/>
        <v/>
      </c>
      <c r="D917" s="160"/>
      <c r="E917" s="160"/>
      <c r="F917" s="366" t="s">
        <v>2198</v>
      </c>
      <c r="G917" s="599" t="s">
        <v>3001</v>
      </c>
      <c r="J917" s="649"/>
    </row>
    <row r="918" spans="1:10" x14ac:dyDescent="0.2">
      <c r="A918" s="294" t="str">
        <f>IF(AND(LEN('Ch9'!W29)&gt;0,NOT('Ch9'!W29=FALSE)),"P","")</f>
        <v/>
      </c>
      <c r="B918" s="190" t="str">
        <f>IF(LEN('Ch6'!H678)=0,"",'Ch6'!H678)</f>
        <v/>
      </c>
      <c r="C918" s="190" t="str">
        <f t="shared" si="34"/>
        <v/>
      </c>
      <c r="D918" s="350" t="s">
        <v>3003</v>
      </c>
      <c r="E918" s="379"/>
      <c r="F918" s="379"/>
      <c r="G918" s="847" t="s">
        <v>3004</v>
      </c>
      <c r="H918" s="56">
        <f>'Ch9'!W29</f>
        <v>0</v>
      </c>
      <c r="J918" s="890" t="s">
        <v>3433</v>
      </c>
    </row>
    <row r="919" spans="1:10" x14ac:dyDescent="0.2">
      <c r="A919" s="294" t="str">
        <f>A918</f>
        <v/>
      </c>
      <c r="B919" s="190" t="str">
        <f>IF(LEN('Ch6'!H679)=0,"",'Ch6'!H679)</f>
        <v/>
      </c>
      <c r="C919" s="190" t="str">
        <f t="shared" si="34"/>
        <v/>
      </c>
      <c r="D919" s="388"/>
      <c r="E919" s="388"/>
      <c r="F919" s="388"/>
      <c r="G919" s="820"/>
      <c r="J919" s="890"/>
    </row>
    <row r="920" spans="1:10" x14ac:dyDescent="0.2">
      <c r="A920" s="294" t="str">
        <f>A919</f>
        <v/>
      </c>
      <c r="B920" s="190" t="str">
        <f>IF(LEN('Ch6'!H680)=0,"",'Ch6'!H680)</f>
        <v/>
      </c>
      <c r="C920" s="190" t="str">
        <f t="shared" ref="C920:C984" si="35">IF(LEN(B920)=0,IF(A920="P","P",""),B920)</f>
        <v/>
      </c>
      <c r="D920" s="388"/>
      <c r="E920" s="388"/>
      <c r="F920" s="388"/>
      <c r="G920" s="820"/>
      <c r="J920" s="890"/>
    </row>
    <row r="921" spans="1:10" x14ac:dyDescent="0.2">
      <c r="A921" s="294" t="str">
        <f>A920</f>
        <v/>
      </c>
      <c r="B921" s="190" t="str">
        <f>IF(LEN('Ch6'!H681)=0,"",'Ch6'!H681)</f>
        <v/>
      </c>
      <c r="C921" s="190" t="str">
        <f t="shared" si="35"/>
        <v/>
      </c>
      <c r="D921" s="160"/>
      <c r="E921" s="160"/>
      <c r="F921" s="160"/>
      <c r="G921" s="832"/>
      <c r="J921" s="890"/>
    </row>
    <row r="922" spans="1:10" x14ac:dyDescent="0.2">
      <c r="A922" s="294" t="str">
        <f>IF(AND(LEN('Ch9'!W33)&gt;0,NOT('Ch9'!W33=FALSE)),"P","")</f>
        <v/>
      </c>
      <c r="B922" s="190" t="str">
        <f>IF(LEN('Ch6'!H682)=0,"",'Ch6'!H682)</f>
        <v/>
      </c>
      <c r="C922" s="190" t="str">
        <f t="shared" si="35"/>
        <v/>
      </c>
      <c r="D922" s="70" t="s">
        <v>3006</v>
      </c>
      <c r="E922" s="388"/>
      <c r="F922" s="388"/>
      <c r="G922" s="820" t="s">
        <v>3007</v>
      </c>
      <c r="H922" s="56">
        <f>'Ch9'!W33</f>
        <v>0</v>
      </c>
      <c r="I922" s="56">
        <f>'Ch9'!O33</f>
        <v>0</v>
      </c>
      <c r="J922" s="889" t="s">
        <v>3467</v>
      </c>
    </row>
    <row r="923" spans="1:10" x14ac:dyDescent="0.2">
      <c r="A923" s="294" t="str">
        <f>A922</f>
        <v/>
      </c>
      <c r="B923" s="190" t="str">
        <f>IF(LEN('Ch6'!H683)=0,"",'Ch6'!H683)</f>
        <v/>
      </c>
      <c r="C923" s="190" t="str">
        <f t="shared" si="35"/>
        <v/>
      </c>
      <c r="D923" s="388"/>
      <c r="E923" s="388"/>
      <c r="F923" s="388"/>
      <c r="G923" s="820"/>
      <c r="J923" s="889"/>
    </row>
    <row r="924" spans="1:10" x14ac:dyDescent="0.2">
      <c r="A924" s="294" t="str">
        <f>A923</f>
        <v/>
      </c>
      <c r="B924" s="190" t="str">
        <f>IF(LEN('Ch6'!H684)=0,"",'Ch6'!H684)</f>
        <v/>
      </c>
      <c r="C924" s="190" t="str">
        <f t="shared" si="35"/>
        <v/>
      </c>
      <c r="D924" s="160"/>
      <c r="E924" s="160"/>
      <c r="F924" s="160"/>
      <c r="G924" s="832"/>
      <c r="J924" s="889"/>
    </row>
    <row r="925" spans="1:10" x14ac:dyDescent="0.2">
      <c r="A925" s="294" t="str">
        <f>IF(AND(LEN('Ch9'!W36)&gt;0,NOT('Ch9'!W36=FALSE)),"P","")</f>
        <v/>
      </c>
      <c r="B925" s="190" t="str">
        <f>IF(LEN('Ch6'!H685)=0,"",'Ch6'!H685)</f>
        <v/>
      </c>
      <c r="C925" s="190" t="str">
        <f t="shared" si="35"/>
        <v/>
      </c>
      <c r="D925" s="70" t="s">
        <v>3009</v>
      </c>
      <c r="E925" s="388"/>
      <c r="F925" s="388"/>
      <c r="G925" s="640" t="s">
        <v>3010</v>
      </c>
      <c r="H925" s="56">
        <f>'Ch9'!W36</f>
        <v>0</v>
      </c>
      <c r="I925" s="56">
        <f ca="1">'Ch9'!O36</f>
        <v>0</v>
      </c>
      <c r="J925" s="650" t="s">
        <v>3399</v>
      </c>
    </row>
    <row r="926" spans="1:10" x14ac:dyDescent="0.2">
      <c r="B926" s="190" t="str">
        <f>IF(LEN('Ch6'!H686)=0,"",'Ch6'!H686)</f>
        <v/>
      </c>
      <c r="C926" s="190" t="str">
        <f t="shared" si="35"/>
        <v/>
      </c>
      <c r="D926" s="388"/>
      <c r="E926" s="366" t="s">
        <v>2181</v>
      </c>
      <c r="F926" s="160"/>
      <c r="G926" s="599" t="s">
        <v>3011</v>
      </c>
      <c r="J926" s="650"/>
    </row>
    <row r="927" spans="1:10" ht="16" thickBot="1" x14ac:dyDescent="0.25">
      <c r="B927" s="190" t="str">
        <f>IF(LEN('Ch6'!H687)=0,"",'Ch6'!H687)</f>
        <v/>
      </c>
      <c r="C927" s="190" t="str">
        <f t="shared" si="35"/>
        <v/>
      </c>
      <c r="D927" s="354"/>
      <c r="E927" s="351" t="s">
        <v>2183</v>
      </c>
      <c r="F927" s="354"/>
      <c r="G927" s="626" t="s">
        <v>3012</v>
      </c>
      <c r="J927" s="650"/>
    </row>
    <row r="928" spans="1:10" ht="16" thickTop="1" x14ac:dyDescent="0.2">
      <c r="A928" s="539" t="str">
        <f>IF(COUNTIF(A929:A943,"P")&gt;0,"P","")</f>
        <v/>
      </c>
      <c r="B928" s="190" t="str">
        <f>IF(LEN('Ch6'!H688)=0,"",'Ch6'!H688)</f>
        <v/>
      </c>
      <c r="C928" s="190" t="str">
        <f t="shared" si="35"/>
        <v/>
      </c>
      <c r="D928" s="75" t="s">
        <v>3013</v>
      </c>
      <c r="E928" s="374"/>
      <c r="F928" s="374"/>
      <c r="G928" s="646" t="s">
        <v>3014</v>
      </c>
      <c r="J928" s="650"/>
    </row>
    <row r="929" spans="1:10" x14ac:dyDescent="0.2">
      <c r="A929" s="539" t="str">
        <f>IF(COUNTIF(A931:A941,"P")&gt;0,"P","")</f>
        <v/>
      </c>
      <c r="B929" s="190" t="str">
        <f>IF(LEN('Ch6'!H689)=0,"",'Ch6'!H689)</f>
        <v/>
      </c>
      <c r="C929" s="190" t="str">
        <f t="shared" si="35"/>
        <v/>
      </c>
      <c r="D929" s="107" t="s">
        <v>3016</v>
      </c>
      <c r="E929" s="345"/>
      <c r="F929" s="345"/>
      <c r="G929" s="775" t="s">
        <v>3017</v>
      </c>
      <c r="J929" s="650"/>
    </row>
    <row r="930" spans="1:10" x14ac:dyDescent="0.2">
      <c r="A930" s="294" t="str">
        <f>A929</f>
        <v/>
      </c>
      <c r="B930" s="190" t="str">
        <f>IF(LEN('Ch6'!H690)=0,"",'Ch6'!H690)</f>
        <v/>
      </c>
      <c r="C930" s="190" t="str">
        <f t="shared" si="35"/>
        <v/>
      </c>
      <c r="D930" s="345"/>
      <c r="E930" s="345"/>
      <c r="F930" s="345"/>
      <c r="G930" s="775"/>
      <c r="J930" s="650"/>
    </row>
    <row r="931" spans="1:10" x14ac:dyDescent="0.2">
      <c r="A931" s="294" t="str">
        <f>IF(AND(LEN('Ch9'!W42)&gt;0,NOT('Ch9'!W42=FALSE)),"P","")</f>
        <v/>
      </c>
      <c r="B931" s="190" t="str">
        <f>IF(LEN('Ch6'!H691)=0,"",'Ch6'!H691)</f>
        <v/>
      </c>
      <c r="C931" s="190" t="str">
        <f t="shared" si="35"/>
        <v/>
      </c>
      <c r="D931" s="345"/>
      <c r="E931" s="347" t="s">
        <v>2181</v>
      </c>
      <c r="F931" s="388"/>
      <c r="G931" s="791" t="s">
        <v>3018</v>
      </c>
      <c r="H931" s="56">
        <f>'Ch9'!W42</f>
        <v>0</v>
      </c>
      <c r="I931" s="56">
        <f>'Ch9'!O42</f>
        <v>0</v>
      </c>
      <c r="J931" s="889" t="s">
        <v>3468</v>
      </c>
    </row>
    <row r="932" spans="1:10" x14ac:dyDescent="0.2">
      <c r="A932" s="294" t="str">
        <f>A931</f>
        <v/>
      </c>
      <c r="B932" s="190" t="str">
        <f>IF(LEN('Ch6'!H692)=0,"",'Ch6'!H692)</f>
        <v/>
      </c>
      <c r="C932" s="190" t="str">
        <f t="shared" si="35"/>
        <v/>
      </c>
      <c r="D932" s="345"/>
      <c r="E932" s="388"/>
      <c r="F932" s="388"/>
      <c r="G932" s="791"/>
      <c r="J932" s="889"/>
    </row>
    <row r="933" spans="1:10" x14ac:dyDescent="0.2">
      <c r="A933" s="294" t="str">
        <f>A932</f>
        <v/>
      </c>
      <c r="B933" s="190" t="str">
        <f>IF(LEN('Ch6'!H693)=0,"",'Ch6'!H693)</f>
        <v/>
      </c>
      <c r="C933" s="190" t="str">
        <f t="shared" si="35"/>
        <v/>
      </c>
      <c r="D933" s="345"/>
      <c r="E933" s="160"/>
      <c r="F933" s="160"/>
      <c r="G933" s="792"/>
      <c r="J933" s="889"/>
    </row>
    <row r="934" spans="1:10" ht="15" customHeight="1" x14ac:dyDescent="0.2">
      <c r="A934" s="294" t="str">
        <f>IF(AND(LEN('Ch9'!W45)&gt;0,NOT('Ch9'!W45=FALSE)),"P","")</f>
        <v/>
      </c>
      <c r="B934" s="190" t="str">
        <f>IF(LEN('Ch6'!H694)=0,"",'Ch6'!H694)</f>
        <v/>
      </c>
      <c r="C934" s="190" t="str">
        <f t="shared" si="35"/>
        <v/>
      </c>
      <c r="D934" s="345"/>
      <c r="E934" s="347" t="s">
        <v>2183</v>
      </c>
      <c r="F934" s="388"/>
      <c r="G934" s="791" t="s">
        <v>3019</v>
      </c>
      <c r="H934" s="56">
        <f>'Ch9'!W45</f>
        <v>0</v>
      </c>
      <c r="I934" s="56">
        <f>'Ch9'!O45</f>
        <v>0</v>
      </c>
      <c r="J934" s="888" t="s">
        <v>3469</v>
      </c>
    </row>
    <row r="935" spans="1:10" x14ac:dyDescent="0.2">
      <c r="A935" s="294" t="str">
        <f>A934</f>
        <v/>
      </c>
      <c r="B935" s="190" t="str">
        <f>IF(LEN('Ch6'!H695)=0,"",'Ch6'!H695)</f>
        <v/>
      </c>
      <c r="C935" s="190" t="str">
        <f t="shared" si="35"/>
        <v/>
      </c>
      <c r="D935" s="345"/>
      <c r="E935" s="366"/>
      <c r="F935" s="160"/>
      <c r="G935" s="792"/>
      <c r="J935" s="888"/>
    </row>
    <row r="936" spans="1:10" x14ac:dyDescent="0.2">
      <c r="A936" s="294" t="str">
        <f>IF(AND(LEN('Ch9'!W47)&gt;0,NOT('Ch9'!W47=FALSE)),"P","")</f>
        <v/>
      </c>
      <c r="B936" s="190" t="str">
        <f>IF(LEN('Ch6'!H696)=0,"",'Ch6'!H696)</f>
        <v/>
      </c>
      <c r="C936" s="190" t="str">
        <f t="shared" si="35"/>
        <v/>
      </c>
      <c r="D936" s="345"/>
      <c r="E936" s="347" t="s">
        <v>2185</v>
      </c>
      <c r="F936" s="388"/>
      <c r="G936" s="791" t="s">
        <v>3020</v>
      </c>
      <c r="H936" s="56">
        <f>'Ch9'!W47</f>
        <v>0</v>
      </c>
      <c r="I936" s="56">
        <f>'Ch9'!O47</f>
        <v>0</v>
      </c>
      <c r="J936" s="889" t="s">
        <v>3470</v>
      </c>
    </row>
    <row r="937" spans="1:10" x14ac:dyDescent="0.2">
      <c r="A937" s="294" t="str">
        <f>A936</f>
        <v/>
      </c>
      <c r="B937" s="190" t="str">
        <f>IF(LEN('Ch6'!H697)=0,"",'Ch6'!H697)</f>
        <v/>
      </c>
      <c r="C937" s="190" t="str">
        <f t="shared" si="35"/>
        <v/>
      </c>
      <c r="D937" s="345"/>
      <c r="E937" s="347"/>
      <c r="F937" s="388"/>
      <c r="G937" s="791"/>
      <c r="J937" s="889"/>
    </row>
    <row r="938" spans="1:10" x14ac:dyDescent="0.2">
      <c r="A938" s="294" t="str">
        <f>A937</f>
        <v/>
      </c>
      <c r="B938" s="190" t="str">
        <f>IF(LEN('Ch6'!H698)=0,"",'Ch6'!H698)</f>
        <v/>
      </c>
      <c r="C938" s="190" t="str">
        <f t="shared" si="35"/>
        <v/>
      </c>
      <c r="D938" s="345"/>
      <c r="E938" s="366"/>
      <c r="F938" s="160"/>
      <c r="G938" s="792"/>
      <c r="J938" s="889"/>
    </row>
    <row r="939" spans="1:10" x14ac:dyDescent="0.2">
      <c r="A939" s="294" t="str">
        <f>IF(AND(LEN('Ch9'!W50)&gt;0,NOT('Ch9'!W50=FALSE)),"P","")</f>
        <v/>
      </c>
      <c r="B939" s="190" t="str">
        <f>IF(LEN('Ch6'!H699)=0,"",'Ch6'!H699)</f>
        <v/>
      </c>
      <c r="C939" s="190" t="str">
        <f t="shared" si="35"/>
        <v/>
      </c>
      <c r="D939" s="345"/>
      <c r="E939" s="347" t="s">
        <v>2192</v>
      </c>
      <c r="F939" s="388"/>
      <c r="G939" s="776" t="s">
        <v>3021</v>
      </c>
      <c r="H939" s="56">
        <f>'Ch9'!W50</f>
        <v>0</v>
      </c>
      <c r="I939" s="56">
        <f>'Ch9'!O50</f>
        <v>0</v>
      </c>
      <c r="J939" s="889" t="s">
        <v>3471</v>
      </c>
    </row>
    <row r="940" spans="1:10" x14ac:dyDescent="0.2">
      <c r="A940" s="294" t="str">
        <f>A939</f>
        <v/>
      </c>
      <c r="B940" s="190" t="str">
        <f>IF(LEN('Ch6'!H700)=0,"",'Ch6'!H700)</f>
        <v/>
      </c>
      <c r="C940" s="190" t="str">
        <f t="shared" si="35"/>
        <v/>
      </c>
      <c r="D940" s="345"/>
      <c r="E940" s="366"/>
      <c r="F940" s="160"/>
      <c r="G940" s="777"/>
      <c r="J940" s="889"/>
    </row>
    <row r="941" spans="1:10" x14ac:dyDescent="0.2">
      <c r="A941" s="294" t="str">
        <f>IF(AND(LEN('Ch9'!W52)&gt;0,NOT('Ch9'!W52=FALSE)),"P","")</f>
        <v/>
      </c>
      <c r="B941" s="190" t="str">
        <f>IF(LEN('Ch6'!H701)=0,"",'Ch6'!H701)</f>
        <v/>
      </c>
      <c r="C941" s="190" t="str">
        <f t="shared" si="35"/>
        <v/>
      </c>
      <c r="D941" s="388"/>
      <c r="E941" s="347" t="s">
        <v>2194</v>
      </c>
      <c r="F941" s="388"/>
      <c r="G941" s="791" t="s">
        <v>3022</v>
      </c>
      <c r="H941" s="56">
        <f>'Ch9'!W52</f>
        <v>0</v>
      </c>
      <c r="I941" s="56">
        <f>'Ch9'!O52</f>
        <v>0</v>
      </c>
      <c r="J941" s="889" t="s">
        <v>3471</v>
      </c>
    </row>
    <row r="942" spans="1:10" x14ac:dyDescent="0.2">
      <c r="A942" s="294" t="str">
        <f>A941</f>
        <v/>
      </c>
      <c r="B942" s="190" t="str">
        <f>IF(LEN('Ch6'!H702)=0,"",'Ch6'!H702)</f>
        <v/>
      </c>
      <c r="C942" s="190" t="str">
        <f t="shared" si="35"/>
        <v/>
      </c>
      <c r="D942" s="160"/>
      <c r="E942" s="366"/>
      <c r="F942" s="160"/>
      <c r="G942" s="792"/>
      <c r="J942" s="889"/>
    </row>
    <row r="943" spans="1:10" ht="16" thickBot="1" x14ac:dyDescent="0.25">
      <c r="A943" s="294" t="str">
        <f>IF(AND(LEN('Ch9'!W54)&gt;0,NOT('Ch9'!W54=FALSE)),"P","")</f>
        <v/>
      </c>
      <c r="B943" s="190" t="str">
        <f>IF(LEN('Ch6'!H703)=0,"",'Ch6'!H703)</f>
        <v/>
      </c>
      <c r="C943" s="190" t="str">
        <f t="shared" si="35"/>
        <v/>
      </c>
      <c r="D943" s="349" t="s">
        <v>3024</v>
      </c>
      <c r="E943" s="354"/>
      <c r="F943" s="354"/>
      <c r="G943" s="273" t="s">
        <v>3025</v>
      </c>
      <c r="H943" s="56">
        <f>'Ch9'!W54</f>
        <v>0</v>
      </c>
      <c r="I943" s="56">
        <f>'Ch9'!O54</f>
        <v>0</v>
      </c>
      <c r="J943" s="650" t="s">
        <v>3399</v>
      </c>
    </row>
    <row r="944" spans="1:10" x14ac:dyDescent="0.2">
      <c r="A944" s="539" t="str">
        <f>IF(COUNTIF(A945:A956,"P")&gt;0,"P","")</f>
        <v/>
      </c>
      <c r="B944" s="190" t="str">
        <f>IF(LEN('Ch6'!H704)=0,"",'Ch6'!H704)</f>
        <v/>
      </c>
      <c r="C944" s="190" t="str">
        <f t="shared" si="35"/>
        <v/>
      </c>
      <c r="D944" s="107" t="s">
        <v>3026</v>
      </c>
      <c r="E944" s="345"/>
      <c r="F944" s="345"/>
      <c r="G944" s="654" t="s">
        <v>3027</v>
      </c>
      <c r="J944" s="650" t="s">
        <v>3472</v>
      </c>
    </row>
    <row r="945" spans="1:10" x14ac:dyDescent="0.2">
      <c r="A945" s="539" t="str">
        <f>IF(COUNTIF(A946:A950,"P")&gt;0,"P","")</f>
        <v/>
      </c>
      <c r="B945" s="190" t="str">
        <f>IF(LEN('Ch6'!H705)=0,"",'Ch6'!H705)</f>
        <v/>
      </c>
      <c r="C945" s="190" t="str">
        <f t="shared" si="35"/>
        <v/>
      </c>
      <c r="D945" s="345"/>
      <c r="E945" s="346" t="s">
        <v>2181</v>
      </c>
      <c r="F945" s="345"/>
      <c r="G945" s="632" t="s">
        <v>3028</v>
      </c>
      <c r="J945" s="650"/>
    </row>
    <row r="946" spans="1:10" x14ac:dyDescent="0.2">
      <c r="A946" s="294" t="str">
        <f>IF(AND(LEN('Ch9'!W57)&gt;0,NOT('Ch9'!W57=FALSE)),"P","")</f>
        <v/>
      </c>
      <c r="B946" s="190" t="str">
        <f>IF(LEN('Ch6'!H706)=0,"",'Ch6'!H706)</f>
        <v/>
      </c>
      <c r="C946" s="190" t="str">
        <f t="shared" si="35"/>
        <v/>
      </c>
      <c r="D946" s="345"/>
      <c r="E946" s="345"/>
      <c r="F946" s="347" t="s">
        <v>2196</v>
      </c>
      <c r="G946" s="791" t="s">
        <v>3029</v>
      </c>
      <c r="H946" s="56">
        <f>'Ch9'!W57</f>
        <v>0</v>
      </c>
      <c r="I946" s="56">
        <f>'Ch9'!O57</f>
        <v>0</v>
      </c>
      <c r="J946" s="889" t="s">
        <v>3399</v>
      </c>
    </row>
    <row r="947" spans="1:10" x14ac:dyDescent="0.2">
      <c r="A947" s="294" t="str">
        <f>A946</f>
        <v/>
      </c>
      <c r="B947" s="190" t="str">
        <f>IF(LEN('Ch6'!H707)=0,"",'Ch6'!H707)</f>
        <v/>
      </c>
      <c r="C947" s="190" t="str">
        <f t="shared" si="35"/>
        <v/>
      </c>
      <c r="D947" s="345"/>
      <c r="E947" s="345"/>
      <c r="F947" s="366"/>
      <c r="G947" s="792"/>
      <c r="J947" s="889"/>
    </row>
    <row r="948" spans="1:10" x14ac:dyDescent="0.2">
      <c r="A948" s="294" t="str">
        <f>IF(AND(LEN('Ch9'!W59)&gt;0,NOT('Ch9'!W59=FALSE)),"P","")</f>
        <v/>
      </c>
      <c r="B948" s="190" t="str">
        <f>IF(LEN('Ch6'!H708)=0,"",'Ch6'!H708)</f>
        <v/>
      </c>
      <c r="C948" s="190" t="str">
        <f t="shared" si="35"/>
        <v/>
      </c>
      <c r="D948" s="345"/>
      <c r="E948" s="345"/>
      <c r="F948" s="347" t="s">
        <v>2198</v>
      </c>
      <c r="G948" s="791" t="s">
        <v>3030</v>
      </c>
      <c r="H948" s="56">
        <f>'Ch9'!W59</f>
        <v>0</v>
      </c>
      <c r="I948" s="56">
        <f>'Ch9'!O59</f>
        <v>0</v>
      </c>
      <c r="J948" s="889" t="s">
        <v>3399</v>
      </c>
    </row>
    <row r="949" spans="1:10" x14ac:dyDescent="0.2">
      <c r="A949" s="294" t="str">
        <f>A948</f>
        <v/>
      </c>
      <c r="B949" s="190" t="str">
        <f>IF(LEN('Ch6'!H709)=0,"",'Ch6'!H709)</f>
        <v/>
      </c>
      <c r="C949" s="190" t="str">
        <f t="shared" si="35"/>
        <v/>
      </c>
      <c r="D949" s="345"/>
      <c r="E949" s="345"/>
      <c r="F949" s="160"/>
      <c r="G949" s="792"/>
      <c r="J949" s="889"/>
    </row>
    <row r="950" spans="1:10" x14ac:dyDescent="0.2">
      <c r="A950" s="294" t="str">
        <f>IF(AND(LEN('Ch9'!W61)&gt;0,NOT('Ch9'!W61=FALSE)),"P","")</f>
        <v/>
      </c>
      <c r="B950" s="190" t="str">
        <f>IF(LEN('Ch6'!H710)=0,"",'Ch6'!H710)</f>
        <v/>
      </c>
      <c r="C950" s="190" t="str">
        <f t="shared" si="35"/>
        <v/>
      </c>
      <c r="D950" s="345"/>
      <c r="E950" s="388"/>
      <c r="F950" s="347" t="s">
        <v>2200</v>
      </c>
      <c r="G950" s="791" t="s">
        <v>3031</v>
      </c>
      <c r="H950" s="56">
        <f>'Ch9'!W61</f>
        <v>0</v>
      </c>
      <c r="I950" s="56">
        <f ca="1">'Ch9'!O61</f>
        <v>0</v>
      </c>
      <c r="J950" s="889" t="s">
        <v>3473</v>
      </c>
    </row>
    <row r="951" spans="1:10" x14ac:dyDescent="0.2">
      <c r="A951" s="294" t="str">
        <f>A950</f>
        <v/>
      </c>
      <c r="B951" s="190" t="str">
        <f>IF(LEN('Ch6'!H711)=0,"",'Ch6'!H711)</f>
        <v/>
      </c>
      <c r="C951" s="190" t="str">
        <f t="shared" si="35"/>
        <v/>
      </c>
      <c r="D951" s="345"/>
      <c r="E951" s="388"/>
      <c r="F951" s="388"/>
      <c r="G951" s="791"/>
      <c r="J951" s="889"/>
    </row>
    <row r="952" spans="1:10" x14ac:dyDescent="0.2">
      <c r="A952" s="294" t="str">
        <f>A951</f>
        <v/>
      </c>
      <c r="B952" s="190" t="str">
        <f>IF(LEN('Ch6'!H712)=0,"",'Ch6'!H712)</f>
        <v/>
      </c>
      <c r="C952" s="190" t="str">
        <f t="shared" si="35"/>
        <v/>
      </c>
      <c r="D952" s="345"/>
      <c r="E952" s="388"/>
      <c r="F952" s="388"/>
      <c r="G952" s="791"/>
      <c r="J952" s="889"/>
    </row>
    <row r="953" spans="1:10" x14ac:dyDescent="0.2">
      <c r="A953" s="294" t="str">
        <f>A952</f>
        <v/>
      </c>
      <c r="B953" s="190" t="str">
        <f>IF(LEN('Ch6'!H713)=0,"",'Ch6'!H713)</f>
        <v/>
      </c>
      <c r="C953" s="190" t="str">
        <f t="shared" si="35"/>
        <v/>
      </c>
      <c r="D953" s="345"/>
      <c r="E953" s="388"/>
      <c r="F953" s="388"/>
      <c r="G953" s="791"/>
      <c r="J953" s="889"/>
    </row>
    <row r="954" spans="1:10" x14ac:dyDescent="0.2">
      <c r="A954" s="294" t="str">
        <f>A953</f>
        <v/>
      </c>
      <c r="B954" s="190" t="str">
        <f>IF(LEN('Ch6'!H714)=0,"",'Ch6'!H714)</f>
        <v/>
      </c>
      <c r="C954" s="190" t="str">
        <f t="shared" si="35"/>
        <v/>
      </c>
      <c r="D954" s="345"/>
      <c r="E954" s="388"/>
      <c r="F954" s="388"/>
      <c r="G954" s="791"/>
      <c r="J954" s="889"/>
    </row>
    <row r="955" spans="1:10" x14ac:dyDescent="0.2">
      <c r="A955" s="294" t="str">
        <f>A954</f>
        <v/>
      </c>
      <c r="B955" s="190" t="str">
        <f>IF(LEN('Ch6'!H715)=0,"",'Ch6'!H715)</f>
        <v/>
      </c>
      <c r="C955" s="190" t="str">
        <f t="shared" si="35"/>
        <v/>
      </c>
      <c r="D955" s="345"/>
      <c r="E955" s="160"/>
      <c r="F955" s="160"/>
      <c r="G955" s="792"/>
      <c r="J955" s="889"/>
    </row>
    <row r="956" spans="1:10" ht="15" customHeight="1" thickBot="1" x14ac:dyDescent="0.25">
      <c r="A956" s="294" t="str">
        <f>IF(AND(LEN('Ch9'!W67)&gt;0,NOT('Ch9'!W67=FALSE)),"P","")</f>
        <v/>
      </c>
      <c r="B956" s="190" t="str">
        <f>IF(LEN('Ch6'!H716)=0,"",'Ch6'!H716)</f>
        <v/>
      </c>
      <c r="C956" s="190" t="str">
        <f t="shared" si="35"/>
        <v/>
      </c>
      <c r="D956" s="354"/>
      <c r="E956" s="351" t="s">
        <v>2183</v>
      </c>
      <c r="F956" s="354"/>
      <c r="G956" s="626" t="s">
        <v>3032</v>
      </c>
      <c r="H956" s="56">
        <f>'Ch9'!W67</f>
        <v>0</v>
      </c>
      <c r="I956" s="56">
        <f>'Ch9'!O67</f>
        <v>0</v>
      </c>
      <c r="J956" s="650" t="s">
        <v>3399</v>
      </c>
    </row>
    <row r="957" spans="1:10" x14ac:dyDescent="0.2">
      <c r="A957" s="294" t="str">
        <f ca="1">IF('Ch9'!O68&gt;0,"P","")</f>
        <v/>
      </c>
      <c r="B957" s="190" t="str">
        <f>IF(LEN('Ch6'!H717)=0,"",'Ch6'!H717)</f>
        <v/>
      </c>
      <c r="C957" s="190" t="str">
        <f t="shared" ca="1" si="35"/>
        <v/>
      </c>
      <c r="D957" s="107" t="s">
        <v>3033</v>
      </c>
      <c r="E957" s="345"/>
      <c r="F957" s="345"/>
      <c r="G957" s="817" t="s">
        <v>3034</v>
      </c>
      <c r="I957" s="56">
        <f ca="1">'Ch9'!O68</f>
        <v>0</v>
      </c>
      <c r="J957" s="398"/>
    </row>
    <row r="958" spans="1:10" x14ac:dyDescent="0.2">
      <c r="A958" s="294" t="str">
        <f ca="1">A957</f>
        <v/>
      </c>
      <c r="B958" s="190" t="str">
        <f>IF(LEN('Ch6'!H718)=0,"",'Ch6'!H718)</f>
        <v/>
      </c>
      <c r="C958" s="190" t="str">
        <f t="shared" ca="1" si="35"/>
        <v/>
      </c>
      <c r="D958" s="345"/>
      <c r="E958" s="345"/>
      <c r="F958" s="345"/>
      <c r="G958" s="817"/>
      <c r="J958" s="398"/>
    </row>
    <row r="959" spans="1:10" s="496" customFormat="1" x14ac:dyDescent="0.2">
      <c r="A959" s="294" t="str">
        <f ca="1">A958</f>
        <v/>
      </c>
      <c r="B959" s="190" t="str">
        <f>IF(LEN('Ch6'!H719)=0,"",'Ch6'!H719)</f>
        <v/>
      </c>
      <c r="C959" s="190" t="str">
        <f t="shared" ca="1" si="35"/>
        <v/>
      </c>
      <c r="D959" s="345"/>
      <c r="E959" s="345"/>
      <c r="F959" s="345"/>
      <c r="G959" s="817"/>
      <c r="H959" s="56"/>
      <c r="I959" s="56"/>
      <c r="J959" s="398"/>
    </row>
    <row r="960" spans="1:10" x14ac:dyDescent="0.2">
      <c r="A960" s="294" t="str">
        <f ca="1">A958</f>
        <v/>
      </c>
      <c r="B960" s="190" t="str">
        <f>IF(LEN('Ch6'!H720)=0,"",'Ch6'!H720)</f>
        <v/>
      </c>
      <c r="C960" s="190" t="str">
        <f t="shared" ca="1" si="35"/>
        <v/>
      </c>
      <c r="D960" s="345"/>
      <c r="E960" s="345"/>
      <c r="F960" s="345"/>
      <c r="G960" s="817"/>
      <c r="J960" s="398"/>
    </row>
    <row r="961" spans="1:10" ht="15" customHeight="1" x14ac:dyDescent="0.2">
      <c r="A961" s="294" t="str">
        <f>IF(AND(LEN('Ch9'!W72)&gt;0,NOT('Ch9'!W72=FALSE)),"P","")</f>
        <v/>
      </c>
      <c r="B961" s="190" t="str">
        <f>IF(LEN('Ch6'!H721)=0,"",'Ch6'!H721)</f>
        <v/>
      </c>
      <c r="C961" s="190" t="str">
        <f t="shared" si="35"/>
        <v/>
      </c>
      <c r="D961" s="345"/>
      <c r="E961" s="347" t="s">
        <v>2181</v>
      </c>
      <c r="F961" s="388"/>
      <c r="G961" s="791" t="s">
        <v>3035</v>
      </c>
      <c r="H961" s="56">
        <f>'Ch9'!W72</f>
        <v>0</v>
      </c>
      <c r="J961" s="901" t="s">
        <v>3474</v>
      </c>
    </row>
    <row r="962" spans="1:10" x14ac:dyDescent="0.2">
      <c r="A962" s="294" t="str">
        <f>A961</f>
        <v/>
      </c>
      <c r="B962" s="190" t="str">
        <f>IF(LEN('Ch6'!H722)=0,"",'Ch6'!H722)</f>
        <v/>
      </c>
      <c r="C962" s="190" t="str">
        <f t="shared" si="35"/>
        <v/>
      </c>
      <c r="D962" s="345"/>
      <c r="E962" s="388"/>
      <c r="F962" s="388"/>
      <c r="G962" s="791"/>
      <c r="J962" s="901"/>
    </row>
    <row r="963" spans="1:10" x14ac:dyDescent="0.2">
      <c r="A963" s="294" t="str">
        <f>A962</f>
        <v/>
      </c>
      <c r="B963" s="190" t="str">
        <f>IF(LEN('Ch6'!H723)=0,"",'Ch6'!H723)</f>
        <v/>
      </c>
      <c r="C963" s="190" t="str">
        <f t="shared" si="35"/>
        <v/>
      </c>
      <c r="D963" s="345"/>
      <c r="E963" s="388"/>
      <c r="F963" s="388"/>
      <c r="G963" s="791"/>
      <c r="J963" s="901"/>
    </row>
    <row r="964" spans="1:10" s="344" customFormat="1" x14ac:dyDescent="0.2">
      <c r="A964" s="294" t="str">
        <f>A963</f>
        <v/>
      </c>
      <c r="B964" s="190" t="str">
        <f>IF(LEN('Ch6'!H724)=0,"",'Ch6'!H724)</f>
        <v/>
      </c>
      <c r="C964" s="190" t="str">
        <f t="shared" si="35"/>
        <v/>
      </c>
      <c r="D964" s="345"/>
      <c r="E964" s="388"/>
      <c r="F964" s="388"/>
      <c r="G964" s="791"/>
      <c r="H964" s="56"/>
      <c r="I964" s="56"/>
      <c r="J964" s="901"/>
    </row>
    <row r="965" spans="1:10" x14ac:dyDescent="0.2">
      <c r="B965" s="190" t="str">
        <f>IF(LEN('Ch6'!H725)=0,"",'Ch6'!H725)</f>
        <v/>
      </c>
      <c r="C965" s="190" t="str">
        <f t="shared" si="35"/>
        <v/>
      </c>
      <c r="D965" s="345"/>
      <c r="E965" s="160"/>
      <c r="F965" s="160"/>
      <c r="G965" s="571" t="s">
        <v>3036</v>
      </c>
      <c r="J965" s="656"/>
    </row>
    <row r="966" spans="1:10" x14ac:dyDescent="0.2">
      <c r="A966" s="294" t="str">
        <f>A964</f>
        <v/>
      </c>
      <c r="B966" s="190" t="str">
        <f>IF(LEN('Ch6'!H726)=0,"",'Ch6'!H726)</f>
        <v/>
      </c>
      <c r="C966" s="190" t="str">
        <f t="shared" si="35"/>
        <v/>
      </c>
      <c r="D966" s="388"/>
      <c r="E966" s="388"/>
      <c r="F966" s="388"/>
      <c r="G966" s="598" t="s">
        <v>3037</v>
      </c>
      <c r="H966" s="56">
        <f>'Ch9'!W77</f>
        <v>0</v>
      </c>
      <c r="J966" s="656"/>
    </row>
    <row r="967" spans="1:10" x14ac:dyDescent="0.2">
      <c r="A967" s="294" t="str">
        <f>A966</f>
        <v/>
      </c>
      <c r="B967" s="190" t="str">
        <f>IF(LEN('Ch6'!H727)=0,"",'Ch6'!H727)</f>
        <v/>
      </c>
      <c r="C967" s="190" t="str">
        <f t="shared" si="35"/>
        <v/>
      </c>
      <c r="D967" s="388"/>
      <c r="E967" s="388"/>
      <c r="F967" s="388"/>
      <c r="G967" s="598" t="s">
        <v>3038</v>
      </c>
      <c r="H967" s="56">
        <f>'Ch9'!W78</f>
        <v>0</v>
      </c>
      <c r="J967" s="398"/>
    </row>
    <row r="968" spans="1:10" x14ac:dyDescent="0.2">
      <c r="A968" s="294" t="str">
        <f t="shared" ref="A968:A976" si="36">A967</f>
        <v/>
      </c>
      <c r="B968" s="190" t="str">
        <f>IF(LEN('Ch6'!H728)=0,"",'Ch6'!H728)</f>
        <v/>
      </c>
      <c r="C968" s="190" t="str">
        <f t="shared" si="35"/>
        <v/>
      </c>
      <c r="D968" s="388"/>
      <c r="E968" s="388"/>
      <c r="F968" s="388"/>
      <c r="G968" s="598" t="s">
        <v>3039</v>
      </c>
      <c r="H968" s="56">
        <f>'Ch9'!W79</f>
        <v>0</v>
      </c>
      <c r="J968" s="398"/>
    </row>
    <row r="969" spans="1:10" x14ac:dyDescent="0.2">
      <c r="A969" s="294" t="str">
        <f t="shared" si="36"/>
        <v/>
      </c>
      <c r="B969" s="190" t="str">
        <f>IF(LEN('Ch6'!H729)=0,"",'Ch6'!H729)</f>
        <v/>
      </c>
      <c r="C969" s="190" t="str">
        <f t="shared" si="35"/>
        <v/>
      </c>
      <c r="D969" s="388"/>
      <c r="E969" s="388"/>
      <c r="F969" s="388"/>
      <c r="G969" s="598" t="s">
        <v>3040</v>
      </c>
      <c r="H969" s="56">
        <f>'Ch9'!W80</f>
        <v>0</v>
      </c>
      <c r="J969" s="398"/>
    </row>
    <row r="970" spans="1:10" x14ac:dyDescent="0.2">
      <c r="A970" s="294" t="str">
        <f t="shared" si="36"/>
        <v/>
      </c>
      <c r="B970" s="190" t="str">
        <f>IF(LEN('Ch6'!H730)=0,"",'Ch6'!H730)</f>
        <v/>
      </c>
      <c r="C970" s="190" t="str">
        <f t="shared" si="35"/>
        <v/>
      </c>
      <c r="D970" s="388"/>
      <c r="E970" s="347" t="s">
        <v>2183</v>
      </c>
      <c r="F970" s="388"/>
      <c r="G970" s="791" t="s">
        <v>3041</v>
      </c>
      <c r="J970" s="656" t="s">
        <v>3475</v>
      </c>
    </row>
    <row r="971" spans="1:10" x14ac:dyDescent="0.2">
      <c r="A971" s="294" t="str">
        <f t="shared" si="36"/>
        <v/>
      </c>
      <c r="B971" s="190" t="str">
        <f>IF(LEN('Ch6'!H731)=0,"",'Ch6'!H731)</f>
        <v/>
      </c>
      <c r="C971" s="190" t="str">
        <f t="shared" si="35"/>
        <v/>
      </c>
      <c r="D971" s="388"/>
      <c r="E971" s="160"/>
      <c r="F971" s="160"/>
      <c r="G971" s="792"/>
      <c r="J971" s="398"/>
    </row>
    <row r="972" spans="1:10" x14ac:dyDescent="0.2">
      <c r="A972" s="294" t="str">
        <f t="shared" si="36"/>
        <v/>
      </c>
      <c r="B972" s="190" t="str">
        <f>IF(LEN('Ch6'!H732)=0,"",'Ch6'!H732)</f>
        <v/>
      </c>
      <c r="C972" s="190" t="str">
        <f t="shared" si="35"/>
        <v/>
      </c>
      <c r="D972" s="388"/>
      <c r="E972" s="366" t="s">
        <v>2185</v>
      </c>
      <c r="F972" s="160"/>
      <c r="G972" s="599" t="s">
        <v>3042</v>
      </c>
      <c r="J972" s="656" t="s">
        <v>3476</v>
      </c>
    </row>
    <row r="973" spans="1:10" x14ac:dyDescent="0.2">
      <c r="A973" s="294" t="str">
        <f t="shared" si="36"/>
        <v/>
      </c>
      <c r="B973" s="190" t="str">
        <f>IF(LEN('Ch6'!H733)=0,"",'Ch6'!H733)</f>
        <v/>
      </c>
      <c r="C973" s="190" t="str">
        <f t="shared" si="35"/>
        <v/>
      </c>
      <c r="D973" s="388"/>
      <c r="E973" s="366" t="s">
        <v>2192</v>
      </c>
      <c r="F973" s="160"/>
      <c r="G973" s="599" t="s">
        <v>3043</v>
      </c>
      <c r="J973" s="656" t="s">
        <v>3477</v>
      </c>
    </row>
    <row r="974" spans="1:10" x14ac:dyDescent="0.2">
      <c r="A974" s="294" t="str">
        <f t="shared" si="36"/>
        <v/>
      </c>
      <c r="B974" s="190" t="str">
        <f>IF(LEN('Ch6'!H734)=0,"",'Ch6'!H734)</f>
        <v/>
      </c>
      <c r="C974" s="190" t="str">
        <f t="shared" si="35"/>
        <v/>
      </c>
      <c r="D974" s="388"/>
      <c r="E974" s="347" t="s">
        <v>2194</v>
      </c>
      <c r="F974" s="388"/>
      <c r="G974" s="791" t="s">
        <v>3044</v>
      </c>
      <c r="J974" s="901" t="s">
        <v>3478</v>
      </c>
    </row>
    <row r="975" spans="1:10" x14ac:dyDescent="0.2">
      <c r="A975" s="294" t="str">
        <f t="shared" si="36"/>
        <v/>
      </c>
      <c r="B975" s="190" t="str">
        <f>IF(LEN('Ch6'!H735)=0,"",'Ch6'!H735)</f>
        <v/>
      </c>
      <c r="C975" s="190" t="str">
        <f t="shared" si="35"/>
        <v/>
      </c>
      <c r="D975" s="388"/>
      <c r="E975" s="366"/>
      <c r="F975" s="160"/>
      <c r="G975" s="792"/>
      <c r="J975" s="901"/>
    </row>
    <row r="976" spans="1:10" ht="16" thickBot="1" x14ac:dyDescent="0.25">
      <c r="A976" s="294" t="str">
        <f t="shared" si="36"/>
        <v/>
      </c>
      <c r="B976" s="190" t="str">
        <f>IF(LEN('Ch6'!H736)=0,"",'Ch6'!H736)</f>
        <v/>
      </c>
      <c r="C976" s="190" t="str">
        <f t="shared" si="35"/>
        <v/>
      </c>
      <c r="D976" s="354"/>
      <c r="E976" s="351" t="s">
        <v>2221</v>
      </c>
      <c r="F976" s="354"/>
      <c r="G976" s="626" t="s">
        <v>3045</v>
      </c>
      <c r="J976" s="656" t="s">
        <v>3479</v>
      </c>
    </row>
    <row r="977" spans="1:10" x14ac:dyDescent="0.2">
      <c r="A977" s="539" t="str">
        <f>IF(COUNTIF(A980:A982,"P")&gt;0,"P","")</f>
        <v/>
      </c>
      <c r="B977" s="190" t="str">
        <f>IF(LEN('Ch6'!H737)=0,"",'Ch6'!H737)</f>
        <v/>
      </c>
      <c r="C977" s="190" t="str">
        <f t="shared" si="35"/>
        <v/>
      </c>
      <c r="D977" s="107" t="s">
        <v>3046</v>
      </c>
      <c r="E977" s="345"/>
      <c r="F977" s="345"/>
      <c r="G977" s="775" t="s">
        <v>3047</v>
      </c>
      <c r="J977" s="650"/>
    </row>
    <row r="978" spans="1:10" x14ac:dyDescent="0.2">
      <c r="A978" s="294" t="str">
        <f>A977</f>
        <v/>
      </c>
      <c r="B978" s="190" t="str">
        <f>IF(LEN('Ch6'!H738)=0,"",'Ch6'!H738)</f>
        <v/>
      </c>
      <c r="C978" s="190" t="str">
        <f t="shared" si="35"/>
        <v/>
      </c>
      <c r="D978" s="345"/>
      <c r="E978" s="345"/>
      <c r="F978" s="345"/>
      <c r="G978" s="775"/>
      <c r="J978" s="650"/>
    </row>
    <row r="979" spans="1:10" x14ac:dyDescent="0.2">
      <c r="B979" s="190" t="str">
        <f>IF(LEN('Ch6'!H739)=0,"",'Ch6'!H739)</f>
        <v/>
      </c>
      <c r="C979" s="190" t="str">
        <f t="shared" si="35"/>
        <v/>
      </c>
      <c r="D979" s="345"/>
      <c r="E979" s="345"/>
      <c r="F979" s="345"/>
      <c r="G979" s="635" t="s">
        <v>3048</v>
      </c>
      <c r="J979" s="650"/>
    </row>
    <row r="980" spans="1:10" x14ac:dyDescent="0.2">
      <c r="A980" s="294" t="str">
        <f>IF(AND(LEN('Ch9'!W91)&gt;0,NOT('Ch9'!W91=FALSE)),"P","")</f>
        <v/>
      </c>
      <c r="B980" s="190" t="str">
        <f>IF(LEN('Ch6'!H740)=0,"",'Ch6'!H740)</f>
        <v/>
      </c>
      <c r="C980" s="190" t="str">
        <f t="shared" si="35"/>
        <v/>
      </c>
      <c r="D980" s="345"/>
      <c r="E980" s="347" t="s">
        <v>2181</v>
      </c>
      <c r="F980" s="388"/>
      <c r="G980" s="791" t="s">
        <v>3049</v>
      </c>
      <c r="H980" s="56">
        <f>'Ch9'!W91</f>
        <v>0</v>
      </c>
      <c r="I980" s="56">
        <f>'Ch9'!O91</f>
        <v>0</v>
      </c>
      <c r="J980" s="889" t="s">
        <v>3399</v>
      </c>
    </row>
    <row r="981" spans="1:10" x14ac:dyDescent="0.2">
      <c r="A981" s="294" t="str">
        <f>A980</f>
        <v/>
      </c>
      <c r="B981" s="190" t="str">
        <f>IF(LEN('Ch6'!H741)=0,"",'Ch6'!H741)</f>
        <v/>
      </c>
      <c r="C981" s="190" t="str">
        <f t="shared" si="35"/>
        <v/>
      </c>
      <c r="D981" s="345"/>
      <c r="E981" s="160"/>
      <c r="F981" s="160"/>
      <c r="G981" s="792"/>
      <c r="J981" s="889"/>
    </row>
    <row r="982" spans="1:10" x14ac:dyDescent="0.2">
      <c r="A982" s="294" t="str">
        <f>IF(AND(LEN('Ch9'!W93)&gt;0,NOT('Ch9'!W93=FALSE)),"P","")</f>
        <v/>
      </c>
      <c r="B982" s="190" t="str">
        <f>IF(LEN('Ch6'!H742)=0,"",'Ch6'!H742)</f>
        <v/>
      </c>
      <c r="C982" s="190" t="str">
        <f t="shared" si="35"/>
        <v/>
      </c>
      <c r="D982" s="388"/>
      <c r="E982" s="347" t="s">
        <v>2183</v>
      </c>
      <c r="F982" s="388"/>
      <c r="G982" s="791" t="s">
        <v>3050</v>
      </c>
      <c r="H982" s="56">
        <f>'Ch9'!W93</f>
        <v>0</v>
      </c>
      <c r="I982" s="56">
        <f>'Ch9'!O93</f>
        <v>0</v>
      </c>
      <c r="J982" s="889" t="s">
        <v>3480</v>
      </c>
    </row>
    <row r="983" spans="1:10" x14ac:dyDescent="0.2">
      <c r="A983" s="294" t="str">
        <f>A982</f>
        <v/>
      </c>
      <c r="B983" s="190" t="str">
        <f>IF(LEN('Ch6'!H743)=0,"",'Ch6'!H743)</f>
        <v/>
      </c>
      <c r="C983" s="190" t="str">
        <f t="shared" si="35"/>
        <v/>
      </c>
      <c r="D983" s="388"/>
      <c r="E983" s="388"/>
      <c r="F983" s="388"/>
      <c r="G983" s="791"/>
      <c r="J983" s="889"/>
    </row>
    <row r="984" spans="1:10" ht="16" thickBot="1" x14ac:dyDescent="0.25">
      <c r="A984" s="294" t="str">
        <f>A983</f>
        <v/>
      </c>
      <c r="B984" s="190" t="str">
        <f>IF(LEN('Ch6'!H744)=0,"",'Ch6'!H744)</f>
        <v/>
      </c>
      <c r="C984" s="190" t="str">
        <f t="shared" si="35"/>
        <v/>
      </c>
      <c r="D984" s="354"/>
      <c r="E984" s="354"/>
      <c r="F984" s="354"/>
      <c r="G984" s="818"/>
      <c r="J984" s="889"/>
    </row>
    <row r="985" spans="1:10" ht="15.75" customHeight="1" thickTop="1" x14ac:dyDescent="0.2">
      <c r="A985" s="294" t="str">
        <f>IF(AND(LEN('Ch9'!W96)&gt;0,NOT('Ch9'!W96=FALSE)),"P","")</f>
        <v/>
      </c>
      <c r="B985" s="190" t="str">
        <f>IF(LEN('Ch6'!H745)=0,"",'Ch6'!H745)</f>
        <v/>
      </c>
      <c r="C985" s="190" t="str">
        <f t="shared" ref="C985:C1054" si="37">IF(LEN(B985)=0,IF(A985="P","P",""),B985)</f>
        <v/>
      </c>
      <c r="D985" s="75" t="s">
        <v>3051</v>
      </c>
      <c r="E985" s="374"/>
      <c r="F985" s="374"/>
      <c r="G985" s="819" t="s">
        <v>3052</v>
      </c>
      <c r="H985" s="56">
        <f>'Ch9'!W96</f>
        <v>0</v>
      </c>
      <c r="J985" s="888" t="s">
        <v>3481</v>
      </c>
    </row>
    <row r="986" spans="1:10" ht="16" thickBot="1" x14ac:dyDescent="0.25">
      <c r="A986" s="294" t="str">
        <f>A985</f>
        <v/>
      </c>
      <c r="B986" s="190" t="str">
        <f>IF(LEN('Ch6'!H746)=0,"",'Ch6'!H746)</f>
        <v/>
      </c>
      <c r="C986" s="190" t="str">
        <f t="shared" si="37"/>
        <v/>
      </c>
      <c r="D986" s="354"/>
      <c r="E986" s="354"/>
      <c r="F986" s="354"/>
      <c r="G986" s="822"/>
      <c r="J986" s="888"/>
    </row>
    <row r="987" spans="1:10" x14ac:dyDescent="0.2">
      <c r="A987" s="294" t="str">
        <f>IF('Ch9'!O98&gt;0,"P","")</f>
        <v/>
      </c>
      <c r="B987" s="190" t="str">
        <f>IF(LEN('Ch6'!H747)=0,"",'Ch6'!H747)</f>
        <v/>
      </c>
      <c r="C987" s="190" t="str">
        <f t="shared" si="37"/>
        <v/>
      </c>
      <c r="D987" s="107" t="s">
        <v>3053</v>
      </c>
      <c r="E987" s="345"/>
      <c r="F987" s="345"/>
      <c r="G987" s="775" t="s">
        <v>3054</v>
      </c>
      <c r="I987" s="56">
        <f>'Ch9'!O98</f>
        <v>0</v>
      </c>
      <c r="J987" s="888" t="s">
        <v>3482</v>
      </c>
    </row>
    <row r="988" spans="1:10" x14ac:dyDescent="0.2">
      <c r="A988" s="294" t="str">
        <f>A987</f>
        <v/>
      </c>
      <c r="B988" s="190" t="str">
        <f>IF(LEN('Ch6'!H748)=0,"",'Ch6'!H748)</f>
        <v/>
      </c>
      <c r="C988" s="190" t="str">
        <f t="shared" si="37"/>
        <v/>
      </c>
      <c r="D988" s="345"/>
      <c r="E988" s="345"/>
      <c r="F988" s="345"/>
      <c r="G988" s="775"/>
      <c r="J988" s="888"/>
    </row>
    <row r="989" spans="1:10" x14ac:dyDescent="0.2">
      <c r="A989" s="294" t="str">
        <f>A988</f>
        <v/>
      </c>
      <c r="B989" s="190" t="str">
        <f>IF(LEN('Ch6'!H749)=0,"",'Ch6'!H749)</f>
        <v/>
      </c>
      <c r="C989" s="190" t="str">
        <f t="shared" si="37"/>
        <v/>
      </c>
      <c r="D989" s="345"/>
      <c r="E989" s="345"/>
      <c r="F989" s="345"/>
      <c r="G989" s="775"/>
      <c r="J989" s="888"/>
    </row>
    <row r="990" spans="1:10" x14ac:dyDescent="0.2">
      <c r="A990" s="294" t="str">
        <f>A989</f>
        <v/>
      </c>
      <c r="B990" s="190" t="str">
        <f>IF(LEN('Ch6'!H750)=0,"",'Ch6'!H750)</f>
        <v/>
      </c>
      <c r="C990" s="190" t="str">
        <f t="shared" si="37"/>
        <v/>
      </c>
      <c r="D990" s="345"/>
      <c r="E990" s="345"/>
      <c r="F990" s="345"/>
      <c r="G990" s="775"/>
      <c r="J990" s="888"/>
    </row>
    <row r="991" spans="1:10" x14ac:dyDescent="0.2">
      <c r="A991" s="294" t="str">
        <f>A990</f>
        <v/>
      </c>
      <c r="B991" s="190" t="str">
        <f>IF(LEN('Ch6'!H751)=0,"",'Ch6'!H751)</f>
        <v/>
      </c>
      <c r="C991" s="190" t="str">
        <f t="shared" si="37"/>
        <v/>
      </c>
      <c r="D991" s="345"/>
      <c r="E991" s="345"/>
      <c r="F991" s="345"/>
      <c r="G991" s="775"/>
      <c r="J991" s="888"/>
    </row>
    <row r="992" spans="1:10" x14ac:dyDescent="0.2">
      <c r="B992" s="190" t="str">
        <f>IF(LEN('Ch6'!H752)=0,"",'Ch6'!H752)</f>
        <v/>
      </c>
      <c r="C992" s="190" t="str">
        <f t="shared" si="37"/>
        <v/>
      </c>
      <c r="D992" s="345"/>
      <c r="E992" s="345"/>
      <c r="F992" s="345"/>
      <c r="G992" s="851" t="s">
        <v>3056</v>
      </c>
      <c r="I992" s="323"/>
      <c r="J992" s="888"/>
    </row>
    <row r="993" spans="1:10" x14ac:dyDescent="0.2">
      <c r="B993" s="190" t="str">
        <f>IF(LEN('Ch6'!H753)=0,"",'Ch6'!H753)</f>
        <v/>
      </c>
      <c r="C993" s="190" t="str">
        <f t="shared" si="37"/>
        <v/>
      </c>
      <c r="D993" s="345"/>
      <c r="E993" s="345"/>
      <c r="F993" s="345"/>
      <c r="G993" s="851"/>
      <c r="H993" s="323"/>
      <c r="J993" s="888"/>
    </row>
    <row r="994" spans="1:10" ht="15" customHeight="1" x14ac:dyDescent="0.2">
      <c r="A994" s="294" t="str">
        <f>A991</f>
        <v/>
      </c>
      <c r="B994" s="190" t="str">
        <f>IF(LEN('Ch6'!H754)=0,"",'Ch6'!H754)</f>
        <v/>
      </c>
      <c r="C994" s="190" t="str">
        <f t="shared" si="37"/>
        <v/>
      </c>
      <c r="D994" s="345"/>
      <c r="E994" s="346" t="s">
        <v>2181</v>
      </c>
      <c r="F994" s="345"/>
      <c r="G994" s="817" t="s">
        <v>3058</v>
      </c>
      <c r="H994" s="56">
        <f>'Ch9'!W105</f>
        <v>0</v>
      </c>
      <c r="J994" s="888"/>
    </row>
    <row r="995" spans="1:10" x14ac:dyDescent="0.2">
      <c r="A995" s="294" t="str">
        <f t="shared" ref="A995:A1002" si="38">A994</f>
        <v/>
      </c>
      <c r="B995" s="190" t="str">
        <f>IF(LEN('Ch6'!H755)=0,"",'Ch6'!H755)</f>
        <v/>
      </c>
      <c r="C995" s="190" t="str">
        <f t="shared" si="37"/>
        <v/>
      </c>
      <c r="D995" s="345"/>
      <c r="E995" s="345"/>
      <c r="F995" s="345"/>
      <c r="G995" s="817"/>
      <c r="J995" s="888"/>
    </row>
    <row r="996" spans="1:10" x14ac:dyDescent="0.2">
      <c r="A996" s="294" t="str">
        <f t="shared" si="38"/>
        <v/>
      </c>
      <c r="B996" s="190" t="str">
        <f>IF(LEN('Ch6'!H756)=0,"",'Ch6'!H756)</f>
        <v/>
      </c>
      <c r="C996" s="190" t="str">
        <f t="shared" si="37"/>
        <v/>
      </c>
      <c r="D996" s="345"/>
      <c r="E996" s="345"/>
      <c r="F996" s="345"/>
      <c r="G996" s="817"/>
      <c r="J996" s="888"/>
    </row>
    <row r="997" spans="1:10" x14ac:dyDescent="0.2">
      <c r="A997" s="294" t="str">
        <f t="shared" si="38"/>
        <v/>
      </c>
      <c r="B997" s="190" t="str">
        <f>IF(LEN('Ch6'!H757)=0,"",'Ch6'!H757)</f>
        <v/>
      </c>
      <c r="C997" s="190" t="str">
        <f t="shared" si="37"/>
        <v/>
      </c>
      <c r="D997" s="345"/>
      <c r="E997" s="345"/>
      <c r="F997" s="345"/>
      <c r="G997" s="817"/>
      <c r="J997" s="888"/>
    </row>
    <row r="998" spans="1:10" x14ac:dyDescent="0.2">
      <c r="A998" s="294" t="str">
        <f t="shared" si="38"/>
        <v/>
      </c>
      <c r="B998" s="190" t="str">
        <f>IF(LEN('Ch6'!H758)=0,"",'Ch6'!H758)</f>
        <v/>
      </c>
      <c r="C998" s="190" t="str">
        <f t="shared" si="37"/>
        <v/>
      </c>
      <c r="D998" s="345"/>
      <c r="E998" s="345"/>
      <c r="F998" s="346" t="s">
        <v>2196</v>
      </c>
      <c r="G998" s="632" t="s">
        <v>3059</v>
      </c>
      <c r="J998" s="888"/>
    </row>
    <row r="999" spans="1:10" x14ac:dyDescent="0.2">
      <c r="A999" s="294" t="str">
        <f t="shared" si="38"/>
        <v/>
      </c>
      <c r="B999" s="190" t="str">
        <f>IF(LEN('Ch6'!H759)=0,"",'Ch6'!H759)</f>
        <v/>
      </c>
      <c r="C999" s="190" t="str">
        <f t="shared" si="37"/>
        <v/>
      </c>
      <c r="D999" s="345"/>
      <c r="E999" s="345"/>
      <c r="F999" s="346" t="s">
        <v>2198</v>
      </c>
      <c r="G999" s="632" t="s">
        <v>3060</v>
      </c>
      <c r="J999" s="888"/>
    </row>
    <row r="1000" spans="1:10" x14ac:dyDescent="0.2">
      <c r="A1000" s="294" t="str">
        <f t="shared" si="38"/>
        <v/>
      </c>
      <c r="B1000" s="190" t="str">
        <f>IF(LEN('Ch6'!H760)=0,"",'Ch6'!H760)</f>
        <v/>
      </c>
      <c r="C1000" s="190" t="str">
        <f t="shared" si="37"/>
        <v/>
      </c>
      <c r="D1000" s="345"/>
      <c r="E1000" s="345"/>
      <c r="F1000" s="346" t="s">
        <v>2200</v>
      </c>
      <c r="G1000" s="632" t="s">
        <v>3061</v>
      </c>
      <c r="J1000" s="888"/>
    </row>
    <row r="1001" spans="1:10" x14ac:dyDescent="0.2">
      <c r="A1001" s="294" t="str">
        <f t="shared" si="38"/>
        <v/>
      </c>
      <c r="B1001" s="190" t="str">
        <f>IF(LEN('Ch6'!H761)=0,"",'Ch6'!H761)</f>
        <v/>
      </c>
      <c r="C1001" s="190" t="str">
        <f t="shared" si="37"/>
        <v/>
      </c>
      <c r="D1001" s="345"/>
      <c r="E1001" s="345"/>
      <c r="F1001" s="346" t="s">
        <v>2247</v>
      </c>
      <c r="G1001" s="632" t="s">
        <v>3062</v>
      </c>
      <c r="J1001" s="888"/>
    </row>
    <row r="1002" spans="1:10" x14ac:dyDescent="0.2">
      <c r="A1002" s="294" t="str">
        <f t="shared" si="38"/>
        <v/>
      </c>
      <c r="B1002" s="190" t="str">
        <f>IF(LEN('Ch6'!H762)=0,"",'Ch6'!H762)</f>
        <v/>
      </c>
      <c r="C1002" s="190" t="str">
        <f t="shared" si="37"/>
        <v/>
      </c>
      <c r="D1002" s="345"/>
      <c r="E1002" s="345"/>
      <c r="F1002" s="346" t="s">
        <v>2444</v>
      </c>
      <c r="G1002" s="632" t="s">
        <v>3063</v>
      </c>
      <c r="I1002" s="323"/>
      <c r="J1002" s="888"/>
    </row>
    <row r="1003" spans="1:10" s="496" customFormat="1" x14ac:dyDescent="0.2">
      <c r="A1003" s="294" t="str">
        <f>A1001</f>
        <v/>
      </c>
      <c r="B1003" s="190" t="str">
        <f>IF(LEN('Ch6'!H763)=0,"",'Ch6'!H763)</f>
        <v/>
      </c>
      <c r="C1003" s="190" t="str">
        <f t="shared" ref="C1003" si="39">IF(LEN(B1003)=0,IF(A1003="P","P",""),B1003)</f>
        <v/>
      </c>
      <c r="D1003" s="345"/>
      <c r="E1003" s="388"/>
      <c r="F1003" s="347" t="s">
        <v>2540</v>
      </c>
      <c r="G1003" s="598" t="s">
        <v>3064</v>
      </c>
      <c r="H1003" s="56"/>
      <c r="I1003" s="323"/>
      <c r="J1003" s="888"/>
    </row>
    <row r="1004" spans="1:10" x14ac:dyDescent="0.2">
      <c r="A1004" s="294" t="str">
        <f>A1002</f>
        <v/>
      </c>
      <c r="B1004" s="190" t="str">
        <f>IF(LEN('Ch6'!H764)=0,"",'Ch6'!H764)</f>
        <v/>
      </c>
      <c r="C1004" s="190" t="str">
        <f t="shared" si="37"/>
        <v/>
      </c>
      <c r="D1004" s="345"/>
      <c r="E1004" s="160"/>
      <c r="F1004" s="366" t="s">
        <v>2542</v>
      </c>
      <c r="G1004" s="599" t="s">
        <v>3065</v>
      </c>
      <c r="H1004" s="323"/>
      <c r="J1004" s="888"/>
    </row>
    <row r="1005" spans="1:10" x14ac:dyDescent="0.2">
      <c r="B1005" s="190" t="str">
        <f>IF(LEN('Ch6'!H765)=0,"",'Ch6'!H765)</f>
        <v/>
      </c>
      <c r="C1005" s="190" t="str">
        <f t="shared" si="37"/>
        <v/>
      </c>
      <c r="D1005" s="388"/>
      <c r="E1005" s="366" t="s">
        <v>2183</v>
      </c>
      <c r="F1005" s="160"/>
      <c r="G1005" s="599" t="s">
        <v>3067</v>
      </c>
      <c r="H1005" s="56">
        <f>'Ch9'!W116</f>
        <v>0</v>
      </c>
      <c r="J1005" s="649"/>
    </row>
    <row r="1006" spans="1:10" x14ac:dyDescent="0.2">
      <c r="B1006" s="190" t="str">
        <f>IF(LEN('Ch6'!H766)=0,"",'Ch6'!H766)</f>
        <v/>
      </c>
      <c r="C1006" s="190" t="str">
        <f t="shared" si="37"/>
        <v/>
      </c>
      <c r="D1006" s="388"/>
      <c r="E1006" s="347" t="s">
        <v>2185</v>
      </c>
      <c r="F1006" s="388"/>
      <c r="G1006" s="598" t="s">
        <v>3068</v>
      </c>
      <c r="H1006" s="56">
        <f>'Ch9'!W117</f>
        <v>0</v>
      </c>
      <c r="J1006" s="649"/>
    </row>
    <row r="1007" spans="1:10" x14ac:dyDescent="0.2">
      <c r="B1007" s="190" t="str">
        <f>IF(LEN('Ch6'!H767)=0,"",'Ch6'!H767)</f>
        <v/>
      </c>
      <c r="C1007" s="190" t="str">
        <f t="shared" si="37"/>
        <v/>
      </c>
      <c r="D1007" s="388"/>
      <c r="E1007" s="388"/>
      <c r="F1007" s="388"/>
      <c r="G1007" s="846" t="s">
        <v>3069</v>
      </c>
      <c r="J1007" s="650"/>
    </row>
    <row r="1008" spans="1:10" ht="16" thickBot="1" x14ac:dyDescent="0.25">
      <c r="B1008" s="190" t="str">
        <f>IF(LEN('Ch6'!H768)=0,"",'Ch6'!H768)</f>
        <v/>
      </c>
      <c r="C1008" s="190" t="str">
        <f t="shared" si="37"/>
        <v/>
      </c>
      <c r="D1008" s="354"/>
      <c r="E1008" s="354"/>
      <c r="F1008" s="354"/>
      <c r="G1008" s="860"/>
      <c r="J1008" s="650"/>
    </row>
    <row r="1009" spans="1:10" ht="15.75" customHeight="1" thickTop="1" x14ac:dyDescent="0.2">
      <c r="A1009" s="294" t="str">
        <f>IF(AND(LEN('Ch9'!W120)&gt;0,NOT('Ch9'!W120=FALSE)),"P","")</f>
        <v/>
      </c>
      <c r="B1009" s="190" t="str">
        <f>IF(LEN('Ch6'!H769)=0,"",'Ch6'!H769)</f>
        <v/>
      </c>
      <c r="C1009" s="190" t="str">
        <f t="shared" si="37"/>
        <v/>
      </c>
      <c r="D1009" s="75" t="s">
        <v>3070</v>
      </c>
      <c r="E1009" s="374"/>
      <c r="F1009" s="374"/>
      <c r="G1009" s="819" t="s">
        <v>3071</v>
      </c>
      <c r="H1009" s="56">
        <f>'Ch9'!W120</f>
        <v>0</v>
      </c>
      <c r="I1009" s="56">
        <f>'Ch9'!O120</f>
        <v>0</v>
      </c>
      <c r="J1009" s="888" t="s">
        <v>3483</v>
      </c>
    </row>
    <row r="1010" spans="1:10" x14ac:dyDescent="0.2">
      <c r="A1010" s="294" t="str">
        <f>A1009</f>
        <v/>
      </c>
      <c r="B1010" s="190" t="str">
        <f>IF(LEN('Ch6'!H770)=0,"",'Ch6'!H770)</f>
        <v/>
      </c>
      <c r="C1010" s="190" t="str">
        <f t="shared" si="37"/>
        <v/>
      </c>
      <c r="D1010" s="388"/>
      <c r="E1010" s="388"/>
      <c r="F1010" s="388"/>
      <c r="G1010" s="820"/>
      <c r="J1010" s="888"/>
    </row>
    <row r="1011" spans="1:10" x14ac:dyDescent="0.2">
      <c r="A1011" s="294" t="str">
        <f>A1010</f>
        <v/>
      </c>
      <c r="B1011" s="190" t="str">
        <f>IF(LEN('Ch6'!H771)=0,"",'Ch6'!H771)</f>
        <v/>
      </c>
      <c r="C1011" s="190" t="str">
        <f t="shared" si="37"/>
        <v/>
      </c>
      <c r="D1011" s="388"/>
      <c r="E1011" s="388"/>
      <c r="F1011" s="388"/>
      <c r="G1011" s="820"/>
      <c r="J1011" s="888"/>
    </row>
    <row r="1012" spans="1:10" x14ac:dyDescent="0.2">
      <c r="A1012" s="294" t="str">
        <f>A1011</f>
        <v/>
      </c>
      <c r="B1012" s="190" t="str">
        <f>IF(LEN('Ch6'!H772)=0,"",'Ch6'!H772)</f>
        <v/>
      </c>
      <c r="C1012" s="190" t="str">
        <f t="shared" si="37"/>
        <v/>
      </c>
      <c r="D1012" s="388"/>
      <c r="E1012" s="388"/>
      <c r="F1012" s="388"/>
      <c r="G1012" s="820"/>
      <c r="J1012" s="888"/>
    </row>
    <row r="1013" spans="1:10" x14ac:dyDescent="0.2">
      <c r="A1013" s="294" t="str">
        <f>A1012</f>
        <v/>
      </c>
      <c r="B1013" s="190" t="str">
        <f>IF(LEN('Ch6'!H773)=0,"",'Ch6'!H773)</f>
        <v/>
      </c>
      <c r="C1013" s="190" t="str">
        <f t="shared" si="37"/>
        <v/>
      </c>
      <c r="D1013" s="388"/>
      <c r="E1013" s="388"/>
      <c r="F1013" s="388"/>
      <c r="G1013" s="820"/>
      <c r="J1013" s="888"/>
    </row>
    <row r="1014" spans="1:10" ht="16" thickBot="1" x14ac:dyDescent="0.25">
      <c r="A1014" s="294" t="str">
        <f>A1013</f>
        <v/>
      </c>
      <c r="B1014" s="190" t="str">
        <f>IF(LEN('Ch6'!H774)=0,"",'Ch6'!H774)</f>
        <v/>
      </c>
      <c r="C1014" s="190" t="str">
        <f t="shared" si="37"/>
        <v/>
      </c>
      <c r="D1014" s="354"/>
      <c r="E1014" s="354"/>
      <c r="F1014" s="354"/>
      <c r="G1014" s="822"/>
      <c r="J1014" s="888"/>
    </row>
    <row r="1015" spans="1:10" ht="16" thickTop="1" x14ac:dyDescent="0.2">
      <c r="B1015" s="190" t="str">
        <f>IF(LEN('Ch6'!H775)=0,"",'Ch6'!H775)</f>
        <v/>
      </c>
      <c r="C1015" s="190" t="str">
        <f t="shared" si="37"/>
        <v/>
      </c>
      <c r="D1015" s="75" t="s">
        <v>3072</v>
      </c>
      <c r="E1015" s="374"/>
      <c r="F1015" s="374"/>
      <c r="G1015" s="819" t="s">
        <v>3073</v>
      </c>
      <c r="J1015" s="650"/>
    </row>
    <row r="1016" spans="1:10" x14ac:dyDescent="0.2">
      <c r="B1016" s="190" t="str">
        <f>IF(LEN('Ch6'!H776)=0,"",'Ch6'!H776)</f>
        <v/>
      </c>
      <c r="C1016" s="190" t="str">
        <f t="shared" si="37"/>
        <v/>
      </c>
      <c r="D1016" s="388"/>
      <c r="E1016" s="388"/>
      <c r="F1016" s="388"/>
      <c r="G1016" s="820"/>
      <c r="J1016" s="650"/>
    </row>
    <row r="1017" spans="1:10" s="496" customFormat="1" x14ac:dyDescent="0.2">
      <c r="A1017" s="294"/>
      <c r="B1017" s="190" t="str">
        <f>IF(LEN('Ch6'!H777)=0,"",'Ch6'!H777)</f>
        <v/>
      </c>
      <c r="C1017" s="190" t="str">
        <f t="shared" ref="C1017" si="40">IF(LEN(B1017)=0,IF(A1017="P","P",""),B1017)</f>
        <v/>
      </c>
      <c r="D1017" s="388"/>
      <c r="E1017" s="388"/>
      <c r="F1017" s="388"/>
      <c r="G1017" s="820"/>
      <c r="H1017" s="56"/>
      <c r="I1017" s="56"/>
      <c r="J1017" s="650"/>
    </row>
    <row r="1018" spans="1:10" x14ac:dyDescent="0.2">
      <c r="B1018" s="190" t="str">
        <f>IF(LEN('Ch6'!H778)=0,"",'Ch6'!H778)</f>
        <v/>
      </c>
      <c r="C1018" s="190" t="str">
        <f t="shared" si="37"/>
        <v/>
      </c>
      <c r="D1018" s="388"/>
      <c r="E1018" s="388"/>
      <c r="F1018" s="388"/>
      <c r="G1018" s="820"/>
      <c r="J1018" s="650"/>
    </row>
    <row r="1019" spans="1:10" x14ac:dyDescent="0.2">
      <c r="A1019" s="294" t="str">
        <f>IF('Ch9'!O130&gt;0,"P","")</f>
        <v/>
      </c>
      <c r="B1019" s="190" t="str">
        <f>IF(LEN('Ch6'!H779)=0,"",'Ch6'!H779)</f>
        <v/>
      </c>
      <c r="C1019" s="190" t="str">
        <f t="shared" si="37"/>
        <v/>
      </c>
      <c r="D1019" s="107" t="s">
        <v>3075</v>
      </c>
      <c r="E1019" s="345"/>
      <c r="F1019" s="345"/>
      <c r="G1019" s="775" t="s">
        <v>3076</v>
      </c>
      <c r="I1019" s="56">
        <f>'Ch9'!O130</f>
        <v>0</v>
      </c>
      <c r="J1019" s="888" t="s">
        <v>3484</v>
      </c>
    </row>
    <row r="1020" spans="1:10" ht="25.5" customHeight="1" x14ac:dyDescent="0.2">
      <c r="A1020" s="294" t="str">
        <f>A1019</f>
        <v/>
      </c>
      <c r="B1020" s="190" t="str">
        <f>IF(LEN('Ch6'!H780)=0,"",'Ch6'!H780)</f>
        <v/>
      </c>
      <c r="C1020" s="190" t="str">
        <f t="shared" si="37"/>
        <v/>
      </c>
      <c r="D1020" s="345"/>
      <c r="E1020" s="345"/>
      <c r="F1020" s="345"/>
      <c r="G1020" s="775"/>
      <c r="J1020" s="888"/>
    </row>
    <row r="1021" spans="1:10" ht="15" customHeight="1" x14ac:dyDescent="0.2">
      <c r="B1021" s="190" t="str">
        <f>IF(LEN('Ch6'!H781)=0,"",'Ch6'!H781)</f>
        <v/>
      </c>
      <c r="C1021" s="190" t="str">
        <f t="shared" si="37"/>
        <v/>
      </c>
      <c r="D1021" s="345"/>
      <c r="E1021" s="347" t="s">
        <v>2181</v>
      </c>
      <c r="F1021" s="388"/>
      <c r="G1021" s="791" t="s">
        <v>3077</v>
      </c>
      <c r="H1021" s="56">
        <f>'Ch9'!W132</f>
        <v>0</v>
      </c>
      <c r="J1021" s="394"/>
    </row>
    <row r="1022" spans="1:10" x14ac:dyDescent="0.2">
      <c r="B1022" s="190" t="str">
        <f>IF(LEN('Ch6'!H782)=0,"",'Ch6'!H782)</f>
        <v/>
      </c>
      <c r="C1022" s="190" t="str">
        <f t="shared" si="37"/>
        <v/>
      </c>
      <c r="D1022" s="345"/>
      <c r="E1022" s="160"/>
      <c r="F1022" s="160"/>
      <c r="G1022" s="792"/>
      <c r="J1022" s="394"/>
    </row>
    <row r="1023" spans="1:10" x14ac:dyDescent="0.2">
      <c r="B1023" s="190" t="str">
        <f>IF(LEN('Ch6'!H783)=0,"",'Ch6'!H783)</f>
        <v/>
      </c>
      <c r="C1023" s="190" t="str">
        <f t="shared" si="37"/>
        <v/>
      </c>
      <c r="D1023" s="345"/>
      <c r="E1023" s="366" t="s">
        <v>2183</v>
      </c>
      <c r="F1023" s="160"/>
      <c r="G1023" s="599" t="s">
        <v>3078</v>
      </c>
      <c r="H1023" s="56">
        <f>'Ch9'!W134</f>
        <v>0</v>
      </c>
      <c r="J1023" s="649"/>
    </row>
    <row r="1024" spans="1:10" x14ac:dyDescent="0.2">
      <c r="B1024" s="190" t="str">
        <f>IF(LEN('Ch6'!H784)=0,"",'Ch6'!H784)</f>
        <v/>
      </c>
      <c r="C1024" s="190" t="str">
        <f t="shared" si="37"/>
        <v/>
      </c>
      <c r="D1024" s="388"/>
      <c r="E1024" s="347" t="s">
        <v>2185</v>
      </c>
      <c r="F1024" s="388"/>
      <c r="G1024" s="598" t="s">
        <v>3079</v>
      </c>
      <c r="H1024" s="56">
        <f>'Ch9'!W135</f>
        <v>0</v>
      </c>
      <c r="J1024" s="649"/>
    </row>
    <row r="1025" spans="1:10" x14ac:dyDescent="0.2">
      <c r="B1025" s="190" t="str">
        <f>IF(LEN('Ch6'!H785)=0,"",'Ch6'!H785)</f>
        <v/>
      </c>
      <c r="C1025" s="190" t="str">
        <f t="shared" si="37"/>
        <v/>
      </c>
      <c r="D1025" s="365"/>
      <c r="E1025" s="365"/>
      <c r="F1025" s="365"/>
      <c r="G1025" s="275" t="s">
        <v>3080</v>
      </c>
      <c r="J1025" s="649"/>
    </row>
    <row r="1026" spans="1:10" ht="15" customHeight="1" x14ac:dyDescent="0.2">
      <c r="A1026" s="294" t="str">
        <f>IF(AND(LEN('Ch9'!W137)&gt;0,NOT('Ch9'!W137=FALSE)),"P","")</f>
        <v/>
      </c>
      <c r="B1026" s="190" t="str">
        <f>IF(LEN('Ch6'!H786)=0,"",'Ch6'!H786)</f>
        <v/>
      </c>
      <c r="C1026" s="190" t="str">
        <f t="shared" si="37"/>
        <v/>
      </c>
      <c r="D1026" s="350" t="s">
        <v>3082</v>
      </c>
      <c r="E1026" s="379"/>
      <c r="F1026" s="379"/>
      <c r="G1026" s="847" t="s">
        <v>3485</v>
      </c>
      <c r="H1026" s="56">
        <f>'Ch9'!W137</f>
        <v>0</v>
      </c>
      <c r="I1026" s="56">
        <f>'Ch9'!O137</f>
        <v>0</v>
      </c>
      <c r="J1026" s="888" t="s">
        <v>3486</v>
      </c>
    </row>
    <row r="1027" spans="1:10" ht="24" customHeight="1" x14ac:dyDescent="0.2">
      <c r="A1027" s="294" t="str">
        <f>A1026</f>
        <v/>
      </c>
      <c r="B1027" s="190" t="str">
        <f>IF(LEN('Ch6'!H787)=0,"",'Ch6'!H787)</f>
        <v/>
      </c>
      <c r="C1027" s="190" t="str">
        <f t="shared" si="37"/>
        <v/>
      </c>
      <c r="D1027" s="388"/>
      <c r="E1027" s="388"/>
      <c r="F1027" s="388"/>
      <c r="G1027" s="820"/>
      <c r="J1027" s="888"/>
    </row>
    <row r="1028" spans="1:10" x14ac:dyDescent="0.2">
      <c r="B1028" s="190" t="str">
        <f>IF(LEN('Ch6'!H788)=0,"",'Ch6'!H788)</f>
        <v/>
      </c>
      <c r="C1028" s="190" t="str">
        <f t="shared" si="37"/>
        <v/>
      </c>
      <c r="D1028" s="388"/>
      <c r="E1028" s="388"/>
      <c r="F1028" s="388"/>
      <c r="G1028" s="881" t="s">
        <v>3084</v>
      </c>
      <c r="J1028" s="650"/>
    </row>
    <row r="1029" spans="1:10" x14ac:dyDescent="0.2">
      <c r="B1029" s="190" t="str">
        <f>IF(LEN('Ch6'!H789)=0,"",'Ch6'!H789)</f>
        <v/>
      </c>
      <c r="C1029" s="190" t="str">
        <f t="shared" si="37"/>
        <v/>
      </c>
      <c r="D1029" s="388"/>
      <c r="E1029" s="388"/>
      <c r="F1029" s="388"/>
      <c r="G1029" s="881"/>
      <c r="J1029" s="650"/>
    </row>
    <row r="1030" spans="1:10" x14ac:dyDescent="0.2">
      <c r="B1030" s="190" t="str">
        <f>IF(LEN('Ch6'!H790)=0,"",'Ch6'!H790)</f>
        <v/>
      </c>
      <c r="C1030" s="190" t="str">
        <f t="shared" si="37"/>
        <v/>
      </c>
      <c r="D1030" s="160"/>
      <c r="E1030" s="160"/>
      <c r="F1030" s="160"/>
      <c r="G1030" s="275" t="s">
        <v>3085</v>
      </c>
      <c r="J1030" s="650"/>
    </row>
    <row r="1031" spans="1:10" ht="15" customHeight="1" x14ac:dyDescent="0.2">
      <c r="A1031" s="294" t="str">
        <f>IF(AND(LEN('Ch9'!W142)&gt;0,NOT('Ch9'!W142=FALSE)),"P","")</f>
        <v/>
      </c>
      <c r="B1031" s="190" t="str">
        <f>IF(LEN('Ch6'!H791)=0,"",'Ch6'!H791)</f>
        <v/>
      </c>
      <c r="C1031" s="190" t="str">
        <f t="shared" si="37"/>
        <v/>
      </c>
      <c r="D1031" s="70" t="s">
        <v>3087</v>
      </c>
      <c r="E1031" s="388"/>
      <c r="F1031" s="388"/>
      <c r="G1031" s="820" t="s">
        <v>3088</v>
      </c>
      <c r="H1031" s="56">
        <f>'Ch9'!W142</f>
        <v>0</v>
      </c>
      <c r="I1031" s="56">
        <f>'Ch9'!O142</f>
        <v>0</v>
      </c>
      <c r="J1031" s="888" t="s">
        <v>3487</v>
      </c>
    </row>
    <row r="1032" spans="1:10" x14ac:dyDescent="0.2">
      <c r="A1032" s="294" t="str">
        <f>A1031</f>
        <v/>
      </c>
      <c r="B1032" s="190" t="str">
        <f>IF(LEN('Ch6'!H792)=0,"",'Ch6'!H792)</f>
        <v/>
      </c>
      <c r="C1032" s="190" t="str">
        <f t="shared" si="37"/>
        <v/>
      </c>
      <c r="D1032" s="388"/>
      <c r="E1032" s="388"/>
      <c r="F1032" s="388"/>
      <c r="G1032" s="820"/>
      <c r="J1032" s="888"/>
    </row>
    <row r="1033" spans="1:10" x14ac:dyDescent="0.2">
      <c r="A1033" s="294" t="str">
        <f>A1032</f>
        <v/>
      </c>
      <c r="B1033" s="190" t="str">
        <f>IF(LEN('Ch6'!H793)=0,"",'Ch6'!H793)</f>
        <v/>
      </c>
      <c r="C1033" s="190" t="str">
        <f t="shared" si="37"/>
        <v/>
      </c>
      <c r="D1033" s="388"/>
      <c r="E1033" s="388"/>
      <c r="F1033" s="388"/>
      <c r="G1033" s="820"/>
      <c r="J1033" s="888"/>
    </row>
    <row r="1034" spans="1:10" x14ac:dyDescent="0.2">
      <c r="A1034" s="294" t="str">
        <f>A1033</f>
        <v/>
      </c>
      <c r="B1034" s="190" t="str">
        <f>IF(LEN('Ch6'!H794)=0,"",'Ch6'!H794)</f>
        <v/>
      </c>
      <c r="C1034" s="190" t="str">
        <f t="shared" si="37"/>
        <v/>
      </c>
      <c r="D1034" s="388"/>
      <c r="E1034" s="388"/>
      <c r="F1034" s="388"/>
      <c r="G1034" s="820"/>
      <c r="J1034" s="888"/>
    </row>
    <row r="1035" spans="1:10" x14ac:dyDescent="0.2">
      <c r="A1035" s="294" t="str">
        <f>A1034</f>
        <v/>
      </c>
      <c r="B1035" s="190" t="str">
        <f>IF(LEN('Ch6'!H795)=0,"",'Ch6'!H795)</f>
        <v/>
      </c>
      <c r="C1035" s="190" t="str">
        <f t="shared" si="37"/>
        <v/>
      </c>
      <c r="D1035" s="388"/>
      <c r="E1035" s="388"/>
      <c r="F1035" s="388"/>
      <c r="G1035" s="820"/>
      <c r="J1035" s="888"/>
    </row>
    <row r="1036" spans="1:10" x14ac:dyDescent="0.2">
      <c r="A1036" s="294" t="str">
        <f>A1035</f>
        <v/>
      </c>
      <c r="B1036" s="190" t="str">
        <f>IF(LEN('Ch6'!H796)=0,"",'Ch6'!H796)</f>
        <v/>
      </c>
      <c r="C1036" s="190" t="str">
        <f t="shared" si="37"/>
        <v/>
      </c>
      <c r="D1036" s="388"/>
      <c r="E1036" s="388"/>
      <c r="F1036" s="388"/>
      <c r="G1036" s="820"/>
      <c r="J1036" s="888"/>
    </row>
    <row r="1037" spans="1:10" s="498" customFormat="1" x14ac:dyDescent="0.2">
      <c r="A1037" s="294" t="str">
        <f>IF(AND(LEN('Ch9'!W148)&gt;0,NOT('Ch9'!W148=FALSE)),"P","")</f>
        <v/>
      </c>
      <c r="B1037" s="190" t="str">
        <f>IF(LEN('Ch6'!H797)=0,"",'Ch6'!H797)</f>
        <v/>
      </c>
      <c r="C1037" s="190" t="str">
        <f t="shared" si="37"/>
        <v/>
      </c>
      <c r="D1037" s="350" t="s">
        <v>3090</v>
      </c>
      <c r="E1037" s="379"/>
      <c r="F1037" s="379"/>
      <c r="G1037" s="847" t="s">
        <v>3091</v>
      </c>
      <c r="H1037" s="56"/>
      <c r="I1037" s="56"/>
      <c r="J1037" s="649"/>
    </row>
    <row r="1038" spans="1:10" s="498" customFormat="1" x14ac:dyDescent="0.2">
      <c r="A1038" s="294" t="str">
        <f>A1037</f>
        <v/>
      </c>
      <c r="B1038" s="190" t="str">
        <f>IF(LEN('Ch6'!H798)=0,"",'Ch6'!H798)</f>
        <v/>
      </c>
      <c r="C1038" s="190" t="str">
        <f t="shared" si="37"/>
        <v/>
      </c>
      <c r="D1038" s="388"/>
      <c r="E1038" s="388"/>
      <c r="F1038" s="388"/>
      <c r="G1038" s="820"/>
      <c r="H1038" s="56"/>
      <c r="I1038" s="56"/>
      <c r="J1038" s="649"/>
    </row>
    <row r="1039" spans="1:10" s="498" customFormat="1" ht="16" thickBot="1" x14ac:dyDescent="0.25">
      <c r="A1039" s="294" t="str">
        <f>A1038</f>
        <v/>
      </c>
      <c r="B1039" s="190" t="str">
        <f>IF(LEN('Ch6'!H799)=0,"",'Ch6'!H799)</f>
        <v/>
      </c>
      <c r="C1039" s="190" t="str">
        <f t="shared" si="37"/>
        <v/>
      </c>
      <c r="D1039" s="354"/>
      <c r="E1039" s="354"/>
      <c r="F1039" s="354"/>
      <c r="G1039" s="822"/>
      <c r="H1039" s="56"/>
      <c r="I1039" s="56"/>
      <c r="J1039" s="649"/>
    </row>
    <row r="1040" spans="1:10" ht="16" thickTop="1" x14ac:dyDescent="0.2">
      <c r="A1040" s="294" t="str">
        <f>IF('Ch9'!O151&gt;0,"P","")</f>
        <v/>
      </c>
      <c r="B1040" s="190" t="str">
        <f>IF(LEN('Ch6'!H800)=0,"",'Ch6'!H800)</f>
        <v/>
      </c>
      <c r="C1040" s="190" t="str">
        <f t="shared" si="37"/>
        <v/>
      </c>
      <c r="D1040" s="355" t="s">
        <v>3093</v>
      </c>
      <c r="E1040" s="345"/>
      <c r="F1040" s="345"/>
      <c r="G1040" s="775" t="s">
        <v>3094</v>
      </c>
      <c r="I1040" s="56">
        <f>'Ch9'!O151</f>
        <v>0</v>
      </c>
      <c r="J1040" s="888" t="s">
        <v>3488</v>
      </c>
    </row>
    <row r="1041" spans="1:10" x14ac:dyDescent="0.2">
      <c r="A1041" s="294" t="str">
        <f>A1040</f>
        <v/>
      </c>
      <c r="B1041" s="190" t="str">
        <f>IF(LEN('Ch6'!H801)=0,"",'Ch6'!H801)</f>
        <v/>
      </c>
      <c r="C1041" s="190" t="str">
        <f t="shared" si="37"/>
        <v/>
      </c>
      <c r="D1041" s="345"/>
      <c r="E1041" s="345"/>
      <c r="F1041" s="345"/>
      <c r="G1041" s="775"/>
      <c r="J1041" s="888"/>
    </row>
    <row r="1042" spans="1:10" s="497" customFormat="1" x14ac:dyDescent="0.2">
      <c r="A1042" s="294" t="str">
        <f>A1040</f>
        <v/>
      </c>
      <c r="B1042" s="190" t="str">
        <f>IF(LEN('Ch6'!H802)=0,"",'Ch6'!H802)</f>
        <v/>
      </c>
      <c r="C1042" s="190" t="str">
        <f t="shared" ref="C1042" si="41">IF(LEN(B1042)=0,IF(A1042="P","P",""),B1042)</f>
        <v/>
      </c>
      <c r="D1042" s="345"/>
      <c r="E1042" s="345"/>
      <c r="F1042" s="345"/>
      <c r="G1042" s="775"/>
      <c r="H1042" s="56"/>
      <c r="I1042" s="56"/>
      <c r="J1042" s="888"/>
    </row>
    <row r="1043" spans="1:10" x14ac:dyDescent="0.2">
      <c r="A1043" s="294" t="str">
        <f>A1041</f>
        <v/>
      </c>
      <c r="B1043" s="190" t="str">
        <f>IF(LEN('Ch6'!H803)=0,"",'Ch6'!H803)</f>
        <v/>
      </c>
      <c r="C1043" s="190" t="str">
        <f t="shared" si="37"/>
        <v/>
      </c>
      <c r="D1043" s="345"/>
      <c r="E1043" s="345"/>
      <c r="F1043" s="345"/>
      <c r="G1043" s="775"/>
      <c r="J1043" s="888"/>
    </row>
    <row r="1044" spans="1:10" ht="15" customHeight="1" x14ac:dyDescent="0.2">
      <c r="B1044" s="190" t="str">
        <f>IF(LEN('Ch6'!H804)=0,"",'Ch6'!H804)</f>
        <v/>
      </c>
      <c r="C1044" s="190" t="str">
        <f t="shared" si="37"/>
        <v/>
      </c>
      <c r="D1044" s="345"/>
      <c r="E1044" s="347" t="s">
        <v>2181</v>
      </c>
      <c r="F1044" s="388"/>
      <c r="G1044" s="791" t="s">
        <v>3095</v>
      </c>
      <c r="H1044" s="56">
        <f>'Ch9'!W155</f>
        <v>0</v>
      </c>
      <c r="J1044" s="394"/>
    </row>
    <row r="1045" spans="1:10" x14ac:dyDescent="0.2">
      <c r="B1045" s="190" t="str">
        <f>IF(LEN('Ch6'!H805)=0,"",'Ch6'!H805)</f>
        <v/>
      </c>
      <c r="C1045" s="190" t="str">
        <f t="shared" si="37"/>
        <v/>
      </c>
      <c r="D1045" s="345"/>
      <c r="E1045" s="388"/>
      <c r="F1045" s="388"/>
      <c r="G1045" s="791"/>
      <c r="J1045" s="394"/>
    </row>
    <row r="1046" spans="1:10" x14ac:dyDescent="0.2">
      <c r="B1046" s="190" t="str">
        <f>IF(LEN('Ch6'!H806)=0,"",'Ch6'!H806)</f>
        <v/>
      </c>
      <c r="C1046" s="190" t="str">
        <f t="shared" si="37"/>
        <v/>
      </c>
      <c r="D1046" s="345"/>
      <c r="E1046" s="388"/>
      <c r="F1046" s="388"/>
      <c r="G1046" s="791"/>
      <c r="J1046" s="394"/>
    </row>
    <row r="1047" spans="1:10" x14ac:dyDescent="0.2">
      <c r="B1047" s="190" t="str">
        <f>IF(LEN('Ch6'!H807)=0,"",'Ch6'!H807)</f>
        <v/>
      </c>
      <c r="C1047" s="190" t="str">
        <f t="shared" si="37"/>
        <v/>
      </c>
      <c r="D1047" s="345"/>
      <c r="E1047" s="388"/>
      <c r="F1047" s="388"/>
      <c r="G1047" s="791"/>
      <c r="J1047" s="649"/>
    </row>
    <row r="1048" spans="1:10" x14ac:dyDescent="0.2">
      <c r="B1048" s="190" t="str">
        <f>IF(LEN('Ch6'!H808)=0,"",'Ch6'!H808)</f>
        <v/>
      </c>
      <c r="C1048" s="190" t="str">
        <f t="shared" si="37"/>
        <v/>
      </c>
      <c r="D1048" s="345"/>
      <c r="E1048" s="160"/>
      <c r="F1048" s="160"/>
      <c r="G1048" s="792"/>
      <c r="J1048" s="649"/>
    </row>
    <row r="1049" spans="1:10" x14ac:dyDescent="0.2">
      <c r="B1049" s="190" t="str">
        <f>IF(LEN('Ch6'!H809)=0,"",'Ch6'!H809)</f>
        <v/>
      </c>
      <c r="C1049" s="190" t="str">
        <f t="shared" si="37"/>
        <v/>
      </c>
      <c r="D1049" s="345"/>
      <c r="E1049" s="366" t="s">
        <v>2183</v>
      </c>
      <c r="F1049" s="160"/>
      <c r="G1049" s="599" t="s">
        <v>3096</v>
      </c>
      <c r="H1049" s="56">
        <f>'Ch9'!W160</f>
        <v>0</v>
      </c>
      <c r="J1049" s="649"/>
    </row>
    <row r="1050" spans="1:10" x14ac:dyDescent="0.2">
      <c r="B1050" s="190" t="str">
        <f>IF(LEN('Ch6'!H810)=0,"",'Ch6'!H810)</f>
        <v/>
      </c>
      <c r="C1050" s="190" t="str">
        <f t="shared" si="37"/>
        <v/>
      </c>
      <c r="D1050" s="388"/>
      <c r="E1050" s="347" t="s">
        <v>2185</v>
      </c>
      <c r="F1050" s="388"/>
      <c r="G1050" s="791" t="s">
        <v>3097</v>
      </c>
      <c r="H1050" s="56">
        <f>'Ch9'!W161</f>
        <v>0</v>
      </c>
      <c r="J1050" s="649"/>
    </row>
    <row r="1051" spans="1:10" x14ac:dyDescent="0.2">
      <c r="B1051" s="190" t="str">
        <f>IF(LEN('Ch6'!H811)=0,"",'Ch6'!H811)</f>
        <v/>
      </c>
      <c r="C1051" s="190" t="str">
        <f t="shared" si="37"/>
        <v/>
      </c>
      <c r="D1051" s="388"/>
      <c r="E1051" s="388"/>
      <c r="F1051" s="388"/>
      <c r="G1051" s="791"/>
      <c r="J1051" s="649"/>
    </row>
    <row r="1052" spans="1:10" x14ac:dyDescent="0.2">
      <c r="B1052" s="190" t="str">
        <f>IF(LEN('Ch6'!H812)=0,"",'Ch6'!H812)</f>
        <v/>
      </c>
      <c r="C1052" s="190" t="str">
        <f t="shared" si="37"/>
        <v/>
      </c>
      <c r="D1052" s="388"/>
      <c r="E1052" s="388"/>
      <c r="F1052" s="388"/>
      <c r="G1052" s="791"/>
      <c r="J1052" s="649"/>
    </row>
    <row r="1053" spans="1:10" ht="16" thickBot="1" x14ac:dyDescent="0.25">
      <c r="B1053" s="190" t="str">
        <f>IF(LEN('Ch6'!H813)=0,"",'Ch6'!H813)</f>
        <v/>
      </c>
      <c r="C1053" s="190" t="str">
        <f t="shared" si="37"/>
        <v/>
      </c>
      <c r="D1053" s="354"/>
      <c r="E1053" s="354"/>
      <c r="F1053" s="354"/>
      <c r="G1053" s="255" t="s">
        <v>3098</v>
      </c>
      <c r="J1053" s="649"/>
    </row>
    <row r="1054" spans="1:10" ht="15.75" customHeight="1" thickTop="1" x14ac:dyDescent="0.2">
      <c r="A1054" s="294" t="str">
        <f>IF(AND(LEN('Ch9'!W165)&gt;0,NOT('Ch9'!W165=FALSE)),"P","")</f>
        <v/>
      </c>
      <c r="B1054" s="190" t="str">
        <f>IF(LEN('Ch6'!H814)=0,"",'Ch6'!H814)</f>
        <v/>
      </c>
      <c r="C1054" s="190" t="str">
        <f t="shared" si="37"/>
        <v/>
      </c>
      <c r="D1054" s="75" t="s">
        <v>3099</v>
      </c>
      <c r="E1054" s="374"/>
      <c r="F1054" s="374"/>
      <c r="G1054" s="819" t="s">
        <v>3100</v>
      </c>
      <c r="H1054" s="56">
        <f>'Ch9'!W165</f>
        <v>0</v>
      </c>
      <c r="I1054" s="56">
        <f>'Ch9'!O165</f>
        <v>0</v>
      </c>
      <c r="J1054" s="888" t="s">
        <v>3489</v>
      </c>
    </row>
    <row r="1055" spans="1:10" x14ac:dyDescent="0.2">
      <c r="A1055" s="294" t="str">
        <f>A1054</f>
        <v/>
      </c>
      <c r="B1055" s="190" t="str">
        <f>IF(LEN('Ch6'!H815)=0,"",'Ch6'!H815)</f>
        <v/>
      </c>
      <c r="C1055" s="190" t="str">
        <f t="shared" ref="C1055:C1121" si="42">IF(LEN(B1055)=0,IF(A1055="P","P",""),B1055)</f>
        <v/>
      </c>
      <c r="D1055" s="388"/>
      <c r="E1055" s="388"/>
      <c r="F1055" s="388"/>
      <c r="G1055" s="820"/>
      <c r="J1055" s="888"/>
    </row>
    <row r="1056" spans="1:10" x14ac:dyDescent="0.2">
      <c r="A1056" s="294" t="str">
        <f>A1055</f>
        <v/>
      </c>
      <c r="B1056" s="190" t="str">
        <f>IF(LEN('Ch6'!H816)=0,"",'Ch6'!H816)</f>
        <v/>
      </c>
      <c r="C1056" s="190" t="str">
        <f t="shared" si="42"/>
        <v/>
      </c>
      <c r="D1056" s="388"/>
      <c r="E1056" s="388"/>
      <c r="F1056" s="388"/>
      <c r="G1056" s="820"/>
      <c r="J1056" s="888"/>
    </row>
    <row r="1057" spans="1:10" x14ac:dyDescent="0.2">
      <c r="A1057" s="294" t="str">
        <f>A1056</f>
        <v/>
      </c>
      <c r="B1057" s="190" t="str">
        <f>IF(LEN('Ch6'!H817)=0,"",'Ch6'!H817)</f>
        <v/>
      </c>
      <c r="C1057" s="190" t="str">
        <f t="shared" si="42"/>
        <v/>
      </c>
      <c r="D1057" s="388"/>
      <c r="E1057" s="388"/>
      <c r="F1057" s="388"/>
      <c r="G1057" s="820"/>
      <c r="J1057" s="888"/>
    </row>
    <row r="1058" spans="1:10" ht="16" thickBot="1" x14ac:dyDescent="0.25">
      <c r="A1058" s="294" t="str">
        <f>A1057</f>
        <v/>
      </c>
      <c r="B1058" s="190" t="str">
        <f>IF(LEN('Ch6'!H818)=0,"",'Ch6'!H818)</f>
        <v/>
      </c>
      <c r="C1058" s="190" t="str">
        <f t="shared" si="42"/>
        <v/>
      </c>
      <c r="D1058" s="354"/>
      <c r="E1058" s="354"/>
      <c r="F1058" s="354"/>
      <c r="G1058" s="822"/>
      <c r="J1058" s="888"/>
    </row>
    <row r="1059" spans="1:10" ht="15.75" customHeight="1" thickTop="1" x14ac:dyDescent="0.2">
      <c r="A1059" s="294" t="str">
        <f>IF(AND(LEN('Ch9'!W170)&gt;0,NOT('Ch9'!W170=FALSE)),"P","")</f>
        <v/>
      </c>
      <c r="B1059" s="190" t="str">
        <f>IF(LEN('Ch6'!H819)=0,"",'Ch6'!H819)</f>
        <v/>
      </c>
      <c r="C1059" s="190" t="str">
        <f t="shared" si="42"/>
        <v/>
      </c>
      <c r="D1059" s="75" t="s">
        <v>3101</v>
      </c>
      <c r="E1059" s="374"/>
      <c r="F1059" s="374"/>
      <c r="G1059" s="819" t="s">
        <v>3102</v>
      </c>
      <c r="H1059" s="56">
        <f>'Ch9'!W170</f>
        <v>0</v>
      </c>
      <c r="J1059" s="888" t="s">
        <v>3490</v>
      </c>
    </row>
    <row r="1060" spans="1:10" ht="16" thickBot="1" x14ac:dyDescent="0.25">
      <c r="A1060" s="294" t="str">
        <f>A1059</f>
        <v/>
      </c>
      <c r="B1060" s="190" t="str">
        <f>IF(LEN('Ch6'!H820)=0,"",'Ch6'!H820)</f>
        <v/>
      </c>
      <c r="C1060" s="190" t="str">
        <f t="shared" si="42"/>
        <v/>
      </c>
      <c r="D1060" s="354"/>
      <c r="E1060" s="354"/>
      <c r="F1060" s="354"/>
      <c r="G1060" s="822"/>
      <c r="J1060" s="888"/>
    </row>
    <row r="1061" spans="1:10" ht="16" thickTop="1" x14ac:dyDescent="0.2">
      <c r="A1061" s="294" t="str">
        <f ca="1">IF('Ch9'!O172&gt;0,"P","")</f>
        <v/>
      </c>
      <c r="B1061" s="190" t="str">
        <f>IF(LEN('Ch6'!H821)=0,"",'Ch6'!H821)</f>
        <v/>
      </c>
      <c r="C1061" s="190" t="str">
        <f t="shared" ca="1" si="42"/>
        <v/>
      </c>
      <c r="D1061" s="75" t="s">
        <v>3103</v>
      </c>
      <c r="E1061" s="374"/>
      <c r="F1061" s="374"/>
      <c r="G1061" s="819" t="s">
        <v>3104</v>
      </c>
      <c r="I1061" s="56">
        <f ca="1">'Ch9'!O172</f>
        <v>0</v>
      </c>
      <c r="J1061" s="888" t="s">
        <v>3399</v>
      </c>
    </row>
    <row r="1062" spans="1:10" x14ac:dyDescent="0.2">
      <c r="A1062" s="294" t="str">
        <f ca="1">A1061</f>
        <v/>
      </c>
      <c r="B1062" s="190" t="str">
        <f>IF(LEN('Ch6'!H822)=0,"",'Ch6'!H822)</f>
        <v/>
      </c>
      <c r="C1062" s="190" t="str">
        <f t="shared" ca="1" si="42"/>
        <v/>
      </c>
      <c r="D1062" s="388"/>
      <c r="E1062" s="388"/>
      <c r="F1062" s="388"/>
      <c r="G1062" s="820"/>
      <c r="J1062" s="888"/>
    </row>
    <row r="1063" spans="1:10" ht="15" customHeight="1" x14ac:dyDescent="0.2">
      <c r="B1063" s="190" t="str">
        <f>IF(LEN('Ch6'!H823)=0,"",'Ch6'!H823)</f>
        <v/>
      </c>
      <c r="C1063" s="190" t="str">
        <f t="shared" si="42"/>
        <v/>
      </c>
      <c r="D1063" s="388"/>
      <c r="E1063" s="366" t="s">
        <v>2181</v>
      </c>
      <c r="F1063" s="160"/>
      <c r="G1063" s="599" t="s">
        <v>3105</v>
      </c>
      <c r="H1063" s="56">
        <f>'Ch9'!W174</f>
        <v>0</v>
      </c>
      <c r="J1063" s="394"/>
    </row>
    <row r="1064" spans="1:10" ht="15" customHeight="1" thickBot="1" x14ac:dyDescent="0.25">
      <c r="B1064" s="190" t="str">
        <f>IF(LEN('Ch6'!H824)=0,"",'Ch6'!H824)</f>
        <v/>
      </c>
      <c r="C1064" s="190" t="str">
        <f t="shared" si="42"/>
        <v/>
      </c>
      <c r="D1064" s="354"/>
      <c r="E1064" s="351" t="s">
        <v>2183</v>
      </c>
      <c r="F1064" s="354"/>
      <c r="G1064" s="626" t="s">
        <v>3106</v>
      </c>
      <c r="H1064" s="56">
        <f>'Ch9'!W175</f>
        <v>0</v>
      </c>
      <c r="J1064" s="394"/>
    </row>
    <row r="1065" spans="1:10" ht="16" thickTop="1" x14ac:dyDescent="0.2">
      <c r="A1065" s="294" t="str">
        <f ca="1">IF(SUM(I1067:I1069)&gt;0,"P","")</f>
        <v/>
      </c>
      <c r="B1065" s="190" t="str">
        <f>IF(LEN('Ch6'!H825)=0,"",'Ch6'!H825)</f>
        <v/>
      </c>
      <c r="C1065" s="190" t="str">
        <f t="shared" ca="1" si="42"/>
        <v/>
      </c>
      <c r="D1065" s="75" t="s">
        <v>3107</v>
      </c>
      <c r="E1065" s="374"/>
      <c r="F1065" s="374"/>
      <c r="G1065" s="819" t="s">
        <v>3108</v>
      </c>
      <c r="J1065" s="888" t="s">
        <v>3399</v>
      </c>
    </row>
    <row r="1066" spans="1:10" x14ac:dyDescent="0.2">
      <c r="A1066" s="294" t="str">
        <f ca="1">A1065</f>
        <v/>
      </c>
      <c r="B1066" s="190" t="str">
        <f>IF(LEN('Ch6'!H826)=0,"",'Ch6'!H826)</f>
        <v/>
      </c>
      <c r="C1066" s="190" t="str">
        <f t="shared" ca="1" si="42"/>
        <v/>
      </c>
      <c r="D1066" s="388"/>
      <c r="E1066" s="388"/>
      <c r="F1066" s="388"/>
      <c r="G1066" s="820"/>
      <c r="J1066" s="888"/>
    </row>
    <row r="1067" spans="1:10" x14ac:dyDescent="0.2">
      <c r="B1067" s="190" t="str">
        <f>IF(LEN('Ch6'!H827)=0,"",'Ch6'!H827)</f>
        <v/>
      </c>
      <c r="C1067" s="190" t="str">
        <f t="shared" si="42"/>
        <v/>
      </c>
      <c r="D1067" s="345"/>
      <c r="E1067" s="347" t="s">
        <v>2181</v>
      </c>
      <c r="F1067" s="388"/>
      <c r="G1067" s="791" t="s">
        <v>3109</v>
      </c>
      <c r="H1067" s="56">
        <f>'Ch9'!W178</f>
        <v>0</v>
      </c>
      <c r="I1067" s="56">
        <f ca="1">'Ch9'!O178</f>
        <v>0</v>
      </c>
      <c r="J1067" s="394"/>
    </row>
    <row r="1068" spans="1:10" x14ac:dyDescent="0.2">
      <c r="B1068" s="190" t="str">
        <f>IF(LEN('Ch6'!H828)=0,"",'Ch6'!H828)</f>
        <v/>
      </c>
      <c r="C1068" s="190" t="str">
        <f t="shared" si="42"/>
        <v/>
      </c>
      <c r="D1068" s="345"/>
      <c r="E1068" s="160"/>
      <c r="F1068" s="160"/>
      <c r="G1068" s="792"/>
      <c r="J1068" s="649"/>
    </row>
    <row r="1069" spans="1:10" x14ac:dyDescent="0.2">
      <c r="B1069" s="190" t="str">
        <f>IF(LEN('Ch6'!H829)=0,"",'Ch6'!H829)</f>
        <v/>
      </c>
      <c r="C1069" s="190" t="str">
        <f t="shared" si="42"/>
        <v/>
      </c>
      <c r="D1069" s="345"/>
      <c r="E1069" s="346" t="s">
        <v>2183</v>
      </c>
      <c r="F1069" s="345"/>
      <c r="G1069" s="817" t="s">
        <v>3110</v>
      </c>
      <c r="H1069" s="56">
        <f>'Ch9'!W180</f>
        <v>0</v>
      </c>
      <c r="I1069" s="56">
        <f ca="1">'Ch9'!O180</f>
        <v>0</v>
      </c>
      <c r="J1069" s="649"/>
    </row>
    <row r="1070" spans="1:10" ht="16" thickBot="1" x14ac:dyDescent="0.25">
      <c r="B1070" s="190" t="str">
        <f>IF(LEN('Ch6'!H830)=0,"",'Ch6'!H830)</f>
        <v/>
      </c>
      <c r="C1070" s="190" t="str">
        <f t="shared" si="42"/>
        <v/>
      </c>
      <c r="D1070" s="345"/>
      <c r="E1070" s="345"/>
      <c r="F1070" s="345"/>
      <c r="G1070" s="817"/>
      <c r="J1070" s="649"/>
    </row>
    <row r="1071" spans="1:10" s="497" customFormat="1" ht="16" thickTop="1" x14ac:dyDescent="0.2">
      <c r="A1071" s="294" t="str">
        <f>IF(AND(LEN('Ch9'!W182)&gt;0,NOT('Ch9'!W182=FALSE)),"P","")</f>
        <v/>
      </c>
      <c r="B1071" s="190" t="str">
        <f>IF(LEN('Ch6'!H831)=0,"",'Ch6'!H831)</f>
        <v/>
      </c>
      <c r="C1071" s="190" t="str">
        <f t="shared" si="42"/>
        <v/>
      </c>
      <c r="D1071" s="75" t="s">
        <v>3112</v>
      </c>
      <c r="E1071" s="374"/>
      <c r="F1071" s="374"/>
      <c r="G1071" s="819" t="s">
        <v>3113</v>
      </c>
      <c r="H1071" s="56"/>
      <c r="I1071" s="56"/>
      <c r="J1071" s="649"/>
    </row>
    <row r="1072" spans="1:10" s="497" customFormat="1" ht="16" thickBot="1" x14ac:dyDescent="0.25">
      <c r="A1072" s="294" t="str">
        <f>A1071</f>
        <v/>
      </c>
      <c r="B1072" s="190" t="str">
        <f>IF(LEN('Ch6'!H832)=0,"",'Ch6'!H832)</f>
        <v/>
      </c>
      <c r="C1072" s="190" t="str">
        <f t="shared" si="42"/>
        <v/>
      </c>
      <c r="D1072" s="354"/>
      <c r="E1072" s="354"/>
      <c r="F1072" s="354"/>
      <c r="G1072" s="822"/>
      <c r="H1072" s="56"/>
      <c r="I1072" s="56"/>
      <c r="J1072" s="649"/>
    </row>
    <row r="1073" spans="1:10" ht="20" thickTop="1" x14ac:dyDescent="0.2">
      <c r="A1073" s="294" t="s">
        <v>3343</v>
      </c>
      <c r="B1073" s="190" t="str">
        <f>IF(LEN('Ch6'!H833)=0,"",'Ch6'!H833)</f>
        <v/>
      </c>
      <c r="C1073" s="190" t="str">
        <f t="shared" si="42"/>
        <v>P</v>
      </c>
      <c r="D1073" s="45" t="s">
        <v>3114</v>
      </c>
      <c r="E1073" s="45"/>
      <c r="F1073" s="45"/>
      <c r="G1073" s="54"/>
      <c r="J1073" s="397"/>
    </row>
    <row r="1074" spans="1:10" ht="16" thickBot="1" x14ac:dyDescent="0.25">
      <c r="B1074" s="190" t="str">
        <f>IF(LEN('Ch6'!H834)=0,"",'Ch6'!H834)</f>
        <v/>
      </c>
      <c r="C1074" s="190" t="str">
        <f t="shared" si="42"/>
        <v/>
      </c>
      <c r="D1074" s="356" t="s">
        <v>3116</v>
      </c>
      <c r="E1074" s="354"/>
      <c r="F1074" s="354"/>
      <c r="G1074" s="647" t="s">
        <v>3117</v>
      </c>
      <c r="J1074" s="650"/>
    </row>
    <row r="1075" spans="1:10" x14ac:dyDescent="0.2">
      <c r="A1075" s="539" t="str">
        <f>IF(COUNTIF(A1076:A1099,"P")&gt;0,"P","")</f>
        <v/>
      </c>
      <c r="B1075" s="190" t="str">
        <f>IF(LEN('Ch6'!H835)=0,"",'Ch6'!H835)</f>
        <v/>
      </c>
      <c r="C1075" s="190" t="str">
        <f t="shared" si="42"/>
        <v/>
      </c>
      <c r="D1075" s="107" t="s">
        <v>3118</v>
      </c>
      <c r="E1075" s="345"/>
      <c r="F1075" s="345"/>
      <c r="G1075" s="654" t="s">
        <v>3119</v>
      </c>
      <c r="J1075" s="650"/>
    </row>
    <row r="1076" spans="1:10" x14ac:dyDescent="0.2">
      <c r="A1076" s="539" t="str">
        <f>IF(COUNTIF(A1077:A1083,"P")&gt;0,"P","")</f>
        <v/>
      </c>
      <c r="B1076" s="190" t="str">
        <f>IF(LEN('Ch6'!H836)=0,"",'Ch6'!H836)</f>
        <v/>
      </c>
      <c r="C1076" s="190" t="str">
        <f t="shared" si="42"/>
        <v/>
      </c>
      <c r="D1076" s="107" t="s">
        <v>3120</v>
      </c>
      <c r="E1076" s="345"/>
      <c r="F1076" s="345"/>
      <c r="G1076" s="654" t="s">
        <v>3121</v>
      </c>
      <c r="J1076" s="650"/>
    </row>
    <row r="1077" spans="1:10" x14ac:dyDescent="0.2">
      <c r="A1077" s="294" t="str">
        <f>IF(AND(LEN('Ch9'!W188)&gt;0,NOT('Ch9'!W188=FALSE)),"P","")</f>
        <v/>
      </c>
      <c r="B1077" s="190" t="str">
        <f>IF(LEN('Ch6'!H837)=0,"",'Ch6'!H837)</f>
        <v/>
      </c>
      <c r="C1077" s="190" t="str">
        <f t="shared" si="42"/>
        <v/>
      </c>
      <c r="D1077" s="345"/>
      <c r="E1077" s="346" t="s">
        <v>2181</v>
      </c>
      <c r="F1077" s="345"/>
      <c r="G1077" s="817" t="s">
        <v>3122</v>
      </c>
      <c r="H1077" s="56">
        <f>'Ch9'!W188</f>
        <v>0</v>
      </c>
      <c r="J1077" s="888" t="s">
        <v>3491</v>
      </c>
    </row>
    <row r="1078" spans="1:10" x14ac:dyDescent="0.2">
      <c r="A1078" s="294" t="str">
        <f>A1077</f>
        <v/>
      </c>
      <c r="B1078" s="190" t="str">
        <f>IF(LEN('Ch6'!H838)=0,"",'Ch6'!H838)</f>
        <v/>
      </c>
      <c r="C1078" s="190" t="str">
        <f t="shared" si="42"/>
        <v/>
      </c>
      <c r="D1078" s="345"/>
      <c r="E1078" s="345"/>
      <c r="F1078" s="345"/>
      <c r="G1078" s="817"/>
      <c r="J1078" s="888"/>
    </row>
    <row r="1079" spans="1:10" x14ac:dyDescent="0.2">
      <c r="A1079" s="294" t="str">
        <f>IF(AND(LEN('Ch9'!W190)&gt;0,NOT('Ch9'!W190=FALSE)),"P","")</f>
        <v/>
      </c>
      <c r="B1079" s="190" t="str">
        <f>IF(LEN('Ch6'!H839)=0,"",'Ch6'!H839)</f>
        <v/>
      </c>
      <c r="C1079" s="190" t="str">
        <f t="shared" si="42"/>
        <v/>
      </c>
      <c r="D1079" s="345"/>
      <c r="E1079" s="347"/>
      <c r="F1079" s="347" t="s">
        <v>2196</v>
      </c>
      <c r="G1079" s="791" t="s">
        <v>3123</v>
      </c>
      <c r="H1079" s="56">
        <f>'Ch9'!W190</f>
        <v>0</v>
      </c>
      <c r="I1079" s="56">
        <f>'Ch9'!O190</f>
        <v>0</v>
      </c>
      <c r="J1079" s="888"/>
    </row>
    <row r="1080" spans="1:10" x14ac:dyDescent="0.2">
      <c r="A1080" s="294" t="str">
        <f>A1079</f>
        <v/>
      </c>
      <c r="B1080" s="190" t="str">
        <f>IF(LEN('Ch6'!H840)=0,"",'Ch6'!H840)</f>
        <v/>
      </c>
      <c r="C1080" s="190" t="str">
        <f t="shared" si="42"/>
        <v/>
      </c>
      <c r="D1080" s="345"/>
      <c r="E1080" s="366"/>
      <c r="F1080" s="160"/>
      <c r="G1080" s="792"/>
      <c r="J1080" s="888"/>
    </row>
    <row r="1081" spans="1:10" x14ac:dyDescent="0.2">
      <c r="A1081" s="294" t="str">
        <f>IF(AND(LEN('Ch9'!W192)&gt;0,NOT('Ch9'!W192=FALSE)),"P","")</f>
        <v/>
      </c>
      <c r="B1081" s="190" t="str">
        <f>IF(LEN('Ch6'!H841)=0,"",'Ch6'!H841)</f>
        <v/>
      </c>
      <c r="C1081" s="190" t="str">
        <f t="shared" si="42"/>
        <v/>
      </c>
      <c r="D1081" s="345"/>
      <c r="E1081" s="347" t="s">
        <v>2183</v>
      </c>
      <c r="F1081" s="388"/>
      <c r="G1081" s="791" t="s">
        <v>3125</v>
      </c>
      <c r="H1081" s="56">
        <f>'Ch9'!W192</f>
        <v>0</v>
      </c>
      <c r="J1081" s="889" t="s">
        <v>3399</v>
      </c>
    </row>
    <row r="1082" spans="1:10" x14ac:dyDescent="0.2">
      <c r="A1082" s="294" t="str">
        <f>A1081</f>
        <v/>
      </c>
      <c r="B1082" s="190" t="str">
        <f>IF(LEN('Ch6'!H842)=0,"",'Ch6'!H842)</f>
        <v/>
      </c>
      <c r="C1082" s="190" t="str">
        <f t="shared" si="42"/>
        <v/>
      </c>
      <c r="D1082" s="345"/>
      <c r="E1082" s="366"/>
      <c r="F1082" s="160"/>
      <c r="G1082" s="792"/>
      <c r="J1082" s="889"/>
    </row>
    <row r="1083" spans="1:10" x14ac:dyDescent="0.2">
      <c r="A1083" s="294" t="str">
        <f>IF(AND(LEN('Ch9'!W194)&gt;0,NOT('Ch9'!W194=FALSE)),"P","")</f>
        <v/>
      </c>
      <c r="B1083" s="190" t="str">
        <f>IF(LEN('Ch6'!H843)=0,"",'Ch6'!H843)</f>
        <v/>
      </c>
      <c r="C1083" s="190" t="str">
        <f t="shared" si="42"/>
        <v/>
      </c>
      <c r="D1083" s="388"/>
      <c r="E1083" s="347" t="s">
        <v>2185</v>
      </c>
      <c r="F1083" s="388"/>
      <c r="G1083" s="791" t="s">
        <v>3127</v>
      </c>
      <c r="H1083" s="56">
        <f>'Ch9'!W194</f>
        <v>0</v>
      </c>
      <c r="I1083" s="56">
        <f>'Ch9'!O194</f>
        <v>0</v>
      </c>
      <c r="J1083" s="889" t="s">
        <v>3492</v>
      </c>
    </row>
    <row r="1084" spans="1:10" x14ac:dyDescent="0.2">
      <c r="A1084" s="294" t="str">
        <f>A1083</f>
        <v/>
      </c>
      <c r="B1084" s="190" t="str">
        <f>IF(LEN('Ch6'!H844)=0,"",'Ch6'!H844)</f>
        <v/>
      </c>
      <c r="C1084" s="190" t="str">
        <f t="shared" si="42"/>
        <v/>
      </c>
      <c r="D1084" s="388"/>
      <c r="E1084" s="347"/>
      <c r="F1084" s="388"/>
      <c r="G1084" s="791"/>
      <c r="J1084" s="889"/>
    </row>
    <row r="1085" spans="1:10" x14ac:dyDescent="0.2">
      <c r="A1085" s="294" t="str">
        <f>A1084</f>
        <v/>
      </c>
      <c r="B1085" s="190" t="str">
        <f>IF(LEN('Ch6'!H845)=0,"",'Ch6'!H845)</f>
        <v/>
      </c>
      <c r="C1085" s="190" t="str">
        <f t="shared" si="42"/>
        <v/>
      </c>
      <c r="D1085" s="160"/>
      <c r="E1085" s="160"/>
      <c r="F1085" s="160"/>
      <c r="G1085" s="792"/>
      <c r="J1085" s="889"/>
    </row>
    <row r="1086" spans="1:10" x14ac:dyDescent="0.2">
      <c r="A1086" s="294" t="str">
        <f>IF('Ch9'!O197&gt;0,"P","")</f>
        <v/>
      </c>
      <c r="B1086" s="190" t="str">
        <f>IF(LEN('Ch6'!H846)=0,"",'Ch6'!H846)</f>
        <v/>
      </c>
      <c r="C1086" s="190" t="str">
        <f t="shared" si="42"/>
        <v/>
      </c>
      <c r="D1086" s="350" t="s">
        <v>3129</v>
      </c>
      <c r="E1086" s="379"/>
      <c r="F1086" s="379"/>
      <c r="G1086" s="847" t="s">
        <v>3130</v>
      </c>
      <c r="I1086" s="56">
        <f>'Ch9'!O197</f>
        <v>0</v>
      </c>
      <c r="J1086" s="888" t="s">
        <v>3399</v>
      </c>
    </row>
    <row r="1087" spans="1:10" x14ac:dyDescent="0.2">
      <c r="A1087" s="294" t="str">
        <f>A1086</f>
        <v/>
      </c>
      <c r="B1087" s="190" t="str">
        <f>IF(LEN('Ch6'!H847)=0,"",'Ch6'!H847)</f>
        <v/>
      </c>
      <c r="C1087" s="190" t="str">
        <f t="shared" si="42"/>
        <v/>
      </c>
      <c r="D1087" s="388"/>
      <c r="E1087" s="388"/>
      <c r="F1087" s="388"/>
      <c r="G1087" s="820"/>
      <c r="H1087" s="56">
        <f>'Ch9'!W198</f>
        <v>0</v>
      </c>
      <c r="J1087" s="888"/>
    </row>
    <row r="1088" spans="1:10" x14ac:dyDescent="0.2">
      <c r="B1088" s="190" t="str">
        <f>IF(LEN('Ch6'!H848)=0,"",'Ch6'!H848)</f>
        <v/>
      </c>
      <c r="C1088" s="190" t="str">
        <f t="shared" si="42"/>
        <v/>
      </c>
      <c r="D1088" s="388"/>
      <c r="E1088" s="366" t="s">
        <v>2181</v>
      </c>
      <c r="F1088" s="160"/>
      <c r="G1088" s="599" t="s">
        <v>3133</v>
      </c>
      <c r="J1088" s="649"/>
    </row>
    <row r="1089" spans="1:10" x14ac:dyDescent="0.2">
      <c r="B1089" s="190" t="str">
        <f>IF(LEN('Ch6'!H849)=0,"",'Ch6'!H849)</f>
        <v/>
      </c>
      <c r="C1089" s="190" t="str">
        <f t="shared" si="42"/>
        <v/>
      </c>
      <c r="D1089" s="160"/>
      <c r="E1089" s="366" t="s">
        <v>2183</v>
      </c>
      <c r="F1089" s="160"/>
      <c r="G1089" s="599" t="s">
        <v>3135</v>
      </c>
      <c r="H1089" s="56">
        <f>'Ch9'!W200</f>
        <v>0</v>
      </c>
      <c r="J1089" s="649"/>
    </row>
    <row r="1090" spans="1:10" x14ac:dyDescent="0.2">
      <c r="A1090" s="294" t="str">
        <f>IF(AND(LEN('Ch9'!W201)&gt;0,NOT('Ch9'!W201=FALSE)),"P","")</f>
        <v/>
      </c>
      <c r="B1090" s="190" t="str">
        <f>IF(LEN('Ch6'!H850)=0,"",'Ch6'!H850)</f>
        <v/>
      </c>
      <c r="C1090" s="190" t="str">
        <f t="shared" si="42"/>
        <v/>
      </c>
      <c r="D1090" s="350" t="s">
        <v>3137</v>
      </c>
      <c r="E1090" s="379"/>
      <c r="F1090" s="379"/>
      <c r="G1090" s="847" t="s">
        <v>3138</v>
      </c>
      <c r="H1090" s="56">
        <f>'Ch9'!W201</f>
        <v>0</v>
      </c>
      <c r="I1090" s="56">
        <f>'Ch9'!O201</f>
        <v>0</v>
      </c>
      <c r="J1090" s="889" t="s">
        <v>3493</v>
      </c>
    </row>
    <row r="1091" spans="1:10" x14ac:dyDescent="0.2">
      <c r="A1091" s="294" t="str">
        <f>A1090</f>
        <v/>
      </c>
      <c r="B1091" s="190" t="str">
        <f>IF(LEN('Ch6'!H851)=0,"",'Ch6'!H851)</f>
        <v/>
      </c>
      <c r="C1091" s="190" t="str">
        <f t="shared" si="42"/>
        <v/>
      </c>
      <c r="D1091" s="388"/>
      <c r="E1091" s="388"/>
      <c r="F1091" s="388"/>
      <c r="G1091" s="820"/>
      <c r="J1091" s="889"/>
    </row>
    <row r="1092" spans="1:10" x14ac:dyDescent="0.2">
      <c r="B1092" s="190" t="str">
        <f>IF(LEN('Ch6'!H852)=0,"",'Ch6'!H852)</f>
        <v/>
      </c>
      <c r="C1092" s="190" t="str">
        <f t="shared" si="42"/>
        <v/>
      </c>
      <c r="D1092" s="388"/>
      <c r="E1092" s="388"/>
      <c r="F1092" s="347" t="s">
        <v>2196</v>
      </c>
      <c r="G1092" s="598" t="s">
        <v>3139</v>
      </c>
      <c r="J1092" s="394"/>
    </row>
    <row r="1093" spans="1:10" ht="15" customHeight="1" x14ac:dyDescent="0.2">
      <c r="B1093" s="190" t="str">
        <f>IF(LEN('Ch6'!H853)=0,"",'Ch6'!H853)</f>
        <v/>
      </c>
      <c r="C1093" s="190" t="str">
        <f t="shared" si="42"/>
        <v/>
      </c>
      <c r="D1093" s="160"/>
      <c r="E1093" s="160"/>
      <c r="F1093" s="366" t="s">
        <v>2198</v>
      </c>
      <c r="G1093" s="599" t="s">
        <v>3140</v>
      </c>
      <c r="J1093" s="394"/>
    </row>
    <row r="1094" spans="1:10" ht="30" x14ac:dyDescent="0.2">
      <c r="A1094" s="294" t="str">
        <f>IF('Ch9'!O205&gt;0,"P","")</f>
        <v/>
      </c>
      <c r="B1094" s="190" t="str">
        <f>IF(LEN('Ch6'!H854)=0,"",'Ch6'!H854)</f>
        <v/>
      </c>
      <c r="C1094" s="190" t="str">
        <f t="shared" si="42"/>
        <v/>
      </c>
      <c r="D1094" s="350" t="s">
        <v>3142</v>
      </c>
      <c r="E1094" s="379"/>
      <c r="F1094" s="379"/>
      <c r="G1094" s="639" t="s">
        <v>3143</v>
      </c>
      <c r="I1094" s="56">
        <f>'Ch9'!O205</f>
        <v>0</v>
      </c>
      <c r="J1094" s="649" t="s">
        <v>3494</v>
      </c>
    </row>
    <row r="1095" spans="1:10" x14ac:dyDescent="0.2">
      <c r="B1095" s="190" t="str">
        <f>IF(LEN('Ch6'!H855)=0,"",'Ch6'!H855)</f>
        <v/>
      </c>
      <c r="C1095" s="190" t="str">
        <f t="shared" si="42"/>
        <v/>
      </c>
      <c r="D1095" s="388"/>
      <c r="E1095" s="347" t="s">
        <v>2181</v>
      </c>
      <c r="F1095" s="388"/>
      <c r="G1095" s="598" t="s">
        <v>3144</v>
      </c>
      <c r="J1095" s="649"/>
    </row>
    <row r="1096" spans="1:10" ht="15" customHeight="1" x14ac:dyDescent="0.2">
      <c r="B1096" s="190" t="str">
        <f>IF(LEN('Ch6'!H856)=0,"",'Ch6'!H856)</f>
        <v/>
      </c>
      <c r="C1096" s="190" t="str">
        <f t="shared" si="42"/>
        <v/>
      </c>
      <c r="D1096" s="388"/>
      <c r="E1096" s="366"/>
      <c r="F1096" s="160"/>
      <c r="G1096" s="637" t="s">
        <v>3146</v>
      </c>
      <c r="H1096" s="56">
        <f>'Ch9'!W207</f>
        <v>0</v>
      </c>
      <c r="J1096" s="649"/>
    </row>
    <row r="1097" spans="1:10" x14ac:dyDescent="0.2">
      <c r="B1097" s="190" t="str">
        <f>IF(LEN('Ch6'!H857)=0,"",'Ch6'!H857)</f>
        <v/>
      </c>
      <c r="C1097" s="190" t="str">
        <f t="shared" si="42"/>
        <v/>
      </c>
      <c r="D1097" s="388"/>
      <c r="E1097" s="347" t="s">
        <v>2183</v>
      </c>
      <c r="F1097" s="388"/>
      <c r="G1097" s="598" t="s">
        <v>3147</v>
      </c>
      <c r="J1097" s="649"/>
    </row>
    <row r="1098" spans="1:10" x14ac:dyDescent="0.2">
      <c r="B1098" s="190" t="str">
        <f>IF(LEN('Ch6'!H858)=0,"",'Ch6'!H858)</f>
        <v/>
      </c>
      <c r="C1098" s="190" t="str">
        <f t="shared" si="42"/>
        <v/>
      </c>
      <c r="D1098" s="160"/>
      <c r="E1098" s="160"/>
      <c r="F1098" s="160"/>
      <c r="G1098" s="637" t="s">
        <v>3146</v>
      </c>
      <c r="H1098" s="56">
        <f>'Ch9'!W209</f>
        <v>0</v>
      </c>
      <c r="J1098" s="649"/>
    </row>
    <row r="1099" spans="1:10" x14ac:dyDescent="0.2">
      <c r="A1099" s="294" t="str">
        <f>IF('Ch9'!O210&gt;0,"P","")</f>
        <v/>
      </c>
      <c r="B1099" s="190" t="str">
        <f>IF(LEN('Ch6'!H859)=0,"",'Ch6'!H859)</f>
        <v/>
      </c>
      <c r="C1099" s="190" t="str">
        <f t="shared" si="42"/>
        <v/>
      </c>
      <c r="D1099" s="350" t="s">
        <v>3149</v>
      </c>
      <c r="E1099" s="379"/>
      <c r="F1099" s="379"/>
      <c r="G1099" s="847" t="s">
        <v>3150</v>
      </c>
      <c r="I1099" s="56">
        <f>'Ch9'!O210</f>
        <v>0</v>
      </c>
      <c r="J1099" s="888" t="s">
        <v>3399</v>
      </c>
    </row>
    <row r="1100" spans="1:10" x14ac:dyDescent="0.2">
      <c r="A1100" s="294" t="str">
        <f>A1099</f>
        <v/>
      </c>
      <c r="B1100" s="190" t="str">
        <f>IF(LEN('Ch6'!H860)=0,"",'Ch6'!H860)</f>
        <v/>
      </c>
      <c r="C1100" s="190" t="str">
        <f t="shared" si="42"/>
        <v/>
      </c>
      <c r="D1100" s="388"/>
      <c r="E1100" s="388"/>
      <c r="F1100" s="388"/>
      <c r="G1100" s="820"/>
      <c r="J1100" s="888"/>
    </row>
    <row r="1101" spans="1:10" x14ac:dyDescent="0.2">
      <c r="B1101" s="190" t="str">
        <f>IF(LEN('Ch6'!H861)=0,"",'Ch6'!H861)</f>
        <v/>
      </c>
      <c r="C1101" s="190" t="str">
        <f t="shared" si="42"/>
        <v/>
      </c>
      <c r="D1101" s="345"/>
      <c r="E1101" s="347" t="s">
        <v>2181</v>
      </c>
      <c r="F1101" s="388"/>
      <c r="G1101" s="791" t="s">
        <v>3151</v>
      </c>
      <c r="H1101" s="56">
        <f>'Ch9'!W212</f>
        <v>0</v>
      </c>
      <c r="J1101" s="394"/>
    </row>
    <row r="1102" spans="1:10" x14ac:dyDescent="0.2">
      <c r="B1102" s="190" t="str">
        <f>IF(LEN('Ch6'!H862)=0,"",'Ch6'!H862)</f>
        <v/>
      </c>
      <c r="C1102" s="190" t="str">
        <f t="shared" si="42"/>
        <v/>
      </c>
      <c r="D1102" s="345"/>
      <c r="E1102" s="366"/>
      <c r="F1102" s="160"/>
      <c r="G1102" s="792"/>
      <c r="J1102" s="649"/>
    </row>
    <row r="1103" spans="1:10" x14ac:dyDescent="0.2">
      <c r="B1103" s="190" t="str">
        <f>IF(LEN('Ch6'!H863)=0,"",'Ch6'!H863)</f>
        <v/>
      </c>
      <c r="C1103" s="190" t="str">
        <f t="shared" si="42"/>
        <v/>
      </c>
      <c r="D1103" s="345"/>
      <c r="E1103" s="347" t="s">
        <v>2183</v>
      </c>
      <c r="F1103" s="388"/>
      <c r="G1103" s="791" t="s">
        <v>3152</v>
      </c>
      <c r="H1103" s="56">
        <f>'Ch9'!W214</f>
        <v>0</v>
      </c>
      <c r="J1103" s="649"/>
    </row>
    <row r="1104" spans="1:10" x14ac:dyDescent="0.2">
      <c r="B1104" s="190" t="str">
        <f>IF(LEN('Ch6'!H864)=0,"",'Ch6'!H864)</f>
        <v/>
      </c>
      <c r="C1104" s="190" t="str">
        <f t="shared" si="42"/>
        <v/>
      </c>
      <c r="D1104" s="345"/>
      <c r="E1104" s="160"/>
      <c r="F1104" s="160"/>
      <c r="G1104" s="792"/>
      <c r="J1104" s="649"/>
    </row>
    <row r="1105" spans="1:10" x14ac:dyDescent="0.2">
      <c r="B1105" s="190" t="str">
        <f>IF(LEN('Ch6'!H865)=0,"",'Ch6'!H865)</f>
        <v/>
      </c>
      <c r="C1105" s="190" t="str">
        <f t="shared" si="42"/>
        <v/>
      </c>
      <c r="D1105" s="388"/>
      <c r="E1105" s="347" t="s">
        <v>2185</v>
      </c>
      <c r="F1105" s="388"/>
      <c r="G1105" s="791" t="s">
        <v>3153</v>
      </c>
      <c r="H1105" s="56">
        <f>'Ch9'!W216</f>
        <v>0</v>
      </c>
      <c r="J1105" s="649"/>
    </row>
    <row r="1106" spans="1:10" x14ac:dyDescent="0.2">
      <c r="B1106" s="190" t="str">
        <f>IF(LEN('Ch6'!H866)=0,"",'Ch6'!H866)</f>
        <v/>
      </c>
      <c r="C1106" s="190" t="str">
        <f t="shared" si="42"/>
        <v/>
      </c>
      <c r="D1106" s="388"/>
      <c r="E1106" s="388"/>
      <c r="F1106" s="388"/>
      <c r="G1106" s="791"/>
      <c r="J1106" s="649"/>
    </row>
    <row r="1107" spans="1:10" ht="16" thickBot="1" x14ac:dyDescent="0.25">
      <c r="B1107" s="190" t="str">
        <f>IF(LEN('Ch6'!H867)=0,"",'Ch6'!H867)</f>
        <v/>
      </c>
      <c r="C1107" s="190" t="str">
        <f t="shared" si="42"/>
        <v/>
      </c>
      <c r="D1107" s="354"/>
      <c r="E1107" s="354"/>
      <c r="F1107" s="354"/>
      <c r="G1107" s="818"/>
      <c r="J1107" s="649"/>
    </row>
    <row r="1108" spans="1:10" ht="31" thickTop="1" x14ac:dyDescent="0.2">
      <c r="A1108" s="539" t="str">
        <f>IF(COUNTIF(A1109:A1124,"P")&gt;0,"P","")</f>
        <v/>
      </c>
      <c r="B1108" s="190" t="str">
        <f>IF(LEN('Ch6'!H868)=0,"",'Ch6'!H868)</f>
        <v/>
      </c>
      <c r="C1108" s="190" t="str">
        <f t="shared" si="42"/>
        <v/>
      </c>
      <c r="D1108" s="75" t="s">
        <v>3154</v>
      </c>
      <c r="E1108" s="374"/>
      <c r="F1108" s="374"/>
      <c r="G1108" s="646" t="s">
        <v>3155</v>
      </c>
      <c r="J1108" s="402" t="s">
        <v>3495</v>
      </c>
    </row>
    <row r="1109" spans="1:10" ht="15" customHeight="1" x14ac:dyDescent="0.2">
      <c r="A1109" s="294" t="str">
        <f>IF(AND(LEN('Ch9'!W220)&gt;0,NOT('Ch9'!W220=FALSE)),"P","")</f>
        <v/>
      </c>
      <c r="B1109" s="190" t="str">
        <f>IF(LEN('Ch6'!H869)=0,"",'Ch6'!H869)</f>
        <v/>
      </c>
      <c r="C1109" s="190" t="str">
        <f t="shared" si="42"/>
        <v/>
      </c>
      <c r="D1109" s="70" t="s">
        <v>3157</v>
      </c>
      <c r="E1109" s="388"/>
      <c r="F1109" s="388"/>
      <c r="G1109" s="820" t="s">
        <v>3496</v>
      </c>
      <c r="H1109" s="56">
        <f>'Ch9'!W220</f>
        <v>0</v>
      </c>
      <c r="I1109" s="56">
        <f ca="1">'Ch9'!O220</f>
        <v>0</v>
      </c>
      <c r="J1109" s="888" t="s">
        <v>3497</v>
      </c>
    </row>
    <row r="1110" spans="1:10" x14ac:dyDescent="0.2">
      <c r="A1110" s="294" t="str">
        <f>A1109</f>
        <v/>
      </c>
      <c r="B1110" s="190" t="str">
        <f>IF(LEN('Ch6'!H870)=0,"",'Ch6'!H870)</f>
        <v/>
      </c>
      <c r="C1110" s="190" t="str">
        <f t="shared" si="42"/>
        <v/>
      </c>
      <c r="D1110" s="388"/>
      <c r="E1110" s="388"/>
      <c r="F1110" s="388"/>
      <c r="G1110" s="820"/>
      <c r="J1110" s="888"/>
    </row>
    <row r="1111" spans="1:10" s="496" customFormat="1" x14ac:dyDescent="0.2">
      <c r="A1111" s="294" t="str">
        <f>A1110</f>
        <v/>
      </c>
      <c r="B1111" s="190" t="str">
        <f>IF(LEN('Ch6'!H871)=0,"",'Ch6'!H871)</f>
        <v/>
      </c>
      <c r="C1111" s="190" t="str">
        <f t="shared" ref="C1111" si="43">IF(LEN(B1111)=0,IF(A1111="P","P",""),B1111)</f>
        <v/>
      </c>
      <c r="D1111" s="388"/>
      <c r="E1111" s="388"/>
      <c r="F1111" s="388"/>
      <c r="G1111" s="820"/>
      <c r="H1111" s="56"/>
      <c r="I1111" s="56"/>
      <c r="J1111" s="888"/>
    </row>
    <row r="1112" spans="1:10" x14ac:dyDescent="0.2">
      <c r="A1112" s="294" t="str">
        <f>A1110</f>
        <v/>
      </c>
      <c r="B1112" s="190" t="str">
        <f>IF(LEN('Ch6'!H872)=0,"",'Ch6'!H872)</f>
        <v/>
      </c>
      <c r="C1112" s="190" t="str">
        <f t="shared" si="42"/>
        <v/>
      </c>
      <c r="D1112" s="388"/>
      <c r="E1112" s="388"/>
      <c r="F1112" s="388"/>
      <c r="G1112" s="820"/>
      <c r="J1112" s="888"/>
    </row>
    <row r="1113" spans="1:10" x14ac:dyDescent="0.2">
      <c r="B1113" s="190" t="str">
        <f>IF(LEN('Ch6'!H873)=0,"",'Ch6'!H873)</f>
        <v/>
      </c>
      <c r="C1113" s="190" t="str">
        <f t="shared" si="42"/>
        <v/>
      </c>
      <c r="D1113" s="388"/>
      <c r="E1113" s="347" t="s">
        <v>2181</v>
      </c>
      <c r="F1113" s="388"/>
      <c r="G1113" s="776" t="s">
        <v>3159</v>
      </c>
      <c r="J1113" s="649"/>
    </row>
    <row r="1114" spans="1:10" x14ac:dyDescent="0.2">
      <c r="B1114" s="190" t="str">
        <f>IF(LEN('Ch6'!H874)=0,"",'Ch6'!H874)</f>
        <v/>
      </c>
      <c r="C1114" s="190" t="str">
        <f t="shared" si="42"/>
        <v/>
      </c>
      <c r="D1114" s="388"/>
      <c r="E1114" s="366"/>
      <c r="F1114" s="160"/>
      <c r="G1114" s="777"/>
      <c r="J1114" s="649"/>
    </row>
    <row r="1115" spans="1:10" x14ac:dyDescent="0.2">
      <c r="B1115" s="190" t="str">
        <f>IF(LEN('Ch6'!H875)=0,"",'Ch6'!H875)</f>
        <v/>
      </c>
      <c r="C1115" s="190" t="str">
        <f t="shared" si="42"/>
        <v/>
      </c>
      <c r="D1115" s="388"/>
      <c r="E1115" s="347" t="s">
        <v>2183</v>
      </c>
      <c r="F1115" s="388"/>
      <c r="G1115" s="791" t="s">
        <v>3160</v>
      </c>
      <c r="J1115" s="649"/>
    </row>
    <row r="1116" spans="1:10" x14ac:dyDescent="0.2">
      <c r="B1116" s="190" t="str">
        <f>IF(LEN('Ch6'!H876)=0,"",'Ch6'!H876)</f>
        <v/>
      </c>
      <c r="C1116" s="190" t="str">
        <f t="shared" si="42"/>
        <v/>
      </c>
      <c r="D1116" s="388"/>
      <c r="E1116" s="160"/>
      <c r="F1116" s="160"/>
      <c r="G1116" s="792"/>
      <c r="J1116" s="649"/>
    </row>
    <row r="1117" spans="1:10" x14ac:dyDescent="0.2">
      <c r="B1117" s="190" t="str">
        <f>IF(LEN('Ch6'!H877)=0,"",'Ch6'!H877)</f>
        <v/>
      </c>
      <c r="C1117" s="190" t="str">
        <f t="shared" si="42"/>
        <v/>
      </c>
      <c r="D1117" s="388"/>
      <c r="E1117" s="366" t="s">
        <v>2185</v>
      </c>
      <c r="F1117" s="160"/>
      <c r="G1117" s="599" t="s">
        <v>3161</v>
      </c>
      <c r="J1117" s="649"/>
    </row>
    <row r="1118" spans="1:10" x14ac:dyDescent="0.2">
      <c r="B1118" s="190" t="str">
        <f>IF(LEN('Ch6'!H878)=0,"",'Ch6'!H878)</f>
        <v/>
      </c>
      <c r="C1118" s="190" t="str">
        <f t="shared" si="42"/>
        <v/>
      </c>
      <c r="D1118" s="160"/>
      <c r="E1118" s="366" t="s">
        <v>2192</v>
      </c>
      <c r="F1118" s="160"/>
      <c r="G1118" s="599" t="s">
        <v>3162</v>
      </c>
      <c r="J1118" s="649"/>
    </row>
    <row r="1119" spans="1:10" x14ac:dyDescent="0.2">
      <c r="A1119" s="294" t="str">
        <f>IF(AND(LEN('Ch9'!W230)&gt;0,NOT('Ch9'!W230=FALSE)),"P","")</f>
        <v/>
      </c>
      <c r="B1119" s="190" t="str">
        <f>IF(LEN('Ch6'!H879)=0,"",'Ch6'!H879)</f>
        <v/>
      </c>
      <c r="C1119" s="190" t="str">
        <f t="shared" si="42"/>
        <v/>
      </c>
      <c r="D1119" s="350" t="s">
        <v>3164</v>
      </c>
      <c r="E1119" s="379"/>
      <c r="F1119" s="379"/>
      <c r="G1119" s="847" t="s">
        <v>3165</v>
      </c>
      <c r="H1119" s="56">
        <f>'Ch9'!W230</f>
        <v>0</v>
      </c>
      <c r="I1119" s="56">
        <f ca="1">'Ch9'!O230</f>
        <v>0</v>
      </c>
      <c r="J1119" s="889" t="s">
        <v>3498</v>
      </c>
    </row>
    <row r="1120" spans="1:10" x14ac:dyDescent="0.2">
      <c r="A1120" s="294" t="str">
        <f>A1119</f>
        <v/>
      </c>
      <c r="B1120" s="190" t="str">
        <f>IF(LEN('Ch6'!H880)=0,"",'Ch6'!H880)</f>
        <v/>
      </c>
      <c r="C1120" s="190" t="str">
        <f t="shared" si="42"/>
        <v/>
      </c>
      <c r="D1120" s="160"/>
      <c r="E1120" s="160"/>
      <c r="F1120" s="160"/>
      <c r="G1120" s="832"/>
      <c r="J1120" s="889"/>
    </row>
    <row r="1121" spans="1:10" x14ac:dyDescent="0.2">
      <c r="A1121" s="294" t="str">
        <f>IF(AND(LEN('Ch9'!W232)&gt;0,NOT('Ch9'!W232=FALSE)),"P","")</f>
        <v/>
      </c>
      <c r="B1121" s="190" t="str">
        <f>IF(LEN('Ch6'!H881)=0,"",'Ch6'!H881)</f>
        <v/>
      </c>
      <c r="C1121" s="190" t="str">
        <f t="shared" si="42"/>
        <v/>
      </c>
      <c r="D1121" s="350" t="s">
        <v>3167</v>
      </c>
      <c r="E1121" s="379"/>
      <c r="F1121" s="379"/>
      <c r="G1121" s="847" t="s">
        <v>3168</v>
      </c>
      <c r="H1121" s="56">
        <f>'Ch9'!W232</f>
        <v>0</v>
      </c>
      <c r="I1121" s="56">
        <f>'Ch9'!O232</f>
        <v>0</v>
      </c>
      <c r="J1121" s="889" t="s">
        <v>3499</v>
      </c>
    </row>
    <row r="1122" spans="1:10" x14ac:dyDescent="0.2">
      <c r="A1122" s="294" t="str">
        <f>A1121</f>
        <v/>
      </c>
      <c r="B1122" s="190" t="str">
        <f>IF(LEN('Ch6'!H882)=0,"",'Ch6'!H882)</f>
        <v/>
      </c>
      <c r="C1122" s="190" t="str">
        <f t="shared" ref="C1122:C1186" si="44">IF(LEN(B1122)=0,IF(A1122="P","P",""),B1122)</f>
        <v/>
      </c>
      <c r="D1122" s="388"/>
      <c r="E1122" s="388"/>
      <c r="F1122" s="388"/>
      <c r="G1122" s="820"/>
      <c r="J1122" s="889"/>
    </row>
    <row r="1123" spans="1:10" x14ac:dyDescent="0.2">
      <c r="A1123" s="294" t="str">
        <f>A1122</f>
        <v/>
      </c>
      <c r="B1123" s="190" t="str">
        <f>IF(LEN('Ch6'!H883)=0,"",'Ch6'!H883)</f>
        <v/>
      </c>
      <c r="C1123" s="190" t="str">
        <f t="shared" si="44"/>
        <v/>
      </c>
      <c r="D1123" s="160"/>
      <c r="E1123" s="160"/>
      <c r="F1123" s="160"/>
      <c r="G1123" s="832"/>
      <c r="J1123" s="889"/>
    </row>
    <row r="1124" spans="1:10" x14ac:dyDescent="0.2">
      <c r="A1124" s="294" t="str">
        <f>IF(AND(LEN('Ch9'!W235)&gt;0,NOT('Ch9'!W235=FALSE)),"P","")</f>
        <v/>
      </c>
      <c r="B1124" s="190" t="str">
        <f>IF(LEN('Ch6'!H884)=0,"",'Ch6'!H884)</f>
        <v/>
      </c>
      <c r="C1124" s="190" t="str">
        <f t="shared" si="44"/>
        <v/>
      </c>
      <c r="D1124" s="70" t="s">
        <v>3170</v>
      </c>
      <c r="E1124" s="388"/>
      <c r="F1124" s="388"/>
      <c r="G1124" s="820" t="s">
        <v>3171</v>
      </c>
      <c r="H1124" s="56">
        <f>'Ch9'!W235</f>
        <v>0</v>
      </c>
      <c r="I1124" s="56">
        <f>'Ch9'!O235</f>
        <v>0</v>
      </c>
      <c r="J1124" s="889" t="s">
        <v>3499</v>
      </c>
    </row>
    <row r="1125" spans="1:10" x14ac:dyDescent="0.2">
      <c r="A1125" s="294" t="str">
        <f>A1124</f>
        <v/>
      </c>
      <c r="B1125" s="190" t="str">
        <f>IF(LEN('Ch6'!H885)=0,"",'Ch6'!H885)</f>
        <v/>
      </c>
      <c r="C1125" s="190" t="str">
        <f t="shared" si="44"/>
        <v/>
      </c>
      <c r="D1125" s="388"/>
      <c r="E1125" s="388"/>
      <c r="F1125" s="388"/>
      <c r="G1125" s="820"/>
      <c r="J1125" s="889"/>
    </row>
    <row r="1126" spans="1:10" ht="16" thickBot="1" x14ac:dyDescent="0.25">
      <c r="A1126" s="294" t="str">
        <f>A1125</f>
        <v/>
      </c>
      <c r="B1126" s="190" t="str">
        <f>IF(LEN('Ch6'!H886)=0,"",'Ch6'!H886)</f>
        <v/>
      </c>
      <c r="C1126" s="190" t="str">
        <f t="shared" si="44"/>
        <v/>
      </c>
      <c r="D1126" s="354"/>
      <c r="E1126" s="354"/>
      <c r="F1126" s="354"/>
      <c r="G1126" s="822"/>
      <c r="J1126" s="889"/>
    </row>
    <row r="1127" spans="1:10" ht="16" thickTop="1" x14ac:dyDescent="0.2">
      <c r="A1127" s="539" t="str">
        <f>IF(COUNTIF(A1130:A1134,"P")&gt;0,"P","")</f>
        <v/>
      </c>
      <c r="B1127" s="190" t="str">
        <f>IF(LEN('Ch6'!H887)=0,"",'Ch6'!H887)</f>
        <v/>
      </c>
      <c r="C1127" s="190" t="str">
        <f t="shared" si="44"/>
        <v/>
      </c>
      <c r="D1127" s="75" t="s">
        <v>3172</v>
      </c>
      <c r="E1127" s="374"/>
      <c r="F1127" s="374"/>
      <c r="G1127" s="819" t="s">
        <v>3173</v>
      </c>
      <c r="J1127" s="650"/>
    </row>
    <row r="1128" spans="1:10" s="497" customFormat="1" x14ac:dyDescent="0.2">
      <c r="A1128" s="294" t="str">
        <f>A1126</f>
        <v/>
      </c>
      <c r="B1128" s="190" t="str">
        <f>IF(LEN('Ch6'!H888)=0,"",'Ch6'!H888)</f>
        <v/>
      </c>
      <c r="C1128" s="190" t="str">
        <f t="shared" si="44"/>
        <v/>
      </c>
      <c r="D1128" s="70"/>
      <c r="E1128" s="388"/>
      <c r="F1128" s="388"/>
      <c r="G1128" s="820"/>
      <c r="H1128" s="56"/>
      <c r="I1128" s="56"/>
      <c r="J1128" s="650"/>
    </row>
    <row r="1129" spans="1:10" x14ac:dyDescent="0.2">
      <c r="A1129" s="294" t="str">
        <f>A1127</f>
        <v/>
      </c>
      <c r="B1129" s="190" t="str">
        <f>IF(LEN('Ch6'!H889)=0,"",'Ch6'!H889)</f>
        <v/>
      </c>
      <c r="C1129" s="190" t="str">
        <f t="shared" si="44"/>
        <v/>
      </c>
      <c r="D1129" s="388"/>
      <c r="E1129" s="388"/>
      <c r="F1129" s="388"/>
      <c r="G1129" s="820"/>
      <c r="J1129" s="650"/>
    </row>
    <row r="1130" spans="1:10" ht="15" customHeight="1" x14ac:dyDescent="0.2">
      <c r="A1130" s="294" t="str">
        <f>IF(AND(LEN('Ch9'!W241)&gt;0,NOT('Ch9'!W241=FALSE)),"P","")</f>
        <v/>
      </c>
      <c r="B1130" s="190" t="str">
        <f>IF(LEN('Ch6'!H890)=0,"",'Ch6'!H890)</f>
        <v/>
      </c>
      <c r="C1130" s="190" t="str">
        <f t="shared" si="44"/>
        <v/>
      </c>
      <c r="D1130" s="388"/>
      <c r="E1130" s="347" t="s">
        <v>2181</v>
      </c>
      <c r="F1130" s="388"/>
      <c r="G1130" s="598" t="s">
        <v>3174</v>
      </c>
      <c r="H1130" s="56">
        <f>'Ch9'!W241</f>
        <v>0</v>
      </c>
      <c r="I1130" s="56">
        <f ca="1">'Ch9'!O241</f>
        <v>0</v>
      </c>
      <c r="J1130" s="394"/>
    </row>
    <row r="1131" spans="1:10" x14ac:dyDescent="0.2">
      <c r="A1131" s="294" t="str">
        <f>A1130</f>
        <v/>
      </c>
      <c r="B1131" s="190" t="str">
        <f>IF(LEN('Ch6'!H891)=0,"",'Ch6'!H891)</f>
        <v/>
      </c>
      <c r="C1131" s="190" t="str">
        <f t="shared" si="44"/>
        <v/>
      </c>
      <c r="D1131" s="388"/>
      <c r="E1131" s="388"/>
      <c r="F1131" s="347" t="s">
        <v>2196</v>
      </c>
      <c r="G1131" s="598" t="s">
        <v>3175</v>
      </c>
      <c r="J1131" s="649" t="s">
        <v>3500</v>
      </c>
    </row>
    <row r="1132" spans="1:10" x14ac:dyDescent="0.2">
      <c r="A1132" s="294" t="str">
        <f>A1131</f>
        <v/>
      </c>
      <c r="B1132" s="190" t="str">
        <f>IF(LEN('Ch6'!H892)=0,"",'Ch6'!H892)</f>
        <v/>
      </c>
      <c r="C1132" s="190" t="str">
        <f t="shared" si="44"/>
        <v/>
      </c>
      <c r="D1132" s="388"/>
      <c r="E1132" s="160"/>
      <c r="F1132" s="366" t="s">
        <v>2198</v>
      </c>
      <c r="G1132" s="599" t="s">
        <v>3176</v>
      </c>
      <c r="J1132" s="649" t="s">
        <v>3501</v>
      </c>
    </row>
    <row r="1133" spans="1:10" x14ac:dyDescent="0.2">
      <c r="A1133" s="294" t="str">
        <f>IF(SUM(I1134)&gt;0,"P","")</f>
        <v/>
      </c>
      <c r="B1133" s="190" t="str">
        <f>IF(LEN('Ch6'!H893)=0,"",'Ch6'!H893)</f>
        <v/>
      </c>
      <c r="C1133" s="190" t="str">
        <f t="shared" si="44"/>
        <v/>
      </c>
      <c r="D1133" s="388"/>
      <c r="E1133" s="347" t="s">
        <v>2183</v>
      </c>
      <c r="F1133" s="388"/>
      <c r="G1133" s="598" t="s">
        <v>3177</v>
      </c>
      <c r="J1133" s="889" t="s">
        <v>3500</v>
      </c>
    </row>
    <row r="1134" spans="1:10" ht="16" thickBot="1" x14ac:dyDescent="0.25">
      <c r="A1134" s="294" t="str">
        <f>IF(AND(LEN('Ch9'!W245)&gt;0,NOT('Ch9'!W245=FALSE)),"P","")</f>
        <v/>
      </c>
      <c r="B1134" s="190" t="str">
        <f>IF(LEN('Ch6'!H894)=0,"",'Ch6'!H894)</f>
        <v/>
      </c>
      <c r="C1134" s="190" t="str">
        <f t="shared" si="44"/>
        <v/>
      </c>
      <c r="D1134" s="354"/>
      <c r="E1134" s="354"/>
      <c r="F1134" s="351" t="s">
        <v>2196</v>
      </c>
      <c r="G1134" s="626" t="s">
        <v>3178</v>
      </c>
      <c r="H1134" s="56">
        <f>'Ch9'!W245</f>
        <v>0</v>
      </c>
      <c r="I1134" s="56">
        <f>'Ch9'!O245</f>
        <v>0</v>
      </c>
      <c r="J1134" s="889"/>
    </row>
    <row r="1135" spans="1:10" x14ac:dyDescent="0.2">
      <c r="A1135" s="294" t="str">
        <f>IF('Ch9'!O246&gt;0,"P","")</f>
        <v/>
      </c>
      <c r="B1135" s="190" t="str">
        <f>IF(LEN('Ch6'!H895)=0,"",'Ch6'!H895)</f>
        <v/>
      </c>
      <c r="C1135" s="190" t="str">
        <f t="shared" si="44"/>
        <v/>
      </c>
      <c r="D1135" s="107" t="s">
        <v>3179</v>
      </c>
      <c r="E1135" s="345"/>
      <c r="F1135" s="345"/>
      <c r="G1135" s="775" t="s">
        <v>3180</v>
      </c>
      <c r="I1135" s="56">
        <f>'Ch9'!O246</f>
        <v>0</v>
      </c>
      <c r="J1135" s="650"/>
    </row>
    <row r="1136" spans="1:10" x14ac:dyDescent="0.2">
      <c r="A1136" s="294" t="str">
        <f>A1135</f>
        <v/>
      </c>
      <c r="B1136" s="190" t="str">
        <f>IF(LEN('Ch6'!H896)=0,"",'Ch6'!H896)</f>
        <v/>
      </c>
      <c r="C1136" s="190" t="str">
        <f t="shared" si="44"/>
        <v/>
      </c>
      <c r="D1136" s="345"/>
      <c r="E1136" s="345"/>
      <c r="F1136" s="345"/>
      <c r="G1136" s="775"/>
      <c r="J1136" s="650"/>
    </row>
    <row r="1137" spans="1:10" x14ac:dyDescent="0.2">
      <c r="A1137" s="294" t="str">
        <f>IF(AND(LEN('Ch9'!W248)&gt;0,NOT('Ch9'!W248=FALSE)),"P","")</f>
        <v/>
      </c>
      <c r="B1137" s="190" t="str">
        <f>IF(LEN('Ch6'!H897)=0,"",'Ch6'!H897)</f>
        <v/>
      </c>
      <c r="C1137" s="190" t="str">
        <f t="shared" si="44"/>
        <v/>
      </c>
      <c r="D1137" s="345"/>
      <c r="E1137" s="347" t="s">
        <v>2181</v>
      </c>
      <c r="F1137" s="388"/>
      <c r="G1137" s="791" t="s">
        <v>3181</v>
      </c>
      <c r="H1137" s="56">
        <f>'Ch9'!W248</f>
        <v>0</v>
      </c>
      <c r="J1137" s="889" t="s">
        <v>3399</v>
      </c>
    </row>
    <row r="1138" spans="1:10" x14ac:dyDescent="0.2">
      <c r="A1138" s="294" t="str">
        <f>A1137</f>
        <v/>
      </c>
      <c r="B1138" s="190" t="str">
        <f>IF(LEN('Ch6'!H898)=0,"",'Ch6'!H898)</f>
        <v/>
      </c>
      <c r="C1138" s="190" t="str">
        <f t="shared" si="44"/>
        <v/>
      </c>
      <c r="D1138" s="345"/>
      <c r="E1138" s="366"/>
      <c r="F1138" s="160"/>
      <c r="G1138" s="792"/>
      <c r="J1138" s="889"/>
    </row>
    <row r="1139" spans="1:10" x14ac:dyDescent="0.2">
      <c r="A1139" s="294" t="str">
        <f>IF(AND(LEN('Ch9'!W250)&gt;0,NOT('Ch9'!W250=FALSE)),"P","")</f>
        <v/>
      </c>
      <c r="B1139" s="190" t="str">
        <f>IF(LEN('Ch6'!H899)=0,"",'Ch6'!H899)</f>
        <v/>
      </c>
      <c r="C1139" s="190" t="str">
        <f t="shared" si="44"/>
        <v/>
      </c>
      <c r="D1139" s="388"/>
      <c r="E1139" s="347" t="s">
        <v>2183</v>
      </c>
      <c r="F1139" s="388"/>
      <c r="G1139" s="791" t="s">
        <v>3182</v>
      </c>
      <c r="H1139" s="56">
        <f>'Ch9'!W250</f>
        <v>0</v>
      </c>
      <c r="J1139" s="889" t="s">
        <v>3502</v>
      </c>
    </row>
    <row r="1140" spans="1:10" x14ac:dyDescent="0.2">
      <c r="A1140" s="294" t="str">
        <f>A1139</f>
        <v/>
      </c>
      <c r="B1140" s="190" t="str">
        <f>IF(LEN('Ch6'!H900)=0,"",'Ch6'!H900)</f>
        <v/>
      </c>
      <c r="C1140" s="190" t="str">
        <f t="shared" si="44"/>
        <v/>
      </c>
      <c r="D1140" s="388"/>
      <c r="E1140" s="388"/>
      <c r="F1140" s="388"/>
      <c r="G1140" s="791"/>
      <c r="J1140" s="889"/>
    </row>
    <row r="1141" spans="1:10" ht="16" thickBot="1" x14ac:dyDescent="0.25">
      <c r="A1141" s="294" t="str">
        <f>A1140</f>
        <v/>
      </c>
      <c r="B1141" s="190" t="str">
        <f>IF(LEN('Ch6'!H901)=0,"",'Ch6'!H901)</f>
        <v/>
      </c>
      <c r="C1141" s="190" t="str">
        <f t="shared" si="44"/>
        <v/>
      </c>
      <c r="D1141" s="354"/>
      <c r="E1141" s="354"/>
      <c r="F1141" s="354"/>
      <c r="G1141" s="818"/>
      <c r="J1141" s="889"/>
    </row>
    <row r="1142" spans="1:10" ht="16" thickTop="1" x14ac:dyDescent="0.2">
      <c r="A1142" s="294" t="str">
        <f>IF(AND(LEN('Ch9'!W253)&gt;0,NOT('Ch9'!W253=FALSE)),"P","")</f>
        <v/>
      </c>
      <c r="B1142" s="190" t="str">
        <f>IF(LEN('Ch6'!H902)=0,"",'Ch6'!H902)</f>
        <v/>
      </c>
      <c r="C1142" s="190" t="str">
        <f t="shared" si="44"/>
        <v/>
      </c>
      <c r="D1142" s="75" t="s">
        <v>3183</v>
      </c>
      <c r="E1142" s="374"/>
      <c r="F1142" s="374"/>
      <c r="G1142" s="883" t="s">
        <v>3184</v>
      </c>
      <c r="H1142" s="56">
        <f>'Ch9'!W253</f>
        <v>0</v>
      </c>
      <c r="I1142" s="56">
        <f>'Ch9'!O253</f>
        <v>0</v>
      </c>
      <c r="J1142" s="889" t="s">
        <v>3399</v>
      </c>
    </row>
    <row r="1143" spans="1:10" ht="16" thickBot="1" x14ac:dyDescent="0.25">
      <c r="A1143" s="294" t="str">
        <f>A1142</f>
        <v/>
      </c>
      <c r="B1143" s="190" t="str">
        <f>IF(LEN('Ch6'!H903)=0,"",'Ch6'!H903)</f>
        <v/>
      </c>
      <c r="C1143" s="190" t="str">
        <f t="shared" si="44"/>
        <v/>
      </c>
      <c r="D1143" s="349"/>
      <c r="E1143" s="354"/>
      <c r="F1143" s="354"/>
      <c r="G1143" s="884"/>
      <c r="J1143" s="889"/>
    </row>
    <row r="1144" spans="1:10" x14ac:dyDescent="0.2">
      <c r="A1144" s="294" t="str">
        <f>IF(AND(LEN('Ch9'!W255)&gt;0,NOT('Ch9'!W255=FALSE)),"P","")</f>
        <v/>
      </c>
      <c r="B1144" s="190" t="str">
        <f>IF(LEN('Ch6'!H904)=0,"",'Ch6'!H904)</f>
        <v/>
      </c>
      <c r="C1144" s="190" t="str">
        <f t="shared" si="44"/>
        <v/>
      </c>
      <c r="D1144" s="107" t="s">
        <v>3185</v>
      </c>
      <c r="E1144" s="345"/>
      <c r="F1144" s="345"/>
      <c r="G1144" s="775" t="s">
        <v>3186</v>
      </c>
      <c r="H1144" s="56">
        <f>'Ch9'!W255</f>
        <v>0</v>
      </c>
      <c r="J1144" s="889" t="s">
        <v>3399</v>
      </c>
    </row>
    <row r="1145" spans="1:10" x14ac:dyDescent="0.2">
      <c r="A1145" s="294" t="str">
        <f>A1144</f>
        <v/>
      </c>
      <c r="B1145" s="190" t="str">
        <f>IF(LEN('Ch6'!H905)=0,"",'Ch6'!H905)</f>
        <v/>
      </c>
      <c r="C1145" s="190" t="str">
        <f t="shared" si="44"/>
        <v/>
      </c>
      <c r="D1145" s="345"/>
      <c r="E1145" s="345"/>
      <c r="F1145" s="345"/>
      <c r="G1145" s="775"/>
      <c r="J1145" s="889"/>
    </row>
    <row r="1146" spans="1:10" ht="19" x14ac:dyDescent="0.2">
      <c r="A1146" s="294" t="s">
        <v>3343</v>
      </c>
      <c r="B1146" s="190" t="str">
        <f>IF(LEN('Ch6'!H906)=0,"",'Ch6'!H906)</f>
        <v/>
      </c>
      <c r="C1146" s="190" t="str">
        <f t="shared" si="44"/>
        <v>P</v>
      </c>
      <c r="D1146" s="45" t="s">
        <v>3187</v>
      </c>
      <c r="E1146" s="45"/>
      <c r="F1146" s="45"/>
      <c r="G1146" s="54"/>
      <c r="J1146" s="397"/>
    </row>
    <row r="1147" spans="1:10" ht="16" thickBot="1" x14ac:dyDescent="0.25">
      <c r="B1147" s="190" t="str">
        <f>IF(LEN('Ch6'!H907)=0,"",'Ch6'!H907)</f>
        <v/>
      </c>
      <c r="C1147" s="190" t="str">
        <f t="shared" si="44"/>
        <v/>
      </c>
      <c r="D1147" s="356" t="s">
        <v>3189</v>
      </c>
      <c r="E1147" s="354"/>
      <c r="F1147" s="354"/>
      <c r="G1147" s="647" t="s">
        <v>3190</v>
      </c>
      <c r="J1147" s="650"/>
    </row>
    <row r="1148" spans="1:10" ht="16" thickTop="1" x14ac:dyDescent="0.2">
      <c r="A1148" s="294" t="str">
        <f>IF(AND(LEN('Ch9'!W259)&gt;0,NOT('Ch9'!W259=FALSE)),"P","")</f>
        <v/>
      </c>
      <c r="B1148" s="190" t="str">
        <f>IF(LEN('Ch6'!H908)=0,"",'Ch6'!H908)</f>
        <v/>
      </c>
      <c r="C1148" s="190" t="str">
        <f t="shared" si="44"/>
        <v/>
      </c>
      <c r="D1148" s="357" t="s">
        <v>3191</v>
      </c>
      <c r="E1148" s="374"/>
      <c r="F1148" s="374"/>
      <c r="G1148" s="646" t="s">
        <v>3192</v>
      </c>
      <c r="H1148" s="56">
        <f>'Ch9'!W259</f>
        <v>0</v>
      </c>
      <c r="I1148" s="56">
        <f ca="1">'Ch9'!O259</f>
        <v>0</v>
      </c>
      <c r="J1148" s="649" t="s">
        <v>3399</v>
      </c>
    </row>
    <row r="1149" spans="1:10" x14ac:dyDescent="0.2">
      <c r="B1149" s="190" t="str">
        <f>IF(LEN('Ch6'!H909)=0,"",'Ch6'!H909)</f>
        <v/>
      </c>
      <c r="C1149" s="190" t="str">
        <f t="shared" si="44"/>
        <v/>
      </c>
      <c r="D1149" s="388"/>
      <c r="E1149" s="347" t="s">
        <v>2181</v>
      </c>
      <c r="F1149" s="388"/>
      <c r="G1149" s="791" t="s">
        <v>3194</v>
      </c>
      <c r="J1149" s="649"/>
    </row>
    <row r="1150" spans="1:10" x14ac:dyDescent="0.2">
      <c r="B1150" s="190" t="str">
        <f>IF(LEN('Ch6'!H910)=0,"",'Ch6'!H910)</f>
        <v/>
      </c>
      <c r="C1150" s="190" t="str">
        <f t="shared" si="44"/>
        <v/>
      </c>
      <c r="D1150" s="388"/>
      <c r="E1150" s="366"/>
      <c r="F1150" s="160"/>
      <c r="G1150" s="832"/>
      <c r="J1150" s="649"/>
    </row>
    <row r="1151" spans="1:10" ht="16" thickBot="1" x14ac:dyDescent="0.25">
      <c r="B1151" s="190" t="str">
        <f>IF(LEN('Ch6'!H911)=0,"",'Ch6'!H911)</f>
        <v/>
      </c>
      <c r="C1151" s="190" t="str">
        <f t="shared" si="44"/>
        <v/>
      </c>
      <c r="D1151" s="354"/>
      <c r="E1151" s="351" t="s">
        <v>2183</v>
      </c>
      <c r="F1151" s="354"/>
      <c r="G1151" s="626" t="s">
        <v>3196</v>
      </c>
      <c r="J1151" s="649"/>
    </row>
    <row r="1152" spans="1:10" ht="16" thickTop="1" x14ac:dyDescent="0.2">
      <c r="A1152" s="294" t="str">
        <f>IF(AND(LEN('Ch9'!W263)&gt;0,NOT('Ch9'!W263=FALSE)),"P","")</f>
        <v/>
      </c>
      <c r="B1152" s="190" t="str">
        <f>IF(LEN('Ch6'!H912)=0,"",'Ch6'!H912)</f>
        <v/>
      </c>
      <c r="C1152" s="190" t="str">
        <f t="shared" si="44"/>
        <v/>
      </c>
      <c r="D1152" s="75" t="s">
        <v>3197</v>
      </c>
      <c r="E1152" s="374"/>
      <c r="F1152" s="374"/>
      <c r="G1152" s="646" t="s">
        <v>3198</v>
      </c>
      <c r="H1152" s="56">
        <f>'Ch9'!W263</f>
        <v>0</v>
      </c>
      <c r="I1152" s="56">
        <f ca="1">'Ch9'!O263</f>
        <v>0</v>
      </c>
      <c r="J1152" s="649" t="s">
        <v>3399</v>
      </c>
    </row>
    <row r="1153" spans="1:10" x14ac:dyDescent="0.2">
      <c r="B1153" s="190" t="str">
        <f>IF(LEN('Ch6'!H913)=0,"",'Ch6'!H913)</f>
        <v/>
      </c>
      <c r="C1153" s="190" t="str">
        <f t="shared" si="44"/>
        <v/>
      </c>
      <c r="D1153" s="388"/>
      <c r="E1153" s="366" t="s">
        <v>2181</v>
      </c>
      <c r="F1153" s="160"/>
      <c r="G1153" s="599" t="s">
        <v>3199</v>
      </c>
      <c r="J1153" s="649"/>
    </row>
    <row r="1154" spans="1:10" x14ac:dyDescent="0.2">
      <c r="B1154" s="190" t="str">
        <f>IF(LEN('Ch6'!H914)=0,"",'Ch6'!H914)</f>
        <v/>
      </c>
      <c r="C1154" s="190" t="str">
        <f t="shared" si="44"/>
        <v/>
      </c>
      <c r="D1154" s="388"/>
      <c r="E1154" s="347" t="s">
        <v>2183</v>
      </c>
      <c r="F1154" s="388"/>
      <c r="G1154" s="791" t="s">
        <v>3200</v>
      </c>
      <c r="J1154" s="649"/>
    </row>
    <row r="1155" spans="1:10" ht="16" thickBot="1" x14ac:dyDescent="0.25">
      <c r="B1155" s="190" t="str">
        <f>IF(LEN('Ch6'!H915)=0,"",'Ch6'!H915)</f>
        <v/>
      </c>
      <c r="C1155" s="190" t="str">
        <f t="shared" si="44"/>
        <v/>
      </c>
      <c r="D1155" s="354"/>
      <c r="E1155" s="354"/>
      <c r="F1155" s="354"/>
      <c r="G1155" s="818"/>
      <c r="J1155" s="649"/>
    </row>
    <row r="1156" spans="1:10" ht="16" thickTop="1" x14ac:dyDescent="0.2">
      <c r="A1156" s="294" t="str">
        <f>IF('Ch9'!O267&gt;0,"P","")</f>
        <v/>
      </c>
      <c r="B1156" s="190" t="str">
        <f>IF(LEN('Ch6'!H916)=0,"",'Ch6'!H916)</f>
        <v/>
      </c>
      <c r="C1156" s="190" t="str">
        <f t="shared" si="44"/>
        <v/>
      </c>
      <c r="D1156" s="75" t="s">
        <v>3201</v>
      </c>
      <c r="E1156" s="374"/>
      <c r="F1156" s="374"/>
      <c r="G1156" s="819" t="s">
        <v>3202</v>
      </c>
      <c r="I1156" s="56">
        <f>'Ch9'!O267</f>
        <v>0</v>
      </c>
      <c r="J1156" s="888" t="s">
        <v>3503</v>
      </c>
    </row>
    <row r="1157" spans="1:10" x14ac:dyDescent="0.2">
      <c r="A1157" s="294" t="str">
        <f>A1156</f>
        <v/>
      </c>
      <c r="B1157" s="190" t="str">
        <f>IF(LEN('Ch6'!H917)=0,"",'Ch6'!H917)</f>
        <v/>
      </c>
      <c r="C1157" s="190" t="str">
        <f t="shared" si="44"/>
        <v/>
      </c>
      <c r="D1157" s="388"/>
      <c r="E1157" s="388"/>
      <c r="F1157" s="388"/>
      <c r="G1157" s="820"/>
      <c r="J1157" s="888"/>
    </row>
    <row r="1158" spans="1:10" ht="15" customHeight="1" x14ac:dyDescent="0.2">
      <c r="B1158" s="190" t="str">
        <f>IF(LEN('Ch6'!H918)=0,"",'Ch6'!H918)</f>
        <v/>
      </c>
      <c r="C1158" s="190" t="str">
        <f t="shared" si="44"/>
        <v/>
      </c>
      <c r="D1158" s="345"/>
      <c r="E1158" s="366" t="s">
        <v>2181</v>
      </c>
      <c r="F1158" s="365"/>
      <c r="G1158" s="599" t="s">
        <v>3203</v>
      </c>
      <c r="H1158" s="56">
        <f>'Ch9'!W269</f>
        <v>0</v>
      </c>
      <c r="J1158" s="888"/>
    </row>
    <row r="1159" spans="1:10" x14ac:dyDescent="0.2">
      <c r="B1159" s="190" t="str">
        <f>IF(LEN('Ch6'!H919)=0,"",'Ch6'!H919)</f>
        <v/>
      </c>
      <c r="C1159" s="190" t="str">
        <f t="shared" si="44"/>
        <v/>
      </c>
      <c r="D1159" s="345"/>
      <c r="E1159" s="346" t="s">
        <v>2183</v>
      </c>
      <c r="F1159" s="687"/>
      <c r="G1159" s="848" t="s">
        <v>3204</v>
      </c>
      <c r="H1159" s="56">
        <f>'Ch9'!W270</f>
        <v>0</v>
      </c>
      <c r="J1159" s="888"/>
    </row>
    <row r="1160" spans="1:10" x14ac:dyDescent="0.2">
      <c r="B1160" s="190" t="str">
        <f>IF(LEN('Ch6'!H920)=0,"",'Ch6'!H920)</f>
        <v/>
      </c>
      <c r="C1160" s="190" t="str">
        <f t="shared" si="44"/>
        <v/>
      </c>
      <c r="D1160" s="345"/>
      <c r="E1160" s="345"/>
      <c r="F1160" s="346"/>
      <c r="G1160" s="848"/>
      <c r="J1160" s="888"/>
    </row>
    <row r="1161" spans="1:10" ht="19" x14ac:dyDescent="0.2">
      <c r="A1161" s="294" t="s">
        <v>3343</v>
      </c>
      <c r="B1161" s="190" t="str">
        <f>IF(LEN('Ch6'!H921)=0,"",'Ch6'!H921)</f>
        <v/>
      </c>
      <c r="C1161" s="190" t="str">
        <f t="shared" si="44"/>
        <v>P</v>
      </c>
      <c r="D1161" s="45" t="s">
        <v>3205</v>
      </c>
      <c r="E1161" s="45"/>
      <c r="F1161" s="45"/>
      <c r="G1161" s="54"/>
      <c r="J1161" s="397"/>
    </row>
    <row r="1162" spans="1:10" x14ac:dyDescent="0.2">
      <c r="B1162" s="190" t="str">
        <f>IF(LEN('Ch6'!H922)=0,"",'Ch6'!H922)</f>
        <v/>
      </c>
      <c r="C1162" s="190" t="str">
        <f t="shared" si="44"/>
        <v/>
      </c>
      <c r="D1162" s="353" t="s">
        <v>3207</v>
      </c>
      <c r="E1162" s="388"/>
      <c r="F1162" s="388"/>
      <c r="G1162" s="820" t="s">
        <v>3208</v>
      </c>
      <c r="J1162" s="650"/>
    </row>
    <row r="1163" spans="1:10" ht="16" thickBot="1" x14ac:dyDescent="0.25">
      <c r="B1163" s="190" t="str">
        <f>IF(LEN('Ch6'!H923)=0,"",'Ch6'!H923)</f>
        <v/>
      </c>
      <c r="C1163" s="190" t="str">
        <f t="shared" si="44"/>
        <v/>
      </c>
      <c r="D1163" s="354"/>
      <c r="E1163" s="354"/>
      <c r="F1163" s="354"/>
      <c r="G1163" s="822"/>
      <c r="J1163" s="650"/>
    </row>
    <row r="1164" spans="1:10" ht="16" thickTop="1" x14ac:dyDescent="0.2">
      <c r="A1164" s="294" t="str">
        <f>IF(AND(LEN('Ch9'!W275)&gt;0,NOT('Ch9'!W275=FALSE)),"P","")</f>
        <v/>
      </c>
      <c r="B1164" s="190" t="str">
        <f>IF(LEN('Ch6'!H924)=0,"",'Ch6'!H924)</f>
        <v/>
      </c>
      <c r="C1164" s="190" t="str">
        <f t="shared" si="44"/>
        <v/>
      </c>
      <c r="D1164" s="357" t="s">
        <v>3209</v>
      </c>
      <c r="E1164" s="374"/>
      <c r="F1164" s="374"/>
      <c r="G1164" s="819" t="s">
        <v>3210</v>
      </c>
      <c r="H1164" s="56">
        <f>'Ch9'!W275</f>
        <v>0</v>
      </c>
      <c r="I1164" s="56">
        <f>'Ch9'!O275</f>
        <v>0</v>
      </c>
      <c r="J1164" s="901" t="s">
        <v>3399</v>
      </c>
    </row>
    <row r="1165" spans="1:10" x14ac:dyDescent="0.2">
      <c r="A1165" s="294" t="str">
        <f>A1164</f>
        <v/>
      </c>
      <c r="B1165" s="190" t="str">
        <f>IF(LEN('Ch6'!H925)=0,"",'Ch6'!H925)</f>
        <v/>
      </c>
      <c r="C1165" s="190" t="str">
        <f t="shared" si="44"/>
        <v/>
      </c>
      <c r="D1165" s="388"/>
      <c r="E1165" s="388"/>
      <c r="F1165" s="388"/>
      <c r="G1165" s="820"/>
      <c r="J1165" s="901"/>
    </row>
    <row r="1166" spans="1:10" x14ac:dyDescent="0.2">
      <c r="A1166" s="294" t="str">
        <f>A1165</f>
        <v/>
      </c>
      <c r="B1166" s="190" t="str">
        <f>IF(LEN('Ch6'!H926)=0,"",'Ch6'!H926)</f>
        <v/>
      </c>
      <c r="C1166" s="190" t="str">
        <f t="shared" si="44"/>
        <v/>
      </c>
      <c r="D1166" s="388"/>
      <c r="E1166" s="388"/>
      <c r="F1166" s="388"/>
      <c r="G1166" s="820"/>
      <c r="J1166" s="901"/>
    </row>
    <row r="1167" spans="1:10" x14ac:dyDescent="0.2">
      <c r="A1167" s="294" t="str">
        <f>A1166</f>
        <v/>
      </c>
      <c r="B1167" s="190" t="str">
        <f>IF(LEN('Ch6'!H927)=0,"",'Ch6'!H927)</f>
        <v/>
      </c>
      <c r="C1167" s="190" t="str">
        <f t="shared" si="44"/>
        <v/>
      </c>
      <c r="D1167" s="388"/>
      <c r="E1167" s="388"/>
      <c r="F1167" s="388"/>
      <c r="G1167" s="820"/>
      <c r="J1167" s="901"/>
    </row>
    <row r="1168" spans="1:10" ht="16" thickBot="1" x14ac:dyDescent="0.25">
      <c r="A1168" s="294" t="str">
        <f>A1167</f>
        <v/>
      </c>
      <c r="B1168" s="190" t="str">
        <f>IF(LEN('Ch6'!H928)=0,"",'Ch6'!H928)</f>
        <v/>
      </c>
      <c r="C1168" s="190" t="str">
        <f t="shared" si="44"/>
        <v/>
      </c>
      <c r="D1168" s="354"/>
      <c r="E1168" s="354"/>
      <c r="F1168" s="354"/>
      <c r="G1168" s="822"/>
      <c r="J1168" s="901"/>
    </row>
    <row r="1169" spans="1:10" x14ac:dyDescent="0.2">
      <c r="A1169" s="294" t="str">
        <f>IF(AND(LEN('Ch9'!W280)&gt;0,NOT('Ch9'!W280=FALSE)),"P","")</f>
        <v/>
      </c>
      <c r="B1169" s="190" t="str">
        <f>IF(LEN('Ch6'!H929)=0,"",'Ch6'!H929)</f>
        <v/>
      </c>
      <c r="C1169" s="190" t="str">
        <f t="shared" si="44"/>
        <v/>
      </c>
      <c r="D1169" s="107" t="s">
        <v>3212</v>
      </c>
      <c r="E1169" s="345"/>
      <c r="F1169" s="345"/>
      <c r="G1169" s="775" t="s">
        <v>3213</v>
      </c>
      <c r="H1169" s="56">
        <f>'Ch9'!W280</f>
        <v>0</v>
      </c>
      <c r="I1169" s="56">
        <f>'Ch9'!O280</f>
        <v>0</v>
      </c>
      <c r="J1169" s="889" t="s">
        <v>3504</v>
      </c>
    </row>
    <row r="1170" spans="1:10" x14ac:dyDescent="0.2">
      <c r="A1170" s="294" t="str">
        <f>A1169</f>
        <v/>
      </c>
      <c r="B1170" s="190" t="str">
        <f>IF(LEN('Ch6'!H930)=0,"",'Ch6'!H930)</f>
        <v/>
      </c>
      <c r="C1170" s="190" t="str">
        <f t="shared" si="44"/>
        <v/>
      </c>
      <c r="D1170" s="345"/>
      <c r="E1170" s="345"/>
      <c r="F1170" s="345"/>
      <c r="G1170" s="775"/>
      <c r="J1170" s="889"/>
    </row>
    <row r="1171" spans="1:10" x14ac:dyDescent="0.2">
      <c r="A1171" s="294" t="str">
        <f>A1170</f>
        <v/>
      </c>
      <c r="B1171" s="190" t="str">
        <f>IF(LEN('Ch6'!H931)=0,"",'Ch6'!H931)</f>
        <v/>
      </c>
      <c r="C1171" s="190" t="str">
        <f t="shared" si="44"/>
        <v/>
      </c>
      <c r="D1171" s="345"/>
      <c r="E1171" s="345"/>
      <c r="F1171" s="345"/>
      <c r="G1171" s="775"/>
      <c r="J1171" s="889"/>
    </row>
    <row r="1172" spans="1:10" ht="19" x14ac:dyDescent="0.2">
      <c r="A1172" s="294" t="s">
        <v>3343</v>
      </c>
      <c r="B1172" s="190" t="str">
        <f>IF(LEN('Ch6'!H932)=0,"",'Ch6'!H932)</f>
        <v/>
      </c>
      <c r="C1172" s="190" t="str">
        <f t="shared" si="44"/>
        <v>P</v>
      </c>
      <c r="D1172" s="45" t="s">
        <v>3214</v>
      </c>
      <c r="E1172" s="45"/>
      <c r="F1172" s="45"/>
      <c r="G1172" s="54"/>
      <c r="J1172" s="397"/>
    </row>
    <row r="1173" spans="1:10" x14ac:dyDescent="0.2">
      <c r="A1173" s="294" t="str">
        <f>IF(AND(LEN('Ch9'!W284)&gt;0,NOT('Ch9'!W284=FALSE)),"P","")</f>
        <v/>
      </c>
      <c r="B1173" s="190" t="str">
        <f>IF(LEN('Ch6'!H933)=0,"",'Ch6'!H933)</f>
        <v/>
      </c>
      <c r="C1173" s="190" t="str">
        <f t="shared" si="44"/>
        <v/>
      </c>
      <c r="D1173" s="70" t="s">
        <v>3215</v>
      </c>
      <c r="E1173" s="388"/>
      <c r="F1173" s="388"/>
      <c r="G1173" s="820" t="s">
        <v>3216</v>
      </c>
      <c r="H1173" s="56">
        <f>'Ch9'!W284</f>
        <v>0</v>
      </c>
      <c r="I1173" s="56">
        <f>'Ch9'!O284</f>
        <v>0</v>
      </c>
      <c r="J1173" s="889" t="s">
        <v>3399</v>
      </c>
    </row>
    <row r="1174" spans="1:10" x14ac:dyDescent="0.2">
      <c r="A1174" s="294" t="str">
        <f>A1173</f>
        <v/>
      </c>
      <c r="B1174" s="190" t="str">
        <f>IF(LEN('Ch6'!H934)=0,"",'Ch6'!H934)</f>
        <v/>
      </c>
      <c r="C1174" s="190" t="str">
        <f t="shared" si="44"/>
        <v/>
      </c>
      <c r="D1174" s="388"/>
      <c r="E1174" s="388"/>
      <c r="F1174" s="388"/>
      <c r="G1174" s="820"/>
      <c r="J1174" s="889"/>
    </row>
    <row r="1175" spans="1:10" x14ac:dyDescent="0.2">
      <c r="A1175" s="294" t="str">
        <f>A1174</f>
        <v/>
      </c>
      <c r="B1175" s="190" t="str">
        <f>IF(LEN('Ch6'!H935)=0,"",'Ch6'!H935)</f>
        <v/>
      </c>
      <c r="C1175" s="190" t="str">
        <f t="shared" si="44"/>
        <v/>
      </c>
      <c r="D1175" s="388"/>
      <c r="E1175" s="388"/>
      <c r="F1175" s="388"/>
      <c r="G1175" s="820"/>
      <c r="J1175" s="889"/>
    </row>
    <row r="1176" spans="1:10" x14ac:dyDescent="0.2">
      <c r="A1176" s="294" t="str">
        <f>A1175</f>
        <v/>
      </c>
      <c r="B1176" s="190" t="str">
        <f>IF(LEN('Ch6'!H936)=0,"",'Ch6'!H936)</f>
        <v/>
      </c>
      <c r="C1176" s="190" t="str">
        <f t="shared" si="44"/>
        <v/>
      </c>
      <c r="D1176" s="388"/>
      <c r="E1176" s="388"/>
      <c r="F1176" s="388"/>
      <c r="G1176" s="820"/>
      <c r="J1176" s="889"/>
    </row>
    <row r="1177" spans="1:10" ht="16" thickBot="1" x14ac:dyDescent="0.25">
      <c r="A1177" s="294" t="str">
        <f>A1176</f>
        <v/>
      </c>
      <c r="B1177" s="190" t="str">
        <f>IF(LEN('Ch6'!H937)=0,"",'Ch6'!H937)</f>
        <v/>
      </c>
      <c r="C1177" s="190" t="str">
        <f t="shared" si="44"/>
        <v/>
      </c>
      <c r="D1177" s="354"/>
      <c r="E1177" s="354"/>
      <c r="F1177" s="354"/>
      <c r="G1177" s="822"/>
      <c r="J1177" s="889"/>
    </row>
    <row r="1178" spans="1:10" x14ac:dyDescent="0.2">
      <c r="A1178" s="294" t="str">
        <f>IF(AND(LEN('Ch9'!W289)&gt;0,NOT('Ch9'!W289=FALSE)),"P","")</f>
        <v/>
      </c>
      <c r="B1178" s="190" t="str">
        <f>IF(LEN('Ch6'!H938)=0,"",'Ch6'!H938)</f>
        <v/>
      </c>
      <c r="C1178" s="190" t="str">
        <f t="shared" si="44"/>
        <v/>
      </c>
      <c r="D1178" s="107" t="s">
        <v>3217</v>
      </c>
      <c r="E1178" s="345"/>
      <c r="F1178" s="345"/>
      <c r="G1178" s="775" t="s">
        <v>3218</v>
      </c>
      <c r="H1178" s="56">
        <f>'Ch9'!W289</f>
        <v>0</v>
      </c>
      <c r="I1178" s="56">
        <f>'Ch9'!O289</f>
        <v>0</v>
      </c>
      <c r="J1178" s="889" t="s">
        <v>3504</v>
      </c>
    </row>
    <row r="1179" spans="1:10" x14ac:dyDescent="0.2">
      <c r="A1179" s="294" t="str">
        <f>A1178</f>
        <v/>
      </c>
      <c r="B1179" s="190" t="str">
        <f>IF(LEN('Ch6'!H939)=0,"",'Ch6'!H939)</f>
        <v/>
      </c>
      <c r="C1179" s="190" t="str">
        <f t="shared" si="44"/>
        <v/>
      </c>
      <c r="D1179" s="345"/>
      <c r="E1179" s="345"/>
      <c r="F1179" s="345"/>
      <c r="G1179" s="775"/>
      <c r="J1179" s="889"/>
    </row>
    <row r="1180" spans="1:10" ht="19" x14ac:dyDescent="0.25">
      <c r="A1180" s="294" t="s">
        <v>3343</v>
      </c>
      <c r="B1180" s="190" t="str">
        <f>IF(LEN('Ch6'!H940)=0,"",'Ch6'!H940)</f>
        <v/>
      </c>
      <c r="C1180" s="190" t="str">
        <f t="shared" si="44"/>
        <v>P</v>
      </c>
      <c r="D1180" s="50" t="s">
        <v>3227</v>
      </c>
      <c r="E1180" s="50"/>
      <c r="F1180" s="50"/>
      <c r="G1180" s="16"/>
      <c r="J1180" s="399"/>
    </row>
    <row r="1181" spans="1:10" x14ac:dyDescent="0.2">
      <c r="B1181" s="190" t="str">
        <f>IF(LEN('Ch6'!H941)=0,"",'Ch6'!H941)</f>
        <v/>
      </c>
      <c r="C1181" s="190" t="str">
        <f t="shared" si="44"/>
        <v/>
      </c>
      <c r="D1181" s="353" t="s">
        <v>3229</v>
      </c>
      <c r="E1181" s="388"/>
      <c r="F1181" s="388"/>
      <c r="G1181" s="820" t="s">
        <v>3230</v>
      </c>
      <c r="J1181" s="650"/>
    </row>
    <row r="1182" spans="1:10" ht="16" thickBot="1" x14ac:dyDescent="0.25">
      <c r="B1182" s="190" t="str">
        <f>IF(LEN('Ch6'!H942)=0,"",'Ch6'!H942)</f>
        <v/>
      </c>
      <c r="C1182" s="190" t="str">
        <f t="shared" si="44"/>
        <v/>
      </c>
      <c r="D1182" s="354"/>
      <c r="E1182" s="354"/>
      <c r="F1182" s="354"/>
      <c r="G1182" s="822"/>
      <c r="J1182" s="650"/>
    </row>
    <row r="1183" spans="1:10" x14ac:dyDescent="0.2">
      <c r="A1183" s="294" t="str">
        <f>IF('Ch10'!O12&gt;0,"P","")</f>
        <v/>
      </c>
      <c r="B1183" s="190" t="str">
        <f>IF(LEN('Ch6'!H943)=0,"",'Ch6'!H943)</f>
        <v/>
      </c>
      <c r="C1183" s="190" t="str">
        <f t="shared" si="44"/>
        <v/>
      </c>
      <c r="D1183" s="107" t="s">
        <v>3231</v>
      </c>
      <c r="E1183" s="345"/>
      <c r="F1183" s="345"/>
      <c r="G1183" s="775" t="s">
        <v>3232</v>
      </c>
      <c r="I1183" s="56">
        <f>'Ch10'!O12</f>
        <v>0</v>
      </c>
      <c r="J1183" s="888" t="s">
        <v>3505</v>
      </c>
    </row>
    <row r="1184" spans="1:10" x14ac:dyDescent="0.2">
      <c r="A1184" s="294" t="str">
        <f t="shared" ref="A1184:A1191" si="45">A1183</f>
        <v/>
      </c>
      <c r="B1184" s="190" t="str">
        <f>IF(LEN('Ch6'!H944)=0,"",'Ch6'!H944)</f>
        <v/>
      </c>
      <c r="C1184" s="190" t="str">
        <f t="shared" si="44"/>
        <v/>
      </c>
      <c r="D1184" s="345"/>
      <c r="E1184" s="345"/>
      <c r="F1184" s="345"/>
      <c r="G1184" s="775"/>
      <c r="J1184" s="888"/>
    </row>
    <row r="1185" spans="1:10" x14ac:dyDescent="0.2">
      <c r="A1185" s="294" t="str">
        <f t="shared" si="45"/>
        <v/>
      </c>
      <c r="B1185" s="190" t="str">
        <f>IF(LEN('Ch6'!H945)=0,"",'Ch6'!H945)</f>
        <v/>
      </c>
      <c r="C1185" s="190" t="str">
        <f t="shared" si="44"/>
        <v/>
      </c>
      <c r="D1185" s="345"/>
      <c r="E1185" s="345"/>
      <c r="F1185" s="345"/>
      <c r="G1185" s="175" t="s">
        <v>3233</v>
      </c>
      <c r="J1185" s="888"/>
    </row>
    <row r="1186" spans="1:10" ht="15" customHeight="1" x14ac:dyDescent="0.2">
      <c r="A1186" s="294" t="str">
        <f t="shared" si="45"/>
        <v/>
      </c>
      <c r="B1186" s="190" t="str">
        <f>IF(LEN('Ch6'!H946)=0,"",'Ch6'!H946)</f>
        <v/>
      </c>
      <c r="C1186" s="190" t="str">
        <f t="shared" si="44"/>
        <v/>
      </c>
      <c r="D1186" s="345"/>
      <c r="E1186" s="366" t="s">
        <v>2181</v>
      </c>
      <c r="F1186" s="160"/>
      <c r="G1186" s="658" t="s">
        <v>3234</v>
      </c>
      <c r="H1186" s="56">
        <f>'Ch10'!W15</f>
        <v>0</v>
      </c>
      <c r="J1186" s="888"/>
    </row>
    <row r="1187" spans="1:10" x14ac:dyDescent="0.2">
      <c r="A1187" s="294" t="str">
        <f t="shared" si="45"/>
        <v/>
      </c>
      <c r="B1187" s="190" t="str">
        <f>IF(LEN('Ch6'!H947)=0,"",'Ch6'!H947)</f>
        <v/>
      </c>
      <c r="C1187" s="190" t="str">
        <f t="shared" ref="C1187:C1252" si="46">IF(LEN(B1187)=0,IF(A1187="P","P",""),B1187)</f>
        <v/>
      </c>
      <c r="D1187" s="345"/>
      <c r="E1187" s="375" t="s">
        <v>2183</v>
      </c>
      <c r="F1187" s="163"/>
      <c r="G1187" s="187" t="s">
        <v>3235</v>
      </c>
      <c r="H1187" s="56">
        <f>'Ch10'!W16</f>
        <v>0</v>
      </c>
      <c r="J1187" s="888"/>
    </row>
    <row r="1188" spans="1:10" x14ac:dyDescent="0.2">
      <c r="A1188" s="294" t="str">
        <f t="shared" si="45"/>
        <v/>
      </c>
      <c r="B1188" s="190" t="str">
        <f>IF(LEN('Ch6'!H948)=0,"",'Ch6'!H948)</f>
        <v/>
      </c>
      <c r="C1188" s="190" t="str">
        <f t="shared" si="46"/>
        <v/>
      </c>
      <c r="D1188" s="345"/>
      <c r="E1188" s="378" t="s">
        <v>2185</v>
      </c>
      <c r="F1188" s="379"/>
      <c r="G1188" s="831" t="s">
        <v>3236</v>
      </c>
      <c r="H1188" s="56">
        <f>'Ch10'!W17</f>
        <v>0</v>
      </c>
      <c r="J1188" s="888"/>
    </row>
    <row r="1189" spans="1:10" x14ac:dyDescent="0.2">
      <c r="A1189" s="294" t="str">
        <f t="shared" si="45"/>
        <v/>
      </c>
      <c r="B1189" s="190" t="str">
        <f>IF(LEN('Ch6'!H949)=0,"",'Ch6'!H949)</f>
        <v/>
      </c>
      <c r="C1189" s="190" t="str">
        <f t="shared" si="46"/>
        <v/>
      </c>
      <c r="D1189" s="345"/>
      <c r="E1189" s="347"/>
      <c r="F1189" s="388"/>
      <c r="G1189" s="791"/>
      <c r="J1189" s="888"/>
    </row>
    <row r="1190" spans="1:10" x14ac:dyDescent="0.2">
      <c r="A1190" s="294" t="str">
        <f t="shared" si="45"/>
        <v/>
      </c>
      <c r="B1190" s="190" t="str">
        <f>IF(LEN('Ch6'!H950)=0,"",'Ch6'!H950)</f>
        <v/>
      </c>
      <c r="C1190" s="190" t="str">
        <f t="shared" si="46"/>
        <v/>
      </c>
      <c r="D1190" s="345"/>
      <c r="E1190" s="347"/>
      <c r="F1190" s="388"/>
      <c r="G1190" s="791"/>
      <c r="J1190" s="888"/>
    </row>
    <row r="1191" spans="1:10" x14ac:dyDescent="0.2">
      <c r="A1191" s="294" t="str">
        <f t="shared" si="45"/>
        <v/>
      </c>
      <c r="B1191" s="190" t="str">
        <f>IF(LEN('Ch6'!H951)=0,"",'Ch6'!H951)</f>
        <v/>
      </c>
      <c r="C1191" s="190" t="str">
        <f t="shared" si="46"/>
        <v/>
      </c>
      <c r="D1191" s="345"/>
      <c r="E1191" s="366"/>
      <c r="F1191" s="160"/>
      <c r="G1191" s="792"/>
      <c r="J1191" s="888"/>
    </row>
    <row r="1192" spans="1:10" x14ac:dyDescent="0.2">
      <c r="B1192" s="190" t="str">
        <f>IF(LEN('Ch6'!H952)=0,"",'Ch6'!H952)</f>
        <v/>
      </c>
      <c r="C1192" s="190" t="str">
        <f t="shared" si="46"/>
        <v/>
      </c>
      <c r="D1192" s="345"/>
      <c r="E1192" s="375" t="s">
        <v>2192</v>
      </c>
      <c r="F1192" s="163"/>
      <c r="G1192" s="187" t="s">
        <v>3237</v>
      </c>
      <c r="H1192" s="56">
        <f>'Ch10'!W21</f>
        <v>0</v>
      </c>
      <c r="J1192" s="649"/>
    </row>
    <row r="1193" spans="1:10" x14ac:dyDescent="0.2">
      <c r="B1193" s="190" t="str">
        <f>IF(LEN('Ch6'!H953)=0,"",'Ch6'!H953)</f>
        <v/>
      </c>
      <c r="C1193" s="190" t="str">
        <f t="shared" si="46"/>
        <v/>
      </c>
      <c r="D1193" s="345"/>
      <c r="E1193" s="375" t="s">
        <v>2194</v>
      </c>
      <c r="F1193" s="163"/>
      <c r="G1193" s="187" t="s">
        <v>3238</v>
      </c>
      <c r="H1193" s="56">
        <f>'Ch10'!W22</f>
        <v>0</v>
      </c>
      <c r="J1193" s="649"/>
    </row>
    <row r="1194" spans="1:10" x14ac:dyDescent="0.2">
      <c r="B1194" s="190" t="str">
        <f>IF(LEN('Ch6'!H954)=0,"",'Ch6'!H954)</f>
        <v/>
      </c>
      <c r="C1194" s="190" t="str">
        <f t="shared" si="46"/>
        <v/>
      </c>
      <c r="D1194" s="345"/>
      <c r="E1194" s="378" t="s">
        <v>2221</v>
      </c>
      <c r="F1194" s="379"/>
      <c r="G1194" s="908" t="s">
        <v>3239</v>
      </c>
      <c r="H1194" s="56">
        <f>'Ch10'!W23</f>
        <v>0</v>
      </c>
      <c r="J1194" s="649"/>
    </row>
    <row r="1195" spans="1:10" x14ac:dyDescent="0.2">
      <c r="B1195" s="190" t="str">
        <f>IF(LEN('Ch6'!H955)=0,"",'Ch6'!H955)</f>
        <v/>
      </c>
      <c r="C1195" s="190" t="str">
        <f t="shared" si="46"/>
        <v/>
      </c>
      <c r="D1195" s="345"/>
      <c r="E1195" s="366"/>
      <c r="F1195" s="160"/>
      <c r="G1195" s="909"/>
      <c r="J1195" s="394"/>
    </row>
    <row r="1196" spans="1:10" x14ac:dyDescent="0.2">
      <c r="B1196" s="190" t="str">
        <f>IF(LEN('Ch6'!H956)=0,"",'Ch6'!H956)</f>
        <v/>
      </c>
      <c r="C1196" s="190" t="str">
        <f t="shared" si="46"/>
        <v/>
      </c>
      <c r="D1196" s="345"/>
      <c r="E1196" s="378" t="s">
        <v>2223</v>
      </c>
      <c r="F1196" s="379"/>
      <c r="G1196" s="831" t="s">
        <v>3240</v>
      </c>
      <c r="H1196" s="56">
        <f>'Ch10'!W25</f>
        <v>0</v>
      </c>
      <c r="J1196" s="394"/>
    </row>
    <row r="1197" spans="1:10" x14ac:dyDescent="0.2">
      <c r="B1197" s="190" t="str">
        <f>IF(LEN('Ch6'!H957)=0,"",'Ch6'!H957)</f>
        <v/>
      </c>
      <c r="C1197" s="190" t="str">
        <f t="shared" si="46"/>
        <v/>
      </c>
      <c r="D1197" s="345"/>
      <c r="E1197" s="366"/>
      <c r="F1197" s="160"/>
      <c r="G1197" s="792"/>
      <c r="J1197" s="394"/>
    </row>
    <row r="1198" spans="1:10" x14ac:dyDescent="0.2">
      <c r="B1198" s="190" t="str">
        <f>IF(LEN('Ch6'!H958)=0,"",'Ch6'!H958)</f>
        <v/>
      </c>
      <c r="C1198" s="190" t="str">
        <f t="shared" si="46"/>
        <v/>
      </c>
      <c r="D1198" s="345"/>
      <c r="E1198" s="375" t="s">
        <v>2282</v>
      </c>
      <c r="F1198" s="163"/>
      <c r="G1198" s="187" t="s">
        <v>3241</v>
      </c>
      <c r="H1198" s="56">
        <f>'Ch10'!W27</f>
        <v>0</v>
      </c>
      <c r="J1198" s="394"/>
    </row>
    <row r="1199" spans="1:10" ht="15" customHeight="1" x14ac:dyDescent="0.2">
      <c r="B1199" s="190" t="str">
        <f>IF(LEN('Ch6'!H959)=0,"",'Ch6'!H959)</f>
        <v/>
      </c>
      <c r="C1199" s="190" t="str">
        <f t="shared" si="46"/>
        <v/>
      </c>
      <c r="D1199" s="345"/>
      <c r="E1199" s="346" t="s">
        <v>2284</v>
      </c>
      <c r="F1199" s="345"/>
      <c r="G1199" s="857" t="s">
        <v>3242</v>
      </c>
      <c r="H1199" s="56">
        <f>'Ch10'!W28</f>
        <v>0</v>
      </c>
      <c r="J1199" s="394"/>
    </row>
    <row r="1200" spans="1:10" s="440" customFormat="1" ht="15" customHeight="1" x14ac:dyDescent="0.2">
      <c r="A1200" s="294"/>
      <c r="B1200" s="190" t="str">
        <f>IF(LEN('Ch6'!H960)=0,"",'Ch6'!H960)</f>
        <v/>
      </c>
      <c r="C1200" s="190" t="str">
        <f t="shared" si="46"/>
        <v/>
      </c>
      <c r="D1200" s="345"/>
      <c r="E1200" s="346"/>
      <c r="F1200" s="345"/>
      <c r="G1200" s="777"/>
      <c r="H1200" s="56"/>
      <c r="I1200" s="56"/>
      <c r="J1200" s="394"/>
    </row>
    <row r="1201" spans="2:10" x14ac:dyDescent="0.2">
      <c r="B1201" s="190" t="str">
        <f>IF(LEN('Ch6'!H961)=0,"",'Ch6'!H961)</f>
        <v/>
      </c>
      <c r="C1201" s="190" t="str">
        <f t="shared" si="46"/>
        <v/>
      </c>
      <c r="D1201" s="345"/>
      <c r="E1201" s="375" t="s">
        <v>2286</v>
      </c>
      <c r="F1201" s="163"/>
      <c r="G1201" s="187" t="s">
        <v>3243</v>
      </c>
      <c r="H1201" s="56">
        <f>'Ch10'!W30</f>
        <v>0</v>
      </c>
      <c r="J1201" s="394"/>
    </row>
    <row r="1202" spans="2:10" ht="15" customHeight="1" x14ac:dyDescent="0.2">
      <c r="B1202" s="190" t="str">
        <f>IF(LEN('Ch6'!H962)=0,"",'Ch6'!H962)</f>
        <v/>
      </c>
      <c r="C1202" s="190" t="str">
        <f t="shared" si="46"/>
        <v/>
      </c>
      <c r="D1202" s="345"/>
      <c r="E1202" s="346" t="s">
        <v>2288</v>
      </c>
      <c r="F1202" s="345"/>
      <c r="G1202" s="661" t="s">
        <v>3244</v>
      </c>
      <c r="H1202" s="56">
        <f>'Ch10'!W31</f>
        <v>0</v>
      </c>
      <c r="J1202" s="649"/>
    </row>
    <row r="1203" spans="2:10" x14ac:dyDescent="0.2">
      <c r="B1203" s="190" t="str">
        <f>IF(LEN('Ch6'!H963)=0,"",'Ch6'!H963)</f>
        <v/>
      </c>
      <c r="C1203" s="190" t="str">
        <f t="shared" si="46"/>
        <v/>
      </c>
      <c r="D1203" s="345"/>
      <c r="E1203" s="378" t="s">
        <v>2290</v>
      </c>
      <c r="F1203" s="379"/>
      <c r="G1203" s="831" t="s">
        <v>3245</v>
      </c>
      <c r="H1203" s="56">
        <f>'Ch10'!W32</f>
        <v>0</v>
      </c>
      <c r="J1203" s="649"/>
    </row>
    <row r="1204" spans="2:10" x14ac:dyDescent="0.2">
      <c r="B1204" s="190" t="str">
        <f>IF(LEN('Ch6'!H964)=0,"",'Ch6'!H964)</f>
        <v/>
      </c>
      <c r="C1204" s="190" t="str">
        <f t="shared" si="46"/>
        <v/>
      </c>
      <c r="D1204" s="345"/>
      <c r="E1204" s="388"/>
      <c r="F1204" s="388"/>
      <c r="G1204" s="791"/>
      <c r="J1204" s="649"/>
    </row>
    <row r="1205" spans="2:10" x14ac:dyDescent="0.2">
      <c r="B1205" s="190" t="str">
        <f>IF(LEN('Ch6'!H965)=0,"",'Ch6'!H965)</f>
        <v/>
      </c>
      <c r="C1205" s="190" t="str">
        <f t="shared" si="46"/>
        <v/>
      </c>
      <c r="D1205" s="345"/>
      <c r="E1205" s="388"/>
      <c r="F1205" s="347" t="s">
        <v>2196</v>
      </c>
      <c r="G1205" s="659" t="s">
        <v>3246</v>
      </c>
      <c r="J1205" s="649"/>
    </row>
    <row r="1206" spans="2:10" x14ac:dyDescent="0.2">
      <c r="B1206" s="190" t="str">
        <f>IF(LEN('Ch6'!H966)=0,"",'Ch6'!H966)</f>
        <v/>
      </c>
      <c r="C1206" s="190" t="str">
        <f t="shared" si="46"/>
        <v/>
      </c>
      <c r="D1206" s="345"/>
      <c r="E1206" s="388"/>
      <c r="F1206" s="347" t="s">
        <v>2198</v>
      </c>
      <c r="G1206" s="659" t="s">
        <v>3247</v>
      </c>
      <c r="J1206" s="649"/>
    </row>
    <row r="1207" spans="2:10" x14ac:dyDescent="0.2">
      <c r="B1207" s="190" t="str">
        <f>IF(LEN('Ch6'!H967)=0,"",'Ch6'!H967)</f>
        <v/>
      </c>
      <c r="C1207" s="190" t="str">
        <f t="shared" si="46"/>
        <v/>
      </c>
      <c r="D1207" s="345"/>
      <c r="E1207" s="388"/>
      <c r="F1207" s="347" t="s">
        <v>2200</v>
      </c>
      <c r="G1207" s="791" t="s">
        <v>3248</v>
      </c>
      <c r="J1207" s="649"/>
    </row>
    <row r="1208" spans="2:10" x14ac:dyDescent="0.2">
      <c r="B1208" s="190" t="str">
        <f>IF(LEN('Ch6'!H968)=0,"",'Ch6'!H968)</f>
        <v/>
      </c>
      <c r="C1208" s="190" t="str">
        <f t="shared" si="46"/>
        <v/>
      </c>
      <c r="D1208" s="345"/>
      <c r="E1208" s="160"/>
      <c r="F1208" s="160"/>
      <c r="G1208" s="792"/>
      <c r="J1208" s="649"/>
    </row>
    <row r="1209" spans="2:10" x14ac:dyDescent="0.2">
      <c r="B1209" s="190" t="str">
        <f>IF(LEN('Ch6'!H969)=0,"",'Ch6'!H969)</f>
        <v/>
      </c>
      <c r="C1209" s="190" t="str">
        <f t="shared" si="46"/>
        <v/>
      </c>
      <c r="D1209" s="345"/>
      <c r="E1209" s="378" t="s">
        <v>3249</v>
      </c>
      <c r="F1209" s="379"/>
      <c r="G1209" s="831" t="s">
        <v>3250</v>
      </c>
      <c r="H1209" s="56">
        <f>'Ch10'!W38</f>
        <v>0</v>
      </c>
      <c r="J1209" s="649"/>
    </row>
    <row r="1210" spans="2:10" x14ac:dyDescent="0.2">
      <c r="B1210" s="190" t="str">
        <f>IF(LEN('Ch6'!H970)=0,"",'Ch6'!H970)</f>
        <v/>
      </c>
      <c r="C1210" s="190" t="str">
        <f t="shared" si="46"/>
        <v/>
      </c>
      <c r="D1210" s="345"/>
      <c r="E1210" s="388"/>
      <c r="F1210" s="388"/>
      <c r="G1210" s="791"/>
      <c r="J1210" s="649"/>
    </row>
    <row r="1211" spans="2:10" x14ac:dyDescent="0.2">
      <c r="B1211" s="190" t="str">
        <f>IF(LEN('Ch6'!H971)=0,"",'Ch6'!H971)</f>
        <v/>
      </c>
      <c r="C1211" s="190" t="str">
        <f t="shared" si="46"/>
        <v/>
      </c>
      <c r="D1211" s="345"/>
      <c r="E1211" s="388"/>
      <c r="F1211" s="388"/>
      <c r="G1211" s="791"/>
      <c r="J1211" s="649"/>
    </row>
    <row r="1212" spans="2:10" x14ac:dyDescent="0.2">
      <c r="B1212" s="190" t="str">
        <f>IF(LEN('Ch6'!H972)=0,"",'Ch6'!H972)</f>
        <v/>
      </c>
      <c r="C1212" s="190" t="str">
        <f t="shared" si="46"/>
        <v/>
      </c>
      <c r="D1212" s="345"/>
      <c r="E1212" s="160"/>
      <c r="F1212" s="160"/>
      <c r="G1212" s="792"/>
      <c r="J1212" s="649"/>
    </row>
    <row r="1213" spans="2:10" x14ac:dyDescent="0.2">
      <c r="B1213" s="190" t="str">
        <f>IF(LEN('Ch6'!H973)=0,"",'Ch6'!H973)</f>
        <v/>
      </c>
      <c r="C1213" s="190" t="str">
        <f t="shared" si="46"/>
        <v/>
      </c>
      <c r="D1213" s="345"/>
      <c r="E1213" s="378" t="s">
        <v>3251</v>
      </c>
      <c r="F1213" s="379"/>
      <c r="G1213" s="831" t="s">
        <v>3252</v>
      </c>
      <c r="H1213" s="56">
        <f>'Ch10'!W42</f>
        <v>0</v>
      </c>
      <c r="J1213" s="649"/>
    </row>
    <row r="1214" spans="2:10" x14ac:dyDescent="0.2">
      <c r="B1214" s="190" t="str">
        <f>IF(LEN('Ch6'!H974)=0,"",'Ch6'!H974)</f>
        <v/>
      </c>
      <c r="C1214" s="190" t="str">
        <f t="shared" si="46"/>
        <v/>
      </c>
      <c r="D1214" s="345"/>
      <c r="E1214" s="160"/>
      <c r="F1214" s="160"/>
      <c r="G1214" s="792"/>
      <c r="J1214" s="649"/>
    </row>
    <row r="1215" spans="2:10" x14ac:dyDescent="0.2">
      <c r="B1215" s="190" t="str">
        <f>IF(LEN('Ch6'!H975)=0,"",'Ch6'!H975)</f>
        <v/>
      </c>
      <c r="C1215" s="190" t="str">
        <f t="shared" si="46"/>
        <v/>
      </c>
      <c r="D1215" s="345"/>
      <c r="E1215" s="378" t="s">
        <v>3253</v>
      </c>
      <c r="F1215" s="379"/>
      <c r="G1215" s="831" t="s">
        <v>3254</v>
      </c>
      <c r="H1215" s="56">
        <f>'Ch10'!W44</f>
        <v>0</v>
      </c>
      <c r="J1215" s="649"/>
    </row>
    <row r="1216" spans="2:10" x14ac:dyDescent="0.2">
      <c r="B1216" s="190" t="str">
        <f>IF(LEN('Ch6'!H976)=0,"",'Ch6'!H976)</f>
        <v/>
      </c>
      <c r="C1216" s="190" t="str">
        <f t="shared" si="46"/>
        <v/>
      </c>
      <c r="D1216" s="345"/>
      <c r="E1216" s="160"/>
      <c r="F1216" s="160"/>
      <c r="G1216" s="792"/>
      <c r="J1216" s="649"/>
    </row>
    <row r="1217" spans="1:10" x14ac:dyDescent="0.2">
      <c r="B1217" s="190" t="str">
        <f>IF(LEN('Ch6'!H977)=0,"",'Ch6'!H977)</f>
        <v/>
      </c>
      <c r="C1217" s="190" t="str">
        <f t="shared" si="46"/>
        <v/>
      </c>
      <c r="D1217" s="345"/>
      <c r="E1217" s="375" t="s">
        <v>3255</v>
      </c>
      <c r="F1217" s="163"/>
      <c r="G1217" s="187" t="s">
        <v>3256</v>
      </c>
      <c r="H1217" s="56">
        <f>'Ch10'!W46</f>
        <v>0</v>
      </c>
      <c r="J1217" s="649"/>
    </row>
    <row r="1218" spans="1:10" x14ac:dyDescent="0.2">
      <c r="B1218" s="190" t="str">
        <f>IF(LEN('Ch6'!H978)=0,"",'Ch6'!H978)</f>
        <v/>
      </c>
      <c r="C1218" s="190" t="str">
        <f t="shared" si="46"/>
        <v/>
      </c>
      <c r="D1218" s="345"/>
      <c r="E1218" s="378" t="s">
        <v>3257</v>
      </c>
      <c r="F1218" s="379"/>
      <c r="G1218" s="903" t="s">
        <v>3258</v>
      </c>
      <c r="H1218" s="56">
        <f>'Ch10'!W47</f>
        <v>0</v>
      </c>
      <c r="J1218" s="649"/>
    </row>
    <row r="1219" spans="1:10" x14ac:dyDescent="0.2">
      <c r="B1219" s="190" t="str">
        <f>IF(LEN('Ch6'!H979)=0,"",'Ch6'!H979)</f>
        <v/>
      </c>
      <c r="C1219" s="190" t="str">
        <f t="shared" si="46"/>
        <v/>
      </c>
      <c r="D1219" s="345"/>
      <c r="E1219" s="366"/>
      <c r="F1219" s="160"/>
      <c r="G1219" s="904"/>
      <c r="J1219" s="649"/>
    </row>
    <row r="1220" spans="1:10" x14ac:dyDescent="0.2">
      <c r="B1220" s="190" t="str">
        <f>IF(LEN('Ch6'!H980)=0,"",'Ch6'!H980)</f>
        <v/>
      </c>
      <c r="C1220" s="190" t="str">
        <f t="shared" si="46"/>
        <v/>
      </c>
      <c r="D1220" s="345"/>
      <c r="E1220" s="378" t="s">
        <v>3259</v>
      </c>
      <c r="F1220" s="379"/>
      <c r="G1220" s="831" t="s">
        <v>3260</v>
      </c>
      <c r="H1220" s="56">
        <f>'Ch10'!W49</f>
        <v>0</v>
      </c>
      <c r="J1220" s="649"/>
    </row>
    <row r="1221" spans="1:10" x14ac:dyDescent="0.2">
      <c r="B1221" s="190" t="str">
        <f>IF(LEN('Ch6'!H981)=0,"",'Ch6'!H981)</f>
        <v/>
      </c>
      <c r="C1221" s="190" t="str">
        <f t="shared" si="46"/>
        <v/>
      </c>
      <c r="D1221" s="345"/>
      <c r="E1221" s="160"/>
      <c r="F1221" s="160"/>
      <c r="G1221" s="792"/>
      <c r="J1221" s="649"/>
    </row>
    <row r="1222" spans="1:10" x14ac:dyDescent="0.2">
      <c r="B1222" s="190" t="str">
        <f>IF(LEN('Ch6'!H982)=0,"",'Ch6'!H982)</f>
        <v/>
      </c>
      <c r="C1222" s="190" t="str">
        <f t="shared" si="46"/>
        <v/>
      </c>
      <c r="D1222" s="345"/>
      <c r="E1222" s="375" t="s">
        <v>3261</v>
      </c>
      <c r="F1222" s="163"/>
      <c r="G1222" s="187" t="s">
        <v>3262</v>
      </c>
      <c r="H1222" s="56">
        <f>'Ch10'!W51</f>
        <v>0</v>
      </c>
      <c r="J1222" s="649"/>
    </row>
    <row r="1223" spans="1:10" x14ac:dyDescent="0.2">
      <c r="B1223" s="190" t="str">
        <f>IF(LEN('Ch6'!H983)=0,"",'Ch6'!H983)</f>
        <v/>
      </c>
      <c r="C1223" s="190" t="str">
        <f t="shared" si="46"/>
        <v/>
      </c>
      <c r="D1223" s="345"/>
      <c r="E1223" s="378" t="s">
        <v>3263</v>
      </c>
      <c r="F1223" s="379"/>
      <c r="G1223" s="831" t="s">
        <v>3264</v>
      </c>
      <c r="H1223" s="56">
        <f>'Ch10'!W52</f>
        <v>0</v>
      </c>
      <c r="J1223" s="649"/>
    </row>
    <row r="1224" spans="1:10" x14ac:dyDescent="0.2">
      <c r="B1224" s="190" t="str">
        <f>IF(LEN('Ch6'!H984)=0,"",'Ch6'!H984)</f>
        <v/>
      </c>
      <c r="C1224" s="190" t="str">
        <f t="shared" si="46"/>
        <v/>
      </c>
      <c r="D1224" s="345"/>
      <c r="E1224" s="160"/>
      <c r="F1224" s="160"/>
      <c r="G1224" s="792"/>
      <c r="J1224" s="649"/>
    </row>
    <row r="1225" spans="1:10" x14ac:dyDescent="0.2">
      <c r="B1225" s="190" t="str">
        <f>IF(LEN('Ch6'!H985)=0,"",'Ch6'!H985)</f>
        <v/>
      </c>
      <c r="C1225" s="190" t="str">
        <f t="shared" si="46"/>
        <v/>
      </c>
      <c r="D1225" s="345"/>
      <c r="E1225" s="378" t="s">
        <v>3265</v>
      </c>
      <c r="F1225" s="379"/>
      <c r="G1225" s="831" t="s">
        <v>3266</v>
      </c>
      <c r="H1225" s="56">
        <f>'Ch10'!W54</f>
        <v>0</v>
      </c>
      <c r="J1225" s="649"/>
    </row>
    <row r="1226" spans="1:10" x14ac:dyDescent="0.2">
      <c r="B1226" s="190" t="str">
        <f>IF(LEN('Ch6'!H986)=0,"",'Ch6'!H986)</f>
        <v/>
      </c>
      <c r="C1226" s="190" t="str">
        <f t="shared" si="46"/>
        <v/>
      </c>
      <c r="D1226" s="345"/>
      <c r="E1226" s="160"/>
      <c r="F1226" s="160"/>
      <c r="G1226" s="792"/>
      <c r="J1226" s="649"/>
    </row>
    <row r="1227" spans="1:10" x14ac:dyDescent="0.2">
      <c r="B1227" s="190" t="str">
        <f>IF(LEN('Ch6'!H987)=0,"",'Ch6'!H987)</f>
        <v/>
      </c>
      <c r="C1227" s="190" t="str">
        <f t="shared" si="46"/>
        <v/>
      </c>
      <c r="D1227" s="345"/>
      <c r="E1227" s="378" t="s">
        <v>3267</v>
      </c>
      <c r="F1227" s="379"/>
      <c r="G1227" s="831" t="s">
        <v>3268</v>
      </c>
      <c r="H1227" s="56">
        <f>'Ch10'!W56</f>
        <v>0</v>
      </c>
      <c r="J1227" s="649"/>
    </row>
    <row r="1228" spans="1:10" x14ac:dyDescent="0.2">
      <c r="B1228" s="190" t="str">
        <f>IF(LEN('Ch6'!H988)=0,"",'Ch6'!H988)</f>
        <v/>
      </c>
      <c r="C1228" s="190" t="str">
        <f t="shared" si="46"/>
        <v/>
      </c>
      <c r="D1228" s="345"/>
      <c r="E1228" s="160"/>
      <c r="F1228" s="160"/>
      <c r="G1228" s="792"/>
      <c r="J1228" s="649"/>
    </row>
    <row r="1229" spans="1:10" s="497" customFormat="1" x14ac:dyDescent="0.2">
      <c r="A1229" s="294"/>
      <c r="B1229" s="190" t="str">
        <f>IF(LEN('Ch6'!H989)=0,"",'Ch6'!H989)</f>
        <v/>
      </c>
      <c r="C1229" s="190" t="str">
        <f t="shared" ref="C1229:C1230" si="47">IF(LEN(B1229)=0,IF(A1229="P","P",""),B1229)</f>
        <v/>
      </c>
      <c r="D1229" s="345"/>
      <c r="E1229" s="378" t="s">
        <v>3269</v>
      </c>
      <c r="F1229" s="379"/>
      <c r="G1229" s="831" t="s">
        <v>3268</v>
      </c>
      <c r="H1229" s="56">
        <f>'Ch10'!W58</f>
        <v>0</v>
      </c>
      <c r="I1229" s="56"/>
      <c r="J1229" s="649"/>
    </row>
    <row r="1230" spans="1:10" s="497" customFormat="1" x14ac:dyDescent="0.2">
      <c r="A1230" s="294"/>
      <c r="B1230" s="190" t="str">
        <f>IF(LEN('Ch6'!H990)=0,"",'Ch6'!H990)</f>
        <v/>
      </c>
      <c r="C1230" s="190" t="str">
        <f t="shared" si="47"/>
        <v/>
      </c>
      <c r="D1230" s="345"/>
      <c r="E1230" s="160"/>
      <c r="F1230" s="160"/>
      <c r="G1230" s="792"/>
      <c r="H1230" s="56"/>
      <c r="I1230" s="56"/>
      <c r="J1230" s="649"/>
    </row>
    <row r="1231" spans="1:10" x14ac:dyDescent="0.2">
      <c r="B1231" s="190" t="str">
        <f>IF(LEN('Ch6'!H991)=0,"",'Ch6'!H991)</f>
        <v/>
      </c>
      <c r="C1231" s="190" t="str">
        <f t="shared" si="46"/>
        <v/>
      </c>
      <c r="D1231" s="345"/>
      <c r="E1231" s="375" t="s">
        <v>3271</v>
      </c>
      <c r="F1231" s="163"/>
      <c r="G1231" s="187" t="s">
        <v>3272</v>
      </c>
      <c r="H1231" s="56">
        <f>'Ch10'!W60</f>
        <v>0</v>
      </c>
      <c r="J1231" s="649"/>
    </row>
    <row r="1232" spans="1:10" ht="16" thickBot="1" x14ac:dyDescent="0.25">
      <c r="B1232" s="190" t="str">
        <f>IF(LEN('Ch6'!H992)=0,"",'Ch6'!H992)</f>
        <v/>
      </c>
      <c r="C1232" s="190" t="str">
        <f t="shared" si="46"/>
        <v/>
      </c>
      <c r="D1232" s="354"/>
      <c r="E1232" s="351" t="s">
        <v>3273</v>
      </c>
      <c r="F1232" s="354"/>
      <c r="G1232" s="660" t="s">
        <v>3274</v>
      </c>
      <c r="H1232" s="56">
        <f>'Ch10'!W61</f>
        <v>0</v>
      </c>
      <c r="J1232" s="649"/>
    </row>
    <row r="1233" spans="1:10" ht="15.75" customHeight="1" thickTop="1" x14ac:dyDescent="0.2">
      <c r="A1233" s="294" t="str">
        <f>IF(AND(LEN('Ch10'!W62)&gt;0,NOT('Ch10'!W62=FALSE)),"P","")</f>
        <v/>
      </c>
      <c r="B1233" s="190" t="str">
        <f>IF(LEN('Ch6'!H993)=0,"",'Ch6'!H993)</f>
        <v/>
      </c>
      <c r="C1233" s="190" t="str">
        <f t="shared" si="46"/>
        <v/>
      </c>
      <c r="D1233" s="75" t="s">
        <v>3275</v>
      </c>
      <c r="E1233" s="374"/>
      <c r="F1233" s="374"/>
      <c r="G1233" s="819" t="s">
        <v>3276</v>
      </c>
      <c r="H1233" s="56">
        <f>'Ch10'!W62</f>
        <v>0</v>
      </c>
      <c r="J1233" s="888" t="s">
        <v>3506</v>
      </c>
    </row>
    <row r="1234" spans="1:10" x14ac:dyDescent="0.2">
      <c r="A1234" s="294" t="str">
        <f>A1233</f>
        <v/>
      </c>
      <c r="B1234" s="190" t="str">
        <f>IF(LEN('Ch6'!H994)=0,"",'Ch6'!H994)</f>
        <v/>
      </c>
      <c r="C1234" s="190" t="str">
        <f t="shared" si="46"/>
        <v/>
      </c>
      <c r="D1234" s="388"/>
      <c r="E1234" s="388"/>
      <c r="F1234" s="388"/>
      <c r="G1234" s="820"/>
      <c r="J1234" s="888"/>
    </row>
    <row r="1235" spans="1:10" x14ac:dyDescent="0.2">
      <c r="A1235" s="294" t="str">
        <f>A1234</f>
        <v/>
      </c>
      <c r="B1235" s="190" t="str">
        <f>IF(LEN('Ch6'!H995)=0,"",'Ch6'!H995)</f>
        <v/>
      </c>
      <c r="C1235" s="190" t="str">
        <f t="shared" si="46"/>
        <v/>
      </c>
      <c r="D1235" s="388"/>
      <c r="E1235" s="388"/>
      <c r="F1235" s="388"/>
      <c r="G1235" s="820"/>
      <c r="J1235" s="888"/>
    </row>
    <row r="1236" spans="1:10" x14ac:dyDescent="0.2">
      <c r="A1236" s="294" t="str">
        <f>A1235</f>
        <v/>
      </c>
      <c r="B1236" s="190" t="str">
        <f>IF(LEN('Ch6'!H996)=0,"",'Ch6'!H996)</f>
        <v/>
      </c>
      <c r="C1236" s="190" t="str">
        <f t="shared" si="46"/>
        <v/>
      </c>
      <c r="D1236" s="388"/>
      <c r="E1236" s="388"/>
      <c r="F1236" s="388"/>
      <c r="G1236" s="820"/>
      <c r="J1236" s="888"/>
    </row>
    <row r="1237" spans="1:10" x14ac:dyDescent="0.2">
      <c r="B1237" s="190" t="str">
        <f>IF(LEN('Ch6'!H997)=0,"",'Ch6'!H997)</f>
        <v/>
      </c>
      <c r="C1237" s="190" t="str">
        <f t="shared" si="46"/>
        <v/>
      </c>
      <c r="D1237" s="345"/>
      <c r="E1237" s="347" t="s">
        <v>2181</v>
      </c>
      <c r="F1237" s="388"/>
      <c r="G1237" s="659" t="s">
        <v>3277</v>
      </c>
      <c r="J1237" s="649"/>
    </row>
    <row r="1238" spans="1:10" x14ac:dyDescent="0.2">
      <c r="B1238" s="190" t="str">
        <f>IF(LEN('Ch6'!H998)=0,"",'Ch6'!H998)</f>
        <v/>
      </c>
      <c r="C1238" s="190" t="str">
        <f t="shared" si="46"/>
        <v/>
      </c>
      <c r="D1238" s="345"/>
      <c r="E1238" s="347" t="s">
        <v>2183</v>
      </c>
      <c r="F1238" s="388"/>
      <c r="G1238" s="659" t="s">
        <v>3278</v>
      </c>
      <c r="J1238" s="649"/>
    </row>
    <row r="1239" spans="1:10" x14ac:dyDescent="0.2">
      <c r="B1239" s="190" t="str">
        <f>IF(LEN('Ch6'!H999)=0,"",'Ch6'!H999)</f>
        <v/>
      </c>
      <c r="C1239" s="190" t="str">
        <f t="shared" si="46"/>
        <v/>
      </c>
      <c r="D1239" s="345"/>
      <c r="E1239" s="347" t="s">
        <v>2185</v>
      </c>
      <c r="F1239" s="388"/>
      <c r="G1239" s="659" t="s">
        <v>3279</v>
      </c>
      <c r="J1239" s="649"/>
    </row>
    <row r="1240" spans="1:10" x14ac:dyDescent="0.2">
      <c r="B1240" s="190" t="str">
        <f>IF(LEN('Ch6'!H1000)=0,"",'Ch6'!H1000)</f>
        <v/>
      </c>
      <c r="C1240" s="190" t="str">
        <f t="shared" si="46"/>
        <v/>
      </c>
      <c r="D1240" s="345"/>
      <c r="E1240" s="347" t="s">
        <v>2192</v>
      </c>
      <c r="F1240" s="388"/>
      <c r="G1240" s="659" t="s">
        <v>3280</v>
      </c>
      <c r="J1240" s="649"/>
    </row>
    <row r="1241" spans="1:10" x14ac:dyDescent="0.2">
      <c r="B1241" s="190" t="str">
        <f>IF(LEN('Ch6'!H1001)=0,"",'Ch6'!H1001)</f>
        <v/>
      </c>
      <c r="C1241" s="190" t="str">
        <f t="shared" si="46"/>
        <v/>
      </c>
      <c r="D1241" s="345"/>
      <c r="E1241" s="347" t="s">
        <v>2194</v>
      </c>
      <c r="F1241" s="388"/>
      <c r="G1241" s="659" t="s">
        <v>3281</v>
      </c>
      <c r="J1241" s="649"/>
    </row>
    <row r="1242" spans="1:10" x14ac:dyDescent="0.2">
      <c r="B1242" s="190" t="str">
        <f>IF(LEN('Ch6'!H1002)=0,"",'Ch6'!H1002)</f>
        <v/>
      </c>
      <c r="C1242" s="190" t="str">
        <f t="shared" si="46"/>
        <v/>
      </c>
      <c r="D1242" s="345"/>
      <c r="E1242" s="347" t="s">
        <v>2221</v>
      </c>
      <c r="F1242" s="388"/>
      <c r="G1242" s="659" t="s">
        <v>3282</v>
      </c>
      <c r="J1242" s="649"/>
    </row>
    <row r="1243" spans="1:10" x14ac:dyDescent="0.2">
      <c r="B1243" s="190" t="str">
        <f>IF(LEN('Ch6'!H1003)=0,"",'Ch6'!H1003)</f>
        <v/>
      </c>
      <c r="C1243" s="190" t="str">
        <f t="shared" si="46"/>
        <v/>
      </c>
      <c r="D1243" s="345"/>
      <c r="E1243" s="346" t="s">
        <v>2223</v>
      </c>
      <c r="F1243" s="345"/>
      <c r="G1243" s="661" t="s">
        <v>3283</v>
      </c>
      <c r="J1243" s="649"/>
    </row>
    <row r="1244" spans="1:10" ht="19" x14ac:dyDescent="0.2">
      <c r="A1244" s="294" t="s">
        <v>3343</v>
      </c>
      <c r="B1244" s="190" t="str">
        <f>IF(LEN('Ch6'!H1004)=0,"",'Ch6'!H1004)</f>
        <v/>
      </c>
      <c r="C1244" s="190" t="str">
        <f t="shared" si="46"/>
        <v>P</v>
      </c>
      <c r="D1244" s="45" t="s">
        <v>3284</v>
      </c>
      <c r="E1244" s="45"/>
      <c r="F1244" s="45"/>
      <c r="G1244" s="179"/>
      <c r="J1244" s="403"/>
    </row>
    <row r="1245" spans="1:10" x14ac:dyDescent="0.2">
      <c r="B1245" s="190" t="str">
        <f>IF(LEN('Ch6'!H1005)=0,"",'Ch6'!H1005)</f>
        <v/>
      </c>
      <c r="C1245" s="190" t="str">
        <f t="shared" si="46"/>
        <v/>
      </c>
      <c r="D1245" s="353" t="s">
        <v>3286</v>
      </c>
      <c r="E1245" s="388"/>
      <c r="F1245" s="388"/>
      <c r="G1245" s="820" t="s">
        <v>3287</v>
      </c>
      <c r="J1245" s="650"/>
    </row>
    <row r="1246" spans="1:10" x14ac:dyDescent="0.2">
      <c r="B1246" s="190" t="str">
        <f>IF(LEN('Ch6'!H1006)=0,"",'Ch6'!H1006)</f>
        <v/>
      </c>
      <c r="C1246" s="190" t="str">
        <f t="shared" si="46"/>
        <v/>
      </c>
      <c r="D1246" s="388"/>
      <c r="E1246" s="388"/>
      <c r="F1246" s="388"/>
      <c r="G1246" s="820"/>
      <c r="J1246" s="394"/>
    </row>
    <row r="1247" spans="1:10" x14ac:dyDescent="0.2">
      <c r="B1247" s="190" t="str">
        <f>IF(LEN('Ch6'!H1007)=0,"",'Ch6'!H1007)</f>
        <v/>
      </c>
      <c r="C1247" s="190" t="str">
        <f t="shared" si="46"/>
        <v/>
      </c>
      <c r="D1247" s="388"/>
      <c r="E1247" s="388"/>
      <c r="F1247" s="388"/>
      <c r="G1247" s="820"/>
      <c r="J1247" s="394"/>
    </row>
    <row r="1248" spans="1:10" x14ac:dyDescent="0.2">
      <c r="B1248" s="190" t="str">
        <f>IF(LEN('Ch6'!H1008)=0,"",'Ch6'!H1008)</f>
        <v/>
      </c>
      <c r="C1248" s="190" t="str">
        <f t="shared" si="46"/>
        <v/>
      </c>
      <c r="D1248" s="388"/>
      <c r="E1248" s="388"/>
      <c r="F1248" s="388"/>
      <c r="G1248" s="820"/>
      <c r="J1248" s="394"/>
    </row>
    <row r="1249" spans="1:10" x14ac:dyDescent="0.2">
      <c r="B1249" s="190" t="str">
        <f>IF(LEN('Ch6'!H1009)=0,"",'Ch6'!H1009)</f>
        <v/>
      </c>
      <c r="C1249" s="190" t="str">
        <f t="shared" si="46"/>
        <v/>
      </c>
      <c r="D1249" s="388"/>
      <c r="E1249" s="388"/>
      <c r="F1249" s="388"/>
      <c r="G1249" s="820"/>
      <c r="J1249" s="394"/>
    </row>
    <row r="1250" spans="1:10" ht="16" thickBot="1" x14ac:dyDescent="0.25">
      <c r="B1250" s="190" t="str">
        <f>IF(LEN('Ch6'!H1010)=0,"",'Ch6'!H1010)</f>
        <v/>
      </c>
      <c r="C1250" s="190" t="str">
        <f t="shared" si="46"/>
        <v/>
      </c>
      <c r="D1250" s="354"/>
      <c r="E1250" s="354"/>
      <c r="F1250" s="354"/>
      <c r="G1250" s="822"/>
      <c r="J1250" s="394"/>
    </row>
    <row r="1251" spans="1:10" x14ac:dyDescent="0.2">
      <c r="A1251" s="294" t="str">
        <f>IF('Ch10'!O80&gt;0,"P","")</f>
        <v/>
      </c>
      <c r="B1251" s="190" t="str">
        <f>IF(LEN('Ch6'!H1011)=0,"",'Ch6'!H1011)</f>
        <v/>
      </c>
      <c r="C1251" s="190" t="str">
        <f t="shared" si="46"/>
        <v/>
      </c>
      <c r="D1251" s="107" t="s">
        <v>3288</v>
      </c>
      <c r="E1251" s="345"/>
      <c r="F1251" s="345"/>
      <c r="G1251" s="775" t="s">
        <v>3289</v>
      </c>
      <c r="I1251" s="56">
        <f>'Ch10'!O80</f>
        <v>0</v>
      </c>
      <c r="J1251" s="888" t="s">
        <v>3507</v>
      </c>
    </row>
    <row r="1252" spans="1:10" x14ac:dyDescent="0.2">
      <c r="A1252" s="294" t="str">
        <f t="shared" ref="A1252:A1261" si="48">A1251</f>
        <v/>
      </c>
      <c r="B1252" s="190" t="str">
        <f>IF(LEN('Ch6'!H1012)=0,"",'Ch6'!H1012)</f>
        <v/>
      </c>
      <c r="C1252" s="190" t="str">
        <f t="shared" si="46"/>
        <v/>
      </c>
      <c r="D1252" s="345"/>
      <c r="E1252" s="345"/>
      <c r="F1252" s="345"/>
      <c r="G1252" s="775"/>
      <c r="J1252" s="888"/>
    </row>
    <row r="1253" spans="1:10" x14ac:dyDescent="0.2">
      <c r="A1253" s="294" t="str">
        <f t="shared" si="48"/>
        <v/>
      </c>
      <c r="B1253" s="190" t="str">
        <f>IF(LEN('Ch6'!H1013)=0,"",'Ch6'!H1013)</f>
        <v/>
      </c>
      <c r="C1253" s="190" t="str">
        <f t="shared" ref="C1253:C1316" si="49">IF(LEN(B1253)=0,IF(A1253="P","P",""),B1253)</f>
        <v/>
      </c>
      <c r="D1253" s="345"/>
      <c r="E1253" s="345"/>
      <c r="F1253" s="345"/>
      <c r="G1253" s="176" t="s">
        <v>3290</v>
      </c>
      <c r="J1253" s="888"/>
    </row>
    <row r="1254" spans="1:10" ht="15" customHeight="1" x14ac:dyDescent="0.2">
      <c r="A1254" s="294" t="str">
        <f t="shared" si="48"/>
        <v/>
      </c>
      <c r="B1254" s="190" t="str">
        <f>IF(LEN('Ch6'!H1014)=0,"",'Ch6'!H1014)</f>
        <v/>
      </c>
      <c r="C1254" s="190" t="str">
        <f t="shared" si="49"/>
        <v/>
      </c>
      <c r="D1254" s="345"/>
      <c r="E1254" s="346" t="s">
        <v>2181</v>
      </c>
      <c r="F1254" s="345"/>
      <c r="G1254" s="817" t="s">
        <v>3291</v>
      </c>
      <c r="H1254" s="56">
        <f>'Ch10'!W83</f>
        <v>0</v>
      </c>
      <c r="J1254" s="888"/>
    </row>
    <row r="1255" spans="1:10" x14ac:dyDescent="0.2">
      <c r="A1255" s="294" t="str">
        <f t="shared" si="48"/>
        <v/>
      </c>
      <c r="B1255" s="190" t="str">
        <f>IF(LEN('Ch6'!H1015)=0,"",'Ch6'!H1015)</f>
        <v/>
      </c>
      <c r="C1255" s="190" t="str">
        <f t="shared" si="49"/>
        <v/>
      </c>
      <c r="D1255" s="345"/>
      <c r="E1255" s="346"/>
      <c r="F1255" s="345"/>
      <c r="G1255" s="817"/>
      <c r="J1255" s="888"/>
    </row>
    <row r="1256" spans="1:10" x14ac:dyDescent="0.2">
      <c r="A1256" s="294" t="str">
        <f t="shared" si="48"/>
        <v/>
      </c>
      <c r="B1256" s="190" t="str">
        <f>IF(LEN('Ch6'!H1016)=0,"",'Ch6'!H1016)</f>
        <v/>
      </c>
      <c r="C1256" s="190" t="str">
        <f t="shared" si="49"/>
        <v/>
      </c>
      <c r="D1256" s="345"/>
      <c r="E1256" s="346"/>
      <c r="F1256" s="345"/>
      <c r="G1256" s="817"/>
      <c r="J1256" s="888"/>
    </row>
    <row r="1257" spans="1:10" x14ac:dyDescent="0.2">
      <c r="A1257" s="294" t="str">
        <f t="shared" si="48"/>
        <v/>
      </c>
      <c r="B1257" s="190" t="str">
        <f>IF(LEN('Ch6'!H1017)=0,"",'Ch6'!H1017)</f>
        <v/>
      </c>
      <c r="C1257" s="190" t="str">
        <f t="shared" si="49"/>
        <v/>
      </c>
      <c r="D1257" s="345"/>
      <c r="E1257" s="378" t="s">
        <v>2183</v>
      </c>
      <c r="F1257" s="379"/>
      <c r="G1257" s="831" t="s">
        <v>3292</v>
      </c>
      <c r="H1257" s="56">
        <f>'Ch10'!W86</f>
        <v>0</v>
      </c>
      <c r="J1257" s="888"/>
    </row>
    <row r="1258" spans="1:10" x14ac:dyDescent="0.2">
      <c r="A1258" s="294" t="str">
        <f t="shared" si="48"/>
        <v/>
      </c>
      <c r="B1258" s="190" t="str">
        <f>IF(LEN('Ch6'!H1018)=0,"",'Ch6'!H1018)</f>
        <v/>
      </c>
      <c r="C1258" s="190" t="str">
        <f t="shared" si="49"/>
        <v/>
      </c>
      <c r="D1258" s="345"/>
      <c r="E1258" s="347"/>
      <c r="F1258" s="388"/>
      <c r="G1258" s="791"/>
      <c r="J1258" s="888"/>
    </row>
    <row r="1259" spans="1:10" x14ac:dyDescent="0.2">
      <c r="A1259" s="294" t="str">
        <f t="shared" si="48"/>
        <v/>
      </c>
      <c r="B1259" s="190" t="str">
        <f>IF(LEN('Ch6'!H1019)=0,"",'Ch6'!H1019)</f>
        <v/>
      </c>
      <c r="C1259" s="190" t="str">
        <f t="shared" si="49"/>
        <v/>
      </c>
      <c r="D1259" s="345"/>
      <c r="E1259" s="366"/>
      <c r="F1259" s="160"/>
      <c r="G1259" s="792"/>
      <c r="J1259" s="888"/>
    </row>
    <row r="1260" spans="1:10" x14ac:dyDescent="0.2">
      <c r="A1260" s="294" t="str">
        <f t="shared" si="48"/>
        <v/>
      </c>
      <c r="B1260" s="190" t="str">
        <f>IF(LEN('Ch6'!H1020)=0,"",'Ch6'!H1020)</f>
        <v/>
      </c>
      <c r="C1260" s="190" t="str">
        <f t="shared" si="49"/>
        <v/>
      </c>
      <c r="D1260" s="345"/>
      <c r="E1260" s="346" t="s">
        <v>2185</v>
      </c>
      <c r="F1260" s="345"/>
      <c r="G1260" s="817" t="s">
        <v>3293</v>
      </c>
      <c r="H1260" s="56">
        <f>'Ch10'!W89</f>
        <v>0</v>
      </c>
      <c r="J1260" s="888"/>
    </row>
    <row r="1261" spans="1:10" x14ac:dyDescent="0.2">
      <c r="A1261" s="294" t="str">
        <f t="shared" si="48"/>
        <v/>
      </c>
      <c r="B1261" s="190" t="str">
        <f>IF(LEN('Ch6'!H1021)=0,"",'Ch6'!H1021)</f>
        <v/>
      </c>
      <c r="C1261" s="190" t="str">
        <f t="shared" si="49"/>
        <v/>
      </c>
      <c r="D1261" s="345"/>
      <c r="E1261" s="346"/>
      <c r="F1261" s="345"/>
      <c r="G1261" s="817"/>
      <c r="J1261" s="888"/>
    </row>
    <row r="1262" spans="1:10" x14ac:dyDescent="0.2">
      <c r="B1262" s="190" t="str">
        <f>IF(LEN('Ch6'!H1022)=0,"",'Ch6'!H1022)</f>
        <v/>
      </c>
      <c r="C1262" s="190" t="str">
        <f t="shared" si="49"/>
        <v/>
      </c>
      <c r="D1262" s="345"/>
      <c r="E1262" s="375" t="s">
        <v>2192</v>
      </c>
      <c r="F1262" s="163"/>
      <c r="G1262" s="187" t="s">
        <v>3294</v>
      </c>
      <c r="H1262" s="56">
        <f>'Ch10'!W91</f>
        <v>0</v>
      </c>
      <c r="J1262" s="394"/>
    </row>
    <row r="1263" spans="1:10" x14ac:dyDescent="0.2">
      <c r="B1263" s="190" t="str">
        <f>IF(LEN('Ch6'!H1023)=0,"",'Ch6'!H1023)</f>
        <v/>
      </c>
      <c r="C1263" s="190" t="str">
        <f t="shared" si="49"/>
        <v/>
      </c>
      <c r="D1263" s="345"/>
      <c r="E1263" s="346" t="s">
        <v>2194</v>
      </c>
      <c r="F1263" s="345"/>
      <c r="G1263" s="817" t="s">
        <v>3295</v>
      </c>
      <c r="H1263" s="56">
        <f>'Ch10'!W92</f>
        <v>0</v>
      </c>
      <c r="J1263" s="394"/>
    </row>
    <row r="1264" spans="1:10" x14ac:dyDescent="0.2">
      <c r="B1264" s="190" t="str">
        <f>IF(LEN('Ch6'!H1024)=0,"",'Ch6'!H1024)</f>
        <v/>
      </c>
      <c r="C1264" s="190" t="str">
        <f t="shared" si="49"/>
        <v/>
      </c>
      <c r="D1264" s="345"/>
      <c r="E1264" s="346"/>
      <c r="F1264" s="345"/>
      <c r="G1264" s="817"/>
      <c r="J1264" s="394"/>
    </row>
    <row r="1265" spans="1:10" ht="15" customHeight="1" x14ac:dyDescent="0.2">
      <c r="B1265" s="190" t="str">
        <f>IF(LEN('Ch6'!H1025)=0,"",'Ch6'!H1025)</f>
        <v/>
      </c>
      <c r="C1265" s="190" t="str">
        <f t="shared" si="49"/>
        <v/>
      </c>
      <c r="D1265" s="345"/>
      <c r="E1265" s="375" t="s">
        <v>2221</v>
      </c>
      <c r="F1265" s="163"/>
      <c r="G1265" s="187" t="s">
        <v>3244</v>
      </c>
      <c r="H1265" s="56">
        <f>'Ch10'!W94</f>
        <v>0</v>
      </c>
      <c r="J1265" s="394"/>
    </row>
    <row r="1266" spans="1:10" x14ac:dyDescent="0.2">
      <c r="B1266" s="190" t="str">
        <f>IF(LEN('Ch6'!H1026)=0,"",'Ch6'!H1026)</f>
        <v/>
      </c>
      <c r="C1266" s="190" t="str">
        <f t="shared" si="49"/>
        <v/>
      </c>
      <c r="D1266" s="345"/>
      <c r="E1266" s="375" t="s">
        <v>2223</v>
      </c>
      <c r="F1266" s="163"/>
      <c r="G1266" s="187" t="s">
        <v>3296</v>
      </c>
      <c r="H1266" s="56">
        <f>'Ch10'!W95</f>
        <v>0</v>
      </c>
      <c r="J1266" s="394"/>
    </row>
    <row r="1267" spans="1:10" x14ac:dyDescent="0.2">
      <c r="B1267" s="190" t="str">
        <f>IF(LEN('Ch6'!H1027)=0,"",'Ch6'!H1027)</f>
        <v/>
      </c>
      <c r="C1267" s="190" t="str">
        <f t="shared" si="49"/>
        <v/>
      </c>
      <c r="D1267" s="388"/>
      <c r="E1267" s="347" t="s">
        <v>2282</v>
      </c>
      <c r="F1267" s="388"/>
      <c r="G1267" s="791" t="s">
        <v>3297</v>
      </c>
      <c r="H1267" s="56">
        <f>'Ch10'!W96</f>
        <v>0</v>
      </c>
      <c r="J1267" s="394"/>
    </row>
    <row r="1268" spans="1:10" ht="16" thickBot="1" x14ac:dyDescent="0.25">
      <c r="B1268" s="190" t="str">
        <f>IF(LEN('Ch6'!H1028)=0,"",'Ch6'!H1028)</f>
        <v/>
      </c>
      <c r="C1268" s="190" t="str">
        <f t="shared" si="49"/>
        <v/>
      </c>
      <c r="D1268" s="354"/>
      <c r="E1268" s="354"/>
      <c r="F1268" s="354"/>
      <c r="G1268" s="818"/>
      <c r="J1268" s="394"/>
    </row>
    <row r="1269" spans="1:10" ht="16" thickTop="1" x14ac:dyDescent="0.2">
      <c r="A1269" s="294" t="str">
        <f>IF('Ch10'!O98&gt;0,"P","")</f>
        <v/>
      </c>
      <c r="B1269" s="190" t="str">
        <f>IF(LEN('Ch6'!H1029)=0,"",'Ch6'!H1029)</f>
        <v/>
      </c>
      <c r="C1269" s="190" t="str">
        <f t="shared" si="49"/>
        <v/>
      </c>
      <c r="D1269" s="75" t="s">
        <v>3298</v>
      </c>
      <c r="E1269" s="374"/>
      <c r="F1269" s="374"/>
      <c r="G1269" s="819" t="s">
        <v>3299</v>
      </c>
      <c r="I1269" s="56">
        <f>'Ch10'!O98</f>
        <v>0</v>
      </c>
      <c r="J1269" s="888" t="s">
        <v>3508</v>
      </c>
    </row>
    <row r="1270" spans="1:10" x14ac:dyDescent="0.2">
      <c r="A1270" s="294" t="str">
        <f t="shared" ref="A1270:A1271" si="50">A1269</f>
        <v/>
      </c>
      <c r="B1270" s="190" t="str">
        <f>IF(LEN('Ch6'!H1030)=0,"",'Ch6'!H1030)</f>
        <v/>
      </c>
      <c r="C1270" s="190" t="str">
        <f t="shared" si="49"/>
        <v/>
      </c>
      <c r="D1270" s="388"/>
      <c r="E1270" s="388"/>
      <c r="F1270" s="388"/>
      <c r="G1270" s="820"/>
      <c r="J1270" s="888"/>
    </row>
    <row r="1271" spans="1:10" x14ac:dyDescent="0.2">
      <c r="A1271" s="294" t="str">
        <f t="shared" si="50"/>
        <v/>
      </c>
      <c r="B1271" s="190" t="str">
        <f>IF(LEN('Ch6'!H1031)=0,"",'Ch6'!H1031)</f>
        <v/>
      </c>
      <c r="C1271" s="190" t="str">
        <f t="shared" si="49"/>
        <v/>
      </c>
      <c r="D1271" s="388"/>
      <c r="E1271" s="388"/>
      <c r="F1271" s="388"/>
      <c r="G1271" s="820"/>
      <c r="J1271" s="888"/>
    </row>
    <row r="1272" spans="1:10" x14ac:dyDescent="0.2">
      <c r="B1272" s="190" t="str">
        <f>IF(LEN('Ch6'!H1032)=0,"",'Ch6'!H1032)</f>
        <v/>
      </c>
      <c r="C1272" s="190" t="str">
        <f t="shared" si="49"/>
        <v/>
      </c>
      <c r="D1272" s="345"/>
      <c r="E1272" s="345"/>
      <c r="F1272" s="345"/>
      <c r="G1272" s="177" t="s">
        <v>3290</v>
      </c>
      <c r="J1272" s="888"/>
    </row>
    <row r="1273" spans="1:10" ht="15" customHeight="1" x14ac:dyDescent="0.2">
      <c r="A1273" s="294" t="str">
        <f>A1271</f>
        <v/>
      </c>
      <c r="B1273" s="190" t="str">
        <f>IF(LEN('Ch6'!H1033)=0,"",'Ch6'!H1033)</f>
        <v/>
      </c>
      <c r="C1273" s="190" t="str">
        <f t="shared" si="49"/>
        <v/>
      </c>
      <c r="D1273" s="345"/>
      <c r="E1273" s="347" t="s">
        <v>2181</v>
      </c>
      <c r="F1273" s="388"/>
      <c r="G1273" s="791" t="s">
        <v>3300</v>
      </c>
      <c r="H1273" s="56">
        <f>'Ch10'!W102</f>
        <v>0</v>
      </c>
      <c r="J1273" s="888"/>
    </row>
    <row r="1274" spans="1:10" x14ac:dyDescent="0.2">
      <c r="A1274" s="294" t="str">
        <f t="shared" ref="A1274:A1277" si="51">A1273</f>
        <v/>
      </c>
      <c r="B1274" s="190" t="str">
        <f>IF(LEN('Ch6'!H1034)=0,"",'Ch6'!H1034)</f>
        <v/>
      </c>
      <c r="C1274" s="190" t="str">
        <f t="shared" si="49"/>
        <v/>
      </c>
      <c r="D1274" s="345"/>
      <c r="E1274" s="366"/>
      <c r="F1274" s="160"/>
      <c r="G1274" s="792"/>
      <c r="J1274" s="888"/>
    </row>
    <row r="1275" spans="1:10" x14ac:dyDescent="0.2">
      <c r="A1275" s="294" t="str">
        <f t="shared" si="51"/>
        <v/>
      </c>
      <c r="B1275" s="190" t="str">
        <f>IF(LEN('Ch6'!H1035)=0,"",'Ch6'!H1035)</f>
        <v/>
      </c>
      <c r="C1275" s="190" t="str">
        <f t="shared" si="49"/>
        <v/>
      </c>
      <c r="D1275" s="345"/>
      <c r="E1275" s="378" t="s">
        <v>2183</v>
      </c>
      <c r="F1275" s="379"/>
      <c r="G1275" s="831" t="s">
        <v>3301</v>
      </c>
      <c r="H1275" s="56">
        <f>'Ch10'!W104</f>
        <v>0</v>
      </c>
      <c r="J1275" s="888"/>
    </row>
    <row r="1276" spans="1:10" x14ac:dyDescent="0.2">
      <c r="A1276" s="294" t="str">
        <f t="shared" si="51"/>
        <v/>
      </c>
      <c r="B1276" s="190" t="str">
        <f>IF(LEN('Ch6'!H1036)=0,"",'Ch6'!H1036)</f>
        <v/>
      </c>
      <c r="C1276" s="190" t="str">
        <f t="shared" si="49"/>
        <v/>
      </c>
      <c r="D1276" s="345"/>
      <c r="E1276" s="347"/>
      <c r="F1276" s="388"/>
      <c r="G1276" s="791"/>
      <c r="J1276" s="888"/>
    </row>
    <row r="1277" spans="1:10" x14ac:dyDescent="0.2">
      <c r="A1277" s="294" t="str">
        <f t="shared" si="51"/>
        <v/>
      </c>
      <c r="B1277" s="190" t="str">
        <f>IF(LEN('Ch6'!H1037)=0,"",'Ch6'!H1037)</f>
        <v/>
      </c>
      <c r="C1277" s="190" t="str">
        <f t="shared" si="49"/>
        <v/>
      </c>
      <c r="D1277" s="345"/>
      <c r="E1277" s="366"/>
      <c r="F1277" s="160"/>
      <c r="G1277" s="792"/>
      <c r="J1277" s="888"/>
    </row>
    <row r="1278" spans="1:10" x14ac:dyDescent="0.2">
      <c r="B1278" s="190" t="str">
        <f>IF(LEN('Ch6'!H1038)=0,"",'Ch6'!H1038)</f>
        <v/>
      </c>
      <c r="C1278" s="190" t="str">
        <f t="shared" si="49"/>
        <v/>
      </c>
      <c r="D1278" s="345"/>
      <c r="E1278" s="378" t="s">
        <v>2185</v>
      </c>
      <c r="F1278" s="379"/>
      <c r="G1278" s="831" t="s">
        <v>3260</v>
      </c>
      <c r="H1278" s="56">
        <f>'Ch10'!W107</f>
        <v>0</v>
      </c>
      <c r="J1278" s="649"/>
    </row>
    <row r="1279" spans="1:10" x14ac:dyDescent="0.2">
      <c r="B1279" s="190" t="str">
        <f>IF(LEN('Ch6'!H1039)=0,"",'Ch6'!H1039)</f>
        <v/>
      </c>
      <c r="C1279" s="190" t="str">
        <f t="shared" si="49"/>
        <v/>
      </c>
      <c r="D1279" s="345"/>
      <c r="E1279" s="160"/>
      <c r="F1279" s="160"/>
      <c r="G1279" s="792"/>
      <c r="J1279" s="649"/>
    </row>
    <row r="1280" spans="1:10" x14ac:dyDescent="0.2">
      <c r="B1280" s="190" t="str">
        <f>IF(LEN('Ch6'!H1040)=0,"",'Ch6'!H1040)</f>
        <v/>
      </c>
      <c r="C1280" s="190" t="str">
        <f t="shared" si="49"/>
        <v/>
      </c>
      <c r="D1280" s="345"/>
      <c r="E1280" s="346" t="s">
        <v>2192</v>
      </c>
      <c r="F1280" s="345"/>
      <c r="G1280" s="817" t="s">
        <v>3302</v>
      </c>
      <c r="H1280" s="56">
        <f>'Ch10'!W109</f>
        <v>0</v>
      </c>
      <c r="J1280" s="649"/>
    </row>
    <row r="1281" spans="1:10" x14ac:dyDescent="0.2">
      <c r="B1281" s="190" t="str">
        <f>IF(LEN('Ch6'!H1041)=0,"",'Ch6'!H1041)</f>
        <v/>
      </c>
      <c r="C1281" s="190" t="str">
        <f t="shared" si="49"/>
        <v/>
      </c>
      <c r="D1281" s="345"/>
      <c r="E1281" s="345"/>
      <c r="F1281" s="345"/>
      <c r="G1281" s="817"/>
      <c r="J1281" s="649"/>
    </row>
    <row r="1282" spans="1:10" x14ac:dyDescent="0.2">
      <c r="B1282" s="190" t="str">
        <f>IF(LEN('Ch6'!H1042)=0,"",'Ch6'!H1042)</f>
        <v/>
      </c>
      <c r="C1282" s="190" t="str">
        <f t="shared" si="49"/>
        <v/>
      </c>
      <c r="D1282" s="345"/>
      <c r="E1282" s="345"/>
      <c r="F1282" s="345"/>
      <c r="G1282" s="817"/>
      <c r="J1282" s="649"/>
    </row>
    <row r="1283" spans="1:10" x14ac:dyDescent="0.2">
      <c r="B1283" s="190" t="str">
        <f>IF(LEN('Ch6'!H1043)=0,"",'Ch6'!H1043)</f>
        <v/>
      </c>
      <c r="C1283" s="190" t="str">
        <f t="shared" si="49"/>
        <v/>
      </c>
      <c r="D1283" s="345"/>
      <c r="E1283" s="378" t="s">
        <v>2194</v>
      </c>
      <c r="F1283" s="379"/>
      <c r="G1283" s="831" t="s">
        <v>3303</v>
      </c>
      <c r="H1283" s="56">
        <f>'Ch10'!W112</f>
        <v>0</v>
      </c>
      <c r="J1283" s="649"/>
    </row>
    <row r="1284" spans="1:10" x14ac:dyDescent="0.2">
      <c r="B1284" s="190" t="str">
        <f>IF(LEN('Ch6'!H1044)=0,"",'Ch6'!H1044)</f>
        <v/>
      </c>
      <c r="C1284" s="190" t="str">
        <f t="shared" si="49"/>
        <v/>
      </c>
      <c r="D1284" s="345"/>
      <c r="E1284" s="366"/>
      <c r="F1284" s="160"/>
      <c r="G1284" s="792"/>
      <c r="J1284" s="649"/>
    </row>
    <row r="1285" spans="1:10" x14ac:dyDescent="0.2">
      <c r="B1285" s="190" t="str">
        <f>IF(LEN('Ch6'!H1045)=0,"",'Ch6'!H1045)</f>
        <v/>
      </c>
      <c r="C1285" s="190" t="str">
        <f t="shared" si="49"/>
        <v/>
      </c>
      <c r="D1285" s="345"/>
      <c r="E1285" s="346" t="s">
        <v>2221</v>
      </c>
      <c r="F1285" s="345"/>
      <c r="G1285" s="661" t="s">
        <v>3243</v>
      </c>
      <c r="H1285" s="56">
        <f>'Ch10'!W114</f>
        <v>0</v>
      </c>
      <c r="J1285" s="649"/>
    </row>
    <row r="1286" spans="1:10" x14ac:dyDescent="0.2">
      <c r="B1286" s="190" t="str">
        <f>IF(LEN('Ch6'!H1046)=0,"",'Ch6'!H1046)</f>
        <v/>
      </c>
      <c r="C1286" s="190" t="str">
        <f t="shared" si="49"/>
        <v/>
      </c>
      <c r="D1286" s="345"/>
      <c r="E1286" s="378" t="s">
        <v>2223</v>
      </c>
      <c r="F1286" s="379"/>
      <c r="G1286" s="831" t="s">
        <v>3304</v>
      </c>
      <c r="H1286" s="56">
        <f>'Ch10'!W115</f>
        <v>0</v>
      </c>
      <c r="J1286" s="649"/>
    </row>
    <row r="1287" spans="1:10" x14ac:dyDescent="0.2">
      <c r="B1287" s="190" t="str">
        <f>IF(LEN('Ch6'!H1047)=0,"",'Ch6'!H1047)</f>
        <v/>
      </c>
      <c r="C1287" s="190" t="str">
        <f t="shared" si="49"/>
        <v/>
      </c>
      <c r="D1287" s="345"/>
      <c r="E1287" s="160"/>
      <c r="F1287" s="160"/>
      <c r="G1287" s="792"/>
      <c r="J1287" s="649"/>
    </row>
    <row r="1288" spans="1:10" x14ac:dyDescent="0.2">
      <c r="B1288" s="190" t="str">
        <f>IF(LEN('Ch6'!H1048)=0,"",'Ch6'!H1048)</f>
        <v/>
      </c>
      <c r="C1288" s="190" t="str">
        <f t="shared" si="49"/>
        <v/>
      </c>
      <c r="D1288" s="345"/>
      <c r="E1288" s="346" t="s">
        <v>2282</v>
      </c>
      <c r="F1288" s="345"/>
      <c r="G1288" s="907" t="s">
        <v>3258</v>
      </c>
      <c r="H1288" s="56">
        <f>'Ch10'!W117</f>
        <v>0</v>
      </c>
      <c r="J1288" s="649"/>
    </row>
    <row r="1289" spans="1:10" x14ac:dyDescent="0.2">
      <c r="B1289" s="190" t="str">
        <f>IF(LEN('Ch6'!H1049)=0,"",'Ch6'!H1049)</f>
        <v/>
      </c>
      <c r="C1289" s="190" t="str">
        <f t="shared" si="49"/>
        <v/>
      </c>
      <c r="D1289" s="345"/>
      <c r="E1289" s="346"/>
      <c r="F1289" s="345"/>
      <c r="G1289" s="907"/>
      <c r="J1289" s="649"/>
    </row>
    <row r="1290" spans="1:10" x14ac:dyDescent="0.2">
      <c r="B1290" s="190" t="str">
        <f>IF(LEN('Ch6'!H1050)=0,"",'Ch6'!H1050)</f>
        <v/>
      </c>
      <c r="C1290" s="190" t="str">
        <f t="shared" si="49"/>
        <v/>
      </c>
      <c r="D1290" s="345"/>
      <c r="E1290" s="378" t="s">
        <v>2284</v>
      </c>
      <c r="F1290" s="379"/>
      <c r="G1290" s="657" t="s">
        <v>3305</v>
      </c>
      <c r="H1290" s="56">
        <f>'Ch10'!W119</f>
        <v>0</v>
      </c>
      <c r="J1290" s="649"/>
    </row>
    <row r="1291" spans="1:10" x14ac:dyDescent="0.2">
      <c r="B1291" s="190" t="str">
        <f>IF(LEN('Ch6'!H1051)=0,"",'Ch6'!H1051)</f>
        <v/>
      </c>
      <c r="C1291" s="190" t="str">
        <f t="shared" si="49"/>
        <v/>
      </c>
      <c r="D1291" s="345"/>
      <c r="E1291" s="378" t="s">
        <v>2286</v>
      </c>
      <c r="F1291" s="379"/>
      <c r="G1291" s="831" t="s">
        <v>3306</v>
      </c>
      <c r="H1291" s="56">
        <f>'Ch10'!W120</f>
        <v>0</v>
      </c>
      <c r="J1291" s="649"/>
    </row>
    <row r="1292" spans="1:10" x14ac:dyDescent="0.2">
      <c r="B1292" s="190" t="str">
        <f>IF(LEN('Ch6'!H1052)=0,"",'Ch6'!H1052)</f>
        <v/>
      </c>
      <c r="C1292" s="190" t="str">
        <f t="shared" si="49"/>
        <v/>
      </c>
      <c r="D1292" s="345"/>
      <c r="E1292" s="347"/>
      <c r="F1292" s="388"/>
      <c r="G1292" s="791"/>
      <c r="J1292" s="649"/>
    </row>
    <row r="1293" spans="1:10" x14ac:dyDescent="0.2">
      <c r="B1293" s="190" t="str">
        <f>IF(LEN('Ch6'!H1053)=0,"",'Ch6'!H1053)</f>
        <v/>
      </c>
      <c r="C1293" s="190" t="str">
        <f t="shared" si="49"/>
        <v/>
      </c>
      <c r="D1293" s="345"/>
      <c r="E1293" s="366"/>
      <c r="F1293" s="160"/>
      <c r="G1293" s="792"/>
      <c r="J1293" s="649"/>
    </row>
    <row r="1294" spans="1:10" x14ac:dyDescent="0.2">
      <c r="B1294" s="190" t="str">
        <f>IF(LEN('Ch6'!H1054)=0,"",'Ch6'!H1054)</f>
        <v/>
      </c>
      <c r="C1294" s="190" t="str">
        <f t="shared" si="49"/>
        <v/>
      </c>
      <c r="D1294" s="388"/>
      <c r="E1294" s="347" t="s">
        <v>2288</v>
      </c>
      <c r="F1294" s="388"/>
      <c r="G1294" s="905" t="s">
        <v>3307</v>
      </c>
      <c r="H1294" s="56">
        <f>'Ch10'!W123</f>
        <v>0</v>
      </c>
      <c r="J1294" s="649"/>
    </row>
    <row r="1295" spans="1:10" ht="16" thickBot="1" x14ac:dyDescent="0.25">
      <c r="B1295" s="190" t="str">
        <f>IF(LEN('Ch6'!H1055)=0,"",'Ch6'!H1055)</f>
        <v/>
      </c>
      <c r="C1295" s="190" t="str">
        <f t="shared" si="49"/>
        <v/>
      </c>
      <c r="D1295" s="354"/>
      <c r="E1295" s="351"/>
      <c r="F1295" s="354"/>
      <c r="G1295" s="906"/>
      <c r="J1295" s="649"/>
    </row>
    <row r="1296" spans="1:10" ht="16" thickTop="1" x14ac:dyDescent="0.2">
      <c r="A1296" s="294" t="str">
        <f>IF('Ch10'!O125&gt;0,"P","")</f>
        <v/>
      </c>
      <c r="B1296" s="190" t="str">
        <f>IF(LEN('Ch6'!H1056)=0,"",'Ch6'!H1056)</f>
        <v/>
      </c>
      <c r="C1296" s="190" t="str">
        <f t="shared" si="49"/>
        <v/>
      </c>
      <c r="D1296" s="75" t="s">
        <v>3308</v>
      </c>
      <c r="E1296" s="374"/>
      <c r="F1296" s="374"/>
      <c r="G1296" s="819" t="s">
        <v>3309</v>
      </c>
      <c r="I1296" s="56">
        <f>'Ch10'!O125</f>
        <v>0</v>
      </c>
      <c r="J1296" s="888" t="s">
        <v>3509</v>
      </c>
    </row>
    <row r="1297" spans="1:10" x14ac:dyDescent="0.2">
      <c r="A1297" s="294" t="str">
        <f t="shared" ref="A1297:A1298" si="52">A1296</f>
        <v/>
      </c>
      <c r="B1297" s="190" t="str">
        <f>IF(LEN('Ch6'!H1057)=0,"",'Ch6'!H1057)</f>
        <v/>
      </c>
      <c r="C1297" s="190" t="str">
        <f t="shared" si="49"/>
        <v/>
      </c>
      <c r="D1297" s="388"/>
      <c r="E1297" s="388"/>
      <c r="F1297" s="388"/>
      <c r="G1297" s="820"/>
      <c r="J1297" s="888"/>
    </row>
    <row r="1298" spans="1:10" x14ac:dyDescent="0.2">
      <c r="A1298" s="294" t="str">
        <f t="shared" si="52"/>
        <v/>
      </c>
      <c r="B1298" s="190" t="str">
        <f>IF(LEN('Ch6'!H1058)=0,"",'Ch6'!H1058)</f>
        <v/>
      </c>
      <c r="C1298" s="190" t="str">
        <f t="shared" si="49"/>
        <v/>
      </c>
      <c r="D1298" s="388"/>
      <c r="E1298" s="388"/>
      <c r="F1298" s="388"/>
      <c r="G1298" s="820"/>
      <c r="J1298" s="888"/>
    </row>
    <row r="1299" spans="1:10" x14ac:dyDescent="0.2">
      <c r="B1299" s="190" t="str">
        <f>IF(LEN('Ch6'!H1059)=0,"",'Ch6'!H1059)</f>
        <v/>
      </c>
      <c r="C1299" s="190" t="str">
        <f t="shared" si="49"/>
        <v/>
      </c>
      <c r="D1299" s="345"/>
      <c r="E1299" s="345"/>
      <c r="F1299" s="345"/>
      <c r="G1299" s="177" t="s">
        <v>3290</v>
      </c>
      <c r="J1299" s="888"/>
    </row>
    <row r="1300" spans="1:10" ht="15" customHeight="1" x14ac:dyDescent="0.2">
      <c r="A1300" s="294" t="str">
        <f>A1298</f>
        <v/>
      </c>
      <c r="B1300" s="190" t="str">
        <f>IF(LEN('Ch6'!H1060)=0,"",'Ch6'!H1060)</f>
        <v/>
      </c>
      <c r="C1300" s="190" t="str">
        <f t="shared" si="49"/>
        <v/>
      </c>
      <c r="D1300" s="345"/>
      <c r="E1300" s="347" t="s">
        <v>2181</v>
      </c>
      <c r="F1300" s="388"/>
      <c r="G1300" s="791" t="s">
        <v>3310</v>
      </c>
      <c r="H1300" s="56">
        <f>'Ch10'!W129</f>
        <v>0</v>
      </c>
      <c r="J1300" s="888"/>
    </row>
    <row r="1301" spans="1:10" x14ac:dyDescent="0.2">
      <c r="A1301" s="294" t="str">
        <f t="shared" ref="A1301" si="53">A1300</f>
        <v/>
      </c>
      <c r="B1301" s="190" t="str">
        <f>IF(LEN('Ch6'!H1061)=0,"",'Ch6'!H1061)</f>
        <v/>
      </c>
      <c r="C1301" s="190" t="str">
        <f t="shared" si="49"/>
        <v/>
      </c>
      <c r="D1301" s="345"/>
      <c r="E1301" s="366"/>
      <c r="F1301" s="160"/>
      <c r="G1301" s="792"/>
      <c r="J1301" s="888"/>
    </row>
    <row r="1302" spans="1:10" x14ac:dyDescent="0.2">
      <c r="B1302" s="190" t="str">
        <f>IF(LEN('Ch6'!H1062)=0,"",'Ch6'!H1062)</f>
        <v/>
      </c>
      <c r="C1302" s="190" t="str">
        <f t="shared" si="49"/>
        <v/>
      </c>
      <c r="D1302" s="345"/>
      <c r="E1302" s="378" t="s">
        <v>2183</v>
      </c>
      <c r="F1302" s="379"/>
      <c r="G1302" s="831" t="s">
        <v>3250</v>
      </c>
      <c r="H1302" s="56">
        <f>'Ch10'!W131</f>
        <v>0</v>
      </c>
      <c r="J1302" s="649"/>
    </row>
    <row r="1303" spans="1:10" x14ac:dyDescent="0.2">
      <c r="B1303" s="190" t="str">
        <f>IF(LEN('Ch6'!H1063)=0,"",'Ch6'!H1063)</f>
        <v/>
      </c>
      <c r="C1303" s="190" t="str">
        <f t="shared" si="49"/>
        <v/>
      </c>
      <c r="D1303" s="345"/>
      <c r="E1303" s="388"/>
      <c r="F1303" s="388"/>
      <c r="G1303" s="791"/>
      <c r="J1303" s="649"/>
    </row>
    <row r="1304" spans="1:10" x14ac:dyDescent="0.2">
      <c r="B1304" s="190" t="str">
        <f>IF(LEN('Ch6'!H1064)=0,"",'Ch6'!H1064)</f>
        <v/>
      </c>
      <c r="C1304" s="190" t="str">
        <f t="shared" si="49"/>
        <v/>
      </c>
      <c r="D1304" s="345"/>
      <c r="E1304" s="388"/>
      <c r="F1304" s="388"/>
      <c r="G1304" s="791"/>
      <c r="J1304" s="649"/>
    </row>
    <row r="1305" spans="1:10" x14ac:dyDescent="0.2">
      <c r="B1305" s="190" t="str">
        <f>IF(LEN('Ch6'!H1065)=0,"",'Ch6'!H1065)</f>
        <v/>
      </c>
      <c r="C1305" s="190" t="str">
        <f t="shared" si="49"/>
        <v/>
      </c>
      <c r="D1305" s="345"/>
      <c r="E1305" s="160"/>
      <c r="F1305" s="160"/>
      <c r="G1305" s="792"/>
      <c r="J1305" s="649"/>
    </row>
    <row r="1306" spans="1:10" x14ac:dyDescent="0.2">
      <c r="B1306" s="190" t="str">
        <f>IF(LEN('Ch6'!H1066)=0,"",'Ch6'!H1066)</f>
        <v/>
      </c>
      <c r="C1306" s="190" t="str">
        <f t="shared" si="49"/>
        <v/>
      </c>
      <c r="D1306" s="345"/>
      <c r="E1306" s="378" t="s">
        <v>2185</v>
      </c>
      <c r="F1306" s="379"/>
      <c r="G1306" s="657" t="s">
        <v>3311</v>
      </c>
      <c r="H1306" s="56">
        <f>'Ch10'!W135</f>
        <v>0</v>
      </c>
      <c r="J1306" s="649"/>
    </row>
    <row r="1307" spans="1:10" x14ac:dyDescent="0.2">
      <c r="B1307" s="190" t="str">
        <f>IF(LEN('Ch6'!H1067)=0,"",'Ch6'!H1067)</f>
        <v/>
      </c>
      <c r="C1307" s="190" t="str">
        <f t="shared" si="49"/>
        <v/>
      </c>
      <c r="D1307" s="345"/>
      <c r="E1307" s="388"/>
      <c r="F1307" s="347" t="s">
        <v>2196</v>
      </c>
      <c r="G1307" s="659" t="s">
        <v>3312</v>
      </c>
      <c r="J1307" s="649"/>
    </row>
    <row r="1308" spans="1:10" x14ac:dyDescent="0.2">
      <c r="B1308" s="190" t="str">
        <f>IF(LEN('Ch6'!H1068)=0,"",'Ch6'!H1068)</f>
        <v/>
      </c>
      <c r="C1308" s="190" t="str">
        <f t="shared" si="49"/>
        <v/>
      </c>
      <c r="D1308" s="345"/>
      <c r="E1308" s="388"/>
      <c r="F1308" s="347" t="s">
        <v>2198</v>
      </c>
      <c r="G1308" s="659" t="s">
        <v>3313</v>
      </c>
      <c r="J1308" s="649"/>
    </row>
    <row r="1309" spans="1:10" x14ac:dyDescent="0.2">
      <c r="B1309" s="190" t="str">
        <f>IF(LEN('Ch6'!H1069)=0,"",'Ch6'!H1069)</f>
        <v/>
      </c>
      <c r="C1309" s="190" t="str">
        <f t="shared" si="49"/>
        <v/>
      </c>
      <c r="D1309" s="345"/>
      <c r="E1309" s="388"/>
      <c r="F1309" s="347" t="s">
        <v>2200</v>
      </c>
      <c r="G1309" s="659" t="s">
        <v>3314</v>
      </c>
      <c r="J1309" s="649"/>
    </row>
    <row r="1310" spans="1:10" x14ac:dyDescent="0.2">
      <c r="B1310" s="190" t="str">
        <f>IF(LEN('Ch6'!H1070)=0,"",'Ch6'!H1070)</f>
        <v/>
      </c>
      <c r="C1310" s="190" t="str">
        <f t="shared" si="49"/>
        <v/>
      </c>
      <c r="D1310" s="345"/>
      <c r="E1310" s="388"/>
      <c r="F1310" s="347" t="s">
        <v>2247</v>
      </c>
      <c r="G1310" s="659" t="s">
        <v>3315</v>
      </c>
      <c r="J1310" s="649"/>
    </row>
    <row r="1311" spans="1:10" x14ac:dyDescent="0.2">
      <c r="B1311" s="190" t="str">
        <f>IF(LEN('Ch6'!H1071)=0,"",'Ch6'!H1071)</f>
        <v/>
      </c>
      <c r="C1311" s="190" t="str">
        <f t="shared" si="49"/>
        <v/>
      </c>
      <c r="D1311" s="345"/>
      <c r="E1311" s="388"/>
      <c r="F1311" s="347" t="s">
        <v>2444</v>
      </c>
      <c r="G1311" s="659" t="s">
        <v>3316</v>
      </c>
      <c r="J1311" s="649"/>
    </row>
    <row r="1312" spans="1:10" x14ac:dyDescent="0.2">
      <c r="B1312" s="190" t="str">
        <f>IF(LEN('Ch6'!H1072)=0,"",'Ch6'!H1072)</f>
        <v/>
      </c>
      <c r="C1312" s="190" t="str">
        <f t="shared" si="49"/>
        <v/>
      </c>
      <c r="D1312" s="345"/>
      <c r="E1312" s="160"/>
      <c r="F1312" s="366" t="s">
        <v>2540</v>
      </c>
      <c r="G1312" s="658" t="s">
        <v>3317</v>
      </c>
      <c r="J1312" s="649"/>
    </row>
    <row r="1313" spans="1:10" x14ac:dyDescent="0.2">
      <c r="B1313" s="190" t="str">
        <f>IF(LEN('Ch6'!H1073)=0,"",'Ch6'!H1073)</f>
        <v/>
      </c>
      <c r="C1313" s="190" t="str">
        <f t="shared" si="49"/>
        <v/>
      </c>
      <c r="D1313" s="345"/>
      <c r="E1313" s="346" t="s">
        <v>2192</v>
      </c>
      <c r="F1313" s="345"/>
      <c r="G1313" s="817" t="s">
        <v>3254</v>
      </c>
      <c r="H1313" s="56">
        <f>'Ch10'!W142</f>
        <v>0</v>
      </c>
      <c r="J1313" s="649"/>
    </row>
    <row r="1314" spans="1:10" x14ac:dyDescent="0.2">
      <c r="B1314" s="190" t="str">
        <f>IF(LEN('Ch6'!H1074)=0,"",'Ch6'!H1074)</f>
        <v/>
      </c>
      <c r="C1314" s="190" t="str">
        <f t="shared" si="49"/>
        <v/>
      </c>
      <c r="D1314" s="345"/>
      <c r="E1314" s="345"/>
      <c r="F1314" s="345"/>
      <c r="G1314" s="817"/>
      <c r="J1314" s="649"/>
    </row>
    <row r="1315" spans="1:10" x14ac:dyDescent="0.2">
      <c r="B1315" s="190" t="str">
        <f>IF(LEN('Ch6'!H1075)=0,"",'Ch6'!H1075)</f>
        <v/>
      </c>
      <c r="C1315" s="190" t="str">
        <f t="shared" si="49"/>
        <v/>
      </c>
      <c r="D1315" s="345"/>
      <c r="E1315" s="375" t="s">
        <v>2194</v>
      </c>
      <c r="F1315" s="163"/>
      <c r="G1315" s="187" t="s">
        <v>3256</v>
      </c>
      <c r="H1315" s="56">
        <f>'Ch10'!W144</f>
        <v>0</v>
      </c>
      <c r="J1315" s="649"/>
    </row>
    <row r="1316" spans="1:10" x14ac:dyDescent="0.2">
      <c r="B1316" s="190" t="str">
        <f>IF(LEN('Ch6'!H1076)=0,"",'Ch6'!H1076)</f>
        <v/>
      </c>
      <c r="C1316" s="190" t="str">
        <f t="shared" si="49"/>
        <v/>
      </c>
      <c r="D1316" s="345"/>
      <c r="E1316" s="346" t="s">
        <v>2221</v>
      </c>
      <c r="F1316" s="345"/>
      <c r="G1316" s="817" t="s">
        <v>3318</v>
      </c>
      <c r="H1316" s="56">
        <f>'Ch10'!W145</f>
        <v>0</v>
      </c>
      <c r="J1316" s="649"/>
    </row>
    <row r="1317" spans="1:10" x14ac:dyDescent="0.2">
      <c r="B1317" s="190" t="str">
        <f>IF(LEN('Ch6'!H1077)=0,"",'Ch6'!H1077)</f>
        <v/>
      </c>
      <c r="C1317" s="190" t="str">
        <f t="shared" ref="C1317:C1346" si="54">IF(LEN(B1317)=0,IF(A1317="P","P",""),B1317)</f>
        <v/>
      </c>
      <c r="D1317" s="345"/>
      <c r="E1317" s="346"/>
      <c r="F1317" s="345"/>
      <c r="G1317" s="817"/>
      <c r="J1317" s="649"/>
    </row>
    <row r="1318" spans="1:10" x14ac:dyDescent="0.2">
      <c r="B1318" s="190" t="str">
        <f>IF(LEN('Ch6'!H1078)=0,"",'Ch6'!H1078)</f>
        <v/>
      </c>
      <c r="C1318" s="190" t="str">
        <f t="shared" si="54"/>
        <v/>
      </c>
      <c r="D1318" s="345"/>
      <c r="E1318" s="375" t="s">
        <v>2223</v>
      </c>
      <c r="F1318" s="163"/>
      <c r="G1318" s="187" t="s">
        <v>3262</v>
      </c>
      <c r="H1318" s="56">
        <f>'Ch10'!W147</f>
        <v>0</v>
      </c>
      <c r="J1318" s="649"/>
    </row>
    <row r="1319" spans="1:10" x14ac:dyDescent="0.2">
      <c r="B1319" s="190" t="str">
        <f>IF(LEN('Ch6'!H1079)=0,"",'Ch6'!H1079)</f>
        <v/>
      </c>
      <c r="C1319" s="190" t="str">
        <f t="shared" si="54"/>
        <v/>
      </c>
      <c r="D1319" s="345"/>
      <c r="E1319" s="346" t="s">
        <v>2282</v>
      </c>
      <c r="F1319" s="345"/>
      <c r="G1319" s="661" t="s">
        <v>3319</v>
      </c>
      <c r="H1319" s="56">
        <f>'Ch10'!W148</f>
        <v>0</v>
      </c>
      <c r="J1319" s="649"/>
    </row>
    <row r="1320" spans="1:10" x14ac:dyDescent="0.2">
      <c r="B1320" s="190" t="str">
        <f>IF(LEN('Ch6'!H1080)=0,"",'Ch6'!H1080)</f>
        <v/>
      </c>
      <c r="C1320" s="190" t="str">
        <f t="shared" si="54"/>
        <v/>
      </c>
      <c r="D1320" s="345"/>
      <c r="E1320" s="375" t="s">
        <v>2284</v>
      </c>
      <c r="F1320" s="163"/>
      <c r="G1320" s="187" t="s">
        <v>3320</v>
      </c>
      <c r="H1320" s="56">
        <f>'Ch10'!W149</f>
        <v>0</v>
      </c>
      <c r="J1320" s="649"/>
    </row>
    <row r="1321" spans="1:10" ht="16" thickBot="1" x14ac:dyDescent="0.25">
      <c r="B1321" s="190" t="str">
        <f>IF(LEN('Ch6'!H1081)=0,"",'Ch6'!H1081)</f>
        <v/>
      </c>
      <c r="C1321" s="190" t="str">
        <f t="shared" si="54"/>
        <v/>
      </c>
      <c r="D1321" s="354"/>
      <c r="E1321" s="351" t="s">
        <v>2286</v>
      </c>
      <c r="F1321" s="354"/>
      <c r="G1321" s="660" t="s">
        <v>3321</v>
      </c>
      <c r="H1321" s="56">
        <f>'Ch10'!W150</f>
        <v>0</v>
      </c>
      <c r="J1321" s="649"/>
    </row>
    <row r="1322" spans="1:10" ht="15.75" customHeight="1" thickTop="1" x14ac:dyDescent="0.2">
      <c r="A1322" s="294" t="str">
        <f>IF(AND(LEN('Ch10'!W151)&gt;0,NOT('Ch10'!W151=FALSE)),"P","")</f>
        <v/>
      </c>
      <c r="B1322" s="190" t="str">
        <f>IF(LEN('Ch6'!H1082)=0,"",'Ch6'!H1082)</f>
        <v/>
      </c>
      <c r="C1322" s="190" t="str">
        <f t="shared" si="54"/>
        <v/>
      </c>
      <c r="D1322" s="75" t="s">
        <v>3322</v>
      </c>
      <c r="E1322" s="374"/>
      <c r="F1322" s="374"/>
      <c r="G1322" s="819" t="s">
        <v>3323</v>
      </c>
      <c r="H1322" s="56">
        <f>'Ch10'!W151</f>
        <v>0</v>
      </c>
      <c r="J1322" s="888" t="s">
        <v>3510</v>
      </c>
    </row>
    <row r="1323" spans="1:10" x14ac:dyDescent="0.2">
      <c r="A1323" s="294" t="str">
        <f t="shared" ref="A1323:A1326" si="55">A1322</f>
        <v/>
      </c>
      <c r="B1323" s="190" t="str">
        <f>IF(LEN('Ch6'!H1083)=0,"",'Ch6'!H1083)</f>
        <v/>
      </c>
      <c r="C1323" s="190" t="str">
        <f t="shared" si="54"/>
        <v/>
      </c>
      <c r="D1323" s="388"/>
      <c r="E1323" s="388"/>
      <c r="F1323" s="388"/>
      <c r="G1323" s="820"/>
      <c r="J1323" s="888"/>
    </row>
    <row r="1324" spans="1:10" x14ac:dyDescent="0.2">
      <c r="A1324" s="294" t="str">
        <f t="shared" si="55"/>
        <v/>
      </c>
      <c r="B1324" s="190" t="str">
        <f>IF(LEN('Ch6'!H1084)=0,"",'Ch6'!H1084)</f>
        <v/>
      </c>
      <c r="C1324" s="190" t="str">
        <f t="shared" si="54"/>
        <v/>
      </c>
      <c r="D1324" s="388"/>
      <c r="E1324" s="388"/>
      <c r="F1324" s="388"/>
      <c r="G1324" s="820"/>
      <c r="J1324" s="888"/>
    </row>
    <row r="1325" spans="1:10" x14ac:dyDescent="0.2">
      <c r="A1325" s="294" t="str">
        <f t="shared" si="55"/>
        <v/>
      </c>
      <c r="B1325" s="190" t="str">
        <f>IF(LEN('Ch6'!H1085)=0,"",'Ch6'!H1085)</f>
        <v/>
      </c>
      <c r="C1325" s="190" t="str">
        <f t="shared" si="54"/>
        <v/>
      </c>
      <c r="D1325" s="388"/>
      <c r="E1325" s="388"/>
      <c r="F1325" s="388"/>
      <c r="G1325" s="820"/>
      <c r="J1325" s="888"/>
    </row>
    <row r="1326" spans="1:10" x14ac:dyDescent="0.2">
      <c r="A1326" s="294" t="str">
        <f t="shared" si="55"/>
        <v/>
      </c>
      <c r="B1326" s="190" t="str">
        <f>IF(LEN('Ch6'!H1086)=0,"",'Ch6'!H1086)</f>
        <v/>
      </c>
      <c r="C1326" s="190" t="str">
        <f t="shared" si="54"/>
        <v/>
      </c>
      <c r="D1326" s="388"/>
      <c r="E1326" s="388"/>
      <c r="F1326" s="388"/>
      <c r="G1326" s="820"/>
      <c r="J1326" s="888"/>
    </row>
    <row r="1327" spans="1:10" x14ac:dyDescent="0.2">
      <c r="B1327" s="190" t="str">
        <f>IF(LEN('Ch6'!H1087)=0,"",'Ch6'!H1087)</f>
        <v/>
      </c>
      <c r="C1327" s="190" t="str">
        <f t="shared" si="54"/>
        <v/>
      </c>
      <c r="D1327" s="345"/>
      <c r="E1327" s="346" t="s">
        <v>2181</v>
      </c>
      <c r="F1327" s="345"/>
      <c r="G1327" s="661" t="s">
        <v>3312</v>
      </c>
      <c r="J1327" s="649"/>
    </row>
    <row r="1328" spans="1:10" x14ac:dyDescent="0.2">
      <c r="B1328" s="190" t="str">
        <f>IF(LEN('Ch6'!H1088)=0,"",'Ch6'!H1088)</f>
        <v/>
      </c>
      <c r="C1328" s="190" t="str">
        <f t="shared" si="54"/>
        <v/>
      </c>
      <c r="D1328" s="345"/>
      <c r="E1328" s="346" t="s">
        <v>2183</v>
      </c>
      <c r="F1328" s="345"/>
      <c r="G1328" s="661" t="s">
        <v>3313</v>
      </c>
      <c r="J1328" s="649"/>
    </row>
    <row r="1329" spans="1:10" x14ac:dyDescent="0.2">
      <c r="B1329" s="190" t="str">
        <f>IF(LEN('Ch6'!H1089)=0,"",'Ch6'!H1089)</f>
        <v/>
      </c>
      <c r="C1329" s="190" t="str">
        <f t="shared" si="54"/>
        <v/>
      </c>
      <c r="D1329" s="345"/>
      <c r="E1329" s="346" t="s">
        <v>2185</v>
      </c>
      <c r="F1329" s="345"/>
      <c r="G1329" s="661" t="s">
        <v>3314</v>
      </c>
      <c r="J1329" s="649"/>
    </row>
    <row r="1330" spans="1:10" x14ac:dyDescent="0.2">
      <c r="B1330" s="190" t="str">
        <f>IF(LEN('Ch6'!H1090)=0,"",'Ch6'!H1090)</f>
        <v/>
      </c>
      <c r="C1330" s="190" t="str">
        <f t="shared" si="54"/>
        <v/>
      </c>
      <c r="D1330" s="345"/>
      <c r="E1330" s="346" t="s">
        <v>2192</v>
      </c>
      <c r="F1330" s="345"/>
      <c r="G1330" s="661" t="s">
        <v>3324</v>
      </c>
      <c r="J1330" s="649"/>
    </row>
    <row r="1331" spans="1:10" x14ac:dyDescent="0.2">
      <c r="B1331" s="190" t="str">
        <f>IF(LEN('Ch6'!H1091)=0,"",'Ch6'!H1091)</f>
        <v/>
      </c>
      <c r="C1331" s="190" t="str">
        <f t="shared" si="54"/>
        <v/>
      </c>
      <c r="D1331" s="345"/>
      <c r="E1331" s="346" t="s">
        <v>2194</v>
      </c>
      <c r="F1331" s="345"/>
      <c r="G1331" s="661" t="s">
        <v>3325</v>
      </c>
      <c r="J1331" s="649"/>
    </row>
    <row r="1332" spans="1:10" x14ac:dyDescent="0.2">
      <c r="B1332" s="190" t="str">
        <f>IF(LEN('Ch6'!H1092)=0,"",'Ch6'!H1092)</f>
        <v/>
      </c>
      <c r="C1332" s="190" t="str">
        <f t="shared" si="54"/>
        <v/>
      </c>
      <c r="D1332" s="345"/>
      <c r="E1332" s="346" t="s">
        <v>2221</v>
      </c>
      <c r="F1332" s="345"/>
      <c r="G1332" s="661" t="s">
        <v>3317</v>
      </c>
      <c r="J1332" s="649"/>
    </row>
    <row r="1333" spans="1:10" x14ac:dyDescent="0.2">
      <c r="B1333" s="190" t="str">
        <f>IF(LEN('Ch6'!H1093)=0,"",'Ch6'!H1093)</f>
        <v/>
      </c>
      <c r="C1333" s="190" t="str">
        <f t="shared" si="54"/>
        <v/>
      </c>
      <c r="D1333" s="345"/>
      <c r="E1333" s="346" t="s">
        <v>2223</v>
      </c>
      <c r="F1333" s="345"/>
      <c r="G1333" s="661" t="s">
        <v>3326</v>
      </c>
      <c r="J1333" s="649"/>
    </row>
    <row r="1334" spans="1:10" ht="19" x14ac:dyDescent="0.2">
      <c r="A1334" s="294" t="s">
        <v>3343</v>
      </c>
      <c r="B1334" s="190" t="str">
        <f>IF(LEN('Ch6'!H1094)=0,"",'Ch6'!H1094)</f>
        <v/>
      </c>
      <c r="C1334" s="190" t="str">
        <f t="shared" si="54"/>
        <v>P</v>
      </c>
      <c r="D1334" s="45" t="s">
        <v>3327</v>
      </c>
      <c r="E1334" s="45"/>
      <c r="F1334" s="45"/>
      <c r="G1334" s="179"/>
      <c r="J1334" s="401"/>
    </row>
    <row r="1335" spans="1:10" x14ac:dyDescent="0.2">
      <c r="B1335" s="190" t="str">
        <f>IF(LEN('Ch6'!H1095)=0,"",'Ch6'!H1095)</f>
        <v/>
      </c>
      <c r="C1335" s="190" t="str">
        <f t="shared" si="54"/>
        <v/>
      </c>
      <c r="D1335" s="70">
        <v>11.100300000000001</v>
      </c>
      <c r="E1335" s="388"/>
      <c r="F1335" s="388"/>
      <c r="G1335" s="820" t="s">
        <v>3330</v>
      </c>
      <c r="J1335" s="650"/>
    </row>
    <row r="1336" spans="1:10" x14ac:dyDescent="0.2">
      <c r="B1336" s="190" t="str">
        <f>IF(LEN('Ch6'!H1096)=0,"",'Ch6'!H1096)</f>
        <v/>
      </c>
      <c r="C1336" s="190" t="str">
        <f t="shared" si="54"/>
        <v/>
      </c>
      <c r="D1336" s="70"/>
      <c r="E1336" s="388"/>
      <c r="F1336" s="388"/>
      <c r="G1336" s="820"/>
      <c r="J1336" s="650"/>
    </row>
    <row r="1337" spans="1:10" x14ac:dyDescent="0.2">
      <c r="B1337" s="190" t="str">
        <f>IF(LEN('Ch6'!H1097)=0,"",'Ch6'!H1097)</f>
        <v/>
      </c>
      <c r="C1337" s="190" t="str">
        <f t="shared" si="54"/>
        <v/>
      </c>
      <c r="D1337" s="70"/>
      <c r="E1337" s="388"/>
      <c r="F1337" s="388"/>
      <c r="G1337" s="820"/>
      <c r="J1337" s="650"/>
    </row>
    <row r="1338" spans="1:10" x14ac:dyDescent="0.2">
      <c r="A1338" s="294" t="str">
        <f>IF('Ch10'!O167&gt;0,"P","")</f>
        <v/>
      </c>
      <c r="B1338" s="190" t="str">
        <f>IF(LEN('Ch6'!H1098)=0,"",'Ch6'!H1098)</f>
        <v/>
      </c>
      <c r="C1338" s="190" t="str">
        <f t="shared" si="54"/>
        <v/>
      </c>
      <c r="D1338" s="107" t="s">
        <v>3331</v>
      </c>
      <c r="E1338" s="345"/>
      <c r="F1338" s="345"/>
      <c r="G1338" s="178" t="s">
        <v>3332</v>
      </c>
      <c r="I1338" s="56">
        <f>'Ch10'!O167</f>
        <v>0</v>
      </c>
      <c r="J1338" s="650"/>
    </row>
    <row r="1339" spans="1:10" x14ac:dyDescent="0.2">
      <c r="A1339" s="294" t="str">
        <f>IF(AND(LEN('Ch10'!W168)&gt;0,NOT('Ch10'!W168=FALSE)),"P","")</f>
        <v/>
      </c>
      <c r="B1339" s="190" t="str">
        <f>IF(LEN('Ch6'!H1099)=0,"",'Ch6'!H1099)</f>
        <v/>
      </c>
      <c r="C1339" s="190" t="str">
        <f t="shared" si="54"/>
        <v/>
      </c>
      <c r="D1339" s="107"/>
      <c r="E1339" s="347" t="s">
        <v>2181</v>
      </c>
      <c r="F1339" s="388"/>
      <c r="G1339" s="820" t="s">
        <v>3334</v>
      </c>
      <c r="H1339" s="56">
        <f>'Ch10'!W168</f>
        <v>0</v>
      </c>
      <c r="J1339" s="889" t="s">
        <v>3511</v>
      </c>
    </row>
    <row r="1340" spans="1:10" x14ac:dyDescent="0.2">
      <c r="A1340" s="294" t="str">
        <f>A1339</f>
        <v/>
      </c>
      <c r="B1340" s="190" t="str">
        <f>IF(LEN('Ch6'!H1100)=0,"",'Ch6'!H1100)</f>
        <v/>
      </c>
      <c r="C1340" s="190" t="str">
        <f t="shared" si="54"/>
        <v/>
      </c>
      <c r="D1340" s="107"/>
      <c r="E1340" s="366"/>
      <c r="F1340" s="160"/>
      <c r="G1340" s="832"/>
      <c r="J1340" s="889"/>
    </row>
    <row r="1341" spans="1:10" x14ac:dyDescent="0.2">
      <c r="A1341" s="294" t="str">
        <f>IF(AND(LEN('Ch10'!W170)&gt;0,NOT('Ch10'!W170=FALSE)),"P","")</f>
        <v/>
      </c>
      <c r="B1341" s="190" t="str">
        <f>IF(LEN('Ch6'!H1101)=0,"",'Ch6'!H1101)</f>
        <v/>
      </c>
      <c r="C1341" s="190" t="str">
        <f t="shared" si="54"/>
        <v/>
      </c>
      <c r="D1341" s="107"/>
      <c r="E1341" s="378" t="s">
        <v>2183</v>
      </c>
      <c r="F1341" s="379"/>
      <c r="G1341" s="847" t="s">
        <v>3335</v>
      </c>
      <c r="H1341" s="56">
        <f>'Ch10'!W170</f>
        <v>0</v>
      </c>
      <c r="J1341" s="889" t="s">
        <v>3512</v>
      </c>
    </row>
    <row r="1342" spans="1:10" x14ac:dyDescent="0.2">
      <c r="A1342" s="294" t="str">
        <f>A1341</f>
        <v/>
      </c>
      <c r="B1342" s="190" t="str">
        <f>IF(LEN('Ch6'!H1102)=0,"",'Ch6'!H1102)</f>
        <v/>
      </c>
      <c r="C1342" s="190" t="str">
        <f t="shared" si="54"/>
        <v/>
      </c>
      <c r="D1342" s="107"/>
      <c r="E1342" s="347"/>
      <c r="F1342" s="388"/>
      <c r="G1342" s="820"/>
      <c r="J1342" s="889"/>
    </row>
    <row r="1343" spans="1:10" x14ac:dyDescent="0.2">
      <c r="A1343" s="294" t="str">
        <f>A1342</f>
        <v/>
      </c>
      <c r="B1343" s="190" t="str">
        <f>IF(LEN('Ch6'!H1103)=0,"",'Ch6'!H1103)</f>
        <v/>
      </c>
      <c r="C1343" s="190" t="str">
        <f t="shared" si="54"/>
        <v/>
      </c>
      <c r="D1343" s="107"/>
      <c r="E1343" s="366"/>
      <c r="F1343" s="160"/>
      <c r="G1343" s="832"/>
      <c r="J1343" s="889"/>
    </row>
    <row r="1344" spans="1:10" ht="15" customHeight="1" x14ac:dyDescent="0.2">
      <c r="A1344" s="294" t="str">
        <f>IF(AND(LEN('Ch10'!W173)&gt;0,NOT('Ch10'!W173=FALSE)),"P","")</f>
        <v/>
      </c>
      <c r="B1344" s="190" t="str">
        <f>IF(LEN('Ch6'!H1104)=0,"",'Ch6'!H1104)</f>
        <v/>
      </c>
      <c r="C1344" s="190" t="str">
        <f t="shared" si="54"/>
        <v/>
      </c>
      <c r="D1344" s="107"/>
      <c r="E1344" s="346" t="s">
        <v>2185</v>
      </c>
      <c r="F1344" s="345"/>
      <c r="G1344" s="775" t="s">
        <v>3336</v>
      </c>
      <c r="H1344" s="56">
        <f>'Ch10'!W173</f>
        <v>0</v>
      </c>
      <c r="J1344" s="902" t="s">
        <v>3513</v>
      </c>
    </row>
    <row r="1345" spans="1:10" x14ac:dyDescent="0.2">
      <c r="A1345" s="294" t="str">
        <f>A1344</f>
        <v/>
      </c>
      <c r="B1345" s="190" t="str">
        <f>IF(LEN('Ch6'!H1105)=0,"",'Ch6'!H1105)</f>
        <v/>
      </c>
      <c r="C1345" s="190" t="str">
        <f t="shared" si="54"/>
        <v/>
      </c>
      <c r="D1345" s="107"/>
      <c r="E1345" s="345"/>
      <c r="F1345" s="345"/>
      <c r="G1345" s="775"/>
      <c r="J1345" s="902"/>
    </row>
    <row r="1346" spans="1:10" x14ac:dyDescent="0.2">
      <c r="A1346" s="294" t="str">
        <f>A1345</f>
        <v/>
      </c>
      <c r="B1346" s="190" t="str">
        <f>IF(LEN('Ch6'!H1106)=0,"",'Ch6'!H1106)</f>
        <v/>
      </c>
      <c r="C1346" s="190" t="str">
        <f t="shared" si="54"/>
        <v/>
      </c>
      <c r="D1346" s="107"/>
      <c r="E1346" s="345"/>
      <c r="F1346" s="345"/>
      <c r="G1346" s="775"/>
      <c r="J1346" s="902"/>
    </row>
  </sheetData>
  <sheetProtection algorithmName="SHA-512" hashValue="8nZz7mtGGasm1UOQclwdCY5DqJLvvt5NJ7jM8Eqw1YVs71xab8U0q3LWwC9HyKbxc0mkkfo1Mta493+BAI7vaA==" saltValue="R7heepAKBTwhm5SleZcPcA==" spinCount="100000" sheet="1" objects="1" scenarios="1" selectLockedCells="1" autoFilter="0" selectUnlockedCells="1"/>
  <autoFilter ref="A6:C1346" xr:uid="{00000000-0009-0000-0000-000009000000}"/>
  <mergeCells count="521">
    <mergeCell ref="G268:G269"/>
    <mergeCell ref="G280:G281"/>
    <mergeCell ref="G293:G294"/>
    <mergeCell ref="G770:G775"/>
    <mergeCell ref="G748:G751"/>
    <mergeCell ref="G752:G753"/>
    <mergeCell ref="G754:G755"/>
    <mergeCell ref="G756:G760"/>
    <mergeCell ref="G761:G768"/>
    <mergeCell ref="G731:G732"/>
    <mergeCell ref="G733:G737"/>
    <mergeCell ref="G738:G741"/>
    <mergeCell ref="G742:G743"/>
    <mergeCell ref="G744:G745"/>
    <mergeCell ref="G709:G710"/>
    <mergeCell ref="G712:G716"/>
    <mergeCell ref="G718:G719"/>
    <mergeCell ref="G720:G722"/>
    <mergeCell ref="G729:G730"/>
    <mergeCell ref="G682:G684"/>
    <mergeCell ref="G685:G686"/>
    <mergeCell ref="G687:G694"/>
    <mergeCell ref="G699:G700"/>
    <mergeCell ref="G707:G708"/>
    <mergeCell ref="G651:G653"/>
    <mergeCell ref="G660:G666"/>
    <mergeCell ref="G667:G668"/>
    <mergeCell ref="G669:G672"/>
    <mergeCell ref="G673:G675"/>
    <mergeCell ref="G635:G636"/>
    <mergeCell ref="G637:G639"/>
    <mergeCell ref="G640:G641"/>
    <mergeCell ref="G643:G648"/>
    <mergeCell ref="G649:G650"/>
    <mergeCell ref="G618:G619"/>
    <mergeCell ref="G620:G621"/>
    <mergeCell ref="G623:G624"/>
    <mergeCell ref="G626:G628"/>
    <mergeCell ref="G629:G630"/>
    <mergeCell ref="G594:G595"/>
    <mergeCell ref="G597:G598"/>
    <mergeCell ref="G605:G606"/>
    <mergeCell ref="G608:G609"/>
    <mergeCell ref="G611:G614"/>
    <mergeCell ref="G561:G562"/>
    <mergeCell ref="G585:G586"/>
    <mergeCell ref="G588:G589"/>
    <mergeCell ref="G590:G591"/>
    <mergeCell ref="G592:G593"/>
    <mergeCell ref="G548:G549"/>
    <mergeCell ref="G550:G551"/>
    <mergeCell ref="G552:G553"/>
    <mergeCell ref="G554:G556"/>
    <mergeCell ref="G558:G560"/>
    <mergeCell ref="G506:G507"/>
    <mergeCell ref="G509:G511"/>
    <mergeCell ref="G466:G467"/>
    <mergeCell ref="G488:G490"/>
    <mergeCell ref="G491:G493"/>
    <mergeCell ref="G495:G499"/>
    <mergeCell ref="G500:G501"/>
    <mergeCell ref="G504:G505"/>
    <mergeCell ref="G481:G484"/>
    <mergeCell ref="G485:G486"/>
    <mergeCell ref="G523:G524"/>
    <mergeCell ref="G527:G528"/>
    <mergeCell ref="G532:G533"/>
    <mergeCell ref="G537:G542"/>
    <mergeCell ref="G543:G546"/>
    <mergeCell ref="G512:G514"/>
    <mergeCell ref="G516:G518"/>
    <mergeCell ref="G519:G520"/>
    <mergeCell ref="G534:G536"/>
    <mergeCell ref="G446:G447"/>
    <mergeCell ref="G402:G403"/>
    <mergeCell ref="G404:G405"/>
    <mergeCell ref="G406:G409"/>
    <mergeCell ref="G410:G412"/>
    <mergeCell ref="G414:G418"/>
    <mergeCell ref="G471:G474"/>
    <mergeCell ref="G475:G476"/>
    <mergeCell ref="G477:G478"/>
    <mergeCell ref="G419:G421"/>
    <mergeCell ref="G432:G433"/>
    <mergeCell ref="G448:G449"/>
    <mergeCell ref="G451:G456"/>
    <mergeCell ref="G462:G463"/>
    <mergeCell ref="G464:G465"/>
    <mergeCell ref="G468:G469"/>
    <mergeCell ref="G399:G400"/>
    <mergeCell ref="G370:G371"/>
    <mergeCell ref="G376:G377"/>
    <mergeCell ref="G378:G380"/>
    <mergeCell ref="G381:G382"/>
    <mergeCell ref="G426:G427"/>
    <mergeCell ref="G434:G436"/>
    <mergeCell ref="G438:G441"/>
    <mergeCell ref="G443:G445"/>
    <mergeCell ref="G372:G373"/>
    <mergeCell ref="G384:G387"/>
    <mergeCell ref="G388:G391"/>
    <mergeCell ref="G392:G394"/>
    <mergeCell ref="G397:G398"/>
    <mergeCell ref="G320:G321"/>
    <mergeCell ref="G322:G326"/>
    <mergeCell ref="G327:G329"/>
    <mergeCell ref="G368:G369"/>
    <mergeCell ref="G363:G367"/>
    <mergeCell ref="G299:G301"/>
    <mergeCell ref="G304:G305"/>
    <mergeCell ref="G309:G310"/>
    <mergeCell ref="G313:G314"/>
    <mergeCell ref="G315:G316"/>
    <mergeCell ref="G348:G349"/>
    <mergeCell ref="G351:G353"/>
    <mergeCell ref="G355:G358"/>
    <mergeCell ref="G359:G360"/>
    <mergeCell ref="G331:G332"/>
    <mergeCell ref="G335:G337"/>
    <mergeCell ref="G339:G341"/>
    <mergeCell ref="G342:G344"/>
    <mergeCell ref="G238:G240"/>
    <mergeCell ref="G241:G246"/>
    <mergeCell ref="A1:A5"/>
    <mergeCell ref="D1:G5"/>
    <mergeCell ref="G145:G146"/>
    <mergeCell ref="G149:G150"/>
    <mergeCell ref="G152:G153"/>
    <mergeCell ref="G154:G155"/>
    <mergeCell ref="G156:G157"/>
    <mergeCell ref="G134:G135"/>
    <mergeCell ref="G92:G94"/>
    <mergeCell ref="G95:G98"/>
    <mergeCell ref="G102:G103"/>
    <mergeCell ref="G107:G108"/>
    <mergeCell ref="G109:G110"/>
    <mergeCell ref="G111:G112"/>
    <mergeCell ref="G223:G226"/>
    <mergeCell ref="G228:G230"/>
    <mergeCell ref="G179:G180"/>
    <mergeCell ref="G187:G189"/>
    <mergeCell ref="G200:G202"/>
    <mergeCell ref="G75:G76"/>
    <mergeCell ref="G77:G78"/>
    <mergeCell ref="G80:G81"/>
    <mergeCell ref="G85:G88"/>
    <mergeCell ref="J1:J5"/>
    <mergeCell ref="J117:J118"/>
    <mergeCell ref="J119:J120"/>
    <mergeCell ref="J92:J94"/>
    <mergeCell ref="J64:J65"/>
    <mergeCell ref="J57:J58"/>
    <mergeCell ref="G57:G58"/>
    <mergeCell ref="G62:G63"/>
    <mergeCell ref="G64:G65"/>
    <mergeCell ref="G69:G70"/>
    <mergeCell ref="G72:G73"/>
    <mergeCell ref="J16:J17"/>
    <mergeCell ref="J14:J15"/>
    <mergeCell ref="J102:J103"/>
    <mergeCell ref="J95:J98"/>
    <mergeCell ref="J85:J88"/>
    <mergeCell ref="J80:J81"/>
    <mergeCell ref="J69:J70"/>
    <mergeCell ref="J55:J56"/>
    <mergeCell ref="J62:J63"/>
    <mergeCell ref="J30:J31"/>
    <mergeCell ref="J27:J29"/>
    <mergeCell ref="J18:J21"/>
    <mergeCell ref="G136:G138"/>
    <mergeCell ref="G139:G140"/>
    <mergeCell ref="G141:G142"/>
    <mergeCell ref="G143:G144"/>
    <mergeCell ref="G169:G170"/>
    <mergeCell ref="G171:G172"/>
    <mergeCell ref="G173:G175"/>
    <mergeCell ref="G176:G177"/>
    <mergeCell ref="G161:G164"/>
    <mergeCell ref="G166:G167"/>
    <mergeCell ref="G181:G182"/>
    <mergeCell ref="G183:G186"/>
    <mergeCell ref="G786:G788"/>
    <mergeCell ref="G789:G793"/>
    <mergeCell ref="G49:G50"/>
    <mergeCell ref="G8:G10"/>
    <mergeCell ref="G12:G13"/>
    <mergeCell ref="G14:G15"/>
    <mergeCell ref="G16:G17"/>
    <mergeCell ref="G18:G21"/>
    <mergeCell ref="G27:G29"/>
    <mergeCell ref="G30:G31"/>
    <mergeCell ref="G36:G39"/>
    <mergeCell ref="G41:G44"/>
    <mergeCell ref="G117:G118"/>
    <mergeCell ref="G119:G120"/>
    <mergeCell ref="G121:G122"/>
    <mergeCell ref="G129:G133"/>
    <mergeCell ref="G89:G91"/>
    <mergeCell ref="G51:G52"/>
    <mergeCell ref="G55:G56"/>
    <mergeCell ref="G205:G206"/>
    <mergeCell ref="G212:G213"/>
    <mergeCell ref="G159:G160"/>
    <mergeCell ref="G795:G797"/>
    <mergeCell ref="G801:G802"/>
    <mergeCell ref="G821:G823"/>
    <mergeCell ref="G824:G828"/>
    <mergeCell ref="G830:G831"/>
    <mergeCell ref="G833:G834"/>
    <mergeCell ref="G838:G839"/>
    <mergeCell ref="G840:G841"/>
    <mergeCell ref="J179:J180"/>
    <mergeCell ref="J181:J182"/>
    <mergeCell ref="G218:G219"/>
    <mergeCell ref="G220:G222"/>
    <mergeCell ref="G203:G204"/>
    <mergeCell ref="G270:G272"/>
    <mergeCell ref="G273:G275"/>
    <mergeCell ref="G277:G279"/>
    <mergeCell ref="G287:G289"/>
    <mergeCell ref="G290:G292"/>
    <mergeCell ref="G248:G251"/>
    <mergeCell ref="G252:G255"/>
    <mergeCell ref="G262:G263"/>
    <mergeCell ref="G264:G265"/>
    <mergeCell ref="G266:G267"/>
    <mergeCell ref="G318:G319"/>
    <mergeCell ref="G901:G904"/>
    <mergeCell ref="G905:G906"/>
    <mergeCell ref="G907:G908"/>
    <mergeCell ref="G910:G911"/>
    <mergeCell ref="G876:G881"/>
    <mergeCell ref="G882:G883"/>
    <mergeCell ref="G884:G885"/>
    <mergeCell ref="G845:G846"/>
    <mergeCell ref="G848:G851"/>
    <mergeCell ref="G852:G853"/>
    <mergeCell ref="G854:G856"/>
    <mergeCell ref="G857:G858"/>
    <mergeCell ref="G861:G863"/>
    <mergeCell ref="G864:G866"/>
    <mergeCell ref="G867:G869"/>
    <mergeCell ref="G870:G875"/>
    <mergeCell ref="G893:G896"/>
    <mergeCell ref="G889:G891"/>
    <mergeCell ref="G918:G921"/>
    <mergeCell ref="G922:G924"/>
    <mergeCell ref="G929:G930"/>
    <mergeCell ref="G931:G933"/>
    <mergeCell ref="G934:G935"/>
    <mergeCell ref="G936:G938"/>
    <mergeCell ref="G939:G940"/>
    <mergeCell ref="G941:G942"/>
    <mergeCell ref="G946:G947"/>
    <mergeCell ref="G948:G949"/>
    <mergeCell ref="G950:G955"/>
    <mergeCell ref="G957:G960"/>
    <mergeCell ref="G970:G971"/>
    <mergeCell ref="G974:G975"/>
    <mergeCell ref="G977:G978"/>
    <mergeCell ref="G980:G981"/>
    <mergeCell ref="G982:G984"/>
    <mergeCell ref="G961:G964"/>
    <mergeCell ref="G985:G986"/>
    <mergeCell ref="G987:G991"/>
    <mergeCell ref="G992:G993"/>
    <mergeCell ref="G994:G997"/>
    <mergeCell ref="G1007:G1008"/>
    <mergeCell ref="G1009:G1014"/>
    <mergeCell ref="G1015:G1018"/>
    <mergeCell ref="G1019:G1020"/>
    <mergeCell ref="G1021:G1022"/>
    <mergeCell ref="G1026:G1027"/>
    <mergeCell ref="G1028:G1029"/>
    <mergeCell ref="G1031:G1036"/>
    <mergeCell ref="G1040:G1043"/>
    <mergeCell ref="G1044:G1048"/>
    <mergeCell ref="G1050:G1052"/>
    <mergeCell ref="G1054:G1058"/>
    <mergeCell ref="G1059:G1060"/>
    <mergeCell ref="G1061:G1062"/>
    <mergeCell ref="G1037:G1039"/>
    <mergeCell ref="G1203:G1204"/>
    <mergeCell ref="G1207:G1208"/>
    <mergeCell ref="G1209:G1212"/>
    <mergeCell ref="G1260:G1261"/>
    <mergeCell ref="G1067:G1068"/>
    <mergeCell ref="G1069:G1070"/>
    <mergeCell ref="G1077:G1078"/>
    <mergeCell ref="G1079:G1080"/>
    <mergeCell ref="G1081:G1082"/>
    <mergeCell ref="G1083:G1085"/>
    <mergeCell ref="G1086:G1087"/>
    <mergeCell ref="G1090:G1091"/>
    <mergeCell ref="G1071:G1072"/>
    <mergeCell ref="G1229:G1230"/>
    <mergeCell ref="G1188:G1191"/>
    <mergeCell ref="G1194:G1195"/>
    <mergeCell ref="G1196:G1197"/>
    <mergeCell ref="G1164:G1168"/>
    <mergeCell ref="G1169:G1171"/>
    <mergeCell ref="G1173:G1177"/>
    <mergeCell ref="G1178:G1179"/>
    <mergeCell ref="G1181:G1182"/>
    <mergeCell ref="G1183:G1184"/>
    <mergeCell ref="G1115:G1116"/>
    <mergeCell ref="J368:J369"/>
    <mergeCell ref="J335:J337"/>
    <mergeCell ref="G1344:G1346"/>
    <mergeCell ref="G1220:G1221"/>
    <mergeCell ref="G1223:G1224"/>
    <mergeCell ref="G1225:G1226"/>
    <mergeCell ref="G1227:G1228"/>
    <mergeCell ref="G1233:G1236"/>
    <mergeCell ref="G1245:G1250"/>
    <mergeCell ref="G1251:G1252"/>
    <mergeCell ref="G1254:G1256"/>
    <mergeCell ref="G1257:G1259"/>
    <mergeCell ref="G1269:G1271"/>
    <mergeCell ref="G1273:G1274"/>
    <mergeCell ref="G1275:G1277"/>
    <mergeCell ref="G1278:G1279"/>
    <mergeCell ref="G1280:G1282"/>
    <mergeCell ref="G1283:G1284"/>
    <mergeCell ref="G1286:G1287"/>
    <mergeCell ref="G1288:G1289"/>
    <mergeCell ref="G1296:G1298"/>
    <mergeCell ref="G1156:G1157"/>
    <mergeCell ref="G1159:G1160"/>
    <mergeCell ref="G1162:G1163"/>
    <mergeCell ref="G1263:G1264"/>
    <mergeCell ref="G1267:G1268"/>
    <mergeCell ref="G1322:G1326"/>
    <mergeCell ref="G1335:G1337"/>
    <mergeCell ref="G1339:G1340"/>
    <mergeCell ref="G1341:G1343"/>
    <mergeCell ref="G1213:G1214"/>
    <mergeCell ref="G1215:G1216"/>
    <mergeCell ref="G1218:G1219"/>
    <mergeCell ref="G1300:G1301"/>
    <mergeCell ref="G1302:G1305"/>
    <mergeCell ref="G1313:G1314"/>
    <mergeCell ref="G1316:G1317"/>
    <mergeCell ref="G1291:G1293"/>
    <mergeCell ref="G1294:G1295"/>
    <mergeCell ref="J238:J240"/>
    <mergeCell ref="J228:J230"/>
    <mergeCell ref="J218:J219"/>
    <mergeCell ref="J36:J39"/>
    <mergeCell ref="J49:J50"/>
    <mergeCell ref="J51:J52"/>
    <mergeCell ref="J143:J144"/>
    <mergeCell ref="J191:J197"/>
    <mergeCell ref="J187:J189"/>
    <mergeCell ref="J212:J213"/>
    <mergeCell ref="J205:J206"/>
    <mergeCell ref="J136:J138"/>
    <mergeCell ref="J134:J135"/>
    <mergeCell ref="J129:J133"/>
    <mergeCell ref="J183:J186"/>
    <mergeCell ref="J121:J122"/>
    <mergeCell ref="J111:J112"/>
    <mergeCell ref="J107:J108"/>
    <mergeCell ref="J141:J142"/>
    <mergeCell ref="J139:J140"/>
    <mergeCell ref="J154:J155"/>
    <mergeCell ref="J161:J164"/>
    <mergeCell ref="J169:J170"/>
    <mergeCell ref="J171:J172"/>
    <mergeCell ref="J1183:J1191"/>
    <mergeCell ref="J1137:J1138"/>
    <mergeCell ref="J75:J76"/>
    <mergeCell ref="J1344:J1346"/>
    <mergeCell ref="J1322:J1326"/>
    <mergeCell ref="J1296:J1301"/>
    <mergeCell ref="J1339:J1340"/>
    <mergeCell ref="J1341:J1343"/>
    <mergeCell ref="J1269:J1277"/>
    <mergeCell ref="J1251:J1261"/>
    <mergeCell ref="J1059:J1060"/>
    <mergeCell ref="J1061:J1062"/>
    <mergeCell ref="J1077:J1080"/>
    <mergeCell ref="J1090:J1091"/>
    <mergeCell ref="J1086:J1087"/>
    <mergeCell ref="J1083:J1085"/>
    <mergeCell ref="J1081:J1082"/>
    <mergeCell ref="J1065:J1066"/>
    <mergeCell ref="J1233:J1236"/>
    <mergeCell ref="J1178:J1179"/>
    <mergeCell ref="J1173:J1177"/>
    <mergeCell ref="J1169:J1171"/>
    <mergeCell ref="J1164:J1168"/>
    <mergeCell ref="J1156:J1160"/>
    <mergeCell ref="J1144:J1145"/>
    <mergeCell ref="J1142:J1143"/>
    <mergeCell ref="J1139:J1141"/>
    <mergeCell ref="J1133:J1134"/>
    <mergeCell ref="J1124:J1126"/>
    <mergeCell ref="J1121:J1123"/>
    <mergeCell ref="J1119:J1120"/>
    <mergeCell ref="J1109:J1112"/>
    <mergeCell ref="J1099:J1100"/>
    <mergeCell ref="J985:J986"/>
    <mergeCell ref="J1009:J1014"/>
    <mergeCell ref="J1026:J1027"/>
    <mergeCell ref="J1031:J1036"/>
    <mergeCell ref="J1054:J1058"/>
    <mergeCell ref="J1040:J1043"/>
    <mergeCell ref="J1019:J1020"/>
    <mergeCell ref="J987:J1004"/>
    <mergeCell ref="J982:J984"/>
    <mergeCell ref="J980:J981"/>
    <mergeCell ref="J974:J975"/>
    <mergeCell ref="J950:J955"/>
    <mergeCell ref="J948:J949"/>
    <mergeCell ref="J946:J947"/>
    <mergeCell ref="J941:J942"/>
    <mergeCell ref="J870:J875"/>
    <mergeCell ref="J840:J841"/>
    <mergeCell ref="J939:J940"/>
    <mergeCell ref="J961:J964"/>
    <mergeCell ref="J936:J938"/>
    <mergeCell ref="J931:J933"/>
    <mergeCell ref="J922:J924"/>
    <mergeCell ref="J918:J921"/>
    <mergeCell ref="J910:J911"/>
    <mergeCell ref="J907:J909"/>
    <mergeCell ref="J901:J904"/>
    <mergeCell ref="J934:J935"/>
    <mergeCell ref="J876:J881"/>
    <mergeCell ref="J594:J595"/>
    <mergeCell ref="J561:J562"/>
    <mergeCell ref="J552:J553"/>
    <mergeCell ref="J537:J542"/>
    <mergeCell ref="J824:J828"/>
    <mergeCell ref="J801:J802"/>
    <mergeCell ref="J687:J694"/>
    <mergeCell ref="J673:J675"/>
    <mergeCell ref="J712:J716"/>
    <mergeCell ref="J770:J775"/>
    <mergeCell ref="J761:J768"/>
    <mergeCell ref="J731:J732"/>
    <mergeCell ref="J720:J722"/>
    <mergeCell ref="J786:J788"/>
    <mergeCell ref="J789:J793"/>
    <mergeCell ref="J649:J650"/>
    <mergeCell ref="J804:J808"/>
    <mergeCell ref="J635:J636"/>
    <mergeCell ref="J626:J628"/>
    <mergeCell ref="J370:J371"/>
    <mergeCell ref="J355:J358"/>
    <mergeCell ref="J339:J341"/>
    <mergeCell ref="J145:J146"/>
    <mergeCell ref="J304:J305"/>
    <mergeCell ref="J348:J349"/>
    <mergeCell ref="G779:G784"/>
    <mergeCell ref="G798:G800"/>
    <mergeCell ref="G887:G888"/>
    <mergeCell ref="J795:J797"/>
    <mergeCell ref="J176:J177"/>
    <mergeCell ref="J495:J499"/>
    <mergeCell ref="J491:J493"/>
    <mergeCell ref="J481:J484"/>
    <mergeCell ref="J506:J507"/>
    <mergeCell ref="J512:J514"/>
    <mergeCell ref="J399:J400"/>
    <mergeCell ref="J404:J405"/>
    <mergeCell ref="J464:J465"/>
    <mergeCell ref="J475:J476"/>
    <mergeCell ref="J471:J474"/>
    <mergeCell ref="J623:J624"/>
    <mergeCell ref="J618:J619"/>
    <mergeCell ref="J611:J614"/>
    <mergeCell ref="G46:G47"/>
    <mergeCell ref="J46:J47"/>
    <mergeCell ref="B1:B5"/>
    <mergeCell ref="G1199:G1200"/>
    <mergeCell ref="C1:C5"/>
    <mergeCell ref="G1124:G1126"/>
    <mergeCell ref="G1127:G1129"/>
    <mergeCell ref="G1135:G1136"/>
    <mergeCell ref="G1137:G1138"/>
    <mergeCell ref="G1139:G1141"/>
    <mergeCell ref="G1142:G1143"/>
    <mergeCell ref="G1144:G1145"/>
    <mergeCell ref="G1149:G1150"/>
    <mergeCell ref="G1154:G1155"/>
    <mergeCell ref="G1099:G1100"/>
    <mergeCell ref="G1101:G1102"/>
    <mergeCell ref="G1103:G1104"/>
    <mergeCell ref="G1105:G1107"/>
    <mergeCell ref="G1109:G1112"/>
    <mergeCell ref="J523:J524"/>
    <mergeCell ref="J519:J520"/>
    <mergeCell ref="J500:J501"/>
    <mergeCell ref="J402:J403"/>
    <mergeCell ref="J342:J344"/>
    <mergeCell ref="G1113:G1114"/>
    <mergeCell ref="J882:J883"/>
    <mergeCell ref="G1121:G1123"/>
    <mergeCell ref="G1065:G1066"/>
    <mergeCell ref="J156:J157"/>
    <mergeCell ref="J273:J275"/>
    <mergeCell ref="J322:J326"/>
    <mergeCell ref="J270:J272"/>
    <mergeCell ref="J252:J255"/>
    <mergeCell ref="J241:J246"/>
    <mergeCell ref="J295:J297"/>
    <mergeCell ref="J299:J301"/>
    <mergeCell ref="J287:J289"/>
    <mergeCell ref="J277:J279"/>
    <mergeCell ref="J397:J398"/>
    <mergeCell ref="J381:J382"/>
    <mergeCell ref="J468:J469"/>
    <mergeCell ref="J451:J456"/>
    <mergeCell ref="J414:J418"/>
    <mergeCell ref="J410:J412"/>
    <mergeCell ref="J406:J409"/>
    <mergeCell ref="G804:G808"/>
    <mergeCell ref="G1119:G1120"/>
    <mergeCell ref="J351:J353"/>
  </mergeCells>
  <conditionalFormatting sqref="G262:G263">
    <cfRule type="expression" dxfId="1699" priority="1167">
      <formula>AR262&gt;4099</formula>
    </cfRule>
  </conditionalFormatting>
  <hyperlinks>
    <hyperlink ref="G383" location="'Figure 6(3)'!A1" display="See Figure 6(3)" xr:uid="{00000000-0004-0000-0900-000000000000}"/>
    <hyperlink ref="G375" location="'Figure 6(3)'!A1" display="See Figure 6(3)" xr:uid="{00000000-0004-0000-0900-000001000000}"/>
    <hyperlink ref="G470" location="'Table 602.1.12'!A1" display="See Table 602.1.12" xr:uid="{00000000-0004-0000-0900-000002000000}"/>
    <hyperlink ref="G526" location="'Table 604.1'!A1" display="See Table 604.1" xr:uid="{00000000-0004-0000-0900-000003000000}"/>
    <hyperlink ref="G842" location="'Table 701.4.3.2(2)'!A1" display="See Table 701.4.3.2(2)" xr:uid="{00000000-0004-0000-0900-000004000000}"/>
    <hyperlink ref="G1025" location="'Table 901.9.1'!A1" display="See Table 901.9.1" xr:uid="{00000000-0004-0000-0900-000005000000}"/>
    <hyperlink ref="G1030" location="'Table 901.9.2'!A1" display="See Table 901.9.2" xr:uid="{00000000-0004-0000-0900-000006000000}"/>
    <hyperlink ref="G1053" location="'Table 901.10(3)'!A1" display="See Table 901.10(3)" xr:uid="{00000000-0004-0000-0900-000007000000}"/>
    <hyperlink ref="J1344" r:id="rId1" display="http://www.ngbs.com/" xr:uid="{00000000-0004-0000-0900-000008000000}"/>
    <hyperlink ref="G897" location="'Table 703.2.5.1'!A1" display="See Table 703.2.5.1" xr:uid="{D68B817D-DEED-4E88-B8D1-3BDFDC513040}"/>
    <hyperlink ref="G892" location="'Table 703.2.5.1'!A1" display="See Table 703.2.5.1" xr:uid="{827446FE-8BFF-484F-AA8C-E3D25006C58F}"/>
  </hyperlinks>
  <pageMargins left="0.7" right="0.7" top="0.75" bottom="0.75" header="0.3" footer="0.3"/>
  <pageSetup scale="52" fitToHeight="0" orientation="portrait" r:id="rId2"/>
  <rowBreaks count="19" manualBreakCount="19">
    <brk id="84" min="1" max="9" man="1"/>
    <brk id="157" min="1" max="9" man="1"/>
    <brk id="198" min="1" max="9" man="1"/>
    <brk id="246" min="1" max="9" man="1"/>
    <brk id="329" min="1" max="9" man="1"/>
    <brk id="413" min="1" max="9" man="1"/>
    <brk id="502" max="16383" man="1"/>
    <brk id="574" min="1" max="9" man="1"/>
    <brk id="641" min="1" max="9" man="1"/>
    <brk id="710" min="1" max="9" man="1"/>
    <brk id="776" min="1" max="9" man="1"/>
    <brk id="820" min="1" max="9" man="1"/>
    <brk id="897" min="1" max="9" man="1"/>
    <brk id="984" min="1" max="9" man="1"/>
    <brk id="1072" max="16383" man="1"/>
    <brk id="1145" min="1" max="9" man="1"/>
    <brk id="1179" min="1" max="9" man="1"/>
    <brk id="1243" min="1" max="9" man="1"/>
    <brk id="1321" min="1" max="9" man="1"/>
  </row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1"/>
    <pageSetUpPr fitToPage="1"/>
  </sheetPr>
  <dimension ref="A2:DD39"/>
  <sheetViews>
    <sheetView topLeftCell="EK1" zoomScaleNormal="100" workbookViewId="0">
      <selection activeCell="CB10" sqref="CB10"/>
    </sheetView>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25.83203125" hidden="1" customWidth="1"/>
    <col min="6" max="8" width="24.5" hidden="1" customWidth="1"/>
    <col min="9" max="9" width="13.33203125" hidden="1" customWidth="1"/>
    <col min="10" max="10" width="13.33203125" style="200" hidden="1" customWidth="1"/>
    <col min="11" max="13" width="24.5" style="199" hidden="1" customWidth="1"/>
    <col min="14" max="14" width="21.83203125" style="200" hidden="1" customWidth="1"/>
    <col min="15" max="15" width="13.6640625" hidden="1" customWidth="1"/>
    <col min="16" max="16" width="20.33203125" hidden="1" customWidth="1"/>
    <col min="17" max="17" width="7.5" hidden="1" customWidth="1"/>
    <col min="18" max="18" width="17.6640625" hidden="1" customWidth="1"/>
    <col min="19" max="19" width="18.83203125" hidden="1" customWidth="1"/>
    <col min="20" max="20" width="14.5" hidden="1" customWidth="1"/>
    <col min="21" max="21" width="12.5" hidden="1" customWidth="1"/>
    <col min="22" max="22" width="10.6640625" hidden="1" customWidth="1"/>
    <col min="23" max="23" width="18.1640625" style="5" hidden="1" customWidth="1"/>
    <col min="24" max="24" width="8.33203125" style="5" hidden="1" customWidth="1"/>
    <col min="25" max="25" width="9.5" hidden="1" customWidth="1"/>
    <col min="26" max="26" width="14" hidden="1" customWidth="1"/>
    <col min="27" max="27" width="15.33203125" hidden="1" customWidth="1"/>
    <col min="28" max="28" width="10.6640625" hidden="1" customWidth="1"/>
    <col min="29" max="31" width="10.33203125" hidden="1" customWidth="1"/>
    <col min="32" max="32" width="9.6640625" hidden="1" customWidth="1"/>
    <col min="33" max="36" width="10.33203125" hidden="1" customWidth="1"/>
    <col min="37" max="37" width="8.33203125" hidden="1" customWidth="1"/>
    <col min="38" max="38" width="12.6640625" hidden="1" customWidth="1"/>
    <col min="39" max="39" width="10.33203125" hidden="1" customWidth="1"/>
    <col min="40" max="40" width="10.5" hidden="1" customWidth="1"/>
    <col min="41" max="41" width="10.1640625" hidden="1" customWidth="1"/>
    <col min="42" max="43" width="10.5" hidden="1" customWidth="1"/>
    <col min="44" max="45" width="12.33203125" style="482" hidden="1" customWidth="1"/>
    <col min="46" max="46" width="14.5" hidden="1" customWidth="1"/>
    <col min="47" max="47" width="14.5" style="108" hidden="1" customWidth="1"/>
    <col min="48" max="48" width="18" style="108" hidden="1" customWidth="1"/>
    <col min="49" max="49" width="14.5" style="108" hidden="1" customWidth="1"/>
    <col min="50" max="50" width="10.33203125" style="108" hidden="1" customWidth="1"/>
    <col min="51" max="51" width="12.33203125" style="484" hidden="1" customWidth="1"/>
    <col min="52" max="52" width="12.33203125" style="108" hidden="1" customWidth="1"/>
    <col min="53" max="53" width="15.33203125" style="108" hidden="1" customWidth="1"/>
    <col min="54" max="55" width="11.33203125" style="108" hidden="1" customWidth="1"/>
    <col min="56" max="56" width="13.5" style="108" hidden="1" customWidth="1"/>
    <col min="57" max="58" width="13.83203125" style="108" hidden="1" customWidth="1"/>
    <col min="59" max="64" width="13.83203125" style="117" hidden="1" customWidth="1"/>
    <col min="65" max="65" width="11.33203125" style="117" hidden="1" customWidth="1"/>
    <col min="66" max="66" width="11.5" style="117" hidden="1" customWidth="1"/>
    <col min="67" max="67" width="11.33203125" style="117" hidden="1" customWidth="1"/>
    <col min="68" max="68" width="11.5" style="117" hidden="1" customWidth="1"/>
    <col min="69" max="70" width="11.6640625" style="117" hidden="1" customWidth="1"/>
    <col min="71" max="72" width="15.5" style="117" hidden="1" customWidth="1"/>
    <col min="73" max="73" width="14.6640625" style="117" hidden="1" customWidth="1"/>
    <col min="74" max="74" width="13.5" style="117" hidden="1" customWidth="1"/>
    <col min="75" max="78" width="18.6640625" style="117" hidden="1" customWidth="1"/>
    <col min="79" max="79" width="8.33203125" style="117" hidden="1" customWidth="1"/>
    <col min="80" max="80" width="11" style="528" hidden="1" customWidth="1"/>
    <col min="81" max="81" width="21.6640625" hidden="1" customWidth="1"/>
    <col min="82" max="82" width="14.5" hidden="1" customWidth="1"/>
    <col min="83" max="83" width="12.33203125" style="506" hidden="1" customWidth="1"/>
    <col min="84" max="84" width="15.6640625" hidden="1" customWidth="1"/>
    <col min="85" max="86" width="12.33203125" hidden="1" customWidth="1"/>
    <col min="87" max="88" width="10.33203125" hidden="1" customWidth="1"/>
    <col min="89" max="94" width="12.33203125" hidden="1" customWidth="1"/>
    <col min="95" max="95" width="12.5" hidden="1" customWidth="1"/>
    <col min="96" max="96" width="10.33203125" hidden="1" customWidth="1"/>
    <col min="97" max="97" width="10.33203125" style="223" hidden="1" customWidth="1"/>
    <col min="98" max="98" width="10.5" style="223" hidden="1" customWidth="1"/>
    <col min="99" max="99" width="10.1640625" style="223" hidden="1" customWidth="1"/>
    <col min="100" max="100" width="10.1640625" style="498" hidden="1" customWidth="1"/>
    <col min="101" max="101" width="10.5" style="223" hidden="1" customWidth="1"/>
    <col min="102" max="102" width="10.5" style="497" hidden="1" customWidth="1"/>
    <col min="103" max="103" width="10.6640625" style="338" hidden="1" customWidth="1"/>
    <col min="104" max="104" width="11.33203125" hidden="1" customWidth="1"/>
    <col min="105" max="106" width="10.33203125" hidden="1" customWidth="1"/>
    <col min="107" max="108" width="8.33203125" hidden="1" customWidth="1"/>
    <col min="109" max="140" width="0" hidden="1" customWidth="1"/>
  </cols>
  <sheetData>
    <row r="2" spans="1:107" x14ac:dyDescent="0.2">
      <c r="A2" s="562" t="s">
        <v>3514</v>
      </c>
      <c r="B2" s="562" t="s">
        <v>3515</v>
      </c>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t="s">
        <v>3516</v>
      </c>
      <c r="AC2" s="562"/>
      <c r="AD2" s="562"/>
      <c r="AE2" s="562"/>
      <c r="AF2" s="562"/>
      <c r="AG2" s="562"/>
      <c r="AH2" s="562"/>
      <c r="AI2" s="562"/>
      <c r="AJ2" s="562"/>
      <c r="AK2" s="562"/>
      <c r="AL2" s="562" t="s">
        <v>3517</v>
      </c>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t="s">
        <v>3518</v>
      </c>
      <c r="CC2" s="562"/>
      <c r="CD2" s="562"/>
      <c r="CE2" s="562"/>
      <c r="CF2" s="562" t="s">
        <v>3519</v>
      </c>
      <c r="CG2" s="562"/>
      <c r="CH2" s="562"/>
      <c r="CI2" s="562"/>
      <c r="CJ2" s="562"/>
      <c r="CK2" s="562"/>
      <c r="CL2" s="562"/>
      <c r="CM2" s="562"/>
      <c r="CN2" s="562"/>
      <c r="CO2" s="562"/>
      <c r="CP2" s="562"/>
      <c r="CQ2" s="562"/>
      <c r="CR2" s="562"/>
      <c r="CS2" s="562"/>
      <c r="CT2" s="562"/>
      <c r="CU2" s="562"/>
      <c r="CV2" s="562"/>
      <c r="CW2" s="562"/>
      <c r="CX2" s="562"/>
      <c r="CY2" s="562"/>
      <c r="CZ2" s="562"/>
      <c r="DA2" s="562"/>
      <c r="DB2" s="562"/>
      <c r="DC2" s="562"/>
    </row>
    <row r="3" spans="1:107" x14ac:dyDescent="0.2">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c r="CZ3" s="562"/>
      <c r="DA3" s="562"/>
      <c r="DB3" s="562"/>
      <c r="DC3" s="562"/>
    </row>
    <row r="4" spans="1:107" x14ac:dyDescent="0.2">
      <c r="A4" s="562" t="s">
        <v>3520</v>
      </c>
      <c r="B4" s="1" t="s">
        <v>3521</v>
      </c>
      <c r="C4" s="1"/>
      <c r="D4" s="562" t="str">
        <f>'Overview (Design)'!E16</f>
        <v>ddSingleOrMulti</v>
      </c>
      <c r="E4" s="562" t="str">
        <f>'Overview (Design)'!E28</f>
        <v>ddFoundation</v>
      </c>
      <c r="F4" s="562" t="str">
        <f>'Overview (Design)'!E30</f>
        <v>ddHeat1</v>
      </c>
      <c r="G4" s="562" t="str">
        <f>'Overview (Design)'!E31</f>
        <v>ddHeat2</v>
      </c>
      <c r="H4" s="562" t="str">
        <f>'Overview (Design)'!E32</f>
        <v>ddHeat3</v>
      </c>
      <c r="I4" s="562" t="str">
        <f>'Overview (Design)'!E33</f>
        <v>ddFuel</v>
      </c>
      <c r="J4" s="562" t="str">
        <f>'Overview (Design)'!E34</f>
        <v>ddHDucts</v>
      </c>
      <c r="K4" s="562" t="str">
        <f>'Overview (Design)'!E35</f>
        <v>ddCool1</v>
      </c>
      <c r="L4" s="562" t="str">
        <f>'Overview (Design)'!E36</f>
        <v>ddCool2</v>
      </c>
      <c r="M4" s="562" t="str">
        <f>'Overview (Design)'!E37</f>
        <v>ddCool3</v>
      </c>
      <c r="N4" s="562" t="str">
        <f>'Overview (Design)'!E38</f>
        <v>ddCDucts</v>
      </c>
      <c r="O4" s="562" t="str">
        <f>'Overview (Design)'!E44</f>
        <v>ddRenewable</v>
      </c>
      <c r="P4" s="562" t="str">
        <f>'Overview (Design)'!E45</f>
        <v>ddTEInsulation</v>
      </c>
      <c r="Q4" s="562" t="str">
        <f>'Overview (Design)'!E46</f>
        <v>ddAttic</v>
      </c>
      <c r="R4" s="562" t="str">
        <f>'Overview (Design)'!E47</f>
        <v>ddAttachedGarage</v>
      </c>
      <c r="S4" s="562" t="str">
        <f>'Overview (Design)'!E48</f>
        <v>ddRecessedLighting</v>
      </c>
      <c r="T4" s="562" t="str">
        <f>'Overview (Design)'!E51</f>
        <v>ddPassiveSolar</v>
      </c>
      <c r="U4" s="562" t="str">
        <f>'Overview (Design)'!E52</f>
        <v>ddMassWalls</v>
      </c>
      <c r="V4" s="562" t="str">
        <f>'Overview (Design)'!E53</f>
        <v>ddDuctless</v>
      </c>
      <c r="W4" s="562" t="str">
        <f>'Overview (Design)'!E54</f>
        <v>ddRadiantHydronic</v>
      </c>
      <c r="X4" s="562" t="str">
        <f>'Overview (Design)'!E55</f>
        <v>ddTLWH</v>
      </c>
      <c r="Y4" s="562" t="str">
        <f>'Overview (Design)'!E56</f>
        <v>ddCToilet</v>
      </c>
      <c r="Z4" s="562" t="str">
        <f>'Overview (Design)'!E58</f>
        <v>ddEnergyCode</v>
      </c>
      <c r="AA4" s="562" t="str">
        <f>'Overview (Design)'!E59</f>
        <v>ddBuildingCode</v>
      </c>
      <c r="AB4" s="562" t="str">
        <f>'Ch5'!U32</f>
        <v>dd501_2_5</v>
      </c>
      <c r="AC4" s="562" t="str">
        <f>'Ch5'!U66</f>
        <v>dd503_2_3</v>
      </c>
      <c r="AD4" s="562" t="str">
        <f>'Ch5'!U97</f>
        <v>dd503_4_2</v>
      </c>
      <c r="AE4" s="562" t="str">
        <f>'Ch5'!U104</f>
        <v>dd503_4_3</v>
      </c>
      <c r="AF4" s="562" t="str">
        <f>'Ch5'!U111</f>
        <v>dd503_5</v>
      </c>
      <c r="AG4" s="562" t="str">
        <f>'Ch5'!U113</f>
        <v>dd503_5_1</v>
      </c>
      <c r="AH4" s="562" t="str">
        <f>'Ch5'!U125</f>
        <v>dd503_5_5</v>
      </c>
      <c r="AI4" s="562" t="str">
        <f>'Ch5'!U210</f>
        <v>dd505_1_3</v>
      </c>
      <c r="AJ4" s="562" t="str">
        <f>'Ch5'!U214</f>
        <v>dd505_1_4</v>
      </c>
      <c r="AK4" s="562" t="str">
        <f>'Ch5'!U233</f>
        <v>dd505_3</v>
      </c>
      <c r="AL4" s="562" t="str">
        <f>'Ch6'!U62</f>
        <v>dd601,6</v>
      </c>
      <c r="AM4" s="562" t="str">
        <f>'Ch6'!U69</f>
        <v>dd601,7_a</v>
      </c>
      <c r="AN4" s="562" t="str">
        <f>'Ch6'!U70</f>
        <v>dd601,7_b</v>
      </c>
      <c r="AO4" s="562" t="str">
        <f>'Ch6'!U71</f>
        <v>dd601,7_c</v>
      </c>
      <c r="AP4" s="562" t="str">
        <f>'Ch6'!U75</f>
        <v>dd601,7_d</v>
      </c>
      <c r="AQ4" s="562" t="str">
        <f>'Ch6'!U77</f>
        <v>dd601,7_e</v>
      </c>
      <c r="AR4" s="562" t="str">
        <f>'Ch6'!U97</f>
        <v>dd602_1_1_1</v>
      </c>
      <c r="AS4" s="562" t="str">
        <f>'Ch6'!U110</f>
        <v>dd602_1_3_1</v>
      </c>
      <c r="AT4" s="562" t="str">
        <f>'Ch6'!U123</f>
        <v>dd602_1_4_1_2</v>
      </c>
      <c r="AU4" s="562" t="str">
        <f>'Ch6'!U132</f>
        <v>dd602_1_4_2_2</v>
      </c>
      <c r="AV4" s="562" t="str">
        <f>'Ch6'!U137</f>
        <v>dd602_1_5</v>
      </c>
      <c r="AW4" s="562" t="str">
        <f>'Ch6'!U161</f>
        <v>dd602_1_7_1_2</v>
      </c>
      <c r="AX4" s="562" t="str">
        <f>'Ch6'!U172</f>
        <v>dd602_1_8</v>
      </c>
      <c r="AY4" s="562" t="str">
        <f>'Ch6'!U184</f>
        <v>dd602_1_9_1</v>
      </c>
      <c r="AZ4" s="562" t="str">
        <f>'Ch6'!U204</f>
        <v>dd602_1_9_5</v>
      </c>
      <c r="BA4" s="562" t="str">
        <f>'Ch6'!U214</f>
        <v>dd602_1_10</v>
      </c>
      <c r="BB4" s="562" t="str">
        <f>'Ch6'!U226</f>
        <v>dd602_1_11</v>
      </c>
      <c r="BC4" s="562" t="str">
        <f>'Ch6'!U233</f>
        <v>dd602_1_13</v>
      </c>
      <c r="BD4" s="562" t="str">
        <f>'Ch6'!U239</f>
        <v>dd602_1_14_1</v>
      </c>
      <c r="BE4" s="562" t="str">
        <f>'Ch6'!U340</f>
        <v>dd606,1_a</v>
      </c>
      <c r="BF4" s="562" t="str">
        <f>'Ch6'!U341</f>
        <v>dd606,1_b</v>
      </c>
      <c r="BG4" s="562" t="str">
        <f>'Ch6'!U342</f>
        <v>dd606,1_c</v>
      </c>
      <c r="BH4" s="562" t="str">
        <f>'Ch6'!U343</f>
        <v>dd606,1_d</v>
      </c>
      <c r="BI4" s="562" t="str">
        <f>'Ch6'!U344</f>
        <v>dd606,1_e</v>
      </c>
      <c r="BJ4" s="562" t="str">
        <f>'Ch6'!U345</f>
        <v>dd606,1_f</v>
      </c>
      <c r="BK4" s="562" t="str">
        <f>'Ch6'!U346</f>
        <v>dd606,1_g</v>
      </c>
      <c r="BL4" s="562" t="str">
        <f>'Ch6'!U347</f>
        <v>dd606,1_h</v>
      </c>
      <c r="BM4" s="562" t="str">
        <f>'Ch6'!U367</f>
        <v>dd606,2_1a</v>
      </c>
      <c r="BN4" s="562" t="str">
        <f>'Ch6'!U368</f>
        <v>dd606,2_1b</v>
      </c>
      <c r="BO4" s="562" t="str">
        <f>'Ch6'!U370</f>
        <v>dd606,2_2a</v>
      </c>
      <c r="BP4" s="562" t="str">
        <f>'Ch6'!U371</f>
        <v>dd606,2_2b</v>
      </c>
      <c r="BQ4" s="562" t="str">
        <f>'Ch6'!U373</f>
        <v>dd606,3</v>
      </c>
      <c r="BR4" s="562" t="str">
        <f>'Ch6'!U388</f>
        <v>dd608,1</v>
      </c>
      <c r="BS4" s="562" t="str">
        <f>'Ch6'!U398</f>
        <v>dd609,1a</v>
      </c>
      <c r="BT4" s="562" t="str">
        <f>'Ch6'!U401</f>
        <v>dd609,1b</v>
      </c>
      <c r="BU4" s="562" t="str">
        <f>'Ch6'!U437</f>
        <v>dd610_1_2_1a</v>
      </c>
      <c r="BV4" s="562" t="str">
        <f>'Ch6'!U444</f>
        <v>dd610_1_2_1b</v>
      </c>
      <c r="BW4" s="562" t="str">
        <f>'Ch6'!U450</f>
        <v>dd610_1_2_2a</v>
      </c>
      <c r="BX4" s="562" t="str">
        <f>'Ch6'!U456</f>
        <v>dd610_1_2_2b</v>
      </c>
      <c r="BY4" s="562" t="str">
        <f>'Ch6'!U462</f>
        <v>dd610_1_2_2c</v>
      </c>
      <c r="BZ4" s="562" t="str">
        <f>'Ch6'!U468</f>
        <v>dd610_1_2_2_f</v>
      </c>
      <c r="CA4" s="562" t="str">
        <f>'Ch6'!U474</f>
        <v>dd611,1</v>
      </c>
      <c r="CB4" s="562" t="str">
        <f>'Ch7'!U12</f>
        <v>dd701_4</v>
      </c>
      <c r="CC4" s="562" t="str">
        <f>'Ch7'!U24</f>
        <v>dd701_4_1_2</v>
      </c>
      <c r="CD4" s="562" t="str">
        <f>'Ch7'!U111</f>
        <v>dd701_4_3_3_5</v>
      </c>
      <c r="CE4" s="562" t="str">
        <f>'Ch7'!U148</f>
        <v>dd305_3_5_1</v>
      </c>
      <c r="CF4" s="562" t="str">
        <f>'Ch9'!U23</f>
        <v>dd901_1_3_1</v>
      </c>
      <c r="CG4" s="562" t="str">
        <f>'Ch9'!U26</f>
        <v>dd901_1_3_2</v>
      </c>
      <c r="CH4" s="562" t="str">
        <f>'Ch9'!U29</f>
        <v>dd901_1_4</v>
      </c>
      <c r="CI4" s="562" t="str">
        <f>'Ch9'!U36</f>
        <v>dd901_1_6</v>
      </c>
      <c r="CJ4" s="562" t="str">
        <f>'Ch9'!U42</f>
        <v>dd901_2_1_1</v>
      </c>
      <c r="CK4" s="562" t="str">
        <f>'Ch9'!U45</f>
        <v>dd901_2_1_2</v>
      </c>
      <c r="CL4" s="562" t="str">
        <f>'Ch9'!U47</f>
        <v>dd901_2_1_3</v>
      </c>
      <c r="CM4" s="562" t="str">
        <f>'Ch9'!U50</f>
        <v>dd901_2_1_4</v>
      </c>
      <c r="CN4" s="562" t="str">
        <f>'Ch9'!U52</f>
        <v>dd901_2_1_5</v>
      </c>
      <c r="CO4" s="562" t="str">
        <f>'Ch9'!U57</f>
        <v>dd901,3_1_a</v>
      </c>
      <c r="CP4" s="562" t="str">
        <f>'Ch9'!U59</f>
        <v>dd901,3_1_b</v>
      </c>
      <c r="CQ4" s="562" t="str">
        <f>'Ch9'!U72</f>
        <v>dd901,4_1</v>
      </c>
      <c r="CR4" s="562" t="str">
        <f>'Ch9'!U77</f>
        <v>dd901,4_a</v>
      </c>
      <c r="CS4" s="562" t="str">
        <f>'Ch9'!U78</f>
        <v>dd901,4_b</v>
      </c>
      <c r="CT4" s="562" t="str">
        <f>'Ch9'!U79</f>
        <v>dd901,4_c</v>
      </c>
      <c r="CU4" s="562" t="str">
        <f>'Ch9'!U80</f>
        <v>dd901,4_d</v>
      </c>
      <c r="CV4" s="562" t="str">
        <f>'Ch9'!U148</f>
        <v>dd901_9_4</v>
      </c>
      <c r="CW4" s="562" t="str">
        <f>'Ch9'!U170</f>
        <v>dd901,12</v>
      </c>
      <c r="CX4" s="562">
        <f>'Ch9'!U182</f>
        <v>0</v>
      </c>
      <c r="CY4" s="562" t="str">
        <f>'Ch9'!U192</f>
        <v>dd902,1_2_</v>
      </c>
      <c r="CZ4" s="562" t="str">
        <f>'Ch9'!U220</f>
        <v>dd902_2_1</v>
      </c>
      <c r="DA4" s="562" t="str">
        <f>'Ch9'!U241</f>
        <v>dd902,3_1</v>
      </c>
      <c r="DB4" s="562" t="str">
        <f>'Ch9'!U259</f>
        <v>dd903,1</v>
      </c>
      <c r="DC4" s="562" t="str">
        <f>'Ch9'!U263</f>
        <v>dd903,2</v>
      </c>
    </row>
    <row r="5" spans="1:107" x14ac:dyDescent="0.2">
      <c r="A5" s="562"/>
      <c r="B5" s="562" t="b">
        <v>1</v>
      </c>
      <c r="C5" s="562"/>
      <c r="D5" s="3" t="s">
        <v>78</v>
      </c>
      <c r="E5" s="3" t="s">
        <v>3522</v>
      </c>
      <c r="F5" s="3" t="s">
        <v>3523</v>
      </c>
      <c r="G5" s="3" t="s">
        <v>3523</v>
      </c>
      <c r="H5" s="3" t="s">
        <v>3523</v>
      </c>
      <c r="I5" s="3" t="s">
        <v>3524</v>
      </c>
      <c r="J5" s="3" t="s">
        <v>3525</v>
      </c>
      <c r="K5" s="3" t="s">
        <v>3526</v>
      </c>
      <c r="L5" s="3" t="s">
        <v>3526</v>
      </c>
      <c r="M5" s="3" t="s">
        <v>3526</v>
      </c>
      <c r="N5" s="3" t="s">
        <v>3525</v>
      </c>
      <c r="O5" s="3" t="s">
        <v>3346</v>
      </c>
      <c r="P5" s="3" t="s">
        <v>3527</v>
      </c>
      <c r="Q5" s="3" t="s">
        <v>3346</v>
      </c>
      <c r="R5" s="3" t="s">
        <v>3528</v>
      </c>
      <c r="S5" s="3" t="s">
        <v>3528</v>
      </c>
      <c r="T5" s="3" t="s">
        <v>3528</v>
      </c>
      <c r="U5" s="3" t="s">
        <v>3528</v>
      </c>
      <c r="V5" s="3" t="s">
        <v>3528</v>
      </c>
      <c r="W5" s="3" t="s">
        <v>3528</v>
      </c>
      <c r="X5" s="3" t="s">
        <v>3528</v>
      </c>
      <c r="Y5" s="3" t="s">
        <v>3528</v>
      </c>
      <c r="Z5" s="3" t="s">
        <v>3529</v>
      </c>
      <c r="AA5" s="3" t="s">
        <v>3530</v>
      </c>
      <c r="AB5" s="562" t="s">
        <v>2196</v>
      </c>
      <c r="AC5" s="562" t="s">
        <v>2196</v>
      </c>
      <c r="AD5" s="562" t="s">
        <v>2196</v>
      </c>
      <c r="AE5" s="562" t="s">
        <v>2196</v>
      </c>
      <c r="AF5" s="562" t="s">
        <v>3531</v>
      </c>
      <c r="AG5" s="562" t="s">
        <v>2196</v>
      </c>
      <c r="AH5" s="562" t="s">
        <v>2196</v>
      </c>
      <c r="AI5" s="562" t="s">
        <v>2196</v>
      </c>
      <c r="AJ5" s="562" t="s">
        <v>2196</v>
      </c>
      <c r="AK5" s="93" t="s">
        <v>2181</v>
      </c>
      <c r="AL5" s="562" t="s">
        <v>3532</v>
      </c>
      <c r="AM5" s="562" t="s">
        <v>3533</v>
      </c>
      <c r="AN5" s="562" t="s">
        <v>3533</v>
      </c>
      <c r="AO5" s="562" t="s">
        <v>3533</v>
      </c>
      <c r="AP5" s="562" t="s">
        <v>3533</v>
      </c>
      <c r="AQ5" s="562" t="s">
        <v>3533</v>
      </c>
      <c r="AR5" s="562" t="s">
        <v>3534</v>
      </c>
      <c r="AS5" s="562" t="s">
        <v>3534</v>
      </c>
      <c r="AT5" s="562" t="s">
        <v>3534</v>
      </c>
      <c r="AU5" s="562" t="s">
        <v>3534</v>
      </c>
      <c r="AV5" s="562" t="s">
        <v>3535</v>
      </c>
      <c r="AW5" s="562" t="s">
        <v>3534</v>
      </c>
      <c r="AX5" s="562" t="s">
        <v>3534</v>
      </c>
      <c r="AY5" s="562" t="s">
        <v>3534</v>
      </c>
      <c r="AZ5" s="562" t="s">
        <v>2196</v>
      </c>
      <c r="BA5" s="562" t="s">
        <v>3536</v>
      </c>
      <c r="BB5" s="562" t="s">
        <v>3534</v>
      </c>
      <c r="BC5" s="562" t="s">
        <v>3534</v>
      </c>
      <c r="BD5" s="562" t="s">
        <v>3534</v>
      </c>
      <c r="BE5" s="562" t="s">
        <v>3537</v>
      </c>
      <c r="BF5" s="562" t="s">
        <v>3537</v>
      </c>
      <c r="BG5" s="562" t="s">
        <v>3537</v>
      </c>
      <c r="BH5" s="562" t="s">
        <v>3537</v>
      </c>
      <c r="BI5" s="562" t="s">
        <v>3537</v>
      </c>
      <c r="BJ5" s="562" t="s">
        <v>3537</v>
      </c>
      <c r="BK5" s="562" t="s">
        <v>3537</v>
      </c>
      <c r="BL5" s="562" t="s">
        <v>3537</v>
      </c>
      <c r="BM5" s="562" t="s">
        <v>3538</v>
      </c>
      <c r="BN5" s="562" t="s">
        <v>3538</v>
      </c>
      <c r="BO5" s="562" t="s">
        <v>3538</v>
      </c>
      <c r="BP5" s="562" t="s">
        <v>3538</v>
      </c>
      <c r="BQ5" s="562" t="s">
        <v>3539</v>
      </c>
      <c r="BR5" s="562" t="s">
        <v>3540</v>
      </c>
      <c r="BS5" s="562" t="s">
        <v>3541</v>
      </c>
      <c r="BT5" s="562" t="s">
        <v>3541</v>
      </c>
      <c r="BU5" s="562" t="s">
        <v>3542</v>
      </c>
      <c r="BV5" s="562" t="s">
        <v>3542</v>
      </c>
      <c r="BW5" s="562" t="s">
        <v>3543</v>
      </c>
      <c r="BX5" s="562" t="s">
        <v>3543</v>
      </c>
      <c r="BY5" s="562" t="s">
        <v>3543</v>
      </c>
      <c r="BZ5" s="562" t="s">
        <v>3543</v>
      </c>
      <c r="CA5" s="123" t="s">
        <v>3544</v>
      </c>
      <c r="CB5" s="562" t="s">
        <v>3545</v>
      </c>
      <c r="CC5" s="562" t="s">
        <v>3534</v>
      </c>
      <c r="CD5" s="562" t="s">
        <v>3534</v>
      </c>
      <c r="CE5" s="562" t="s">
        <v>3546</v>
      </c>
      <c r="CF5" s="562" t="s">
        <v>2196</v>
      </c>
      <c r="CG5" s="562" t="s">
        <v>2196</v>
      </c>
      <c r="CH5" s="562" t="s">
        <v>3534</v>
      </c>
      <c r="CI5" s="13" t="s">
        <v>2181</v>
      </c>
      <c r="CJ5" s="562" t="s">
        <v>3534</v>
      </c>
      <c r="CK5" s="562" t="s">
        <v>3534</v>
      </c>
      <c r="CL5" s="562" t="s">
        <v>3534</v>
      </c>
      <c r="CM5" s="562" t="s">
        <v>3534</v>
      </c>
      <c r="CN5" s="562" t="s">
        <v>3534</v>
      </c>
      <c r="CO5" s="562" t="s">
        <v>3534</v>
      </c>
      <c r="CP5" s="562" t="s">
        <v>3534</v>
      </c>
      <c r="CQ5" s="562" t="s">
        <v>3534</v>
      </c>
      <c r="CR5" s="93" t="s">
        <v>2183</v>
      </c>
      <c r="CS5" s="93" t="s">
        <v>2183</v>
      </c>
      <c r="CT5" s="93" t="s">
        <v>2183</v>
      </c>
      <c r="CU5" s="93" t="s">
        <v>2183</v>
      </c>
      <c r="CV5" s="562" t="s">
        <v>3534</v>
      </c>
      <c r="CW5" s="562" t="s">
        <v>3534</v>
      </c>
      <c r="CX5" s="562" t="s">
        <v>3534</v>
      </c>
      <c r="CY5" s="562" t="s">
        <v>3534</v>
      </c>
      <c r="CZ5" s="13" t="s">
        <v>2181</v>
      </c>
      <c r="DA5" s="562" t="s">
        <v>2196</v>
      </c>
      <c r="DB5" s="13" t="s">
        <v>2181</v>
      </c>
      <c r="DC5" s="13" t="s">
        <v>2181</v>
      </c>
    </row>
    <row r="6" spans="1:107" x14ac:dyDescent="0.2">
      <c r="A6" s="562"/>
      <c r="B6" s="562" t="b">
        <v>0</v>
      </c>
      <c r="C6" s="562"/>
      <c r="D6" s="3" t="s">
        <v>3547</v>
      </c>
      <c r="E6" s="3" t="s">
        <v>3548</v>
      </c>
      <c r="F6" s="3" t="s">
        <v>3549</v>
      </c>
      <c r="G6" s="3" t="s">
        <v>3549</v>
      </c>
      <c r="H6" s="3" t="s">
        <v>3549</v>
      </c>
      <c r="I6" s="3" t="s">
        <v>3550</v>
      </c>
      <c r="J6" s="3" t="s">
        <v>3551</v>
      </c>
      <c r="K6" s="3" t="s">
        <v>3552</v>
      </c>
      <c r="L6" s="3" t="s">
        <v>3552</v>
      </c>
      <c r="M6" s="3" t="s">
        <v>3552</v>
      </c>
      <c r="N6" s="3" t="s">
        <v>3551</v>
      </c>
      <c r="O6" s="3" t="s">
        <v>3553</v>
      </c>
      <c r="P6" s="3" t="s">
        <v>3554</v>
      </c>
      <c r="Q6" s="3" t="s">
        <v>3555</v>
      </c>
      <c r="R6" s="3" t="s">
        <v>3556</v>
      </c>
      <c r="S6" s="3" t="s">
        <v>3556</v>
      </c>
      <c r="T6" s="3" t="s">
        <v>3556</v>
      </c>
      <c r="U6" s="3" t="s">
        <v>3556</v>
      </c>
      <c r="V6" s="3" t="s">
        <v>3556</v>
      </c>
      <c r="W6" s="3" t="s">
        <v>3556</v>
      </c>
      <c r="X6" s="3" t="s">
        <v>3556</v>
      </c>
      <c r="Y6" s="3" t="s">
        <v>3556</v>
      </c>
      <c r="Z6" s="3" t="s">
        <v>3557</v>
      </c>
      <c r="AA6" s="3" t="s">
        <v>3558</v>
      </c>
      <c r="AB6" s="562" t="s">
        <v>2198</v>
      </c>
      <c r="AC6" s="562" t="s">
        <v>2198</v>
      </c>
      <c r="AD6" s="562" t="s">
        <v>2198</v>
      </c>
      <c r="AE6" s="562" t="s">
        <v>2198</v>
      </c>
      <c r="AF6" s="562" t="s">
        <v>3559</v>
      </c>
      <c r="AG6" s="562" t="s">
        <v>2198</v>
      </c>
      <c r="AH6" s="562" t="s">
        <v>2198</v>
      </c>
      <c r="AI6" s="562" t="s">
        <v>2198</v>
      </c>
      <c r="AJ6" s="562" t="s">
        <v>2198</v>
      </c>
      <c r="AK6" s="93" t="s">
        <v>2183</v>
      </c>
      <c r="AL6" s="562" t="s">
        <v>3560</v>
      </c>
      <c r="AM6" s="562" t="s">
        <v>3561</v>
      </c>
      <c r="AN6" s="562" t="s">
        <v>3561</v>
      </c>
      <c r="AO6" s="562" t="s">
        <v>3561</v>
      </c>
      <c r="AP6" s="562" t="s">
        <v>3561</v>
      </c>
      <c r="AQ6" s="562" t="s">
        <v>3561</v>
      </c>
      <c r="AR6" s="562" t="s">
        <v>3562</v>
      </c>
      <c r="AS6" s="562" t="s">
        <v>3562</v>
      </c>
      <c r="AT6" s="562" t="s">
        <v>3562</v>
      </c>
      <c r="AU6" s="562" t="s">
        <v>3562</v>
      </c>
      <c r="AV6" s="562" t="s">
        <v>3563</v>
      </c>
      <c r="AW6" s="562" t="s">
        <v>3562</v>
      </c>
      <c r="AX6" s="562" t="s">
        <v>3562</v>
      </c>
      <c r="AY6" s="562" t="s">
        <v>3562</v>
      </c>
      <c r="AZ6" s="562" t="s">
        <v>2198</v>
      </c>
      <c r="BA6" s="562" t="s">
        <v>3564</v>
      </c>
      <c r="BB6" s="562" t="s">
        <v>3562</v>
      </c>
      <c r="BC6" s="562" t="s">
        <v>3562</v>
      </c>
      <c r="BD6" s="562" t="s">
        <v>3562</v>
      </c>
      <c r="BE6" s="562" t="s">
        <v>3565</v>
      </c>
      <c r="BF6" s="562" t="s">
        <v>3565</v>
      </c>
      <c r="BG6" s="562" t="s">
        <v>3565</v>
      </c>
      <c r="BH6" s="562" t="s">
        <v>3565</v>
      </c>
      <c r="BI6" s="562" t="s">
        <v>3565</v>
      </c>
      <c r="BJ6" s="562" t="s">
        <v>3565</v>
      </c>
      <c r="BK6" s="562" t="s">
        <v>3565</v>
      </c>
      <c r="BL6" s="562" t="s">
        <v>3565</v>
      </c>
      <c r="BM6" s="562" t="s">
        <v>3566</v>
      </c>
      <c r="BN6" s="562" t="s">
        <v>3566</v>
      </c>
      <c r="BO6" s="562" t="s">
        <v>3566</v>
      </c>
      <c r="BP6" s="562" t="s">
        <v>3566</v>
      </c>
      <c r="BQ6" s="562" t="s">
        <v>3567</v>
      </c>
      <c r="BR6" s="562" t="s">
        <v>3568</v>
      </c>
      <c r="BS6" s="562" t="s">
        <v>3569</v>
      </c>
      <c r="BT6" s="562" t="s">
        <v>3569</v>
      </c>
      <c r="BU6" s="562" t="s">
        <v>3570</v>
      </c>
      <c r="BV6" s="562" t="s">
        <v>3570</v>
      </c>
      <c r="BW6" s="562" t="s">
        <v>3571</v>
      </c>
      <c r="BX6" s="562" t="s">
        <v>3571</v>
      </c>
      <c r="BY6" s="562" t="s">
        <v>3571</v>
      </c>
      <c r="BZ6" s="562" t="s">
        <v>3571</v>
      </c>
      <c r="CA6" s="123" t="s">
        <v>3572</v>
      </c>
      <c r="CB6" s="562" t="s">
        <v>3573</v>
      </c>
      <c r="CC6" s="562" t="s">
        <v>3562</v>
      </c>
      <c r="CD6" s="562" t="s">
        <v>3562</v>
      </c>
      <c r="CE6" s="562" t="s">
        <v>3574</v>
      </c>
      <c r="CF6" s="562" t="s">
        <v>2198</v>
      </c>
      <c r="CG6" s="562" t="s">
        <v>2198</v>
      </c>
      <c r="CH6" s="562" t="s">
        <v>3562</v>
      </c>
      <c r="CI6" s="13" t="s">
        <v>2183</v>
      </c>
      <c r="CJ6" s="562" t="s">
        <v>3562</v>
      </c>
      <c r="CK6" s="562" t="s">
        <v>3562</v>
      </c>
      <c r="CL6" s="562" t="s">
        <v>3562</v>
      </c>
      <c r="CM6" s="562" t="s">
        <v>3562</v>
      </c>
      <c r="CN6" s="562" t="s">
        <v>3562</v>
      </c>
      <c r="CO6" s="562" t="s">
        <v>3562</v>
      </c>
      <c r="CP6" s="562" t="s">
        <v>3562</v>
      </c>
      <c r="CQ6" s="562" t="s">
        <v>3562</v>
      </c>
      <c r="CR6" s="93" t="s">
        <v>2185</v>
      </c>
      <c r="CS6" s="93" t="s">
        <v>2185</v>
      </c>
      <c r="CT6" s="93" t="s">
        <v>2185</v>
      </c>
      <c r="CU6" s="93" t="s">
        <v>2185</v>
      </c>
      <c r="CV6" s="562" t="s">
        <v>3562</v>
      </c>
      <c r="CW6" s="562" t="s">
        <v>3562</v>
      </c>
      <c r="CX6" s="562" t="s">
        <v>3562</v>
      </c>
      <c r="CY6" s="562" t="s">
        <v>3562</v>
      </c>
      <c r="CZ6" s="13" t="s">
        <v>2183</v>
      </c>
      <c r="DA6" s="562" t="s">
        <v>2198</v>
      </c>
      <c r="DB6" s="13" t="s">
        <v>2183</v>
      </c>
      <c r="DC6" s="13" t="s">
        <v>2183</v>
      </c>
    </row>
    <row r="7" spans="1:107" x14ac:dyDescent="0.2">
      <c r="A7" s="562"/>
      <c r="B7" s="562"/>
      <c r="C7" s="562"/>
      <c r="D7" s="562"/>
      <c r="E7" s="3" t="s">
        <v>3575</v>
      </c>
      <c r="F7" s="3" t="s">
        <v>3526</v>
      </c>
      <c r="G7" s="3" t="s">
        <v>3526</v>
      </c>
      <c r="H7" s="3" t="s">
        <v>3526</v>
      </c>
      <c r="I7" s="3" t="s">
        <v>3576</v>
      </c>
      <c r="J7" s="3" t="s">
        <v>3577</v>
      </c>
      <c r="K7" s="3" t="s">
        <v>3578</v>
      </c>
      <c r="L7" s="3" t="s">
        <v>3578</v>
      </c>
      <c r="M7" s="3" t="s">
        <v>3578</v>
      </c>
      <c r="N7" s="3" t="s">
        <v>3577</v>
      </c>
      <c r="O7" s="3" t="s">
        <v>3579</v>
      </c>
      <c r="P7" s="3" t="s">
        <v>3580</v>
      </c>
      <c r="Q7" s="3" t="s">
        <v>3581</v>
      </c>
      <c r="R7" s="562"/>
      <c r="S7" s="562"/>
      <c r="T7" s="562"/>
      <c r="U7" s="562"/>
      <c r="V7" s="562"/>
      <c r="W7" s="562"/>
      <c r="X7" s="562"/>
      <c r="Y7" s="562"/>
      <c r="Z7" s="3" t="s">
        <v>3582</v>
      </c>
      <c r="AA7" s="3" t="s">
        <v>3583</v>
      </c>
      <c r="AB7" s="562" t="s">
        <v>2200</v>
      </c>
      <c r="AC7" s="562" t="s">
        <v>2200</v>
      </c>
      <c r="AD7" s="562" t="s">
        <v>2200</v>
      </c>
      <c r="AE7" s="562" t="s">
        <v>2200</v>
      </c>
      <c r="AF7" s="562" t="s">
        <v>3584</v>
      </c>
      <c r="AG7" s="562" t="s">
        <v>2200</v>
      </c>
      <c r="AH7" s="562" t="s">
        <v>2200</v>
      </c>
      <c r="AI7" s="562" t="s">
        <v>2200</v>
      </c>
      <c r="AJ7" s="562" t="s">
        <v>2200</v>
      </c>
      <c r="AK7" s="93" t="s">
        <v>2185</v>
      </c>
      <c r="AL7" s="562" t="s">
        <v>3585</v>
      </c>
      <c r="AM7" s="562" t="s">
        <v>3586</v>
      </c>
      <c r="AN7" s="562" t="s">
        <v>3586</v>
      </c>
      <c r="AO7" s="562" t="s">
        <v>3586</v>
      </c>
      <c r="AP7" s="562" t="s">
        <v>3586</v>
      </c>
      <c r="AQ7" s="562" t="s">
        <v>3586</v>
      </c>
      <c r="AR7" s="562" t="s">
        <v>3587</v>
      </c>
      <c r="AS7" s="562" t="s">
        <v>3587</v>
      </c>
      <c r="AT7" s="562" t="s">
        <v>3587</v>
      </c>
      <c r="AU7" s="562" t="s">
        <v>3587</v>
      </c>
      <c r="AV7" s="562" t="s">
        <v>3588</v>
      </c>
      <c r="AW7" s="562" t="s">
        <v>3587</v>
      </c>
      <c r="AX7" s="562" t="s">
        <v>3587</v>
      </c>
      <c r="AY7" s="562" t="s">
        <v>3587</v>
      </c>
      <c r="AZ7" s="562"/>
      <c r="BA7" s="562" t="s">
        <v>3589</v>
      </c>
      <c r="BB7" s="562" t="s">
        <v>3587</v>
      </c>
      <c r="BC7" s="562" t="s">
        <v>3587</v>
      </c>
      <c r="BD7" s="562" t="s">
        <v>3587</v>
      </c>
      <c r="BE7" s="562"/>
      <c r="BF7" s="562"/>
      <c r="BG7" s="562"/>
      <c r="BH7" s="562"/>
      <c r="BI7" s="562"/>
      <c r="BJ7" s="562"/>
      <c r="BK7" s="562"/>
      <c r="BL7" s="562"/>
      <c r="BM7" s="562" t="s">
        <v>3590</v>
      </c>
      <c r="BN7" s="562" t="s">
        <v>3590</v>
      </c>
      <c r="BO7" s="562" t="s">
        <v>3590</v>
      </c>
      <c r="BP7" s="562" t="s">
        <v>3590</v>
      </c>
      <c r="BQ7" s="562" t="s">
        <v>3591</v>
      </c>
      <c r="BR7" s="562" t="s">
        <v>3592</v>
      </c>
      <c r="BS7" s="562" t="s">
        <v>3593</v>
      </c>
      <c r="BT7" s="562" t="s">
        <v>3593</v>
      </c>
      <c r="BU7" s="562" t="s">
        <v>3594</v>
      </c>
      <c r="BV7" s="562" t="s">
        <v>3594</v>
      </c>
      <c r="BW7" s="562"/>
      <c r="BX7" s="562"/>
      <c r="BY7" s="562"/>
      <c r="BZ7" s="562"/>
      <c r="CA7" s="123" t="s">
        <v>3595</v>
      </c>
      <c r="CB7" s="562" t="s">
        <v>3596</v>
      </c>
      <c r="CC7" s="562" t="s">
        <v>3597</v>
      </c>
      <c r="CD7" s="562" t="s">
        <v>3587</v>
      </c>
      <c r="CE7" s="562"/>
      <c r="CF7" s="562"/>
      <c r="CG7" s="562"/>
      <c r="CH7" s="562" t="s">
        <v>3587</v>
      </c>
      <c r="CI7" s="562"/>
      <c r="CJ7" s="562" t="s">
        <v>3587</v>
      </c>
      <c r="CK7" s="562" t="s">
        <v>3587</v>
      </c>
      <c r="CL7" s="562" t="s">
        <v>3587</v>
      </c>
      <c r="CM7" s="562" t="s">
        <v>3587</v>
      </c>
      <c r="CN7" s="562" t="s">
        <v>3587</v>
      </c>
      <c r="CO7" s="562" t="s">
        <v>3587</v>
      </c>
      <c r="CP7" s="562" t="s">
        <v>3587</v>
      </c>
      <c r="CQ7" s="562" t="s">
        <v>3587</v>
      </c>
      <c r="CR7" s="93" t="s">
        <v>2192</v>
      </c>
      <c r="CS7" s="93" t="s">
        <v>2192</v>
      </c>
      <c r="CT7" s="93" t="s">
        <v>2192</v>
      </c>
      <c r="CU7" s="93" t="s">
        <v>2192</v>
      </c>
      <c r="CV7" s="562" t="s">
        <v>3587</v>
      </c>
      <c r="CW7" s="562" t="s">
        <v>3598</v>
      </c>
      <c r="CX7" s="562" t="s">
        <v>3587</v>
      </c>
      <c r="CY7" s="562" t="s">
        <v>3587</v>
      </c>
      <c r="CZ7" s="93" t="s">
        <v>2185</v>
      </c>
      <c r="DA7" s="562" t="s">
        <v>3587</v>
      </c>
      <c r="DB7" s="562"/>
      <c r="DC7" s="562"/>
    </row>
    <row r="8" spans="1:107" x14ac:dyDescent="0.2">
      <c r="A8" s="562"/>
      <c r="B8" s="562"/>
      <c r="C8" s="562"/>
      <c r="D8" s="562"/>
      <c r="E8" s="3" t="s">
        <v>3599</v>
      </c>
      <c r="F8" s="3" t="s">
        <v>3600</v>
      </c>
      <c r="G8" s="3" t="s">
        <v>3600</v>
      </c>
      <c r="H8" s="3" t="s">
        <v>3600</v>
      </c>
      <c r="I8" s="3" t="s">
        <v>3601</v>
      </c>
      <c r="J8" s="3"/>
      <c r="K8" s="3" t="s">
        <v>3602</v>
      </c>
      <c r="L8" s="3" t="s">
        <v>3602</v>
      </c>
      <c r="M8" s="3" t="s">
        <v>3602</v>
      </c>
      <c r="N8" s="3"/>
      <c r="O8" s="3" t="s">
        <v>3603</v>
      </c>
      <c r="P8" s="3" t="s">
        <v>3604</v>
      </c>
      <c r="Q8" s="3" t="s">
        <v>3605</v>
      </c>
      <c r="R8" s="562"/>
      <c r="S8" s="562"/>
      <c r="T8" s="562"/>
      <c r="U8" s="562"/>
      <c r="V8" s="562"/>
      <c r="W8" s="562"/>
      <c r="X8" s="562"/>
      <c r="Y8" s="562"/>
      <c r="Z8" s="3" t="s">
        <v>3606</v>
      </c>
      <c r="AA8" s="3" t="s">
        <v>3607</v>
      </c>
      <c r="AB8" s="562"/>
      <c r="AC8" s="562"/>
      <c r="AD8" s="562"/>
      <c r="AE8" s="562"/>
      <c r="AF8" s="562"/>
      <c r="AG8" s="562" t="s">
        <v>2247</v>
      </c>
      <c r="AH8" s="562" t="s">
        <v>2247</v>
      </c>
      <c r="AI8" s="562"/>
      <c r="AJ8" s="562"/>
      <c r="AK8" s="93" t="s">
        <v>2192</v>
      </c>
      <c r="AL8" s="562"/>
      <c r="AM8" s="562"/>
      <c r="AN8" s="562"/>
      <c r="AO8" s="562"/>
      <c r="AP8" s="562"/>
      <c r="AQ8" s="562"/>
      <c r="AR8" s="562"/>
      <c r="AS8" s="562"/>
      <c r="AT8" s="562"/>
      <c r="AU8" s="562"/>
      <c r="AV8" s="562" t="s">
        <v>3608</v>
      </c>
      <c r="AW8" s="562"/>
      <c r="AX8" s="562"/>
      <c r="AY8" s="562"/>
      <c r="AZ8" s="562"/>
      <c r="BA8" s="562"/>
      <c r="BB8" s="562"/>
      <c r="BC8" s="562"/>
      <c r="BD8" s="562"/>
      <c r="BE8" s="562"/>
      <c r="BF8" s="562"/>
      <c r="BG8" s="562"/>
      <c r="BH8" s="562"/>
      <c r="BI8" s="562"/>
      <c r="BJ8" s="562"/>
      <c r="BK8" s="562"/>
      <c r="BL8" s="562"/>
      <c r="BM8" s="562" t="s">
        <v>3609</v>
      </c>
      <c r="BN8" s="562" t="s">
        <v>3609</v>
      </c>
      <c r="BO8" s="562" t="s">
        <v>3609</v>
      </c>
      <c r="BP8" s="562" t="s">
        <v>3609</v>
      </c>
      <c r="BQ8" s="562"/>
      <c r="BR8" s="562"/>
      <c r="BS8" s="562" t="s">
        <v>3610</v>
      </c>
      <c r="BT8" s="562" t="s">
        <v>3610</v>
      </c>
      <c r="BU8" s="562" t="s">
        <v>3611</v>
      </c>
      <c r="BV8" s="562" t="s">
        <v>3611</v>
      </c>
      <c r="BW8" s="562"/>
      <c r="BX8" s="562"/>
      <c r="BY8" s="562"/>
      <c r="BZ8" s="562"/>
      <c r="CA8" s="123" t="s">
        <v>3612</v>
      </c>
      <c r="CB8" s="562" t="s">
        <v>3613</v>
      </c>
      <c r="CC8" s="562" t="s">
        <v>3614</v>
      </c>
      <c r="CD8" s="562"/>
      <c r="CE8" s="562"/>
      <c r="CF8" s="562"/>
      <c r="CG8" s="562"/>
      <c r="CH8" s="562"/>
      <c r="CI8" s="562"/>
      <c r="CJ8" s="562"/>
      <c r="CK8" s="562"/>
      <c r="CL8" s="562"/>
      <c r="CM8" s="562"/>
      <c r="CN8" s="562"/>
      <c r="CO8" s="562"/>
      <c r="CP8" s="562"/>
      <c r="CQ8" s="562"/>
      <c r="CR8" s="93" t="s">
        <v>2194</v>
      </c>
      <c r="CS8" s="93" t="s">
        <v>2194</v>
      </c>
      <c r="CT8" s="93" t="s">
        <v>2194</v>
      </c>
      <c r="CU8" s="93" t="s">
        <v>2194</v>
      </c>
      <c r="CV8" s="562"/>
      <c r="CW8" s="562"/>
      <c r="CX8" s="562"/>
      <c r="CY8" s="562"/>
      <c r="CZ8" s="93" t="s">
        <v>2192</v>
      </c>
      <c r="DA8" s="562"/>
      <c r="DB8" s="562"/>
      <c r="DC8" s="562"/>
    </row>
    <row r="9" spans="1:107" x14ac:dyDescent="0.2">
      <c r="A9" s="562"/>
      <c r="B9" s="562"/>
      <c r="C9" s="562"/>
      <c r="D9" s="562"/>
      <c r="E9" s="3" t="s">
        <v>3615</v>
      </c>
      <c r="F9" s="3" t="s">
        <v>3578</v>
      </c>
      <c r="G9" s="3" t="s">
        <v>3578</v>
      </c>
      <c r="H9" s="3" t="s">
        <v>3578</v>
      </c>
      <c r="I9" s="3" t="s">
        <v>3616</v>
      </c>
      <c r="J9" s="3"/>
      <c r="K9" s="3" t="s">
        <v>3605</v>
      </c>
      <c r="L9" s="3" t="s">
        <v>3605</v>
      </c>
      <c r="M9" s="3" t="s">
        <v>3605</v>
      </c>
      <c r="N9" s="3"/>
      <c r="O9" s="3" t="s">
        <v>3617</v>
      </c>
      <c r="P9" s="3" t="s">
        <v>3618</v>
      </c>
      <c r="Q9" s="562"/>
      <c r="R9" s="562"/>
      <c r="S9" s="562"/>
      <c r="T9" s="562"/>
      <c r="U9" s="562"/>
      <c r="V9" s="562"/>
      <c r="W9" s="562"/>
      <c r="X9" s="562"/>
      <c r="Y9" s="562"/>
      <c r="Z9" s="3" t="s">
        <v>3619</v>
      </c>
      <c r="AA9" s="3" t="s">
        <v>3620</v>
      </c>
      <c r="AB9" s="562"/>
      <c r="AC9" s="562"/>
      <c r="AD9" s="562"/>
      <c r="AE9" s="562"/>
      <c r="AF9" s="562"/>
      <c r="AG9" s="562"/>
      <c r="AH9" s="562"/>
      <c r="AI9" s="562"/>
      <c r="AJ9" s="562"/>
      <c r="AK9" s="93" t="s">
        <v>2194</v>
      </c>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t="s">
        <v>3621</v>
      </c>
      <c r="BN9" s="562" t="s">
        <v>3621</v>
      </c>
      <c r="BO9" s="562" t="s">
        <v>3621</v>
      </c>
      <c r="BP9" s="562" t="s">
        <v>3621</v>
      </c>
      <c r="BQ9" s="562"/>
      <c r="BR9" s="562"/>
      <c r="BS9" s="562" t="s">
        <v>3622</v>
      </c>
      <c r="BT9" s="562" t="s">
        <v>3623</v>
      </c>
      <c r="BU9" s="562" t="s">
        <v>3624</v>
      </c>
      <c r="BV9" s="562" t="s">
        <v>3624</v>
      </c>
      <c r="BW9" s="562"/>
      <c r="BX9" s="562"/>
      <c r="BY9" s="562"/>
      <c r="BZ9" s="562"/>
      <c r="CA9" s="123" t="s">
        <v>3625</v>
      </c>
      <c r="CB9" s="562" t="s">
        <v>3605</v>
      </c>
      <c r="CC9" s="562"/>
      <c r="CD9" s="562"/>
      <c r="CE9" s="562"/>
      <c r="CF9" s="562"/>
      <c r="CG9" s="562"/>
      <c r="CH9" s="562"/>
      <c r="CI9" s="562"/>
      <c r="CJ9" s="562"/>
      <c r="CK9" s="562"/>
      <c r="CL9" s="562"/>
      <c r="CM9" s="562"/>
      <c r="CN9" s="562"/>
      <c r="CO9" s="562"/>
      <c r="CP9" s="562"/>
      <c r="CQ9" s="562"/>
      <c r="CR9" s="93" t="s">
        <v>2221</v>
      </c>
      <c r="CS9" s="93" t="s">
        <v>2221</v>
      </c>
      <c r="CT9" s="93" t="s">
        <v>2221</v>
      </c>
      <c r="CU9" s="93" t="s">
        <v>2221</v>
      </c>
      <c r="CV9" s="562"/>
      <c r="CW9" s="562"/>
      <c r="CX9" s="562"/>
      <c r="CY9" s="562"/>
      <c r="CZ9" s="562"/>
      <c r="DA9" s="562"/>
      <c r="DB9" s="562"/>
      <c r="DC9" s="562"/>
    </row>
    <row r="10" spans="1:107" x14ac:dyDescent="0.2">
      <c r="A10" s="562"/>
      <c r="B10" s="562"/>
      <c r="C10" s="562"/>
      <c r="D10" s="562"/>
      <c r="E10" s="3" t="s">
        <v>3626</v>
      </c>
      <c r="F10" s="3" t="s">
        <v>3602</v>
      </c>
      <c r="G10" s="3" t="s">
        <v>3602</v>
      </c>
      <c r="H10" s="3" t="s">
        <v>3602</v>
      </c>
      <c r="I10" s="3" t="s">
        <v>3605</v>
      </c>
      <c r="J10" s="3"/>
      <c r="K10" s="3" t="s">
        <v>3346</v>
      </c>
      <c r="L10" s="3" t="s">
        <v>3346</v>
      </c>
      <c r="M10" s="3" t="s">
        <v>3346</v>
      </c>
      <c r="N10" s="3"/>
      <c r="O10" s="3" t="s">
        <v>3605</v>
      </c>
      <c r="P10" s="3" t="s">
        <v>3627</v>
      </c>
      <c r="Q10" s="562"/>
      <c r="R10" s="562"/>
      <c r="S10" s="562"/>
      <c r="T10" s="562"/>
      <c r="U10" s="562"/>
      <c r="V10" s="562"/>
      <c r="W10" s="562"/>
      <c r="X10" s="562"/>
      <c r="Y10" s="562"/>
      <c r="Z10" s="3" t="s">
        <v>3628</v>
      </c>
      <c r="AA10" s="3" t="s">
        <v>3629</v>
      </c>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t="s">
        <v>3630</v>
      </c>
      <c r="BN10" s="562" t="s">
        <v>3630</v>
      </c>
      <c r="BO10" s="562" t="s">
        <v>3630</v>
      </c>
      <c r="BP10" s="562" t="s">
        <v>3630</v>
      </c>
      <c r="BQ10" s="562"/>
      <c r="BR10" s="562"/>
      <c r="BS10" s="562"/>
      <c r="BT10" s="562" t="s">
        <v>3631</v>
      </c>
      <c r="BU10" s="562"/>
      <c r="BV10" s="562"/>
      <c r="BW10" s="562"/>
      <c r="BX10" s="562"/>
      <c r="BY10" s="562"/>
      <c r="BZ10" s="562"/>
      <c r="CA10" s="123" t="s">
        <v>3632</v>
      </c>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row>
    <row r="11" spans="1:107" x14ac:dyDescent="0.2">
      <c r="A11" s="562"/>
      <c r="B11" s="562"/>
      <c r="C11" s="562"/>
      <c r="D11" s="562"/>
      <c r="E11" s="3" t="s">
        <v>3633</v>
      </c>
      <c r="F11" s="3" t="s">
        <v>3605</v>
      </c>
      <c r="G11" s="3" t="s">
        <v>3605</v>
      </c>
      <c r="H11" s="3" t="s">
        <v>3605</v>
      </c>
      <c r="I11" s="562"/>
      <c r="J11" s="562"/>
      <c r="K11" s="562"/>
      <c r="L11" s="3"/>
      <c r="M11" s="3"/>
      <c r="N11" s="3"/>
      <c r="O11" s="562"/>
      <c r="P11" s="3" t="s">
        <v>3634</v>
      </c>
      <c r="Q11" s="562"/>
      <c r="R11" s="562"/>
      <c r="S11" s="562"/>
      <c r="T11" s="562"/>
      <c r="U11" s="562"/>
      <c r="V11" s="562"/>
      <c r="W11" s="562"/>
      <c r="X11" s="562"/>
      <c r="Y11" s="562"/>
      <c r="Z11" s="3" t="s">
        <v>3605</v>
      </c>
      <c r="AA11" s="3" t="s">
        <v>3635</v>
      </c>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t="s">
        <v>3605</v>
      </c>
      <c r="BN11" s="562" t="s">
        <v>3605</v>
      </c>
      <c r="BO11" s="562" t="s">
        <v>3605</v>
      </c>
      <c r="BP11" s="562" t="s">
        <v>3605</v>
      </c>
      <c r="BQ11" s="562"/>
      <c r="BR11" s="562"/>
      <c r="BS11" s="562"/>
      <c r="BT11" s="562" t="s">
        <v>3636</v>
      </c>
      <c r="BU11" s="562"/>
      <c r="BV11" s="562"/>
      <c r="BW11" s="562"/>
      <c r="BX11" s="562"/>
      <c r="BY11" s="562"/>
      <c r="BZ11" s="562"/>
      <c r="CA11" s="123" t="s">
        <v>3637</v>
      </c>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c r="CZ11" s="562"/>
      <c r="DA11" s="562"/>
      <c r="DB11" s="562"/>
      <c r="DC11" s="562"/>
    </row>
    <row r="12" spans="1:107" x14ac:dyDescent="0.2">
      <c r="A12" s="562"/>
      <c r="B12" s="562"/>
      <c r="C12" s="562"/>
      <c r="D12" s="562"/>
      <c r="E12" s="3" t="s">
        <v>3605</v>
      </c>
      <c r="F12" s="3" t="s">
        <v>3346</v>
      </c>
      <c r="G12" s="3" t="s">
        <v>3346</v>
      </c>
      <c r="H12" s="3" t="s">
        <v>3346</v>
      </c>
      <c r="I12" s="562"/>
      <c r="J12" s="562"/>
      <c r="K12" s="562"/>
      <c r="L12" s="562"/>
      <c r="M12" s="562"/>
      <c r="N12" s="562"/>
      <c r="O12" s="562"/>
      <c r="P12" s="3" t="s">
        <v>3638</v>
      </c>
      <c r="Q12" s="562"/>
      <c r="R12" s="562"/>
      <c r="S12" s="562"/>
      <c r="T12" s="562"/>
      <c r="U12" s="562"/>
      <c r="V12" s="562"/>
      <c r="W12" s="562"/>
      <c r="X12" s="562"/>
      <c r="Y12" s="562"/>
      <c r="Z12" s="562"/>
      <c r="AA12" s="3" t="s">
        <v>3639</v>
      </c>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t="s">
        <v>3640</v>
      </c>
      <c r="BU12" s="562"/>
      <c r="BV12" s="562"/>
      <c r="BW12" s="562"/>
      <c r="BX12" s="562"/>
      <c r="BY12" s="562"/>
      <c r="BZ12" s="562"/>
      <c r="CA12" s="123" t="s">
        <v>3641</v>
      </c>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row>
    <row r="13" spans="1:107" x14ac:dyDescent="0.2">
      <c r="A13" s="562"/>
      <c r="B13" s="562"/>
      <c r="C13" s="562"/>
      <c r="D13" s="562"/>
      <c r="E13" s="562"/>
      <c r="F13" s="562"/>
      <c r="G13" s="562"/>
      <c r="H13" s="562"/>
      <c r="I13" s="562"/>
      <c r="J13" s="562"/>
      <c r="K13" s="562"/>
      <c r="L13" s="562"/>
      <c r="M13" s="562"/>
      <c r="N13" s="562"/>
      <c r="O13" s="562"/>
      <c r="P13" s="3" t="s">
        <v>3605</v>
      </c>
      <c r="Q13" s="562"/>
      <c r="R13" s="562"/>
      <c r="S13" s="562"/>
      <c r="T13" s="562"/>
      <c r="U13" s="562"/>
      <c r="V13" s="562"/>
      <c r="W13" s="562"/>
      <c r="X13" s="562"/>
      <c r="Y13" s="562"/>
      <c r="Z13" s="562"/>
      <c r="AA13" s="3" t="s">
        <v>3642</v>
      </c>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t="s">
        <v>3643</v>
      </c>
      <c r="BU13" s="562"/>
      <c r="BV13" s="562"/>
      <c r="BW13" s="562"/>
      <c r="BX13" s="562"/>
      <c r="BY13" s="562"/>
      <c r="BZ13" s="562"/>
      <c r="CA13" s="123" t="s">
        <v>3644</v>
      </c>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c r="CZ13" s="562"/>
      <c r="DA13" s="562"/>
      <c r="DB13" s="562"/>
      <c r="DC13" s="562"/>
    </row>
    <row r="14" spans="1:107" x14ac:dyDescent="0.2">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3" t="s">
        <v>3645</v>
      </c>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t="s">
        <v>3646</v>
      </c>
      <c r="BU14" s="562"/>
      <c r="BV14" s="562"/>
      <c r="BW14" s="562"/>
      <c r="BX14" s="562"/>
      <c r="BY14" s="562"/>
      <c r="BZ14" s="562"/>
      <c r="CA14" s="123" t="s">
        <v>3647</v>
      </c>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row>
    <row r="15" spans="1:107" x14ac:dyDescent="0.2">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3" t="s">
        <v>3648</v>
      </c>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c r="CZ15" s="562"/>
      <c r="DA15" s="562"/>
      <c r="DB15" s="562"/>
      <c r="DC15" s="562"/>
    </row>
    <row r="16" spans="1:107" x14ac:dyDescent="0.2">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3" t="s">
        <v>3649</v>
      </c>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row>
    <row r="17" spans="27:103" x14ac:dyDescent="0.2">
      <c r="AA17" s="3" t="s">
        <v>3605</v>
      </c>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27:103" x14ac:dyDescent="0.2">
      <c r="AA18" s="3" t="s">
        <v>3346</v>
      </c>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27:103" x14ac:dyDescent="0.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27:103" x14ac:dyDescent="0.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27:103" x14ac:dyDescent="0.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27:103" x14ac:dyDescent="0.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27:103" x14ac:dyDescent="0.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27:103" x14ac:dyDescent="0.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27:103" x14ac:dyDescent="0.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27:103" x14ac:dyDescent="0.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27:103" x14ac:dyDescent="0.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27:103" x14ac:dyDescent="0.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27:103" x14ac:dyDescent="0.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27:103" x14ac:dyDescent="0.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27:103" x14ac:dyDescent="0.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27:103" x14ac:dyDescent="0.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96:103" x14ac:dyDescent="0.2">
      <c r="CR33" s="562"/>
      <c r="CS33" s="562"/>
      <c r="CT33" s="562"/>
      <c r="CU33" s="562"/>
      <c r="CV33" s="562"/>
      <c r="CW33" s="562"/>
      <c r="CX33" s="562"/>
      <c r="CY33" s="562"/>
    </row>
    <row r="34" spans="96:103" x14ac:dyDescent="0.2">
      <c r="CR34" s="562"/>
      <c r="CS34" s="562"/>
      <c r="CT34" s="562"/>
      <c r="CU34" s="562"/>
      <c r="CV34" s="562"/>
      <c r="CW34" s="562"/>
      <c r="CX34" s="562"/>
      <c r="CY34" s="562"/>
    </row>
    <row r="35" spans="96:103" x14ac:dyDescent="0.2">
      <c r="CR35" s="562"/>
      <c r="CS35" s="562"/>
      <c r="CT35" s="562"/>
      <c r="CU35" s="562"/>
      <c r="CV35" s="562"/>
      <c r="CW35" s="562"/>
      <c r="CX35" s="562"/>
      <c r="CY35" s="562"/>
    </row>
    <row r="36" spans="96:103" x14ac:dyDescent="0.2">
      <c r="CR36" s="562"/>
      <c r="CS36" s="562"/>
      <c r="CT36" s="562"/>
      <c r="CU36" s="562"/>
      <c r="CV36" s="562"/>
      <c r="CW36" s="562"/>
      <c r="CX36" s="562"/>
      <c r="CY36" s="562"/>
    </row>
    <row r="37" spans="96:103" x14ac:dyDescent="0.2">
      <c r="CR37" s="562"/>
      <c r="CS37" s="562"/>
      <c r="CT37" s="562"/>
      <c r="CU37" s="562"/>
      <c r="CV37" s="562"/>
      <c r="CW37" s="562"/>
      <c r="CX37" s="562"/>
      <c r="CY37" s="562"/>
    </row>
    <row r="38" spans="96:103" x14ac:dyDescent="0.2">
      <c r="CR38" s="562"/>
      <c r="CS38" s="562"/>
      <c r="CT38" s="562"/>
      <c r="CU38" s="562"/>
      <c r="CV38" s="562"/>
      <c r="CW38" s="562"/>
      <c r="CX38" s="562"/>
      <c r="CY38" s="562"/>
    </row>
    <row r="39" spans="96:103" x14ac:dyDescent="0.2">
      <c r="CR39" s="562"/>
      <c r="CS39" s="562"/>
      <c r="CT39" s="562"/>
      <c r="CU39" s="562"/>
      <c r="CV39" s="562"/>
      <c r="CW39" s="562"/>
      <c r="CX39" s="562"/>
      <c r="CY39" s="562"/>
    </row>
  </sheetData>
  <sheetProtection algorithmName="SHA-512" hashValue="doF9nQcRcsjcYzjXTATxaFmR3vhXtiSXosvte9ljt0nxid9DapWsdfVlm8e7c5mFVqmD1Ro4y4BDGtST+tilNg==" saltValue="Q16FeSJC3I8JZVIWcnQP7A==" spinCount="100000" sheet="1" objects="1" scenarios="1" selectLockedCells="1" selectUnlockedCells="1"/>
  <pageMargins left="0.7" right="0.7" top="0.75" bottom="0.75" header="0.3" footer="0.3"/>
  <pageSetup scale="10"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1"/>
    <pageSetUpPr fitToPage="1"/>
  </sheetPr>
  <dimension ref="A3:R25"/>
  <sheetViews>
    <sheetView topLeftCell="AD1" zoomScaleNormal="100" workbookViewId="0">
      <selection activeCell="E7" sqref="E7:F7"/>
    </sheetView>
  </sheetViews>
  <sheetFormatPr baseColWidth="10" defaultColWidth="8.83203125" defaultRowHeight="15" x14ac:dyDescent="0.2"/>
  <cols>
    <col min="1" max="7" width="0" hidden="1" customWidth="1"/>
    <col min="8" max="8" width="0" style="10" hidden="1" customWidth="1"/>
    <col min="9" max="10" width="0" hidden="1" customWidth="1"/>
    <col min="11" max="11" width="0" style="10" hidden="1" customWidth="1"/>
    <col min="12" max="12" width="0" style="468" hidden="1" customWidth="1"/>
    <col min="13" max="14" width="0" hidden="1" customWidth="1"/>
    <col min="15" max="15" width="0" style="25" hidden="1" customWidth="1"/>
    <col min="16" max="16" width="13.5" style="25" hidden="1" customWidth="1"/>
    <col min="17" max="29" width="0" hidden="1" customWidth="1"/>
  </cols>
  <sheetData>
    <row r="3" spans="1:16" x14ac:dyDescent="0.2">
      <c r="A3" s="562" t="s">
        <v>3650</v>
      </c>
      <c r="B3" s="562" t="b">
        <f>OR('Overview (Design)'!G12="",'Overview (Design)'!G13="",'Overview (Design)'!G16="",AND('Overview (Design)'!G16=INDEX(ddSingleOrMulti,2),OR('Overview (Design)'!G17="",'Overview (Design)'!G18="")),'Overview (Design)'!G20="",'Overview (Design)'!G21="",'Overview (Design)'!G22="",'Overview (Design)'!G23="",'Overview (Design)'!G28="",'Overview (Design)'!G30="",'Overview (Design)'!G34="",'Overview (Design)'!G35="",'Overview (Design)'!G38="",'Overview (Design)'!G40="",'Overview (Design)'!G42="",'Overview (Design)'!G46="",'Overview (Design)'!L9="!!")</f>
        <v>1</v>
      </c>
      <c r="C3" s="562"/>
      <c r="D3" s="562"/>
      <c r="E3" s="562"/>
      <c r="F3" s="562"/>
      <c r="G3" s="562"/>
      <c r="H3" s="562"/>
      <c r="I3" s="562"/>
      <c r="J3" s="562"/>
      <c r="K3" s="562"/>
      <c r="L3" s="562"/>
      <c r="M3" s="562"/>
      <c r="N3" s="562"/>
      <c r="O3" s="562"/>
      <c r="P3" s="562"/>
    </row>
    <row r="4" spans="1:16" x14ac:dyDescent="0.2">
      <c r="A4" s="562" t="s">
        <v>3651</v>
      </c>
      <c r="B4" s="562" t="b">
        <f>OR('Overview (Verification)'!P12="",'Overview (Verification)'!P13="",'Overview (Verification)'!P16="",'Overview (Verification)'!P21="",'Overview (Verification)'!P22="",'Overview (Verification)'!P23="",'Overview (Verification)'!P28="",'Overview (Verification)'!P30="",'Overview (Verification)'!P34="",'Overview (Verification)'!P35="",'Overview (Verification)'!P38="",'Overview (Verification)'!P40="",'Overview (Verification)'!P42="",'Overview (Verification)'!P46="")</f>
        <v>1</v>
      </c>
      <c r="C4" s="562"/>
      <c r="D4" s="562"/>
      <c r="E4" s="562"/>
      <c r="F4" s="562"/>
      <c r="G4" s="562"/>
      <c r="H4" s="562"/>
      <c r="I4" s="562"/>
      <c r="J4" s="562"/>
      <c r="K4" s="562"/>
      <c r="L4" s="562"/>
      <c r="M4" s="562"/>
      <c r="N4" s="562"/>
      <c r="O4" s="562"/>
      <c r="P4" s="562"/>
    </row>
    <row r="8" spans="1:16" x14ac:dyDescent="0.2">
      <c r="A8" s="562"/>
      <c r="B8" s="562"/>
      <c r="C8" s="562"/>
      <c r="D8" s="562"/>
      <c r="E8" s="562"/>
      <c r="F8" s="562"/>
      <c r="G8" s="562"/>
      <c r="H8" s="562"/>
      <c r="I8" s="562"/>
      <c r="J8" s="562"/>
      <c r="K8" s="562"/>
      <c r="L8" s="562"/>
      <c r="M8" s="562"/>
      <c r="N8" s="562"/>
      <c r="O8" s="562"/>
      <c r="P8" s="562"/>
    </row>
    <row r="9" spans="1:16" x14ac:dyDescent="0.2">
      <c r="A9" s="562"/>
      <c r="B9" s="562"/>
      <c r="C9" s="562"/>
      <c r="D9" s="562"/>
      <c r="E9" s="562"/>
      <c r="F9" s="562"/>
      <c r="G9" s="562"/>
      <c r="H9" s="562"/>
      <c r="I9" s="562"/>
      <c r="J9" s="562"/>
      <c r="K9" s="562"/>
      <c r="L9" s="562"/>
      <c r="M9" s="562"/>
      <c r="N9" s="562"/>
      <c r="O9" s="562"/>
      <c r="P9" s="562"/>
    </row>
    <row r="10" spans="1:16" x14ac:dyDescent="0.2">
      <c r="A10" s="562"/>
      <c r="B10" s="562"/>
      <c r="C10" s="562"/>
      <c r="D10" s="562"/>
      <c r="E10" s="562"/>
      <c r="F10" s="562"/>
      <c r="G10" s="594" t="s">
        <v>3652</v>
      </c>
      <c r="H10" s="562" t="s">
        <v>3653</v>
      </c>
      <c r="I10" s="562"/>
      <c r="J10" s="562"/>
      <c r="K10" s="562"/>
      <c r="L10" s="562"/>
      <c r="M10" s="594" t="s">
        <v>3654</v>
      </c>
      <c r="N10" s="562" t="str">
        <f>IF(LEN('Verification Report'!L1)=0,"None Chosen",'Verification Report'!L1)</f>
        <v>None Chosen</v>
      </c>
      <c r="O10" s="562"/>
      <c r="P10" s="562"/>
    </row>
    <row r="11" spans="1:16" x14ac:dyDescent="0.2">
      <c r="A11" s="562"/>
      <c r="B11" s="562"/>
      <c r="C11" s="562"/>
      <c r="D11" s="562"/>
      <c r="E11" s="562"/>
      <c r="F11" s="562"/>
      <c r="G11" s="562"/>
      <c r="H11" s="562"/>
      <c r="I11" s="562"/>
      <c r="J11" s="562"/>
      <c r="K11" s="562"/>
      <c r="L11" s="562"/>
      <c r="M11" s="562"/>
      <c r="N11" s="562"/>
      <c r="O11" s="562"/>
      <c r="P11" s="562"/>
    </row>
    <row r="12" spans="1:16" x14ac:dyDescent="0.2">
      <c r="A12" s="562"/>
      <c r="B12" s="562"/>
      <c r="C12" s="562" t="s">
        <v>3655</v>
      </c>
      <c r="D12" s="562"/>
      <c r="E12" s="562"/>
      <c r="F12" s="562"/>
      <c r="G12" s="562" t="s">
        <v>3656</v>
      </c>
      <c r="H12" s="562"/>
      <c r="I12" s="562"/>
      <c r="J12" s="562"/>
      <c r="K12" s="562"/>
      <c r="L12" s="562"/>
      <c r="M12" s="562" t="s">
        <v>2162</v>
      </c>
      <c r="N12" s="562"/>
      <c r="O12" s="562"/>
      <c r="P12" s="562"/>
    </row>
    <row r="13" spans="1:16" x14ac:dyDescent="0.2">
      <c r="A13" s="562"/>
      <c r="B13" s="562"/>
      <c r="C13" s="562"/>
      <c r="D13" s="562"/>
      <c r="E13" s="562"/>
      <c r="F13" s="562"/>
      <c r="G13" s="562"/>
      <c r="H13" s="562"/>
      <c r="I13" s="562"/>
      <c r="J13" s="562"/>
      <c r="K13" s="562"/>
      <c r="L13" s="562"/>
      <c r="M13" s="562"/>
      <c r="N13" s="562"/>
      <c r="O13" s="562"/>
      <c r="P13" s="562"/>
    </row>
    <row r="14" spans="1:16" x14ac:dyDescent="0.2">
      <c r="A14" s="562"/>
      <c r="B14" s="562"/>
      <c r="C14" s="562" t="s">
        <v>3657</v>
      </c>
      <c r="D14" s="562" t="s">
        <v>3658</v>
      </c>
      <c r="E14" s="562" t="s">
        <v>3653</v>
      </c>
      <c r="F14" s="562" t="s">
        <v>3659</v>
      </c>
      <c r="G14" s="562"/>
      <c r="H14" s="562" t="s">
        <v>3660</v>
      </c>
      <c r="I14" s="562"/>
      <c r="J14" s="562"/>
      <c r="K14" s="562"/>
      <c r="L14" s="562"/>
      <c r="M14" s="562"/>
      <c r="N14" s="562" t="s">
        <v>3660</v>
      </c>
      <c r="O14" s="562"/>
      <c r="P14" s="562"/>
    </row>
    <row r="15" spans="1:16" x14ac:dyDescent="0.2">
      <c r="A15" s="562">
        <v>5</v>
      </c>
      <c r="B15" s="562" t="s">
        <v>3661</v>
      </c>
      <c r="C15" s="562"/>
      <c r="D15" s="562"/>
      <c r="E15" s="562"/>
      <c r="F15" s="562"/>
      <c r="G15" s="594" t="str">
        <f t="shared" ref="G15:G20" si="0">"Ch"&amp;$A15&amp;"Points"</f>
        <v>Ch5Points</v>
      </c>
      <c r="H15" s="1">
        <f ca="1">ROUNDDOWN(SUM('Ch5'!O:O),0)</f>
        <v>0</v>
      </c>
      <c r="I15" s="562"/>
      <c r="J15" s="594"/>
      <c r="K15" s="562"/>
      <c r="L15" s="562"/>
      <c r="M15" s="594" t="str">
        <f t="shared" ref="M15:M20" si="1">"Ch"&amp;$A15&amp;"PointsFinal"</f>
        <v>Ch5PointsFinal</v>
      </c>
      <c r="N15" s="1">
        <f ca="1">ROUNDDOWN(SUMIFS('Verification Report'!O:O,'Verification Report'!A:A, 5),0)</f>
        <v>0</v>
      </c>
      <c r="O15" s="562"/>
      <c r="P15" s="562"/>
    </row>
    <row r="16" spans="1:16" x14ac:dyDescent="0.2">
      <c r="A16" s="562">
        <v>6</v>
      </c>
      <c r="B16" s="562" t="s">
        <v>3662</v>
      </c>
      <c r="C16" s="562"/>
      <c r="D16" s="562"/>
      <c r="E16" s="562"/>
      <c r="F16" s="562"/>
      <c r="G16" s="594" t="str">
        <f t="shared" si="0"/>
        <v>Ch6Points</v>
      </c>
      <c r="H16" s="562" t="e">
        <f ca="1">SUM('Ch6'!O:O)</f>
        <v>#REF!</v>
      </c>
      <c r="I16" s="562"/>
      <c r="J16" s="594"/>
      <c r="K16" s="562"/>
      <c r="L16" s="562"/>
      <c r="M16" s="594" t="str">
        <f t="shared" si="1"/>
        <v>Ch6PointsFinal</v>
      </c>
      <c r="N16" s="562" t="e">
        <f ca="1">SUMIFS('Verification Report'!O:O,'Verification Report'!A:A, 6)</f>
        <v>#REF!</v>
      </c>
      <c r="O16" s="562"/>
      <c r="P16" s="562"/>
    </row>
    <row r="17" spans="1:18" x14ac:dyDescent="0.2">
      <c r="A17" s="562">
        <v>7</v>
      </c>
      <c r="B17" s="562" t="s">
        <v>3663</v>
      </c>
      <c r="C17" s="471">
        <v>0.15</v>
      </c>
      <c r="D17" s="471">
        <v>0.25</v>
      </c>
      <c r="E17" s="471">
        <v>0.35</v>
      </c>
      <c r="F17" s="471">
        <v>0.45</v>
      </c>
      <c r="G17" s="594" t="str">
        <f t="shared" si="0"/>
        <v>Ch7Points</v>
      </c>
      <c r="H17" s="562"/>
      <c r="I17" s="474">
        <f>'Ch7'!W174</f>
        <v>0</v>
      </c>
      <c r="J17" s="562" t="s">
        <v>2800</v>
      </c>
      <c r="K17" s="562" t="str">
        <f>IFERROR(INDEX($C$14:$F$14,L17),"None")</f>
        <v>None</v>
      </c>
      <c r="L17" s="562">
        <f>IFERROR(MATCH(I17,C17:F17,1),0)</f>
        <v>0</v>
      </c>
      <c r="M17" s="594" t="str">
        <f t="shared" si="1"/>
        <v>Ch7PointsFinal</v>
      </c>
      <c r="N17" s="562"/>
      <c r="O17" s="499">
        <f>'Verification (Ch. 7)'!W50</f>
        <v>0</v>
      </c>
      <c r="P17" s="562" t="s">
        <v>3664</v>
      </c>
      <c r="Q17" s="562" t="str">
        <f>IFERROR(INDEX($C$14:$F$14,R17),"None")</f>
        <v>None</v>
      </c>
      <c r="R17" s="562">
        <f>IFERROR(MATCH(O17,C17:F17,1),0)</f>
        <v>0</v>
      </c>
    </row>
    <row r="18" spans="1:18" x14ac:dyDescent="0.2">
      <c r="A18" s="562">
        <v>8</v>
      </c>
      <c r="B18" s="562" t="s">
        <v>3665</v>
      </c>
      <c r="C18" s="471">
        <v>0.2</v>
      </c>
      <c r="D18" s="471">
        <v>0.3</v>
      </c>
      <c r="E18" s="471">
        <v>0.4</v>
      </c>
      <c r="F18" s="471">
        <v>0.5</v>
      </c>
      <c r="G18" s="594" t="str">
        <f t="shared" si="0"/>
        <v>Ch8Points</v>
      </c>
      <c r="H18" s="562"/>
      <c r="I18" s="474">
        <f>'Ch8'!J74</f>
        <v>0</v>
      </c>
      <c r="J18" s="562" t="s">
        <v>2931</v>
      </c>
      <c r="K18" s="562" t="str">
        <f>IFERROR(INDEX($C$14:$F$14,L18),"None")</f>
        <v>None</v>
      </c>
      <c r="L18" s="562">
        <f>IFERROR(MATCH(I18,C18:F18,1),0)</f>
        <v>0</v>
      </c>
      <c r="M18" s="594" t="str">
        <f t="shared" si="1"/>
        <v>Ch8PointsFinal</v>
      </c>
      <c r="N18" s="562"/>
      <c r="O18" s="499">
        <f>'Verification (Ch.8)'!L74</f>
        <v>0</v>
      </c>
      <c r="P18" s="562" t="s">
        <v>3666</v>
      </c>
      <c r="Q18" s="562" t="str">
        <f>IFERROR(INDEX($C$14:$F$14,R18),"None")</f>
        <v>None</v>
      </c>
      <c r="R18" s="562">
        <f>IFERROR(MATCH(O18,C18:F18,1),0)</f>
        <v>0</v>
      </c>
    </row>
    <row r="19" spans="1:18" x14ac:dyDescent="0.2">
      <c r="A19" s="562">
        <v>9</v>
      </c>
      <c r="B19" s="562" t="s">
        <v>3667</v>
      </c>
      <c r="C19" s="562"/>
      <c r="D19" s="562"/>
      <c r="E19" s="562"/>
      <c r="F19" s="562"/>
      <c r="G19" s="594" t="str">
        <f t="shared" si="0"/>
        <v>Ch9Points</v>
      </c>
      <c r="H19" s="562">
        <f ca="1">SUM('Ch9'!O:O)</f>
        <v>0</v>
      </c>
      <c r="I19" s="562"/>
      <c r="J19" s="594"/>
      <c r="K19" s="562"/>
      <c r="L19" s="562"/>
      <c r="M19" s="594" t="str">
        <f t="shared" si="1"/>
        <v>Ch9PointsFinal</v>
      </c>
      <c r="N19" s="562">
        <f ca="1">SUMIFS('Verification Report'!O:O,'Verification Report'!A:A, 9)</f>
        <v>0</v>
      </c>
      <c r="O19" s="562"/>
      <c r="P19" s="562"/>
      <c r="Q19" s="562"/>
      <c r="R19" s="562"/>
    </row>
    <row r="20" spans="1:18" x14ac:dyDescent="0.2">
      <c r="A20" s="562">
        <v>10</v>
      </c>
      <c r="B20" s="562" t="s">
        <v>3668</v>
      </c>
      <c r="C20" s="562"/>
      <c r="D20" s="562"/>
      <c r="E20" s="562"/>
      <c r="F20" s="562"/>
      <c r="G20" s="594" t="str">
        <f t="shared" si="0"/>
        <v>Ch10Points</v>
      </c>
      <c r="H20" s="562">
        <f>SUM('Ch10'!O:O)</f>
        <v>0</v>
      </c>
      <c r="I20" s="562"/>
      <c r="J20" s="594"/>
      <c r="K20" s="562"/>
      <c r="L20" s="562"/>
      <c r="M20" s="594" t="str">
        <f t="shared" si="1"/>
        <v>Ch10PointsFinal</v>
      </c>
      <c r="N20" s="562">
        <f>SUMIFS('Verification Report'!O:O,'Verification Report'!A:A, 10)</f>
        <v>0</v>
      </c>
      <c r="O20" s="562"/>
      <c r="P20" s="562"/>
      <c r="Q20" s="562"/>
      <c r="R20" s="562"/>
    </row>
    <row r="21" spans="1:18" x14ac:dyDescent="0.2">
      <c r="A21" s="562">
        <f>'Overview (Design)'!$G$21</f>
        <v>0</v>
      </c>
      <c r="B21" s="562" t="s">
        <v>3669</v>
      </c>
      <c r="C21" s="562">
        <f>88+MAX(0,ROUNDDOWN(($A21-4000)/100,0))</f>
        <v>88</v>
      </c>
      <c r="D21" s="562">
        <f>125+MAX(0,ROUNDDOWN(($A21-4000)/100,0))</f>
        <v>125</v>
      </c>
      <c r="E21" s="562">
        <f>181+MAX(0,ROUNDDOWN(($A21-4000)/100,0))</f>
        <v>181</v>
      </c>
      <c r="F21" s="562">
        <f>225+MAX(0,ROUNDDOWN(($A21-4000)/100,0))</f>
        <v>225</v>
      </c>
      <c r="G21" s="562" t="s">
        <v>3670</v>
      </c>
      <c r="H21" s="562" t="e">
        <f ca="1">SUM(H15:H20)</f>
        <v>#REF!</v>
      </c>
      <c r="I21" s="562"/>
      <c r="J21" s="562"/>
      <c r="K21" s="562"/>
      <c r="L21" s="562"/>
      <c r="M21" s="562" t="s">
        <v>3671</v>
      </c>
      <c r="N21" s="562" t="e">
        <f ca="1">SUM(N15:N20)</f>
        <v>#REF!</v>
      </c>
      <c r="O21" s="562"/>
      <c r="P21" s="562"/>
      <c r="Q21" s="562"/>
      <c r="R21" s="562"/>
    </row>
    <row r="22" spans="1:18" x14ac:dyDescent="0.2">
      <c r="A22" s="562">
        <f>IF(LEN('Overview (Verification)'!$P$21)=0,0,'Overview (Verification)'!$P$21)</f>
        <v>0</v>
      </c>
      <c r="B22" s="562" t="s">
        <v>3672</v>
      </c>
      <c r="C22" s="562">
        <f>88+MAX(0,ROUNDDOWN(($A22-4000)/100,0))</f>
        <v>88</v>
      </c>
      <c r="D22" s="562">
        <f>125+MAX(0,ROUNDDOWN(($A22-4000)/100,0))</f>
        <v>125</v>
      </c>
      <c r="E22" s="562">
        <f>181+MAX(0,ROUNDDOWN(($A22-4000)/100,0))</f>
        <v>181</v>
      </c>
      <c r="F22" s="562">
        <f>225+MAX(0,ROUNDDOWN(($A22-4000)/100,0))</f>
        <v>225</v>
      </c>
      <c r="G22" s="562" t="s">
        <v>3673</v>
      </c>
      <c r="H22" s="562" t="str">
        <f ca="1">IFERROR(INDEX($C$14:$F$14,I22),"None")</f>
        <v>None</v>
      </c>
      <c r="I22" s="562" t="e">
        <f ca="1">MIN(IFERROR(MATCH(H21,C21:F21,1),0),MATCH(Ch7Level,C14:F14,0),MATCH(Ch8Level,C14:F14,0))</f>
        <v>#N/A</v>
      </c>
      <c r="J22" s="562"/>
      <c r="K22" s="562"/>
      <c r="L22" s="562"/>
      <c r="M22" s="562" t="s">
        <v>3674</v>
      </c>
      <c r="N22" s="562" t="str">
        <f ca="1">IFERROR(INDEX($C$14:$F$14,O22),"None")</f>
        <v>None</v>
      </c>
      <c r="O22" s="562">
        <f ca="1">MIN(IFERROR(MATCH(N21,C22:F22,1),0),R17,R18)</f>
        <v>0</v>
      </c>
      <c r="P22" s="562"/>
      <c r="Q22" s="562"/>
      <c r="R22" s="562"/>
    </row>
    <row r="23" spans="1:18" x14ac:dyDescent="0.2">
      <c r="A23" s="562"/>
      <c r="B23" s="562"/>
      <c r="C23" s="562"/>
      <c r="D23" s="562"/>
      <c r="E23" s="562"/>
      <c r="F23" s="562"/>
      <c r="G23" s="562"/>
      <c r="H23" s="562"/>
      <c r="I23" s="562"/>
      <c r="J23" s="562"/>
      <c r="K23" s="562"/>
      <c r="L23" s="562"/>
      <c r="M23" s="562"/>
      <c r="N23" s="562"/>
      <c r="O23" s="562"/>
      <c r="P23" s="562"/>
      <c r="Q23" s="562"/>
      <c r="R23" s="562"/>
    </row>
    <row r="24" spans="1:18" x14ac:dyDescent="0.2">
      <c r="A24" s="562"/>
      <c r="B24" s="562"/>
      <c r="C24" s="562"/>
      <c r="D24" s="562"/>
      <c r="E24" s="562"/>
      <c r="F24" s="562"/>
      <c r="G24" s="562"/>
      <c r="H24" s="562"/>
      <c r="I24" s="562"/>
      <c r="J24" s="562"/>
      <c r="K24" s="562"/>
      <c r="L24" s="562"/>
      <c r="M24" s="562"/>
      <c r="N24" s="562"/>
      <c r="O24" s="562"/>
      <c r="P24" s="562"/>
      <c r="Q24" s="562"/>
      <c r="R24" s="562"/>
    </row>
    <row r="25" spans="1:18" x14ac:dyDescent="0.2">
      <c r="A25" s="562"/>
      <c r="B25" s="562"/>
      <c r="C25" s="562"/>
      <c r="D25" s="562"/>
      <c r="E25" s="562"/>
      <c r="F25" s="562"/>
      <c r="G25" s="562"/>
      <c r="H25" s="562"/>
      <c r="I25" s="562"/>
      <c r="J25" s="562"/>
      <c r="K25" s="562"/>
      <c r="L25" s="562"/>
      <c r="M25" s="562"/>
      <c r="N25" s="562"/>
      <c r="O25" s="562"/>
      <c r="P25" s="562"/>
      <c r="Q25" s="562"/>
      <c r="R25" s="562"/>
    </row>
  </sheetData>
  <sheetProtection algorithmName="SHA-512" hashValue="kWIJK7lkx4KjSdGb960rCwvqN0st4NKxt8rt3yBGwT8qx2oR+CKdnuA56QGD3TIHEUdu2FAUd8hlqN8UbRBCmg==" saltValue="a01CX7wXbxLFwOzLLQJ0eg==" spinCount="100000" sheet="1" objects="1" scenarios="1" selectLockedCells="1" selectUnlockedCells="1"/>
  <pageMargins left="0.7" right="0.7" top="0.75" bottom="0.75" header="0.3" footer="0.3"/>
  <pageSetup scale="53"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pageSetUpPr fitToPage="1"/>
  </sheetPr>
  <dimension ref="A1:Z63"/>
  <sheetViews>
    <sheetView showGridLines="0" tabSelected="1" zoomScaleNormal="100" workbookViewId="0">
      <pane ySplit="6" topLeftCell="A41" activePane="bottomLeft" state="frozen"/>
      <selection activeCell="E7" sqref="E7:F7"/>
      <selection pane="bottomLeft" activeCell="J61" sqref="J61:K61"/>
    </sheetView>
  </sheetViews>
  <sheetFormatPr baseColWidth="10" defaultColWidth="9.1640625" defaultRowHeight="15" x14ac:dyDescent="0.2"/>
  <cols>
    <col min="1" max="4" width="9.1640625" style="25"/>
    <col min="5" max="13" width="9.1640625" style="27" customWidth="1"/>
    <col min="14" max="14" width="16.83203125" style="25" hidden="1" customWidth="1"/>
    <col min="15" max="15" width="17.5" style="25" hidden="1" customWidth="1"/>
    <col min="16" max="16384" width="9.1640625" style="25"/>
  </cols>
  <sheetData>
    <row r="1" spans="1:26" x14ac:dyDescent="0.2">
      <c r="A1" s="923"/>
      <c r="B1" s="923"/>
      <c r="C1" s="923"/>
      <c r="D1" s="937" t="s">
        <v>46</v>
      </c>
      <c r="E1" s="923"/>
      <c r="F1" s="923"/>
      <c r="G1" s="923"/>
      <c r="H1" s="923"/>
      <c r="I1" s="923"/>
      <c r="J1" s="923"/>
      <c r="K1" s="923"/>
      <c r="L1" s="923"/>
      <c r="M1" s="923"/>
      <c r="N1" s="923"/>
      <c r="O1" s="923"/>
      <c r="P1" s="923"/>
      <c r="Q1" s="923"/>
      <c r="R1" s="923"/>
      <c r="S1" s="923"/>
      <c r="T1" s="923"/>
      <c r="U1" s="923"/>
      <c r="V1" s="923"/>
      <c r="W1" s="923"/>
      <c r="X1" s="923"/>
      <c r="Y1" s="938"/>
      <c r="Z1" s="562"/>
    </row>
    <row r="2" spans="1:26" x14ac:dyDescent="0.2">
      <c r="A2" s="924"/>
      <c r="B2" s="924"/>
      <c r="C2" s="924"/>
      <c r="D2" s="939"/>
      <c r="E2" s="924"/>
      <c r="F2" s="924"/>
      <c r="G2" s="924"/>
      <c r="H2" s="924"/>
      <c r="I2" s="924"/>
      <c r="J2" s="924"/>
      <c r="K2" s="924"/>
      <c r="L2" s="924"/>
      <c r="M2" s="924"/>
      <c r="N2" s="924"/>
      <c r="O2" s="924"/>
      <c r="P2" s="924"/>
      <c r="Q2" s="924"/>
      <c r="R2" s="924"/>
      <c r="S2" s="924"/>
      <c r="T2" s="924"/>
      <c r="U2" s="924"/>
      <c r="V2" s="924"/>
      <c r="W2" s="924"/>
      <c r="X2" s="924"/>
      <c r="Y2" s="940"/>
      <c r="Z2" s="562"/>
    </row>
    <row r="3" spans="1:26" ht="15" customHeight="1" x14ac:dyDescent="0.2">
      <c r="A3" s="924"/>
      <c r="B3" s="924"/>
      <c r="C3" s="924"/>
      <c r="D3" s="941"/>
      <c r="E3" s="942"/>
      <c r="F3" s="942"/>
      <c r="G3" s="942"/>
      <c r="H3" s="942"/>
      <c r="I3" s="942"/>
      <c r="J3" s="942"/>
      <c r="K3" s="942"/>
      <c r="L3" s="942"/>
      <c r="M3" s="942"/>
      <c r="N3" s="942"/>
      <c r="O3" s="942"/>
      <c r="P3" s="942"/>
      <c r="Q3" s="942"/>
      <c r="R3" s="942"/>
      <c r="S3" s="942"/>
      <c r="T3" s="942"/>
      <c r="U3" s="942"/>
      <c r="V3" s="942"/>
      <c r="W3" s="942"/>
      <c r="X3" s="942"/>
      <c r="Y3" s="943"/>
      <c r="Z3" s="562"/>
    </row>
    <row r="4" spans="1:26" s="36" customFormat="1" x14ac:dyDescent="0.2">
      <c r="A4" s="924"/>
      <c r="B4" s="924"/>
      <c r="C4" s="924"/>
      <c r="D4" s="925" t="s">
        <v>3675</v>
      </c>
      <c r="E4" s="926"/>
      <c r="F4" s="926"/>
      <c r="G4" s="926"/>
      <c r="H4" s="926"/>
      <c r="I4" s="926"/>
      <c r="J4" s="926"/>
      <c r="K4" s="926"/>
      <c r="L4" s="926"/>
      <c r="M4" s="927"/>
      <c r="N4" s="562"/>
      <c r="O4" s="562"/>
      <c r="P4" s="931" t="s">
        <v>3676</v>
      </c>
      <c r="Q4" s="932"/>
      <c r="R4" s="932"/>
      <c r="S4" s="932"/>
      <c r="T4" s="932"/>
      <c r="U4" s="932"/>
      <c r="V4" s="932"/>
      <c r="W4" s="932"/>
      <c r="X4" s="932"/>
      <c r="Y4" s="933"/>
      <c r="Z4" s="562"/>
    </row>
    <row r="5" spans="1:26" s="36" customFormat="1" x14ac:dyDescent="0.2">
      <c r="A5" s="924"/>
      <c r="B5" s="924"/>
      <c r="C5" s="924"/>
      <c r="D5" s="928"/>
      <c r="E5" s="929"/>
      <c r="F5" s="929"/>
      <c r="G5" s="929"/>
      <c r="H5" s="929"/>
      <c r="I5" s="929"/>
      <c r="J5" s="929"/>
      <c r="K5" s="929"/>
      <c r="L5" s="929"/>
      <c r="M5" s="930"/>
      <c r="N5" s="562"/>
      <c r="O5" s="562"/>
      <c r="P5" s="934"/>
      <c r="Q5" s="935"/>
      <c r="R5" s="935"/>
      <c r="S5" s="935"/>
      <c r="T5" s="935"/>
      <c r="U5" s="935"/>
      <c r="V5" s="935"/>
      <c r="W5" s="935"/>
      <c r="X5" s="935"/>
      <c r="Y5" s="936"/>
      <c r="Z5" s="562"/>
    </row>
    <row r="6" spans="1:26" ht="19" x14ac:dyDescent="0.25">
      <c r="A6" s="585" t="s">
        <v>3677</v>
      </c>
      <c r="B6" s="585"/>
      <c r="C6" s="585"/>
      <c r="D6" s="585"/>
      <c r="E6" s="958" t="s">
        <v>3678</v>
      </c>
      <c r="F6" s="959"/>
      <c r="G6" s="959"/>
      <c r="H6" s="960"/>
      <c r="I6" s="35" t="s">
        <v>3679</v>
      </c>
      <c r="J6" s="958" t="s">
        <v>3680</v>
      </c>
      <c r="K6" s="959"/>
      <c r="L6" s="959"/>
      <c r="M6" s="960"/>
      <c r="N6" s="562" t="s">
        <v>48</v>
      </c>
      <c r="O6" s="562" t="s">
        <v>48</v>
      </c>
      <c r="P6" s="585" t="s">
        <v>3681</v>
      </c>
      <c r="Q6" s="585"/>
      <c r="R6" s="585"/>
      <c r="S6" s="585"/>
      <c r="T6" s="585"/>
      <c r="U6" s="585"/>
      <c r="V6" s="585"/>
      <c r="W6" s="585"/>
      <c r="X6" s="585"/>
      <c r="Y6" s="585"/>
      <c r="Z6" s="562"/>
    </row>
    <row r="7" spans="1:26" x14ac:dyDescent="0.2">
      <c r="A7" s="562"/>
      <c r="B7" s="562"/>
      <c r="C7" s="562"/>
      <c r="D7" s="562"/>
      <c r="E7" s="562"/>
      <c r="F7" s="562"/>
      <c r="G7" s="562"/>
      <c r="H7" s="562"/>
      <c r="I7" s="562"/>
      <c r="J7" s="562"/>
      <c r="K7" s="562"/>
      <c r="L7" s="562"/>
      <c r="M7" s="562"/>
      <c r="N7" s="562" t="s">
        <v>49</v>
      </c>
      <c r="O7" s="562" t="s">
        <v>50</v>
      </c>
      <c r="P7" s="562"/>
      <c r="Q7" s="562"/>
      <c r="R7" s="562"/>
      <c r="S7" s="562"/>
      <c r="T7" s="562"/>
      <c r="U7" s="562"/>
      <c r="V7" s="562"/>
      <c r="W7" s="562"/>
      <c r="X7" s="562"/>
      <c r="Y7" s="562"/>
      <c r="Z7" s="562"/>
    </row>
    <row r="8" spans="1:26" x14ac:dyDescent="0.2">
      <c r="A8" s="731" t="s">
        <v>51</v>
      </c>
      <c r="B8" s="731"/>
      <c r="C8" s="731"/>
      <c r="D8" s="731"/>
      <c r="E8" s="920" t="str">
        <f>IF(LEN('Overview (Design)'!G8)=0,"",'Overview (Design)'!G8)</f>
        <v>AAA Green Builders</v>
      </c>
      <c r="F8" s="921"/>
      <c r="G8" s="921"/>
      <c r="H8" s="922"/>
      <c r="I8" s="34" t="b">
        <v>1</v>
      </c>
      <c r="J8" s="730"/>
      <c r="K8" s="730"/>
      <c r="L8" s="730"/>
      <c r="M8" s="730"/>
      <c r="N8" s="588"/>
      <c r="O8" s="588" t="s">
        <v>3682</v>
      </c>
      <c r="P8" s="918" t="str">
        <f t="shared" ref="P8:P14" si="0">IF(LEN(IF(I8,E8,J8))=0,"",IF(I8,E8,J8))</f>
        <v>AAA Green Builders</v>
      </c>
      <c r="Q8" s="918"/>
      <c r="R8" s="918"/>
      <c r="S8" s="918"/>
      <c r="T8" s="28"/>
      <c r="U8" s="766" t="s">
        <v>54</v>
      </c>
      <c r="V8" s="767"/>
      <c r="W8" s="592"/>
      <c r="X8" s="561"/>
      <c r="Y8" s="561"/>
      <c r="Z8" s="562"/>
    </row>
    <row r="9" spans="1:26" x14ac:dyDescent="0.2">
      <c r="A9" s="731" t="s">
        <v>55</v>
      </c>
      <c r="B9" s="731"/>
      <c r="C9" s="731"/>
      <c r="D9" s="731"/>
      <c r="E9" s="920" t="str">
        <f>IF(LEN('Overview (Design)'!G9)=0,"",'Overview (Design)'!G9)</f>
        <v>6666 Oak St.</v>
      </c>
      <c r="F9" s="921"/>
      <c r="G9" s="921"/>
      <c r="H9" s="922"/>
      <c r="I9" s="34" t="b">
        <v>1</v>
      </c>
      <c r="J9" s="730"/>
      <c r="K9" s="730"/>
      <c r="L9" s="730"/>
      <c r="M9" s="730"/>
      <c r="N9" s="588"/>
      <c r="O9" s="588" t="s">
        <v>3683</v>
      </c>
      <c r="P9" s="918" t="str">
        <f t="shared" si="0"/>
        <v>6666 Oak St.</v>
      </c>
      <c r="Q9" s="918" t="str">
        <f t="shared" ref="Q9:S13" si="1">IF(LEN(IF(J9,F9,K9))=0,"",IF(J9,F9,K9))</f>
        <v/>
      </c>
      <c r="R9" s="918" t="str">
        <f t="shared" si="1"/>
        <v/>
      </c>
      <c r="S9" s="918" t="str">
        <f t="shared" si="1"/>
        <v/>
      </c>
      <c r="T9" s="28"/>
      <c r="U9" s="334" t="str">
        <f>W13</f>
        <v>!!</v>
      </c>
      <c r="V9" s="335" t="str">
        <f>X13</f>
        <v>!!</v>
      </c>
      <c r="W9" s="335" t="str">
        <f>Y13</f>
        <v>!!</v>
      </c>
      <c r="X9" s="335"/>
      <c r="Y9" s="336" t="str">
        <f>Z13</f>
        <v>!!</v>
      </c>
      <c r="Z9" s="562"/>
    </row>
    <row r="10" spans="1:26" x14ac:dyDescent="0.2">
      <c r="A10" s="731" t="s">
        <v>58</v>
      </c>
      <c r="B10" s="731"/>
      <c r="C10" s="731"/>
      <c r="D10" s="731"/>
      <c r="E10" s="920" t="str">
        <f>IF(LEN('Overview (Design)'!G10)=0,"",'Overview (Design)'!G10)</f>
        <v/>
      </c>
      <c r="F10" s="921"/>
      <c r="G10" s="921"/>
      <c r="H10" s="922"/>
      <c r="I10" s="34"/>
      <c r="J10" s="730"/>
      <c r="K10" s="730"/>
      <c r="L10" s="730"/>
      <c r="M10" s="730"/>
      <c r="N10" s="588"/>
      <c r="O10" s="588" t="s">
        <v>3684</v>
      </c>
      <c r="P10" s="918" t="str">
        <f t="shared" si="0"/>
        <v/>
      </c>
      <c r="Q10" s="918" t="str">
        <f t="shared" si="1"/>
        <v/>
      </c>
      <c r="R10" s="918" t="str">
        <f t="shared" si="1"/>
        <v/>
      </c>
      <c r="S10" s="918" t="str">
        <f t="shared" si="1"/>
        <v/>
      </c>
      <c r="T10" s="28"/>
      <c r="U10" s="28"/>
      <c r="V10" s="28"/>
      <c r="W10" s="28"/>
      <c r="X10" s="562"/>
      <c r="Y10" s="562"/>
      <c r="Z10" s="562"/>
    </row>
    <row r="11" spans="1:26" x14ac:dyDescent="0.2">
      <c r="A11" s="731" t="s">
        <v>60</v>
      </c>
      <c r="B11" s="731"/>
      <c r="C11" s="731"/>
      <c r="D11" s="731"/>
      <c r="E11" s="920" t="str">
        <f>IF(LEN('Overview (Design)'!G11)=0,"",'Overview (Design)'!G11)</f>
        <v>Raleigh</v>
      </c>
      <c r="F11" s="921"/>
      <c r="G11" s="921"/>
      <c r="H11" s="922"/>
      <c r="I11" s="34" t="b">
        <v>1</v>
      </c>
      <c r="J11" s="730"/>
      <c r="K11" s="730"/>
      <c r="L11" s="730"/>
      <c r="M11" s="730"/>
      <c r="N11" s="588"/>
      <c r="O11" s="588" t="s">
        <v>3685</v>
      </c>
      <c r="P11" s="918" t="str">
        <f t="shared" si="0"/>
        <v>Raleigh</v>
      </c>
      <c r="Q11" s="918" t="str">
        <f t="shared" si="1"/>
        <v/>
      </c>
      <c r="R11" s="918" t="str">
        <f t="shared" si="1"/>
        <v/>
      </c>
      <c r="S11" s="918" t="str">
        <f t="shared" si="1"/>
        <v/>
      </c>
      <c r="T11" s="28"/>
      <c r="U11" s="28"/>
      <c r="V11" s="28"/>
      <c r="W11" s="28"/>
      <c r="X11" s="562"/>
      <c r="Y11" s="562"/>
      <c r="Z11" s="562"/>
    </row>
    <row r="12" spans="1:26" x14ac:dyDescent="0.2">
      <c r="A12" s="731" t="s">
        <v>63</v>
      </c>
      <c r="B12" s="731"/>
      <c r="C12" s="731"/>
      <c r="D12" s="731"/>
      <c r="E12" s="920" t="str">
        <f>IF(LEN('Overview (Design)'!G12)=0,"",'Overview (Design)'!G12)</f>
        <v>North Carolina</v>
      </c>
      <c r="F12" s="921"/>
      <c r="G12" s="921"/>
      <c r="H12" s="922"/>
      <c r="I12" s="34" t="b">
        <v>1</v>
      </c>
      <c r="J12" s="730"/>
      <c r="K12" s="730"/>
      <c r="L12" s="730"/>
      <c r="M12" s="730"/>
      <c r="N12" s="4" t="s">
        <v>64</v>
      </c>
      <c r="O12" s="588" t="s">
        <v>3686</v>
      </c>
      <c r="P12" s="944" t="str">
        <f t="shared" si="0"/>
        <v>North Carolina</v>
      </c>
      <c r="Q12" s="944" t="str">
        <f t="shared" si="1"/>
        <v/>
      </c>
      <c r="R12" s="944" t="str">
        <f t="shared" si="1"/>
        <v/>
      </c>
      <c r="S12" s="944" t="str">
        <f t="shared" si="1"/>
        <v/>
      </c>
      <c r="T12" s="29" t="s">
        <v>67</v>
      </c>
      <c r="U12" s="29" t="s">
        <v>68</v>
      </c>
      <c r="V12" s="290" t="str">
        <f>Geography!D1</f>
        <v>Radon</v>
      </c>
      <c r="W12" s="29" t="str">
        <f>Geography!E1</f>
        <v>Climate</v>
      </c>
      <c r="X12" s="11" t="str">
        <f>Geography!F1</f>
        <v>Moist</v>
      </c>
      <c r="Y12" s="11" t="str">
        <f>Geography!G1</f>
        <v>WarmHumid</v>
      </c>
      <c r="Z12" s="11" t="str">
        <f>Geography!H1</f>
        <v>Tropical</v>
      </c>
    </row>
    <row r="13" spans="1:26" x14ac:dyDescent="0.2">
      <c r="A13" s="731" t="s">
        <v>69</v>
      </c>
      <c r="B13" s="731"/>
      <c r="C13" s="731"/>
      <c r="D13" s="731"/>
      <c r="E13" s="920" t="str">
        <f>IF(LEN('Overview (Design)'!G13)=0,"",'Overview (Design)'!G13)</f>
        <v/>
      </c>
      <c r="F13" s="921"/>
      <c r="G13" s="921"/>
      <c r="H13" s="922"/>
      <c r="I13" s="34"/>
      <c r="J13" s="730"/>
      <c r="K13" s="730"/>
      <c r="L13" s="730"/>
      <c r="M13" s="730"/>
      <c r="N13" s="4" t="s">
        <v>70</v>
      </c>
      <c r="O13" s="588" t="s">
        <v>3687</v>
      </c>
      <c r="P13" s="944" t="str">
        <f t="shared" si="0"/>
        <v/>
      </c>
      <c r="Q13" s="944" t="str">
        <f t="shared" si="1"/>
        <v/>
      </c>
      <c r="R13" s="944" t="str">
        <f t="shared" si="1"/>
        <v/>
      </c>
      <c r="S13" s="944" t="str">
        <f t="shared" si="1"/>
        <v/>
      </c>
      <c r="T13" s="30" t="str">
        <f>P12</f>
        <v>North Carolina</v>
      </c>
      <c r="U13" s="30" t="str">
        <f>P13</f>
        <v/>
      </c>
      <c r="V13" s="290" t="str">
        <f>IFERROR(DGET(dbState,V12,$T$12:$U$13),"!!")</f>
        <v>!!</v>
      </c>
      <c r="W13" s="29" t="str">
        <f>IFERROR(DGET(dbState,W12,$T$12:$U$13),"!!")</f>
        <v>!!</v>
      </c>
      <c r="X13" s="11" t="str">
        <f>IFERROR(DGET(dbState,X12,$T$12:$U$13),"!!")</f>
        <v>!!</v>
      </c>
      <c r="Y13" s="11" t="str">
        <f>IFERROR(DGET(dbState,Y12,$T$12:$U$13),"!!")</f>
        <v>!!</v>
      </c>
      <c r="Z13" s="11" t="str">
        <f>IFERROR(DGET(dbState,Z12,$T$12:$U$13),"!!")</f>
        <v>!!</v>
      </c>
    </row>
    <row r="14" spans="1:26" x14ac:dyDescent="0.2">
      <c r="A14" s="731" t="s">
        <v>72</v>
      </c>
      <c r="B14" s="731"/>
      <c r="C14" s="731"/>
      <c r="D14" s="731"/>
      <c r="E14" s="920" t="str">
        <f>IF(LEN('Overview (Design)'!G14)=0,"",'Overview (Design)'!G14)</f>
        <v>99999</v>
      </c>
      <c r="F14" s="921"/>
      <c r="G14" s="921"/>
      <c r="H14" s="922"/>
      <c r="I14" s="34" t="b">
        <v>1</v>
      </c>
      <c r="J14" s="426"/>
      <c r="K14" s="588"/>
      <c r="L14" s="588"/>
      <c r="M14" s="588"/>
      <c r="N14" s="588"/>
      <c r="O14" s="588" t="s">
        <v>3688</v>
      </c>
      <c r="P14" s="664" t="str">
        <f t="shared" si="0"/>
        <v>99999</v>
      </c>
      <c r="Q14" s="31"/>
      <c r="R14" s="31"/>
      <c r="S14" s="31"/>
      <c r="T14" s="28"/>
      <c r="U14" s="28"/>
      <c r="V14" s="28"/>
      <c r="W14" s="28"/>
      <c r="X14" s="562"/>
      <c r="Y14" s="562"/>
      <c r="Z14" s="562"/>
    </row>
    <row r="15" spans="1:26" x14ac:dyDescent="0.2">
      <c r="A15" s="731"/>
      <c r="B15" s="731"/>
      <c r="C15" s="731"/>
      <c r="D15" s="731"/>
      <c r="E15" s="588"/>
      <c r="F15" s="588"/>
      <c r="G15" s="588"/>
      <c r="H15" s="588"/>
      <c r="I15" s="594"/>
      <c r="J15" s="588"/>
      <c r="K15" s="588"/>
      <c r="L15" s="588"/>
      <c r="M15" s="588"/>
      <c r="N15" s="588"/>
      <c r="O15" s="588"/>
      <c r="P15" s="31"/>
      <c r="Q15" s="31"/>
      <c r="R15" s="31"/>
      <c r="S15" s="31"/>
      <c r="T15" s="28"/>
      <c r="U15" s="28"/>
      <c r="V15" s="28"/>
      <c r="W15" s="28"/>
      <c r="X15" s="562"/>
      <c r="Y15" s="562"/>
      <c r="Z15" s="562"/>
    </row>
    <row r="16" spans="1:26" x14ac:dyDescent="0.2">
      <c r="A16" s="731" t="s">
        <v>75</v>
      </c>
      <c r="B16" s="731"/>
      <c r="C16" s="731"/>
      <c r="D16" s="731"/>
      <c r="E16" s="920" t="str">
        <f>IF(LEN('Overview (Design)'!G16)=0,"",'Overview (Design)'!G16)</f>
        <v>Single-Family</v>
      </c>
      <c r="F16" s="921"/>
      <c r="G16" s="921"/>
      <c r="H16" s="922"/>
      <c r="I16" s="34" t="b">
        <v>1</v>
      </c>
      <c r="J16" s="947"/>
      <c r="K16" s="947"/>
      <c r="L16" s="588"/>
      <c r="M16" s="588"/>
      <c r="N16" s="588" t="s">
        <v>76</v>
      </c>
      <c r="O16" s="588" t="s">
        <v>3689</v>
      </c>
      <c r="P16" s="949" t="str">
        <f>IF(LEN(IF(I16,E16,J16))=0,"",IF(I16,E16,J16))</f>
        <v>Single-Family</v>
      </c>
      <c r="Q16" s="950" t="str">
        <f>IF(LEN(IF(J16,F16,K16))=0,"",IF(J16,F16,K16))</f>
        <v/>
      </c>
      <c r="R16" s="31"/>
      <c r="S16" s="31"/>
      <c r="T16" s="28"/>
      <c r="U16" s="28"/>
      <c r="V16" s="28"/>
      <c r="W16" s="28"/>
      <c r="X16" s="562"/>
      <c r="Y16" s="562"/>
      <c r="Z16" s="562"/>
    </row>
    <row r="17" spans="1:25" x14ac:dyDescent="0.2">
      <c r="A17" s="945" t="s">
        <v>79</v>
      </c>
      <c r="B17" s="945"/>
      <c r="C17" s="945"/>
      <c r="D17" s="946"/>
      <c r="E17" s="920" t="str">
        <f>IF(LEN('Overview (Design)'!G17)=0,"",'Overview (Design)'!G17)</f>
        <v/>
      </c>
      <c r="F17" s="921"/>
      <c r="G17" s="921"/>
      <c r="H17" s="922"/>
      <c r="I17" s="34" t="b">
        <v>0</v>
      </c>
      <c r="J17" s="591"/>
      <c r="K17" s="562"/>
      <c r="L17" s="588"/>
      <c r="M17" s="588"/>
      <c r="N17" s="588"/>
      <c r="O17" s="588" t="s">
        <v>3690</v>
      </c>
      <c r="P17" s="664" t="str">
        <f>IF(LEN(IF(I17,E17,J17))=0,"",IF(I17,E17,J17))</f>
        <v/>
      </c>
      <c r="Q17" s="31"/>
      <c r="R17" s="31"/>
      <c r="S17" s="31"/>
      <c r="T17" s="28"/>
      <c r="U17" s="28"/>
      <c r="V17" s="28"/>
      <c r="W17" s="28"/>
      <c r="X17" s="562"/>
      <c r="Y17" s="562"/>
    </row>
    <row r="18" spans="1:25" x14ac:dyDescent="0.2">
      <c r="A18" s="945" t="s">
        <v>81</v>
      </c>
      <c r="B18" s="945"/>
      <c r="C18" s="945"/>
      <c r="D18" s="946"/>
      <c r="E18" s="920" t="str">
        <f>IF(LEN('Overview (Design)'!G18)=0,"",'Overview (Design)'!G18)</f>
        <v/>
      </c>
      <c r="F18" s="921"/>
      <c r="G18" s="921"/>
      <c r="H18" s="922"/>
      <c r="I18" s="34"/>
      <c r="J18" s="730"/>
      <c r="K18" s="730"/>
      <c r="L18" s="730"/>
      <c r="M18" s="730"/>
      <c r="N18" s="588"/>
      <c r="O18" s="588" t="s">
        <v>3691</v>
      </c>
      <c r="P18" s="918" t="str">
        <f>IF(LEN(IF(I18,E18,J18))=0,"",IF(I18,E18,J18))</f>
        <v/>
      </c>
      <c r="Q18" s="918" t="str">
        <f>IF(LEN(IF(J18,F18,K18))=0,"",IF(J18,F18,K18))</f>
        <v/>
      </c>
      <c r="R18" s="918" t="str">
        <f>IF(LEN(IF(K18,G18,L18))=0,"",IF(K18,G18,L18))</f>
        <v/>
      </c>
      <c r="S18" s="918" t="str">
        <f>IF(LEN(IF(L18,H18,M18))=0,"",IF(L18,H18,M18))</f>
        <v/>
      </c>
      <c r="T18" s="28"/>
      <c r="U18" s="28"/>
      <c r="V18" s="28"/>
      <c r="W18" s="28"/>
      <c r="X18" s="562"/>
      <c r="Y18" s="562"/>
    </row>
    <row r="19" spans="1:25" x14ac:dyDescent="0.2">
      <c r="A19" s="743"/>
      <c r="B19" s="743"/>
      <c r="C19" s="743"/>
      <c r="D19" s="743"/>
      <c r="E19" s="588"/>
      <c r="F19" s="588"/>
      <c r="G19" s="588"/>
      <c r="H19" s="588"/>
      <c r="I19" s="562"/>
      <c r="J19" s="562"/>
      <c r="K19" s="562"/>
      <c r="L19" s="562"/>
      <c r="M19" s="562"/>
      <c r="N19" s="588"/>
      <c r="O19" s="588"/>
      <c r="P19" s="28"/>
      <c r="Q19" s="28"/>
      <c r="R19" s="28"/>
      <c r="S19" s="28"/>
      <c r="T19" s="28"/>
      <c r="U19" s="28"/>
      <c r="V19" s="28"/>
      <c r="W19" s="28"/>
      <c r="X19" s="562"/>
      <c r="Y19" s="562"/>
    </row>
    <row r="20" spans="1:25" s="503" customFormat="1" x14ac:dyDescent="0.2">
      <c r="A20" s="731" t="s">
        <v>83</v>
      </c>
      <c r="B20" s="731"/>
      <c r="C20" s="731"/>
      <c r="D20" s="731"/>
      <c r="E20" s="920" t="str">
        <f>IF(LEN('Overview (Design)'!G20)=0,"",'Overview (Design)'!G20)</f>
        <v/>
      </c>
      <c r="F20" s="921"/>
      <c r="G20" s="921"/>
      <c r="H20" s="922"/>
      <c r="I20" s="34"/>
      <c r="J20" s="591">
        <v>1993</v>
      </c>
      <c r="K20" s="562" t="s">
        <v>85</v>
      </c>
      <c r="L20" s="562"/>
      <c r="M20" s="562"/>
      <c r="N20" s="588"/>
      <c r="O20" s="588" t="s">
        <v>3692</v>
      </c>
      <c r="P20" s="670">
        <f>IF(LEN(IF(I20,E20,J20))=0,"",IF(I20,E20,J20))</f>
        <v>1993</v>
      </c>
      <c r="Q20" s="562" t="s">
        <v>85</v>
      </c>
      <c r="R20" s="28"/>
      <c r="S20" s="28"/>
      <c r="T20" s="28"/>
      <c r="U20" s="28"/>
      <c r="V20" s="28"/>
      <c r="W20" s="28"/>
      <c r="X20" s="562"/>
      <c r="Y20" s="562"/>
    </row>
    <row r="21" spans="1:25" ht="15" customHeight="1" x14ac:dyDescent="0.2">
      <c r="A21" s="731" t="s">
        <v>86</v>
      </c>
      <c r="B21" s="731"/>
      <c r="C21" s="731"/>
      <c r="D21" s="731"/>
      <c r="E21" s="920" t="str">
        <f>IF(LEN('Overview (Design)'!G21)=0,"",'Overview (Design)'!G21)</f>
        <v/>
      </c>
      <c r="F21" s="921"/>
      <c r="G21" s="921"/>
      <c r="H21" s="922"/>
      <c r="I21" s="34"/>
      <c r="J21" s="591"/>
      <c r="K21" s="2" t="s">
        <v>88</v>
      </c>
      <c r="L21" s="594"/>
      <c r="M21" s="594"/>
      <c r="N21" s="588"/>
      <c r="O21" s="588" t="s">
        <v>3693</v>
      </c>
      <c r="P21" s="670" t="str">
        <f>IF(LEN(IF(I21,E21,J21))=0,"",IF(I21,E21,J21))</f>
        <v/>
      </c>
      <c r="Q21" s="32" t="s">
        <v>88</v>
      </c>
      <c r="R21" s="968" t="s">
        <v>89</v>
      </c>
      <c r="S21" s="968"/>
      <c r="T21" s="968"/>
      <c r="U21" s="968"/>
      <c r="V21" s="968"/>
      <c r="W21" s="968"/>
      <c r="X21" s="588"/>
      <c r="Y21" s="588"/>
    </row>
    <row r="22" spans="1:25" x14ac:dyDescent="0.2">
      <c r="A22" s="731" t="s">
        <v>90</v>
      </c>
      <c r="B22" s="731"/>
      <c r="C22" s="731"/>
      <c r="D22" s="731"/>
      <c r="E22" s="920" t="str">
        <f>IF(LEN('Overview (Design)'!G22)=0,"",'Overview (Design)'!G22)</f>
        <v/>
      </c>
      <c r="F22" s="921"/>
      <c r="G22" s="921"/>
      <c r="H22" s="922"/>
      <c r="I22" s="34"/>
      <c r="J22" s="591"/>
      <c r="K22" s="2" t="s">
        <v>92</v>
      </c>
      <c r="L22" s="594"/>
      <c r="M22" s="594"/>
      <c r="N22" s="588"/>
      <c r="O22" s="588" t="s">
        <v>3694</v>
      </c>
      <c r="P22" s="664" t="str">
        <f>IF(LEN(IF(I22,E22,J22))=0,"",IF(I22,E22,J22))</f>
        <v/>
      </c>
      <c r="Q22" s="32" t="s">
        <v>92</v>
      </c>
      <c r="R22" s="968"/>
      <c r="S22" s="968"/>
      <c r="T22" s="968"/>
      <c r="U22" s="968"/>
      <c r="V22" s="968"/>
      <c r="W22" s="968"/>
      <c r="X22" s="562"/>
      <c r="Y22" s="562"/>
    </row>
    <row r="23" spans="1:25" s="250" customFormat="1" x14ac:dyDescent="0.2">
      <c r="A23" s="731" t="s">
        <v>93</v>
      </c>
      <c r="B23" s="731"/>
      <c r="C23" s="731"/>
      <c r="D23" s="731"/>
      <c r="E23" s="920" t="str">
        <f>IF(LEN('Overview (Design)'!G23)=0,"",'Overview (Design)'!G23)</f>
        <v/>
      </c>
      <c r="F23" s="921"/>
      <c r="G23" s="921"/>
      <c r="H23" s="922"/>
      <c r="I23" s="34"/>
      <c r="J23" s="591"/>
      <c r="K23" s="2"/>
      <c r="L23" s="594"/>
      <c r="M23" s="594"/>
      <c r="N23" s="588"/>
      <c r="O23" s="588" t="s">
        <v>3695</v>
      </c>
      <c r="P23" s="664" t="str">
        <f>IF(LEN(IF(I23,E23,J23))=0,"",IF(I23,E23,J23))</f>
        <v/>
      </c>
      <c r="Q23" s="32"/>
      <c r="R23" s="672"/>
      <c r="S23" s="672"/>
      <c r="T23" s="672"/>
      <c r="U23" s="672"/>
      <c r="V23" s="672"/>
      <c r="W23" s="672"/>
      <c r="X23" s="562"/>
      <c r="Y23" s="562"/>
    </row>
    <row r="24" spans="1:25" x14ac:dyDescent="0.2">
      <c r="A24" s="733"/>
      <c r="B24" s="733"/>
      <c r="C24" s="733"/>
      <c r="D24" s="733"/>
      <c r="E24" s="588"/>
      <c r="F24" s="588"/>
      <c r="G24" s="588"/>
      <c r="H24" s="588"/>
      <c r="I24" s="562"/>
      <c r="J24" s="562"/>
      <c r="K24" s="562"/>
      <c r="L24" s="562"/>
      <c r="M24" s="562"/>
      <c r="N24" s="588"/>
      <c r="O24" s="588"/>
      <c r="P24" s="28"/>
      <c r="Q24" s="28"/>
      <c r="R24" s="28"/>
      <c r="S24" s="28"/>
      <c r="T24" s="28"/>
      <c r="U24" s="28"/>
      <c r="V24" s="28"/>
      <c r="W24" s="28"/>
      <c r="X24" s="562"/>
      <c r="Y24" s="562"/>
    </row>
    <row r="25" spans="1:25" x14ac:dyDescent="0.2">
      <c r="A25" s="731" t="s">
        <v>95</v>
      </c>
      <c r="B25" s="731"/>
      <c r="C25" s="731"/>
      <c r="D25" s="731"/>
      <c r="E25" s="952" t="str">
        <f>IF(LEN('Overview (Design)'!G25)=0,"",'Overview (Design)'!G25)</f>
        <v/>
      </c>
      <c r="F25" s="953"/>
      <c r="G25" s="953"/>
      <c r="H25" s="954"/>
      <c r="I25" s="34"/>
      <c r="J25" s="961" t="s">
        <v>4300</v>
      </c>
      <c r="K25" s="961"/>
      <c r="L25" s="961"/>
      <c r="M25" s="961"/>
      <c r="N25" s="588"/>
      <c r="O25" s="588" t="s">
        <v>3696</v>
      </c>
      <c r="P25" s="962" t="str">
        <f t="shared" ref="P25:P48" si="2">IF(LEN(IF(I25,E25,J25))=0,"",IF(I25,E25,J25))</f>
        <v>Test Description</v>
      </c>
      <c r="Q25" s="963" t="e">
        <f t="shared" ref="Q25:S26" si="3">IF(LEN(IF(J25,F25,K25))=0,"",IF(J25,F25,K25))</f>
        <v>#VALUE!</v>
      </c>
      <c r="R25" s="963" t="str">
        <f t="shared" si="3"/>
        <v/>
      </c>
      <c r="S25" s="964" t="str">
        <f t="shared" si="3"/>
        <v/>
      </c>
      <c r="T25" s="28"/>
      <c r="U25" s="28"/>
      <c r="V25" s="28"/>
      <c r="W25" s="28"/>
      <c r="X25" s="562"/>
      <c r="Y25" s="562"/>
    </row>
    <row r="26" spans="1:25" s="27" customFormat="1" x14ac:dyDescent="0.2">
      <c r="A26" s="592"/>
      <c r="B26" s="592"/>
      <c r="C26" s="592"/>
      <c r="D26" s="592"/>
      <c r="E26" s="955"/>
      <c r="F26" s="956"/>
      <c r="G26" s="956"/>
      <c r="H26" s="957"/>
      <c r="I26" s="562"/>
      <c r="J26" s="961"/>
      <c r="K26" s="961"/>
      <c r="L26" s="961"/>
      <c r="M26" s="961"/>
      <c r="N26" s="588"/>
      <c r="O26" s="588"/>
      <c r="P26" s="965" t="str">
        <f t="shared" si="2"/>
        <v/>
      </c>
      <c r="Q26" s="966" t="str">
        <f t="shared" si="3"/>
        <v/>
      </c>
      <c r="R26" s="966" t="str">
        <f t="shared" si="3"/>
        <v/>
      </c>
      <c r="S26" s="967" t="str">
        <f t="shared" si="3"/>
        <v/>
      </c>
      <c r="T26" s="28"/>
      <c r="U26" s="28"/>
      <c r="V26" s="28"/>
      <c r="W26" s="28"/>
      <c r="X26" s="562"/>
      <c r="Y26" s="562"/>
    </row>
    <row r="27" spans="1:25" x14ac:dyDescent="0.2">
      <c r="A27" s="731" t="s">
        <v>97</v>
      </c>
      <c r="B27" s="731"/>
      <c r="C27" s="731"/>
      <c r="D27" s="919"/>
      <c r="E27" s="920" t="str">
        <f>IF(LEN('Overview (Design)'!G27)=0,"",'Overview (Design)'!G27)</f>
        <v/>
      </c>
      <c r="F27" s="921"/>
      <c r="G27" s="921"/>
      <c r="H27" s="922"/>
      <c r="I27" s="34"/>
      <c r="J27" s="591"/>
      <c r="K27" s="562"/>
      <c r="L27" s="562"/>
      <c r="M27" s="562"/>
      <c r="N27" s="588"/>
      <c r="O27" s="588" t="s">
        <v>3697</v>
      </c>
      <c r="P27" s="664" t="str">
        <f t="shared" si="2"/>
        <v/>
      </c>
      <c r="Q27" s="28"/>
      <c r="R27" s="28"/>
      <c r="S27" s="28"/>
      <c r="T27" s="28"/>
      <c r="U27" s="28"/>
      <c r="V27" s="28"/>
      <c r="W27" s="28"/>
      <c r="X27" s="562"/>
      <c r="Y27" s="562"/>
    </row>
    <row r="28" spans="1:25" x14ac:dyDescent="0.2">
      <c r="A28" s="731" t="s">
        <v>99</v>
      </c>
      <c r="B28" s="731"/>
      <c r="C28" s="731"/>
      <c r="D28" s="919"/>
      <c r="E28" s="920" t="str">
        <f>IF(LEN('Overview (Design)'!G28)=0,"",'Overview (Design)'!G28)</f>
        <v/>
      </c>
      <c r="F28" s="921"/>
      <c r="G28" s="921"/>
      <c r="H28" s="922"/>
      <c r="I28" s="34"/>
      <c r="J28" s="730"/>
      <c r="K28" s="730"/>
      <c r="L28" s="730"/>
      <c r="M28" s="730"/>
      <c r="N28" s="588" t="s">
        <v>100</v>
      </c>
      <c r="O28" s="588" t="s">
        <v>3698</v>
      </c>
      <c r="P28" s="948" t="str">
        <f t="shared" si="2"/>
        <v/>
      </c>
      <c r="Q28" s="948" t="str">
        <f>IF(LEN(IF(J28,F28,K28))=0,"",IF(J28,F28,K28))</f>
        <v/>
      </c>
      <c r="R28" s="948" t="str">
        <f>IF(LEN(IF(K28,G28,L28))=0,"",IF(K28,G28,L28))</f>
        <v/>
      </c>
      <c r="S28" s="948" t="str">
        <f>IF(LEN(IF(L28,H28,M28))=0,"",IF(L28,H28,M28))</f>
        <v/>
      </c>
      <c r="T28" s="562"/>
      <c r="U28" s="562"/>
      <c r="V28" s="562"/>
      <c r="W28" s="562"/>
      <c r="X28" s="562"/>
      <c r="Y28" s="562"/>
    </row>
    <row r="29" spans="1:25" s="250" customFormat="1" x14ac:dyDescent="0.2">
      <c r="A29" s="561"/>
      <c r="B29" s="561"/>
      <c r="C29" s="561"/>
      <c r="D29" s="561"/>
      <c r="E29" s="665"/>
      <c r="F29" s="666"/>
      <c r="G29" s="666"/>
      <c r="H29" s="667"/>
      <c r="I29" s="562"/>
      <c r="J29" s="562"/>
      <c r="K29" s="562"/>
      <c r="L29" s="562"/>
      <c r="M29" s="562"/>
      <c r="N29" s="562"/>
      <c r="O29" s="562"/>
      <c r="P29" s="562"/>
      <c r="Q29" s="562"/>
      <c r="R29" s="562"/>
      <c r="S29" s="64"/>
      <c r="T29" s="951" t="s">
        <v>3699</v>
      </c>
      <c r="U29" s="951"/>
      <c r="V29" s="951"/>
      <c r="W29" s="951"/>
      <c r="X29" s="951"/>
      <c r="Y29" s="951"/>
    </row>
    <row r="30" spans="1:25" x14ac:dyDescent="0.2">
      <c r="A30" s="731" t="s">
        <v>102</v>
      </c>
      <c r="B30" s="731"/>
      <c r="C30" s="731"/>
      <c r="D30" s="919"/>
      <c r="E30" s="920" t="str">
        <f>IF(LEN('Overview (Design)'!G30)=0,"",'Overview (Design)'!G30)</f>
        <v/>
      </c>
      <c r="F30" s="921"/>
      <c r="G30" s="921"/>
      <c r="H30" s="922"/>
      <c r="I30" s="34"/>
      <c r="J30" s="730"/>
      <c r="K30" s="730"/>
      <c r="L30" s="730"/>
      <c r="M30" s="562"/>
      <c r="N30" s="588" t="s">
        <v>103</v>
      </c>
      <c r="O30" s="588" t="s">
        <v>3700</v>
      </c>
      <c r="P30" s="944" t="str">
        <f t="shared" si="2"/>
        <v/>
      </c>
      <c r="Q30" s="944" t="str">
        <f t="shared" ref="Q30:R32" si="4">IF(LEN(IF(J30,F30,K30))=0,"",IF(J30,F30,K30))</f>
        <v/>
      </c>
      <c r="R30" s="944" t="str">
        <f t="shared" si="4"/>
        <v/>
      </c>
      <c r="S30" s="28"/>
      <c r="T30" s="917"/>
      <c r="U30" s="917"/>
      <c r="V30" s="917"/>
      <c r="W30" s="917"/>
      <c r="X30" s="917"/>
      <c r="Y30" s="917"/>
    </row>
    <row r="31" spans="1:25" x14ac:dyDescent="0.2">
      <c r="A31" s="731" t="s">
        <v>105</v>
      </c>
      <c r="B31" s="731"/>
      <c r="C31" s="731"/>
      <c r="D31" s="919"/>
      <c r="E31" s="920" t="str">
        <f>IF(LEN('Overview (Design)'!G31)=0,"",'Overview (Design)'!G31)</f>
        <v/>
      </c>
      <c r="F31" s="921"/>
      <c r="G31" s="921"/>
      <c r="H31" s="922"/>
      <c r="I31" s="34"/>
      <c r="J31" s="730"/>
      <c r="K31" s="730"/>
      <c r="L31" s="730"/>
      <c r="M31" s="562"/>
      <c r="N31" s="588" t="s">
        <v>106</v>
      </c>
      <c r="O31" s="588" t="s">
        <v>3701</v>
      </c>
      <c r="P31" s="918" t="str">
        <f t="shared" si="2"/>
        <v/>
      </c>
      <c r="Q31" s="918" t="str">
        <f t="shared" si="4"/>
        <v/>
      </c>
      <c r="R31" s="918" t="str">
        <f t="shared" si="4"/>
        <v/>
      </c>
      <c r="S31" s="28"/>
      <c r="T31" s="917"/>
      <c r="U31" s="917"/>
      <c r="V31" s="917"/>
      <c r="W31" s="917"/>
      <c r="X31" s="917"/>
      <c r="Y31" s="917"/>
    </row>
    <row r="32" spans="1:25" x14ac:dyDescent="0.2">
      <c r="A32" s="731" t="s">
        <v>108</v>
      </c>
      <c r="B32" s="731"/>
      <c r="C32" s="731"/>
      <c r="D32" s="919"/>
      <c r="E32" s="920" t="str">
        <f>IF(LEN('Overview (Design)'!G32)=0,"",'Overview (Design)'!G32)</f>
        <v/>
      </c>
      <c r="F32" s="921"/>
      <c r="G32" s="921"/>
      <c r="H32" s="922"/>
      <c r="I32" s="34"/>
      <c r="J32" s="730"/>
      <c r="K32" s="730"/>
      <c r="L32" s="730"/>
      <c r="M32" s="562"/>
      <c r="N32" s="588" t="s">
        <v>109</v>
      </c>
      <c r="O32" s="588" t="s">
        <v>3702</v>
      </c>
      <c r="P32" s="918" t="str">
        <f t="shared" si="2"/>
        <v/>
      </c>
      <c r="Q32" s="918" t="str">
        <f t="shared" si="4"/>
        <v/>
      </c>
      <c r="R32" s="918" t="str">
        <f t="shared" si="4"/>
        <v/>
      </c>
      <c r="S32" s="28"/>
      <c r="T32" s="917"/>
      <c r="U32" s="917"/>
      <c r="V32" s="917"/>
      <c r="W32" s="917"/>
      <c r="X32" s="917"/>
      <c r="Y32" s="917"/>
    </row>
    <row r="33" spans="1:25" x14ac:dyDescent="0.2">
      <c r="A33" s="731" t="s">
        <v>111</v>
      </c>
      <c r="B33" s="731"/>
      <c r="C33" s="731"/>
      <c r="D33" s="919"/>
      <c r="E33" s="920" t="str">
        <f>IF(LEN('Overview (Design)'!G33)=0,"",'Overview (Design)'!G33)</f>
        <v/>
      </c>
      <c r="F33" s="921"/>
      <c r="G33" s="921"/>
      <c r="H33" s="922"/>
      <c r="I33" s="34"/>
      <c r="J33" s="730"/>
      <c r="K33" s="730"/>
      <c r="L33" s="730"/>
      <c r="M33" s="562"/>
      <c r="N33" s="588" t="s">
        <v>112</v>
      </c>
      <c r="O33" s="588" t="s">
        <v>3703</v>
      </c>
      <c r="P33" s="918" t="str">
        <f t="shared" si="2"/>
        <v/>
      </c>
      <c r="Q33" s="918" t="str">
        <f t="shared" ref="Q33:Q38" si="5">IF(LEN(IF(J33,F33,K33))=0,"",IF(J33,F33,K33))</f>
        <v/>
      </c>
      <c r="R33" s="28"/>
      <c r="S33" s="28"/>
      <c r="T33" s="28"/>
      <c r="U33" s="28"/>
      <c r="V33" s="28"/>
      <c r="W33" s="28"/>
      <c r="X33" s="562"/>
      <c r="Y33" s="562"/>
    </row>
    <row r="34" spans="1:25" s="250" customFormat="1" x14ac:dyDescent="0.2">
      <c r="A34" s="731" t="s">
        <v>114</v>
      </c>
      <c r="B34" s="731"/>
      <c r="C34" s="731"/>
      <c r="D34" s="919"/>
      <c r="E34" s="920" t="str">
        <f>IF(LEN('Overview (Design)'!G34)=0,"",'Overview (Design)'!G34)</f>
        <v/>
      </c>
      <c r="F34" s="921"/>
      <c r="G34" s="921"/>
      <c r="H34" s="922"/>
      <c r="I34" s="34"/>
      <c r="J34" s="730"/>
      <c r="K34" s="730"/>
      <c r="L34" s="730"/>
      <c r="M34" s="562"/>
      <c r="N34" s="588" t="s">
        <v>115</v>
      </c>
      <c r="O34" s="588" t="s">
        <v>3704</v>
      </c>
      <c r="P34" s="918" t="str">
        <f t="shared" ref="P34:P43" si="6">IF(LEN(IF(I34,E34,J34))=0,"",IF(I34,E34,J34))</f>
        <v/>
      </c>
      <c r="Q34" s="918" t="str">
        <f t="shared" si="5"/>
        <v/>
      </c>
      <c r="R34" s="28"/>
      <c r="S34" s="28"/>
      <c r="T34" s="28"/>
      <c r="U34" s="28"/>
      <c r="V34" s="28"/>
      <c r="W34" s="28"/>
      <c r="X34" s="562"/>
      <c r="Y34" s="562"/>
    </row>
    <row r="35" spans="1:25" s="250" customFormat="1" x14ac:dyDescent="0.2">
      <c r="A35" s="731" t="s">
        <v>117</v>
      </c>
      <c r="B35" s="731"/>
      <c r="C35" s="731"/>
      <c r="D35" s="919"/>
      <c r="E35" s="920" t="str">
        <f>IF(LEN('Overview (Design)'!G35)=0,"",'Overview (Design)'!G35)</f>
        <v/>
      </c>
      <c r="F35" s="921"/>
      <c r="G35" s="921"/>
      <c r="H35" s="922"/>
      <c r="I35" s="34"/>
      <c r="J35" s="730"/>
      <c r="K35" s="730"/>
      <c r="L35" s="730"/>
      <c r="M35" s="562"/>
      <c r="N35" s="588" t="s">
        <v>118</v>
      </c>
      <c r="O35" s="588" t="s">
        <v>3705</v>
      </c>
      <c r="P35" s="918" t="str">
        <f t="shared" si="6"/>
        <v/>
      </c>
      <c r="Q35" s="918" t="str">
        <f t="shared" si="5"/>
        <v/>
      </c>
      <c r="R35" s="28"/>
      <c r="S35" s="28"/>
      <c r="T35" s="917"/>
      <c r="U35" s="917"/>
      <c r="V35" s="917"/>
      <c r="W35" s="917"/>
      <c r="X35" s="917"/>
      <c r="Y35" s="917"/>
    </row>
    <row r="36" spans="1:25" s="250" customFormat="1" x14ac:dyDescent="0.2">
      <c r="A36" s="731" t="s">
        <v>120</v>
      </c>
      <c r="B36" s="731"/>
      <c r="C36" s="731"/>
      <c r="D36" s="919"/>
      <c r="E36" s="920" t="str">
        <f>IF(LEN('Overview (Design)'!G36)=0,"",'Overview (Design)'!G36)</f>
        <v/>
      </c>
      <c r="F36" s="921"/>
      <c r="G36" s="921"/>
      <c r="H36" s="922"/>
      <c r="I36" s="34"/>
      <c r="J36" s="730"/>
      <c r="K36" s="730"/>
      <c r="L36" s="730"/>
      <c r="M36" s="562"/>
      <c r="N36" s="588" t="s">
        <v>121</v>
      </c>
      <c r="O36" s="588" t="s">
        <v>3706</v>
      </c>
      <c r="P36" s="918" t="str">
        <f t="shared" si="6"/>
        <v/>
      </c>
      <c r="Q36" s="918" t="str">
        <f t="shared" si="5"/>
        <v/>
      </c>
      <c r="R36" s="28"/>
      <c r="S36" s="28"/>
      <c r="T36" s="917"/>
      <c r="U36" s="917"/>
      <c r="V36" s="917"/>
      <c r="W36" s="917"/>
      <c r="X36" s="917"/>
      <c r="Y36" s="917"/>
    </row>
    <row r="37" spans="1:25" s="250" customFormat="1" x14ac:dyDescent="0.2">
      <c r="A37" s="731" t="s">
        <v>123</v>
      </c>
      <c r="B37" s="731"/>
      <c r="C37" s="731"/>
      <c r="D37" s="919"/>
      <c r="E37" s="920" t="str">
        <f>IF(LEN('Overview (Design)'!G37)=0,"",'Overview (Design)'!G37)</f>
        <v/>
      </c>
      <c r="F37" s="921"/>
      <c r="G37" s="921"/>
      <c r="H37" s="922"/>
      <c r="I37" s="34"/>
      <c r="J37" s="730"/>
      <c r="K37" s="730"/>
      <c r="L37" s="730"/>
      <c r="M37" s="562"/>
      <c r="N37" s="588" t="s">
        <v>124</v>
      </c>
      <c r="O37" s="588" t="s">
        <v>3707</v>
      </c>
      <c r="P37" s="918" t="str">
        <f t="shared" si="6"/>
        <v/>
      </c>
      <c r="Q37" s="918" t="str">
        <f t="shared" si="5"/>
        <v/>
      </c>
      <c r="R37" s="28"/>
      <c r="S37" s="28"/>
      <c r="T37" s="917"/>
      <c r="U37" s="917"/>
      <c r="V37" s="917"/>
      <c r="W37" s="917"/>
      <c r="X37" s="917"/>
      <c r="Y37" s="917"/>
    </row>
    <row r="38" spans="1:25" s="250" customFormat="1" x14ac:dyDescent="0.2">
      <c r="A38" s="731" t="s">
        <v>126</v>
      </c>
      <c r="B38" s="731"/>
      <c r="C38" s="731"/>
      <c r="D38" s="919"/>
      <c r="E38" s="920" t="str">
        <f>IF(LEN('Overview (Design)'!G38)=0,"",'Overview (Design)'!G38)</f>
        <v/>
      </c>
      <c r="F38" s="921"/>
      <c r="G38" s="921"/>
      <c r="H38" s="922"/>
      <c r="I38" s="34"/>
      <c r="J38" s="730"/>
      <c r="K38" s="730"/>
      <c r="L38" s="562"/>
      <c r="M38" s="562"/>
      <c r="N38" s="588" t="s">
        <v>127</v>
      </c>
      <c r="O38" s="588" t="s">
        <v>3708</v>
      </c>
      <c r="P38" s="918" t="str">
        <f t="shared" si="6"/>
        <v/>
      </c>
      <c r="Q38" s="918" t="str">
        <f t="shared" si="5"/>
        <v/>
      </c>
      <c r="R38" s="28"/>
      <c r="S38" s="28"/>
      <c r="T38" s="28"/>
      <c r="U38" s="28"/>
      <c r="V38" s="28"/>
      <c r="W38" s="28"/>
      <c r="X38" s="562"/>
      <c r="Y38" s="562"/>
    </row>
    <row r="39" spans="1:25" customFormat="1" x14ac:dyDescent="0.2">
      <c r="A39" s="561"/>
      <c r="B39" s="561"/>
      <c r="C39" s="561"/>
      <c r="D39" s="561"/>
      <c r="E39" s="562"/>
      <c r="F39" s="562"/>
      <c r="G39" s="562"/>
      <c r="H39" s="562"/>
      <c r="I39" s="562"/>
      <c r="J39" s="562"/>
      <c r="K39" s="562"/>
      <c r="L39" s="562"/>
      <c r="M39" s="562"/>
      <c r="N39" s="562"/>
      <c r="O39" s="562"/>
      <c r="P39" s="562"/>
      <c r="Q39" s="562"/>
      <c r="R39" s="562"/>
      <c r="S39" s="562"/>
      <c r="T39" s="562"/>
      <c r="U39" s="562"/>
      <c r="V39" s="562"/>
      <c r="W39" s="562"/>
      <c r="X39" s="562"/>
      <c r="Y39" s="562"/>
    </row>
    <row r="40" spans="1:25" s="250" customFormat="1" x14ac:dyDescent="0.2">
      <c r="A40" s="731" t="s">
        <v>129</v>
      </c>
      <c r="B40" s="731"/>
      <c r="C40" s="731"/>
      <c r="D40" s="919"/>
      <c r="E40" s="920" t="str">
        <f>IF(LEN('Overview (Design)'!G40)=0,"",'Overview (Design)'!G40)</f>
        <v/>
      </c>
      <c r="F40" s="921"/>
      <c r="G40" s="921"/>
      <c r="H40" s="922"/>
      <c r="I40" s="34"/>
      <c r="J40" s="591"/>
      <c r="K40" s="562"/>
      <c r="L40" s="562"/>
      <c r="M40" s="562"/>
      <c r="N40" s="562"/>
      <c r="O40" s="215" t="s">
        <v>3709</v>
      </c>
      <c r="P40" s="664" t="str">
        <f t="shared" si="6"/>
        <v/>
      </c>
      <c r="Q40" s="562"/>
      <c r="R40" s="28"/>
      <c r="S40" s="28"/>
      <c r="T40" s="28"/>
      <c r="U40" s="28"/>
      <c r="V40" s="28"/>
      <c r="W40" s="28"/>
      <c r="X40" s="562"/>
      <c r="Y40" s="562"/>
    </row>
    <row r="41" spans="1:25" s="250" customFormat="1" x14ac:dyDescent="0.2">
      <c r="A41" s="731" t="s">
        <v>132</v>
      </c>
      <c r="B41" s="731"/>
      <c r="C41" s="731"/>
      <c r="D41" s="919"/>
      <c r="E41" s="920" t="str">
        <f>IF(LEN('Overview (Design)'!G41)=0,"",'Overview (Design)'!G41)</f>
        <v/>
      </c>
      <c r="F41" s="921"/>
      <c r="G41" s="921"/>
      <c r="H41" s="922"/>
      <c r="I41" s="34"/>
      <c r="J41" s="591"/>
      <c r="K41" s="562"/>
      <c r="L41" s="562"/>
      <c r="M41" s="562"/>
      <c r="N41" s="562"/>
      <c r="O41" s="215" t="s">
        <v>3710</v>
      </c>
      <c r="P41" s="664" t="str">
        <f t="shared" si="6"/>
        <v/>
      </c>
      <c r="Q41" s="562"/>
      <c r="R41" s="28"/>
      <c r="S41" s="28"/>
      <c r="T41" s="28"/>
      <c r="U41" s="28"/>
      <c r="V41" s="28"/>
      <c r="W41" s="28"/>
      <c r="X41" s="562"/>
      <c r="Y41" s="562"/>
    </row>
    <row r="42" spans="1:25" s="250" customFormat="1" x14ac:dyDescent="0.2">
      <c r="A42" s="731" t="s">
        <v>134</v>
      </c>
      <c r="B42" s="731"/>
      <c r="C42" s="731"/>
      <c r="D42" s="919"/>
      <c r="E42" s="920" t="str">
        <f>IF(LEN('Overview (Design)'!G42)=0,"",'Overview (Design)'!G42)</f>
        <v/>
      </c>
      <c r="F42" s="921"/>
      <c r="G42" s="921"/>
      <c r="H42" s="922"/>
      <c r="I42" s="34"/>
      <c r="J42" s="591"/>
      <c r="K42" s="562"/>
      <c r="L42" s="562"/>
      <c r="M42" s="562"/>
      <c r="N42" s="562"/>
      <c r="O42" s="215" t="s">
        <v>3711</v>
      </c>
      <c r="P42" s="664" t="str">
        <f t="shared" si="6"/>
        <v/>
      </c>
      <c r="Q42" s="562"/>
      <c r="R42" s="28"/>
      <c r="S42" s="28"/>
      <c r="T42" s="28"/>
      <c r="U42" s="28"/>
      <c r="V42" s="28"/>
      <c r="W42" s="28"/>
      <c r="X42" s="562"/>
      <c r="Y42" s="562"/>
    </row>
    <row r="43" spans="1:25" s="250" customFormat="1" x14ac:dyDescent="0.2">
      <c r="A43" s="731" t="s">
        <v>136</v>
      </c>
      <c r="B43" s="731"/>
      <c r="C43" s="731"/>
      <c r="D43" s="919"/>
      <c r="E43" s="920" t="str">
        <f>IF(LEN('Overview (Design)'!G43)=0,"",'Overview (Design)'!G43)</f>
        <v/>
      </c>
      <c r="F43" s="921"/>
      <c r="G43" s="921"/>
      <c r="H43" s="922"/>
      <c r="I43" s="34"/>
      <c r="J43" s="591"/>
      <c r="K43" s="562"/>
      <c r="L43" s="562"/>
      <c r="M43" s="562"/>
      <c r="N43" s="562"/>
      <c r="O43" s="215" t="s">
        <v>3712</v>
      </c>
      <c r="P43" s="664" t="str">
        <f t="shared" si="6"/>
        <v/>
      </c>
      <c r="Q43" s="562"/>
      <c r="R43" s="28"/>
      <c r="S43" s="28"/>
      <c r="T43" s="28"/>
      <c r="U43" s="28"/>
      <c r="V43" s="28"/>
      <c r="W43" s="28"/>
      <c r="X43" s="562"/>
      <c r="Y43" s="562"/>
    </row>
    <row r="44" spans="1:25" x14ac:dyDescent="0.2">
      <c r="A44" s="731" t="s">
        <v>138</v>
      </c>
      <c r="B44" s="731"/>
      <c r="C44" s="731"/>
      <c r="D44" s="731"/>
      <c r="E44" s="920" t="str">
        <f>IF(LEN('Overview (Design)'!G44)=0,"",'Overview (Design)'!G44)</f>
        <v/>
      </c>
      <c r="F44" s="921"/>
      <c r="G44" s="921"/>
      <c r="H44" s="922"/>
      <c r="I44" s="34"/>
      <c r="J44" s="730"/>
      <c r="K44" s="730"/>
      <c r="L44" s="562"/>
      <c r="M44" s="562"/>
      <c r="N44" s="588" t="s">
        <v>139</v>
      </c>
      <c r="O44" s="588" t="s">
        <v>3713</v>
      </c>
      <c r="P44" s="918" t="str">
        <f t="shared" si="2"/>
        <v/>
      </c>
      <c r="Q44" s="918" t="str">
        <f>IF(LEN(IF(J44,F44,K44))=0,"",IF(J44,F44,K44))</f>
        <v/>
      </c>
      <c r="R44" s="28"/>
      <c r="S44" s="28"/>
      <c r="T44" s="28"/>
      <c r="U44" s="28"/>
      <c r="V44" s="28"/>
      <c r="W44" s="28"/>
      <c r="X44" s="562"/>
      <c r="Y44" s="562"/>
    </row>
    <row r="45" spans="1:25" x14ac:dyDescent="0.2">
      <c r="A45" s="731" t="s">
        <v>141</v>
      </c>
      <c r="B45" s="731"/>
      <c r="C45" s="731"/>
      <c r="D45" s="731"/>
      <c r="E45" s="920" t="str">
        <f>IF(LEN('Overview (Design)'!G45)=0,"",'Overview (Design)'!G45)</f>
        <v/>
      </c>
      <c r="F45" s="921"/>
      <c r="G45" s="921"/>
      <c r="H45" s="922"/>
      <c r="I45" s="34"/>
      <c r="J45" s="730"/>
      <c r="K45" s="730"/>
      <c r="L45" s="730"/>
      <c r="M45" s="562"/>
      <c r="N45" s="588" t="s">
        <v>142</v>
      </c>
      <c r="O45" s="588" t="s">
        <v>3714</v>
      </c>
      <c r="P45" s="918" t="str">
        <f t="shared" si="2"/>
        <v/>
      </c>
      <c r="Q45" s="918" t="str">
        <f>IF(LEN(IF(J45,F45,K45))=0,"",IF(J45,F45,K45))</f>
        <v/>
      </c>
      <c r="R45" s="918" t="str">
        <f>IF(LEN(IF(K45,G45,L45))=0,"",IF(K45,G45,L45))</f>
        <v/>
      </c>
      <c r="S45" s="28"/>
      <c r="T45" s="28"/>
      <c r="U45" s="28"/>
      <c r="V45" s="28"/>
      <c r="W45" s="28"/>
      <c r="X45" s="562"/>
      <c r="Y45" s="562"/>
    </row>
    <row r="46" spans="1:25" x14ac:dyDescent="0.2">
      <c r="A46" s="731" t="s">
        <v>144</v>
      </c>
      <c r="B46" s="731"/>
      <c r="C46" s="731"/>
      <c r="D46" s="731"/>
      <c r="E46" s="920" t="str">
        <f>IF(LEN('Overview (Design)'!G46)=0,"",'Overview (Design)'!G46)</f>
        <v/>
      </c>
      <c r="F46" s="921"/>
      <c r="G46" s="921"/>
      <c r="H46" s="922"/>
      <c r="I46" s="34"/>
      <c r="J46" s="730"/>
      <c r="K46" s="730"/>
      <c r="L46" s="562"/>
      <c r="M46" s="562"/>
      <c r="N46" s="588" t="s">
        <v>145</v>
      </c>
      <c r="O46" s="588" t="s">
        <v>3715</v>
      </c>
      <c r="P46" s="944" t="str">
        <f t="shared" si="2"/>
        <v/>
      </c>
      <c r="Q46" s="944" t="str">
        <f>IF(LEN(IF(J46,F46,K46))=0,"",IF(J46,F46,K46))</f>
        <v/>
      </c>
      <c r="R46" s="28"/>
      <c r="S46" s="28"/>
      <c r="T46" s="28"/>
      <c r="U46" s="28"/>
      <c r="V46" s="28"/>
      <c r="W46" s="28"/>
      <c r="X46" s="562"/>
      <c r="Y46" s="562"/>
    </row>
    <row r="47" spans="1:25" x14ac:dyDescent="0.2">
      <c r="A47" s="731" t="s">
        <v>147</v>
      </c>
      <c r="B47" s="731"/>
      <c r="C47" s="731"/>
      <c r="D47" s="731"/>
      <c r="E47" s="920" t="str">
        <f>IF(LEN('Overview (Design)'!G47)=0,"",'Overview (Design)'!G47)</f>
        <v/>
      </c>
      <c r="F47" s="921"/>
      <c r="G47" s="921"/>
      <c r="H47" s="922"/>
      <c r="I47" s="34"/>
      <c r="J47" s="591"/>
      <c r="K47" s="562"/>
      <c r="L47" s="562"/>
      <c r="M47" s="562"/>
      <c r="N47" s="588" t="s">
        <v>148</v>
      </c>
      <c r="O47" s="588" t="s">
        <v>3716</v>
      </c>
      <c r="P47" s="664" t="str">
        <f t="shared" si="2"/>
        <v/>
      </c>
      <c r="Q47" s="28"/>
      <c r="R47" s="28"/>
      <c r="S47" s="28"/>
      <c r="T47" s="28"/>
      <c r="U47" s="28"/>
      <c r="V47" s="28"/>
      <c r="W47" s="28"/>
      <c r="X47" s="562"/>
      <c r="Y47" s="562"/>
    </row>
    <row r="48" spans="1:25" x14ac:dyDescent="0.2">
      <c r="A48" s="731" t="s">
        <v>150</v>
      </c>
      <c r="B48" s="731"/>
      <c r="C48" s="731"/>
      <c r="D48" s="731"/>
      <c r="E48" s="920" t="str">
        <f>IF(LEN('Overview (Design)'!G48)=0,"",'Overview (Design)'!G48)</f>
        <v/>
      </c>
      <c r="F48" s="921"/>
      <c r="G48" s="921"/>
      <c r="H48" s="922"/>
      <c r="I48" s="34"/>
      <c r="J48" s="591"/>
      <c r="K48" s="562"/>
      <c r="L48" s="562"/>
      <c r="M48" s="562"/>
      <c r="N48" s="588" t="s">
        <v>151</v>
      </c>
      <c r="O48" s="588" t="s">
        <v>3717</v>
      </c>
      <c r="P48" s="664" t="str">
        <f t="shared" si="2"/>
        <v/>
      </c>
      <c r="Q48" s="28"/>
      <c r="R48" s="28"/>
      <c r="S48" s="28"/>
      <c r="T48" s="28"/>
      <c r="U48" s="28"/>
      <c r="V48" s="28"/>
      <c r="W48" s="28"/>
      <c r="X48" s="562"/>
      <c r="Y48" s="562"/>
    </row>
    <row r="49" spans="1:25" x14ac:dyDescent="0.2">
      <c r="A49" s="743"/>
      <c r="B49" s="743"/>
      <c r="C49" s="743"/>
      <c r="D49" s="743"/>
      <c r="E49" s="588"/>
      <c r="F49" s="588"/>
      <c r="G49" s="588"/>
      <c r="H49" s="588"/>
      <c r="I49" s="562"/>
      <c r="J49" s="588"/>
      <c r="K49" s="562"/>
      <c r="L49" s="562"/>
      <c r="M49" s="562"/>
      <c r="N49" s="588"/>
      <c r="O49" s="588"/>
      <c r="P49" s="31"/>
      <c r="Q49" s="28"/>
      <c r="R49" s="28"/>
      <c r="S49" s="28"/>
      <c r="T49" s="28"/>
      <c r="U49" s="28"/>
      <c r="V49" s="28"/>
      <c r="W49" s="28"/>
      <c r="X49" s="562"/>
      <c r="Y49" s="562"/>
    </row>
    <row r="50" spans="1:25" x14ac:dyDescent="0.2">
      <c r="A50" s="731" t="s">
        <v>153</v>
      </c>
      <c r="B50" s="731"/>
      <c r="C50" s="731"/>
      <c r="D50" s="593"/>
      <c r="E50" s="588"/>
      <c r="F50" s="588"/>
      <c r="G50" s="588"/>
      <c r="H50" s="588"/>
      <c r="I50" s="595"/>
      <c r="J50" s="588"/>
      <c r="K50" s="562"/>
      <c r="L50" s="562"/>
      <c r="M50" s="562"/>
      <c r="N50" s="588"/>
      <c r="O50" s="588"/>
      <c r="P50" s="31"/>
      <c r="Q50" s="28"/>
      <c r="R50" s="28"/>
      <c r="S50" s="28"/>
      <c r="T50" s="28"/>
      <c r="U50" s="28"/>
      <c r="V50" s="28"/>
      <c r="W50" s="28"/>
      <c r="X50" s="562"/>
      <c r="Y50" s="562"/>
    </row>
    <row r="51" spans="1:25" x14ac:dyDescent="0.2">
      <c r="A51" s="731" t="s">
        <v>154</v>
      </c>
      <c r="B51" s="731"/>
      <c r="C51" s="731"/>
      <c r="D51" s="731"/>
      <c r="E51" s="920" t="str">
        <f>IF(LEN('Overview (Design)'!G51)=0,"",'Overview (Design)'!G51)</f>
        <v/>
      </c>
      <c r="F51" s="921"/>
      <c r="G51" s="921"/>
      <c r="H51" s="922"/>
      <c r="I51" s="34"/>
      <c r="J51" s="572"/>
      <c r="K51" s="562"/>
      <c r="L51" s="562"/>
      <c r="M51" s="562"/>
      <c r="N51" s="588" t="s">
        <v>155</v>
      </c>
      <c r="O51" s="588" t="s">
        <v>3718</v>
      </c>
      <c r="P51" s="33" t="str">
        <f t="shared" ref="P51:P56" si="7">IF(LEN(IF(I51,E51,J51))=0,"",IF(I51,E51,J51))</f>
        <v/>
      </c>
      <c r="Q51" s="28"/>
      <c r="R51" s="28"/>
      <c r="S51" s="28"/>
      <c r="T51" s="28"/>
      <c r="U51" s="28"/>
      <c r="V51" s="28"/>
      <c r="W51" s="28"/>
      <c r="X51" s="562"/>
      <c r="Y51" s="562"/>
    </row>
    <row r="52" spans="1:25" x14ac:dyDescent="0.2">
      <c r="A52" s="731" t="s">
        <v>157</v>
      </c>
      <c r="B52" s="731"/>
      <c r="C52" s="731"/>
      <c r="D52" s="731"/>
      <c r="E52" s="920" t="str">
        <f>IF(LEN('Overview (Design)'!G52)=0,"",'Overview (Design)'!G52)</f>
        <v/>
      </c>
      <c r="F52" s="921"/>
      <c r="G52" s="921"/>
      <c r="H52" s="922"/>
      <c r="I52" s="34"/>
      <c r="J52" s="591"/>
      <c r="K52" s="562"/>
      <c r="L52" s="562"/>
      <c r="M52" s="562"/>
      <c r="N52" s="588" t="s">
        <v>158</v>
      </c>
      <c r="O52" s="588" t="s">
        <v>3719</v>
      </c>
      <c r="P52" s="664" t="str">
        <f t="shared" si="7"/>
        <v/>
      </c>
      <c r="Q52" s="28"/>
      <c r="R52" s="28"/>
      <c r="S52" s="28"/>
      <c r="T52" s="28"/>
      <c r="U52" s="28"/>
      <c r="V52" s="28"/>
      <c r="W52" s="28"/>
      <c r="X52" s="562"/>
      <c r="Y52" s="562"/>
    </row>
    <row r="53" spans="1:25" x14ac:dyDescent="0.2">
      <c r="A53" s="731" t="s">
        <v>160</v>
      </c>
      <c r="B53" s="731"/>
      <c r="C53" s="731"/>
      <c r="D53" s="731"/>
      <c r="E53" s="920" t="str">
        <f>IF(LEN('Overview (Design)'!G53)=0,"",'Overview (Design)'!G53)</f>
        <v/>
      </c>
      <c r="F53" s="921"/>
      <c r="G53" s="921"/>
      <c r="H53" s="922"/>
      <c r="I53" s="34"/>
      <c r="J53" s="591"/>
      <c r="K53" s="562"/>
      <c r="L53" s="562"/>
      <c r="M53" s="562"/>
      <c r="N53" s="588" t="s">
        <v>161</v>
      </c>
      <c r="O53" s="588" t="s">
        <v>3720</v>
      </c>
      <c r="P53" s="664" t="str">
        <f t="shared" si="7"/>
        <v/>
      </c>
      <c r="Q53" s="28"/>
      <c r="R53" s="28"/>
      <c r="S53" s="28"/>
      <c r="T53" s="28"/>
      <c r="U53" s="28"/>
      <c r="V53" s="28"/>
      <c r="W53" s="28"/>
      <c r="X53" s="562"/>
      <c r="Y53" s="562"/>
    </row>
    <row r="54" spans="1:25" x14ac:dyDescent="0.2">
      <c r="A54" s="731" t="s">
        <v>163</v>
      </c>
      <c r="B54" s="731"/>
      <c r="C54" s="731"/>
      <c r="D54" s="731"/>
      <c r="E54" s="920" t="str">
        <f>IF(LEN('Overview (Design)'!G54)=0,"",'Overview (Design)'!G54)</f>
        <v/>
      </c>
      <c r="F54" s="921"/>
      <c r="G54" s="921"/>
      <c r="H54" s="922"/>
      <c r="I54" s="34"/>
      <c r="J54" s="591"/>
      <c r="K54" s="562"/>
      <c r="L54" s="562"/>
      <c r="M54" s="562"/>
      <c r="N54" s="588" t="s">
        <v>164</v>
      </c>
      <c r="O54" s="588" t="s">
        <v>3721</v>
      </c>
      <c r="P54" s="664" t="str">
        <f t="shared" si="7"/>
        <v/>
      </c>
      <c r="Q54" s="28"/>
      <c r="R54" s="28"/>
      <c r="S54" s="28"/>
      <c r="T54" s="28"/>
      <c r="U54" s="28"/>
      <c r="V54" s="28"/>
      <c r="W54" s="28"/>
      <c r="X54" s="562"/>
      <c r="Y54" s="562"/>
    </row>
    <row r="55" spans="1:25" x14ac:dyDescent="0.2">
      <c r="A55" s="732" t="s">
        <v>166</v>
      </c>
      <c r="B55" s="732"/>
      <c r="C55" s="732"/>
      <c r="D55" s="732"/>
      <c r="E55" s="920" t="str">
        <f>IF(LEN('Overview (Design)'!G55)=0,"",'Overview (Design)'!G55)</f>
        <v/>
      </c>
      <c r="F55" s="921"/>
      <c r="G55" s="921"/>
      <c r="H55" s="922"/>
      <c r="I55" s="34"/>
      <c r="J55" s="591"/>
      <c r="K55" s="562"/>
      <c r="L55" s="562"/>
      <c r="M55" s="562"/>
      <c r="N55" s="588" t="s">
        <v>167</v>
      </c>
      <c r="O55" s="588" t="s">
        <v>3722</v>
      </c>
      <c r="P55" s="664" t="str">
        <f t="shared" si="7"/>
        <v/>
      </c>
      <c r="Q55" s="28"/>
      <c r="R55" s="28"/>
      <c r="S55" s="28"/>
      <c r="T55" s="28"/>
      <c r="U55" s="28"/>
      <c r="V55" s="28"/>
      <c r="W55" s="28"/>
      <c r="X55" s="562"/>
      <c r="Y55" s="562"/>
    </row>
    <row r="56" spans="1:25" ht="14.5" customHeight="1" x14ac:dyDescent="0.2">
      <c r="A56" s="734" t="s">
        <v>169</v>
      </c>
      <c r="B56" s="734"/>
      <c r="C56" s="734"/>
      <c r="D56" s="734"/>
      <c r="E56" s="920" t="str">
        <f>IF(LEN('Overview (Design)'!G56)=0,"",'Overview (Design)'!G56)</f>
        <v/>
      </c>
      <c r="F56" s="921"/>
      <c r="G56" s="921"/>
      <c r="H56" s="922"/>
      <c r="I56" s="34"/>
      <c r="J56" s="591"/>
      <c r="K56" s="562"/>
      <c r="L56" s="562"/>
      <c r="M56" s="562"/>
      <c r="N56" s="588" t="s">
        <v>170</v>
      </c>
      <c r="O56" s="588" t="s">
        <v>3723</v>
      </c>
      <c r="P56" s="664" t="str">
        <f t="shared" si="7"/>
        <v/>
      </c>
      <c r="Q56" s="28"/>
      <c r="R56" s="28"/>
      <c r="S56" s="28"/>
      <c r="T56" s="28"/>
      <c r="U56" s="28"/>
      <c r="V56" s="28"/>
      <c r="W56" s="28"/>
      <c r="X56" s="562"/>
      <c r="Y56" s="562"/>
    </row>
    <row r="57" spans="1:25" x14ac:dyDescent="0.2">
      <c r="A57" s="733"/>
      <c r="B57" s="733"/>
      <c r="C57" s="733"/>
      <c r="D57" s="733"/>
      <c r="E57" s="588"/>
      <c r="F57" s="588"/>
      <c r="G57" s="588"/>
      <c r="H57" s="588"/>
      <c r="I57" s="562"/>
      <c r="J57" s="588"/>
      <c r="K57" s="562"/>
      <c r="L57" s="562"/>
      <c r="M57" s="562"/>
      <c r="N57" s="588"/>
      <c r="O57" s="588"/>
      <c r="P57" s="31"/>
      <c r="Q57" s="28"/>
      <c r="R57" s="28"/>
      <c r="S57" s="28"/>
      <c r="T57" s="28"/>
      <c r="U57" s="28"/>
      <c r="V57" s="28"/>
      <c r="W57" s="28"/>
      <c r="X57" s="562"/>
      <c r="Y57" s="562"/>
    </row>
    <row r="58" spans="1:25" x14ac:dyDescent="0.2">
      <c r="A58" s="731" t="s">
        <v>172</v>
      </c>
      <c r="B58" s="731"/>
      <c r="C58" s="731"/>
      <c r="D58" s="731"/>
      <c r="E58" s="920" t="str">
        <f>IF(LEN('Overview (Design)'!G58)=0,"",'Overview (Design)'!G58)</f>
        <v/>
      </c>
      <c r="F58" s="921"/>
      <c r="G58" s="921"/>
      <c r="H58" s="922"/>
      <c r="I58" s="34"/>
      <c r="J58" s="730"/>
      <c r="K58" s="730"/>
      <c r="L58" s="562"/>
      <c r="M58" s="562"/>
      <c r="N58" s="588" t="s">
        <v>173</v>
      </c>
      <c r="O58" s="588" t="s">
        <v>3724</v>
      </c>
      <c r="P58" s="918" t="str">
        <f>IF(LEN(IF(I58,E58,J58))=0,"",IF(I58,E58,J58))</f>
        <v/>
      </c>
      <c r="Q58" s="918" t="str">
        <f>IF(LEN(IF(J58,F58,K58))=0,"",IF(J58,F58,K58))</f>
        <v/>
      </c>
      <c r="R58" s="28"/>
      <c r="S58" s="28"/>
      <c r="T58" s="28"/>
      <c r="U58" s="28"/>
      <c r="V58" s="28"/>
      <c r="W58" s="28"/>
      <c r="X58" s="562"/>
      <c r="Y58" s="562"/>
    </row>
    <row r="59" spans="1:25" x14ac:dyDescent="0.2">
      <c r="A59" s="731" t="s">
        <v>175</v>
      </c>
      <c r="B59" s="731"/>
      <c r="C59" s="731"/>
      <c r="D59" s="731"/>
      <c r="E59" s="920" t="str">
        <f>IF(LEN('Overview (Design)'!G59)=0,"",'Overview (Design)'!G59)</f>
        <v/>
      </c>
      <c r="F59" s="921"/>
      <c r="G59" s="921"/>
      <c r="H59" s="922"/>
      <c r="I59" s="34"/>
      <c r="J59" s="730"/>
      <c r="K59" s="730"/>
      <c r="L59" s="562"/>
      <c r="M59" s="562"/>
      <c r="N59" s="588" t="s">
        <v>176</v>
      </c>
      <c r="O59" s="588" t="s">
        <v>3725</v>
      </c>
      <c r="P59" s="918" t="str">
        <f>IF(LEN(IF(I59,E59,J59))=0,"",IF(I59,E59,J59))</f>
        <v/>
      </c>
      <c r="Q59" s="918" t="str">
        <f>IF(LEN(IF(J59,F59,K59))=0,"",IF(J59,F59,K59))</f>
        <v/>
      </c>
      <c r="R59" s="28"/>
      <c r="S59" s="28"/>
      <c r="T59" s="28"/>
      <c r="U59" s="28"/>
      <c r="V59" s="28"/>
      <c r="W59" s="28"/>
      <c r="X59" s="562"/>
      <c r="Y59" s="562"/>
    </row>
    <row r="60" spans="1:25" s="331" customFormat="1" x14ac:dyDescent="0.2">
      <c r="A60" s="592"/>
      <c r="B60" s="592"/>
      <c r="C60" s="592"/>
      <c r="D60" s="592"/>
      <c r="E60" s="296"/>
      <c r="F60" s="296"/>
      <c r="G60" s="296"/>
      <c r="H60" s="296"/>
      <c r="I60" s="562"/>
      <c r="J60" s="562"/>
      <c r="K60" s="562"/>
      <c r="L60" s="562"/>
      <c r="M60" s="562"/>
      <c r="N60" s="562"/>
      <c r="O60" s="562"/>
      <c r="P60" s="562"/>
      <c r="Q60" s="562"/>
      <c r="R60" s="28"/>
      <c r="S60" s="28"/>
      <c r="T60" s="28"/>
      <c r="U60" s="28"/>
      <c r="V60" s="28"/>
      <c r="W60" s="28"/>
      <c r="X60" s="562"/>
      <c r="Y60" s="562"/>
    </row>
    <row r="61" spans="1:25" s="331" customFormat="1" x14ac:dyDescent="0.2">
      <c r="A61" s="731" t="s">
        <v>3726</v>
      </c>
      <c r="B61" s="731"/>
      <c r="C61" s="731"/>
      <c r="D61" s="731"/>
      <c r="E61" s="296"/>
      <c r="F61" s="296"/>
      <c r="G61" s="296"/>
      <c r="H61" s="296"/>
      <c r="I61" s="562"/>
      <c r="J61" s="914" t="s">
        <v>4301</v>
      </c>
      <c r="K61" s="914"/>
      <c r="L61" s="562"/>
      <c r="M61" s="562"/>
      <c r="N61" s="562"/>
      <c r="O61" s="215" t="s">
        <v>3727</v>
      </c>
      <c r="P61" s="915" t="str">
        <f>IF(LEN(J61)&gt;0,J61,"")</f>
        <v>PRJEPKDMnz</v>
      </c>
      <c r="Q61" s="916"/>
      <c r="R61" s="28"/>
      <c r="S61" s="28"/>
      <c r="T61" s="28"/>
      <c r="U61" s="28"/>
      <c r="V61" s="28"/>
      <c r="W61" s="28"/>
      <c r="X61" s="562"/>
      <c r="Y61" s="562"/>
    </row>
    <row r="63" spans="1:25" ht="19" x14ac:dyDescent="0.25">
      <c r="A63" s="585"/>
      <c r="B63" s="585"/>
      <c r="C63" s="585"/>
      <c r="D63" s="585"/>
      <c r="E63" s="585"/>
      <c r="F63" s="585"/>
      <c r="G63" s="585"/>
      <c r="H63" s="585"/>
      <c r="I63" s="585"/>
      <c r="J63" s="585"/>
      <c r="K63" s="585"/>
      <c r="L63" s="585"/>
      <c r="M63" s="585"/>
      <c r="N63" s="585"/>
      <c r="O63" s="585"/>
      <c r="P63" s="585"/>
      <c r="Q63" s="585"/>
      <c r="R63" s="585"/>
      <c r="S63" s="585"/>
      <c r="T63" s="585"/>
      <c r="U63" s="585"/>
      <c r="V63" s="585"/>
      <c r="W63" s="585"/>
      <c r="X63" s="585"/>
      <c r="Y63" s="585"/>
    </row>
  </sheetData>
  <sheetProtection algorithmName="SHA-512" hashValue="jMwRn64fgXy3RcfRcjhg+G66Q+HSFrHXUHAaPoO58cJrJu2/V8910xcgnhn8Kbopi7V95Q+7/ppcnWsRfT+AZQ==" saltValue="qD6wKTxmPdNL5HEtJtj0Lw==" spinCount="100000" sheet="1" objects="1" scenarios="1" selectLockedCells="1"/>
  <mergeCells count="158">
    <mergeCell ref="A36:D36"/>
    <mergeCell ref="A37:D37"/>
    <mergeCell ref="A38:D38"/>
    <mergeCell ref="A40:D40"/>
    <mergeCell ref="A41:D41"/>
    <mergeCell ref="A20:D20"/>
    <mergeCell ref="E20:H20"/>
    <mergeCell ref="A23:D23"/>
    <mergeCell ref="E23:H23"/>
    <mergeCell ref="E34:H34"/>
    <mergeCell ref="E35:H35"/>
    <mergeCell ref="E36:H36"/>
    <mergeCell ref="E37:H37"/>
    <mergeCell ref="E38:H38"/>
    <mergeCell ref="T29:Y29"/>
    <mergeCell ref="J32:L32"/>
    <mergeCell ref="J44:K44"/>
    <mergeCell ref="E25:H26"/>
    <mergeCell ref="E6:H6"/>
    <mergeCell ref="J6:M6"/>
    <mergeCell ref="J8:M8"/>
    <mergeCell ref="J9:M9"/>
    <mergeCell ref="E27:H27"/>
    <mergeCell ref="E28:H28"/>
    <mergeCell ref="E30:H30"/>
    <mergeCell ref="E10:H10"/>
    <mergeCell ref="E11:H11"/>
    <mergeCell ref="J25:M26"/>
    <mergeCell ref="E32:H32"/>
    <mergeCell ref="E33:H33"/>
    <mergeCell ref="E44:H44"/>
    <mergeCell ref="P11:S11"/>
    <mergeCell ref="E9:H9"/>
    <mergeCell ref="P25:S26"/>
    <mergeCell ref="J31:L31"/>
    <mergeCell ref="R21:W22"/>
    <mergeCell ref="T30:Y30"/>
    <mergeCell ref="E42:H42"/>
    <mergeCell ref="A8:D8"/>
    <mergeCell ref="P8:S8"/>
    <mergeCell ref="E8:H8"/>
    <mergeCell ref="A19:D19"/>
    <mergeCell ref="A12:D12"/>
    <mergeCell ref="P12:S12"/>
    <mergeCell ref="A13:D13"/>
    <mergeCell ref="P13:S13"/>
    <mergeCell ref="A14:D14"/>
    <mergeCell ref="A15:D15"/>
    <mergeCell ref="E12:H12"/>
    <mergeCell ref="E13:H13"/>
    <mergeCell ref="E14:H14"/>
    <mergeCell ref="A16:D16"/>
    <mergeCell ref="P16:Q16"/>
    <mergeCell ref="J10:M10"/>
    <mergeCell ref="J11:M11"/>
    <mergeCell ref="J12:M12"/>
    <mergeCell ref="J13:M13"/>
    <mergeCell ref="A9:D9"/>
    <mergeCell ref="P9:S9"/>
    <mergeCell ref="A10:D10"/>
    <mergeCell ref="P10:S10"/>
    <mergeCell ref="A11:D11"/>
    <mergeCell ref="A17:D17"/>
    <mergeCell ref="A18:D18"/>
    <mergeCell ref="P18:S18"/>
    <mergeCell ref="E16:H16"/>
    <mergeCell ref="E17:H17"/>
    <mergeCell ref="E18:H18"/>
    <mergeCell ref="J16:K16"/>
    <mergeCell ref="J18:M18"/>
    <mergeCell ref="A31:D31"/>
    <mergeCell ref="P31:R31"/>
    <mergeCell ref="A21:D21"/>
    <mergeCell ref="A22:D22"/>
    <mergeCell ref="A24:D24"/>
    <mergeCell ref="A25:D25"/>
    <mergeCell ref="E21:H21"/>
    <mergeCell ref="A27:D27"/>
    <mergeCell ref="A28:D28"/>
    <mergeCell ref="P28:S28"/>
    <mergeCell ref="A30:D30"/>
    <mergeCell ref="P30:R30"/>
    <mergeCell ref="J28:M28"/>
    <mergeCell ref="J30:L30"/>
    <mergeCell ref="E22:H22"/>
    <mergeCell ref="E31:H31"/>
    <mergeCell ref="T31:Y31"/>
    <mergeCell ref="P44:Q44"/>
    <mergeCell ref="A53:D53"/>
    <mergeCell ref="A45:D45"/>
    <mergeCell ref="P45:R45"/>
    <mergeCell ref="A46:D46"/>
    <mergeCell ref="P46:Q46"/>
    <mergeCell ref="A47:D47"/>
    <mergeCell ref="E46:H46"/>
    <mergeCell ref="A48:D48"/>
    <mergeCell ref="A49:D49"/>
    <mergeCell ref="A50:C50"/>
    <mergeCell ref="A51:D51"/>
    <mergeCell ref="A52:D52"/>
    <mergeCell ref="E47:H47"/>
    <mergeCell ref="E48:H48"/>
    <mergeCell ref="E51:H51"/>
    <mergeCell ref="E52:H52"/>
    <mergeCell ref="J45:L45"/>
    <mergeCell ref="E53:H53"/>
    <mergeCell ref="J46:K46"/>
    <mergeCell ref="E45:H45"/>
    <mergeCell ref="T32:Y32"/>
    <mergeCell ref="E43:H43"/>
    <mergeCell ref="U8:V8"/>
    <mergeCell ref="A1:C5"/>
    <mergeCell ref="D4:M5"/>
    <mergeCell ref="P4:Y5"/>
    <mergeCell ref="D1:Y3"/>
    <mergeCell ref="A59:D59"/>
    <mergeCell ref="P59:Q59"/>
    <mergeCell ref="A54:D54"/>
    <mergeCell ref="A55:D55"/>
    <mergeCell ref="A56:D56"/>
    <mergeCell ref="A57:D57"/>
    <mergeCell ref="A58:D58"/>
    <mergeCell ref="P58:Q58"/>
    <mergeCell ref="E59:H59"/>
    <mergeCell ref="E55:H55"/>
    <mergeCell ref="E56:H56"/>
    <mergeCell ref="E58:H58"/>
    <mergeCell ref="J59:K59"/>
    <mergeCell ref="J58:K58"/>
    <mergeCell ref="E54:H54"/>
    <mergeCell ref="A32:D32"/>
    <mergeCell ref="P32:R32"/>
    <mergeCell ref="A33:D33"/>
    <mergeCell ref="P33:Q33"/>
    <mergeCell ref="A61:D61"/>
    <mergeCell ref="J61:K61"/>
    <mergeCell ref="P61:Q61"/>
    <mergeCell ref="T35:Y35"/>
    <mergeCell ref="T36:Y36"/>
    <mergeCell ref="T37:Y37"/>
    <mergeCell ref="J33:L33"/>
    <mergeCell ref="J34:L34"/>
    <mergeCell ref="J35:L35"/>
    <mergeCell ref="J36:L36"/>
    <mergeCell ref="J37:L37"/>
    <mergeCell ref="J38:K38"/>
    <mergeCell ref="P34:Q34"/>
    <mergeCell ref="P35:Q35"/>
    <mergeCell ref="P36:Q36"/>
    <mergeCell ref="P37:Q37"/>
    <mergeCell ref="P38:Q38"/>
    <mergeCell ref="A44:D44"/>
    <mergeCell ref="A42:D42"/>
    <mergeCell ref="A43:D43"/>
    <mergeCell ref="E40:H40"/>
    <mergeCell ref="E41:H41"/>
    <mergeCell ref="A34:D34"/>
    <mergeCell ref="A35:D35"/>
  </mergeCells>
  <conditionalFormatting sqref="J8:M14 J16:M16 J21:J23 J25 J51:J56 J58:K59 J27:M28 J44:L48 J30:L37 J38 J40:J43 J17:J18 L17:M17 J61 T30:Y32 T35:Y37">
    <cfRule type="notContainsBlanks" dxfId="1698" priority="78">
      <formula>LEN(TRIM(J8))&gt;0</formula>
    </cfRule>
  </conditionalFormatting>
  <conditionalFormatting sqref="T30:T32">
    <cfRule type="expression" dxfId="1697" priority="75" stopIfTrue="1">
      <formula>OR(AND(E30="Other",I30),J30="Other")</formula>
    </cfRule>
    <cfRule type="expression" dxfId="1696" priority="76">
      <formula>TRUE</formula>
    </cfRule>
  </conditionalFormatting>
  <conditionalFormatting sqref="P4:Y5">
    <cfRule type="expression" dxfId="1695" priority="74">
      <formula>startError</formula>
    </cfRule>
  </conditionalFormatting>
  <conditionalFormatting sqref="I8">
    <cfRule type="expression" dxfId="1694" priority="73">
      <formula>LEN(TRIM($I$8))&gt;0</formula>
    </cfRule>
  </conditionalFormatting>
  <conditionalFormatting sqref="I9">
    <cfRule type="expression" dxfId="1693" priority="72">
      <formula>LEN(TRIM($I$9))&gt;0</formula>
    </cfRule>
  </conditionalFormatting>
  <conditionalFormatting sqref="I10">
    <cfRule type="expression" dxfId="1692" priority="71">
      <formula>LEN(TRIM($I$10))&gt;0</formula>
    </cfRule>
  </conditionalFormatting>
  <conditionalFormatting sqref="I11">
    <cfRule type="expression" dxfId="1691" priority="70">
      <formula>LEN(TRIM($I$11))&gt;0</formula>
    </cfRule>
  </conditionalFormatting>
  <conditionalFormatting sqref="I12">
    <cfRule type="expression" dxfId="1690" priority="69">
      <formula>LEN(TRIM($I$12))&gt;0</formula>
    </cfRule>
  </conditionalFormatting>
  <conditionalFormatting sqref="I13">
    <cfRule type="expression" dxfId="1689" priority="68">
      <formula>LEN(TRIM($I$13))&gt;0</formula>
    </cfRule>
  </conditionalFormatting>
  <conditionalFormatting sqref="I14">
    <cfRule type="expression" dxfId="1688" priority="67">
      <formula>LEN(TRIM($I$14))&gt;0</formula>
    </cfRule>
  </conditionalFormatting>
  <conditionalFormatting sqref="I16">
    <cfRule type="expression" dxfId="1687" priority="66">
      <formula>LEN(TRIM($I$16))&gt;0</formula>
    </cfRule>
  </conditionalFormatting>
  <conditionalFormatting sqref="I17">
    <cfRule type="expression" dxfId="1686" priority="65">
      <formula>LEN(TRIM($I$17))&gt;0</formula>
    </cfRule>
  </conditionalFormatting>
  <conditionalFormatting sqref="I18">
    <cfRule type="expression" dxfId="1685" priority="64">
      <formula>LEN(TRIM($I$18))&gt;0</formula>
    </cfRule>
  </conditionalFormatting>
  <conditionalFormatting sqref="I21">
    <cfRule type="expression" dxfId="1684" priority="63">
      <formula>LEN(TRIM($I$21))&gt;0</formula>
    </cfRule>
  </conditionalFormatting>
  <conditionalFormatting sqref="I22">
    <cfRule type="expression" dxfId="1683" priority="62">
      <formula>LEN(TRIM($I$22))&gt;0</formula>
    </cfRule>
  </conditionalFormatting>
  <conditionalFormatting sqref="I25">
    <cfRule type="expression" dxfId="1682" priority="61">
      <formula>LEN(TRIM($I$25))&gt;0</formula>
    </cfRule>
  </conditionalFormatting>
  <conditionalFormatting sqref="I27">
    <cfRule type="expression" dxfId="1681" priority="60">
      <formula>LEN(TRIM($I$27))&gt;0</formula>
    </cfRule>
  </conditionalFormatting>
  <conditionalFormatting sqref="I28">
    <cfRule type="expression" dxfId="1680" priority="59">
      <formula>LEN(TRIM($I$28))&gt;0</formula>
    </cfRule>
  </conditionalFormatting>
  <conditionalFormatting sqref="I30">
    <cfRule type="expression" dxfId="1679" priority="58">
      <formula>LEN(TRIM($I$30))&gt;0</formula>
    </cfRule>
  </conditionalFormatting>
  <conditionalFormatting sqref="I31">
    <cfRule type="expression" dxfId="1678" priority="57">
      <formula>LEN(TRIM($I$31))&gt;0</formula>
    </cfRule>
  </conditionalFormatting>
  <conditionalFormatting sqref="I32">
    <cfRule type="expression" dxfId="1677" priority="56">
      <formula>LEN(TRIM($I$32))&gt;0</formula>
    </cfRule>
  </conditionalFormatting>
  <conditionalFormatting sqref="I33">
    <cfRule type="expression" dxfId="1676" priority="55">
      <formula>LEN(TRIM($I$33))&gt;0</formula>
    </cfRule>
  </conditionalFormatting>
  <conditionalFormatting sqref="I44">
    <cfRule type="expression" dxfId="1675" priority="54">
      <formula>LEN(TRIM($I$44))&gt;0</formula>
    </cfRule>
  </conditionalFormatting>
  <conditionalFormatting sqref="I45">
    <cfRule type="expression" dxfId="1674" priority="53">
      <formula>LEN(TRIM($I$45))&gt;0</formula>
    </cfRule>
  </conditionalFormatting>
  <conditionalFormatting sqref="I46">
    <cfRule type="expression" dxfId="1673" priority="52">
      <formula>LEN(TRIM($I$46))&gt;0</formula>
    </cfRule>
  </conditionalFormatting>
  <conditionalFormatting sqref="I47">
    <cfRule type="expression" dxfId="1672" priority="51">
      <formula>LEN(TRIM($I$47))&gt;0</formula>
    </cfRule>
  </conditionalFormatting>
  <conditionalFormatting sqref="I48">
    <cfRule type="expression" dxfId="1671" priority="50">
      <formula>LEN(TRIM($I$48))&gt;0</formula>
    </cfRule>
  </conditionalFormatting>
  <conditionalFormatting sqref="I51">
    <cfRule type="expression" dxfId="1670" priority="49">
      <formula>LEN(TRIM($I$51))&gt;0</formula>
    </cfRule>
  </conditionalFormatting>
  <conditionalFormatting sqref="I52">
    <cfRule type="expression" dxfId="1669" priority="48">
      <formula>LEN(TRIM($I$52))&gt;0</formula>
    </cfRule>
  </conditionalFormatting>
  <conditionalFormatting sqref="I53">
    <cfRule type="expression" dxfId="1668" priority="47">
      <formula>LEN(TRIM($I$53))&gt;0</formula>
    </cfRule>
  </conditionalFormatting>
  <conditionalFormatting sqref="I54">
    <cfRule type="expression" dxfId="1667" priority="46">
      <formula>LEN(TRIM($I$54))&gt;0</formula>
    </cfRule>
  </conditionalFormatting>
  <conditionalFormatting sqref="I55">
    <cfRule type="expression" dxfId="1666" priority="45">
      <formula>LEN(TRIM($I$55))&gt;0</formula>
    </cfRule>
  </conditionalFormatting>
  <conditionalFormatting sqref="I56">
    <cfRule type="expression" dxfId="1665" priority="44">
      <formula>LEN(TRIM($I$56))&gt;0</formula>
    </cfRule>
  </conditionalFormatting>
  <conditionalFormatting sqref="I58">
    <cfRule type="expression" dxfId="1664" priority="43">
      <formula>LEN(TRIM($I$58))&gt;0</formula>
    </cfRule>
  </conditionalFormatting>
  <conditionalFormatting sqref="I59">
    <cfRule type="expression" dxfId="1663" priority="42">
      <formula>LEN(TRIM($I$59))&gt;0</formula>
    </cfRule>
  </conditionalFormatting>
  <conditionalFormatting sqref="I23">
    <cfRule type="expression" dxfId="1662" priority="41">
      <formula>LEN(TRIM($I$23))&gt;0</formula>
    </cfRule>
  </conditionalFormatting>
  <conditionalFormatting sqref="I34">
    <cfRule type="expression" dxfId="1661" priority="40">
      <formula>LEN(TRIM($I$34))&gt;0</formula>
    </cfRule>
  </conditionalFormatting>
  <conditionalFormatting sqref="I35">
    <cfRule type="expression" dxfId="1660" priority="39">
      <formula>LEN(TRIM($I$35))&gt;0</formula>
    </cfRule>
  </conditionalFormatting>
  <conditionalFormatting sqref="I36">
    <cfRule type="expression" dxfId="1659" priority="38">
      <formula>LEN(TRIM($I$36))&gt;0</formula>
    </cfRule>
  </conditionalFormatting>
  <conditionalFormatting sqref="I37">
    <cfRule type="expression" dxfId="1658" priority="37">
      <formula>LEN(TRIM($I$37))&gt;0</formula>
    </cfRule>
  </conditionalFormatting>
  <conditionalFormatting sqref="I38">
    <cfRule type="expression" dxfId="1657" priority="36">
      <formula>LEN(TRIM($I$38))&gt;0</formula>
    </cfRule>
  </conditionalFormatting>
  <conditionalFormatting sqref="I40">
    <cfRule type="expression" dxfId="1656" priority="34">
      <formula>LEN(TRIM($I$40))&gt;0</formula>
    </cfRule>
  </conditionalFormatting>
  <conditionalFormatting sqref="I41">
    <cfRule type="expression" dxfId="1655" priority="33">
      <formula>LEN(TRIM($I$41))&gt;0</formula>
    </cfRule>
  </conditionalFormatting>
  <conditionalFormatting sqref="I42">
    <cfRule type="expression" dxfId="1654" priority="32">
      <formula>LEN(TRIM($I$42))&gt;0</formula>
    </cfRule>
  </conditionalFormatting>
  <conditionalFormatting sqref="I43">
    <cfRule type="expression" dxfId="1653" priority="31">
      <formula>LEN(TRIM($I$43))&gt;0</formula>
    </cfRule>
  </conditionalFormatting>
  <conditionalFormatting sqref="J34">
    <cfRule type="expression" dxfId="1652" priority="19">
      <formula>I34</formula>
    </cfRule>
    <cfRule type="notContainsBlanks" dxfId="1651" priority="20">
      <formula>LEN(TRIM(J34))&gt;0</formula>
    </cfRule>
  </conditionalFormatting>
  <conditionalFormatting sqref="J35">
    <cfRule type="expression" dxfId="1650" priority="17">
      <formula>I35</formula>
    </cfRule>
    <cfRule type="notContainsBlanks" dxfId="1649" priority="18">
      <formula>LEN(TRIM(J35))&gt;0</formula>
    </cfRule>
  </conditionalFormatting>
  <conditionalFormatting sqref="J36">
    <cfRule type="expression" dxfId="1648" priority="15">
      <formula>I36</formula>
    </cfRule>
    <cfRule type="notContainsBlanks" dxfId="1647" priority="16">
      <formula>LEN(TRIM(J36))&gt;0</formula>
    </cfRule>
  </conditionalFormatting>
  <conditionalFormatting sqref="J37">
    <cfRule type="expression" dxfId="1646" priority="13">
      <formula>I37</formula>
    </cfRule>
    <cfRule type="notContainsBlanks" dxfId="1645" priority="14">
      <formula>LEN(TRIM(J37))&gt;0</formula>
    </cfRule>
  </conditionalFormatting>
  <conditionalFormatting sqref="J38">
    <cfRule type="expression" dxfId="1644" priority="11">
      <formula>I38</formula>
    </cfRule>
    <cfRule type="notContainsBlanks" dxfId="1643" priority="12">
      <formula>LEN(TRIM(J38))&gt;0</formula>
    </cfRule>
  </conditionalFormatting>
  <conditionalFormatting sqref="J40">
    <cfRule type="notContainsBlanks" dxfId="1642" priority="10">
      <formula>LEN(TRIM(J40))&gt;0</formula>
    </cfRule>
  </conditionalFormatting>
  <conditionalFormatting sqref="J41">
    <cfRule type="notContainsBlanks" dxfId="1641" priority="9">
      <formula>LEN(TRIM(J41))&gt;0</formula>
    </cfRule>
  </conditionalFormatting>
  <conditionalFormatting sqref="J42">
    <cfRule type="notContainsBlanks" dxfId="1640" priority="8">
      <formula>LEN(TRIM(J42))&gt;0</formula>
    </cfRule>
  </conditionalFormatting>
  <conditionalFormatting sqref="J43">
    <cfRule type="notContainsBlanks" dxfId="1639" priority="7">
      <formula>LEN(TRIM(J43))&gt;0</formula>
    </cfRule>
  </conditionalFormatting>
  <conditionalFormatting sqref="J8:M14 J16:M16 J21:J23 J25 J51:J56 J58:K59 J27:M28 J44:L48 J30:L37 J38 J40:J43 J18:M18 J17 L17:M17">
    <cfRule type="expression" dxfId="1638" priority="77">
      <formula>I8</formula>
    </cfRule>
  </conditionalFormatting>
  <conditionalFormatting sqref="T35:T37">
    <cfRule type="expression" dxfId="1637" priority="5" stopIfTrue="1">
      <formula>OR(AND(E35="Other",I35),J35="Other")</formula>
    </cfRule>
    <cfRule type="expression" dxfId="1636" priority="6">
      <formula>TRUE</formula>
    </cfRule>
  </conditionalFormatting>
  <conditionalFormatting sqref="J20">
    <cfRule type="notContainsBlanks" dxfId="1635" priority="3">
      <formula>LEN(TRIM(J20))&gt;0</formula>
    </cfRule>
  </conditionalFormatting>
  <conditionalFormatting sqref="J20">
    <cfRule type="expression" dxfId="1634" priority="2">
      <formula>I20</formula>
    </cfRule>
  </conditionalFormatting>
  <conditionalFormatting sqref="I20">
    <cfRule type="expression" dxfId="1633" priority="1">
      <formula>LEN(TRIM($I$20))&gt;0</formula>
    </cfRule>
  </conditionalFormatting>
  <dataValidations xWindow="570" yWindow="734" count="25">
    <dataValidation type="whole" allowBlank="1" showInputMessage="1" showErrorMessage="1" error="Must enter a whole number." sqref="P17 J17" xr:uid="{00000000-0002-0000-0C00-000000000000}">
      <formula1>0</formula1>
      <formula2>100000000000</formula2>
    </dataValidation>
    <dataValidation type="list" allowBlank="1" showInputMessage="1" showErrorMessage="1" error="Please use the dropdown." sqref="P51 J51" xr:uid="{00000000-0002-0000-0C00-000001000000}">
      <formula1>INDIRECT($N$51)</formula1>
    </dataValidation>
    <dataValidation type="list" allowBlank="1" showInputMessage="1" showErrorMessage="1" error="Please use the dropdown." sqref="J59:K59 P59:Q59" xr:uid="{00000000-0002-0000-0C00-000002000000}">
      <formula1>INDIRECT($N$59)</formula1>
    </dataValidation>
    <dataValidation type="list" allowBlank="1" showInputMessage="1" showErrorMessage="1" error="Please use the dropdown." sqref="P58:Q58 J58:K58" xr:uid="{00000000-0002-0000-0C00-000003000000}">
      <formula1>INDIRECT($N$58)</formula1>
    </dataValidation>
    <dataValidation type="list" allowBlank="1" showInputMessage="1" showErrorMessage="1" error="Please use the dropdown." sqref="P56 J56" xr:uid="{00000000-0002-0000-0C00-000004000000}">
      <formula1>INDIRECT($N$56)</formula1>
    </dataValidation>
    <dataValidation type="list" allowBlank="1" showInputMessage="1" showErrorMessage="1" error="Please use the dropdown." sqref="P55 J55" xr:uid="{00000000-0002-0000-0C00-000005000000}">
      <formula1>INDIRECT($N$55)</formula1>
    </dataValidation>
    <dataValidation type="list" allowBlank="1" showInputMessage="1" showErrorMessage="1" error="Please use the dropdown." sqref="P54 J54" xr:uid="{00000000-0002-0000-0C00-000006000000}">
      <formula1>INDIRECT($N$54)</formula1>
    </dataValidation>
    <dataValidation type="list" allowBlank="1" showInputMessage="1" showErrorMessage="1" error="Please use the dropdown." sqref="P53 J53" xr:uid="{00000000-0002-0000-0C00-000007000000}">
      <formula1>INDIRECT($N$53)</formula1>
    </dataValidation>
    <dataValidation type="list" allowBlank="1" showInputMessage="1" showErrorMessage="1" error="Please use the dropdown." sqref="P52 J52" xr:uid="{00000000-0002-0000-0C00-000008000000}">
      <formula1>INDIRECT($N$52)</formula1>
    </dataValidation>
    <dataValidation type="list" allowBlank="1" showInputMessage="1" showErrorMessage="1" error="Please use the dropdown." sqref="P48 J48" xr:uid="{00000000-0002-0000-0C00-000009000000}">
      <formula1>INDIRECT($N$48)</formula1>
    </dataValidation>
    <dataValidation type="list" allowBlank="1" showInputMessage="1" showErrorMessage="1" error="Please use the dropdown." sqref="P47 J47" xr:uid="{00000000-0002-0000-0C00-00000A000000}">
      <formula1>INDIRECT($N$47)</formula1>
    </dataValidation>
    <dataValidation type="list" allowBlank="1" showInputMessage="1" showErrorMessage="1" error="Please use the dropdown." sqref="P46:Q46 J46:K46" xr:uid="{00000000-0002-0000-0C00-00000B000000}">
      <formula1>INDIRECT($N$46)</formula1>
    </dataValidation>
    <dataValidation type="list" allowBlank="1" showInputMessage="1" showErrorMessage="1" error="Please use the dropdown." sqref="P45:R45 J45:L45" xr:uid="{00000000-0002-0000-0C00-00000C000000}">
      <formula1>INDIRECT($N$45)</formula1>
    </dataValidation>
    <dataValidation type="list" allowBlank="1" showInputMessage="1" showErrorMessage="1" error="Please use the dropdown." sqref="P44:Q44 J44:K44" xr:uid="{00000000-0002-0000-0C00-00000D000000}">
      <formula1>INDIRECT($N$44)</formula1>
    </dataValidation>
    <dataValidation type="list" allowBlank="1" showInputMessage="1" showErrorMessage="1" error="Please use the dropdown." sqref="P40:P43 P33:Q38" xr:uid="{00000000-0002-0000-0C00-00000E000000}">
      <formula1>INDIRECT($N$33)</formula1>
    </dataValidation>
    <dataValidation type="list" allowBlank="1" showInputMessage="1" showErrorMessage="1" error="Please use the dropdown." sqref="P32:R32 J32:L32" xr:uid="{00000000-0002-0000-0C00-00000F000000}">
      <formula1>INDIRECT($N$32)</formula1>
    </dataValidation>
    <dataValidation type="list" allowBlank="1" showInputMessage="1" showErrorMessage="1" error="Please use the dropdown." sqref="P31:R31 J31:L31" xr:uid="{00000000-0002-0000-0C00-000010000000}">
      <formula1>INDIRECT($N$31)</formula1>
    </dataValidation>
    <dataValidation type="list" allowBlank="1" showInputMessage="1" showErrorMessage="1" error="Please use the dropdown." sqref="P30:R30 J30:L30" xr:uid="{00000000-0002-0000-0C00-000011000000}">
      <formula1>INDIRECT($N$30)</formula1>
    </dataValidation>
    <dataValidation type="list" allowBlank="1" showInputMessage="1" showErrorMessage="1" error="Please use the dropdown." sqref="J28:M28 P28:S28" xr:uid="{00000000-0002-0000-0C00-000012000000}">
      <formula1>INDIRECT($N$28)</formula1>
    </dataValidation>
    <dataValidation type="list" allowBlank="1" showInputMessage="1" showErrorMessage="1" error="Please use the dropdown." sqref="P16:Q16 J16:K16" xr:uid="{00000000-0002-0000-0C00-000013000000}">
      <formula1>INDIRECT($N$16)</formula1>
    </dataValidation>
    <dataValidation type="list" allowBlank="1" showDropDown="1" showInputMessage="1" showErrorMessage="1" error="Use Checkbox" prompt="Use Checkbox" sqref="I30:I38 I51:I56 I58:I59 I25 I8:I14 I16:I18 I27:I28 I40:I48 I20:I23" xr:uid="{00000000-0002-0000-0C00-000014000000}">
      <formula1>TorF</formula1>
    </dataValidation>
    <dataValidation type="list" allowBlank="1" showInputMessage="1" showErrorMessage="1" error="Please use the dropdown." sqref="J33:L37 J38:K38" xr:uid="{00000000-0002-0000-0C00-000015000000}">
      <formula1>INDIRECT(N33)</formula1>
    </dataValidation>
    <dataValidation type="decimal" allowBlank="1" showInputMessage="1" showErrorMessage="1" error="Enter a decimal between 0 and 1." prompt="Enter the U-value." sqref="J42:J43" xr:uid="{00000000-0002-0000-0C00-000016000000}">
      <formula1>0</formula1>
      <formula2>1</formula2>
    </dataValidation>
    <dataValidation type="decimal" allowBlank="1" showInputMessage="1" showErrorMessage="1" error="Enter a decimal between 0 and 1." prompt="Enter the SHGC value." sqref="J40:J41" xr:uid="{00000000-0002-0000-0C00-000017000000}">
      <formula1>0</formula1>
      <formula2>1</formula2>
    </dataValidation>
    <dataValidation type="whole" allowBlank="1" showInputMessage="1" showErrorMessage="1" error="Enter a whole number between 1 and 1000." prompt="Enter the number of stories above grade." sqref="J23" xr:uid="{00000000-0002-0000-0C00-000018000000}">
      <formula1>1</formula1>
      <formula2>1000</formula2>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77" id="{31A7DF45-F348-433F-99A6-7A5E293585E0}">
            <xm:f>IF($P$16=Dropdowns!$D$6,TRUE,FALSE)</xm:f>
            <x14:dxf>
              <font>
                <color theme="1"/>
              </font>
            </x14:dxf>
          </x14:cfRule>
          <xm:sqref>A17:D17</xm:sqref>
        </x14:conditionalFormatting>
        <x14:conditionalFormatting xmlns:xm="http://schemas.microsoft.com/office/excel/2006/main">
          <x14:cfRule type="expression" priority="176" id="{0EA1F319-CED9-4426-97A2-FECE1454E9D5}">
            <xm:f>IF($P$16=Dropdowns!$D$6,TRUE,FALSE)</xm:f>
            <x14:dxf>
              <font>
                <color theme="1"/>
              </font>
            </x14:dxf>
          </x14:cfRule>
          <xm:sqref>A18:D18</xm:sqref>
        </x14:conditionalFormatting>
        <x14:conditionalFormatting xmlns:xm="http://schemas.microsoft.com/office/excel/2006/main">
          <x14:cfRule type="expression" priority="145" id="{294FD1A7-26E7-438F-9BCA-B17EC9906DAF}">
            <xm:f>NOT($J$16=Dropdowns!$D$6)</xm:f>
            <x14:dxf>
              <fill>
                <patternFill patternType="darkGrid">
                  <bgColor theme="0"/>
                </patternFill>
              </fill>
            </x14:dxf>
          </x14:cfRule>
          <xm:sqref>J17</xm:sqref>
        </x14:conditionalFormatting>
        <x14:conditionalFormatting xmlns:xm="http://schemas.microsoft.com/office/excel/2006/main">
          <x14:cfRule type="expression" priority="144" id="{F110A43A-96E7-4A7F-B35C-777AE8CDA7A9}">
            <xm:f>NOT($J$16=Dropdowns!$D$6)</xm:f>
            <x14:dxf>
              <fill>
                <patternFill patternType="darkGrid">
                  <bgColor theme="0"/>
                </patternFill>
              </fill>
            </x14:dxf>
          </x14:cfRule>
          <xm:sqref>J18</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C00-00001A000000}">
          <x14:formula1>
            <xm:f>OFFSET(Geography!$C$2,MATCH($P$12,Geography!$A$2:$A$3146,0)-1,0,COUNTIF(Geography!$A$2:$A$3146,$P$12),1)</xm:f>
          </x14:formula1>
          <xm:sqref>P13</xm:sqref>
        </x14:dataValidation>
        <x14:dataValidation type="list" allowBlank="1" showInputMessage="1" showErrorMessage="1" xr:uid="{00000000-0002-0000-0C00-00001B000000}">
          <x14:formula1>
            <xm:f>Geography!$J$2:$J$57</xm:f>
          </x14:formula1>
          <xm:sqref>P12 J12:M12</xm:sqref>
        </x14:dataValidation>
        <x14:dataValidation type="list" allowBlank="1" showInputMessage="1" showErrorMessage="1" xr:uid="{00000000-0002-0000-0C00-00001C000000}">
          <x14:formula1>
            <xm:f>OFFSET(Geography!$C$2,MATCH($J$12,Geography!$A$2:$A$3146,0)-1,0,COUNTIF(Geography!$A$2:$A$3146,$J$12),1)</xm:f>
          </x14:formula1>
          <xm:sqref>J13:M13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BM1364"/>
  <sheetViews>
    <sheetView showGridLines="0" zoomScaleNormal="100" workbookViewId="0">
      <pane ySplit="7" topLeftCell="A8" activePane="bottomLeft" state="frozen"/>
      <selection activeCell="E7" sqref="E7:F7"/>
      <selection pane="bottomLeft" activeCell="L1" sqref="L1"/>
    </sheetView>
  </sheetViews>
  <sheetFormatPr baseColWidth="10" defaultColWidth="8.83203125" defaultRowHeight="15" x14ac:dyDescent="0.2"/>
  <cols>
    <col min="1" max="1" width="3.33203125" style="294" bestFit="1" customWidth="1"/>
    <col min="2" max="2" width="9.6640625" style="294" hidden="1" customWidth="1"/>
    <col min="3" max="6" width="4.5" style="294" hidden="1" customWidth="1"/>
    <col min="7" max="7" width="3.1640625" style="560" bestFit="1" customWidth="1"/>
    <col min="8" max="8" width="3.1640625" style="294" bestFit="1" customWidth="1"/>
    <col min="9" max="9" width="10.5" style="22" customWidth="1"/>
    <col min="10" max="11" width="3.83203125" style="22" customWidth="1"/>
    <col min="12" max="12" width="71.6640625" style="22" customWidth="1"/>
    <col min="13" max="13" width="13.5" style="22" customWidth="1"/>
    <col min="14" max="15" width="7.6640625" style="22" customWidth="1"/>
    <col min="16" max="17" width="8.83203125" style="24" hidden="1" customWidth="1"/>
    <col min="18" max="21" width="8.83203125" style="22" hidden="1" customWidth="1"/>
    <col min="22" max="22" width="3" style="22" hidden="1" customWidth="1"/>
    <col min="23" max="23" width="21.5" style="22" customWidth="1"/>
    <col min="24" max="25" width="34.83203125" style="22" customWidth="1"/>
    <col min="26" max="26" width="34.83203125" style="447" hidden="1" customWidth="1"/>
    <col min="27" max="27" width="9.1640625" style="448" hidden="1" customWidth="1"/>
    <col min="28" max="28" width="9.1640625" hidden="1" customWidth="1"/>
    <col min="29" max="37" width="9.1640625" style="22" hidden="1" customWidth="1"/>
    <col min="38" max="38" width="19" style="22" hidden="1" customWidth="1"/>
    <col min="39" max="39" width="3.5" style="22" hidden="1" customWidth="1"/>
    <col min="40" max="40" width="16.1640625" style="22" hidden="1" customWidth="1"/>
    <col min="41" max="41" width="3.5" style="22" hidden="1" customWidth="1"/>
    <col min="42" max="42" width="16.5" style="22" hidden="1" customWidth="1"/>
    <col min="43" max="43" width="3.5" style="22" hidden="1" customWidth="1"/>
    <col min="44" max="44" width="18.5" style="22" hidden="1" customWidth="1"/>
    <col min="45" max="45" width="4.5" style="22" hidden="1" customWidth="1"/>
    <col min="46" max="46" width="9.1640625" style="22" hidden="1" customWidth="1"/>
    <col min="47" max="61" width="9.1640625" hidden="1" customWidth="1"/>
  </cols>
  <sheetData>
    <row r="1" spans="1:61" ht="15" customHeight="1" x14ac:dyDescent="0.2">
      <c r="A1" s="1009" t="s">
        <v>3728</v>
      </c>
      <c r="B1" s="1009"/>
      <c r="C1" s="1009"/>
      <c r="D1" s="1009"/>
      <c r="E1" s="1009"/>
      <c r="F1" s="1009"/>
      <c r="G1" s="1009"/>
      <c r="H1" s="1010"/>
      <c r="I1" s="1020" t="s">
        <v>3729</v>
      </c>
      <c r="J1" s="1020"/>
      <c r="K1" s="1020"/>
      <c r="L1" s="38"/>
      <c r="M1" s="1021"/>
      <c r="N1" s="1022"/>
      <c r="O1" s="1023"/>
      <c r="P1" s="21"/>
      <c r="Q1" s="21"/>
      <c r="R1" s="21"/>
      <c r="S1" s="21"/>
      <c r="T1" s="21"/>
      <c r="U1" s="21"/>
      <c r="V1" s="21"/>
      <c r="W1" s="1032" t="s">
        <v>46</v>
      </c>
      <c r="X1" s="1012" t="s">
        <v>3730</v>
      </c>
      <c r="Y1" s="1013"/>
      <c r="Z1" s="451"/>
      <c r="AA1" s="562"/>
      <c r="AB1" s="562"/>
      <c r="AC1" s="562"/>
      <c r="AD1" s="562"/>
      <c r="AE1" s="562"/>
      <c r="AF1" s="594" t="s">
        <v>3731</v>
      </c>
      <c r="AG1" s="562">
        <f ca="1">Ch5PointsFinal</f>
        <v>0</v>
      </c>
      <c r="AH1" s="562" t="e">
        <f ca="1">Ch6PointsFinal</f>
        <v>#REF!</v>
      </c>
      <c r="AI1" s="562" t="str">
        <f>Points!Q17</f>
        <v>None</v>
      </c>
      <c r="AJ1" s="562" t="str">
        <f>Points!Q18</f>
        <v>None</v>
      </c>
      <c r="AK1" s="562">
        <f ca="1">Ch9PointsFinal</f>
        <v>0</v>
      </c>
      <c r="AL1" s="562">
        <f>Ch10PointsFinal</f>
        <v>0</v>
      </c>
      <c r="AM1" s="562" t="s">
        <v>3732</v>
      </c>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x14ac:dyDescent="0.2">
      <c r="A2" s="1009"/>
      <c r="B2" s="1009"/>
      <c r="C2" s="1009"/>
      <c r="D2" s="1009"/>
      <c r="E2" s="1009"/>
      <c r="F2" s="1009"/>
      <c r="G2" s="1009"/>
      <c r="H2" s="1010"/>
      <c r="I2" s="1030" t="e">
        <f ca="1">"           Overall Points: "&amp;Points!N21&amp;",                                        Overall Level: "&amp; AM2</f>
        <v>#REF!</v>
      </c>
      <c r="J2" s="1030"/>
      <c r="K2" s="1030"/>
      <c r="L2" s="1030"/>
      <c r="M2" s="1024"/>
      <c r="N2" s="1025"/>
      <c r="O2" s="1026"/>
      <c r="P2" s="21"/>
      <c r="Q2" s="21"/>
      <c r="R2" s="21"/>
      <c r="S2" s="21"/>
      <c r="T2" s="21"/>
      <c r="U2" s="21"/>
      <c r="V2" s="21"/>
      <c r="W2" s="1032"/>
      <c r="X2" s="1012" t="s">
        <v>3733</v>
      </c>
      <c r="Y2" s="1013"/>
      <c r="Z2" s="451"/>
      <c r="AA2" s="562"/>
      <c r="AB2" s="562"/>
      <c r="AC2" s="562"/>
      <c r="AD2" s="562"/>
      <c r="AE2" s="562"/>
      <c r="AF2" s="594"/>
      <c r="AG2" s="562"/>
      <c r="AH2" s="562"/>
      <c r="AI2" s="562"/>
      <c r="AJ2" s="562"/>
      <c r="AK2" s="562"/>
      <c r="AL2" s="562"/>
      <c r="AM2" s="562" t="str">
        <f ca="1">Points!N22</f>
        <v>None</v>
      </c>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A3" s="1009"/>
      <c r="B3" s="1009"/>
      <c r="C3" s="1009"/>
      <c r="D3" s="1009"/>
      <c r="E3" s="1009"/>
      <c r="F3" s="1009"/>
      <c r="G3" s="1009"/>
      <c r="H3" s="1010"/>
      <c r="I3" s="1031" t="e">
        <f ca="1" xml:space="preserve"> "                          Points: Ch5:  "&amp;AG1&amp;",    Ch6:  "&amp;AH1&amp;",    Ch7:  "&amp;AI1&amp;",    Ch8:  "&amp;AJ1&amp;",    Ch9:  "&amp;AK1&amp;",    Ch10:  "&amp;AL1</f>
        <v>#REF!</v>
      </c>
      <c r="J3" s="1031"/>
      <c r="K3" s="1031"/>
      <c r="L3" s="1031"/>
      <c r="M3" s="1024"/>
      <c r="N3" s="1025"/>
      <c r="O3" s="1026"/>
      <c r="P3" s="21"/>
      <c r="Q3" s="21"/>
      <c r="R3" s="21"/>
      <c r="S3" s="21"/>
      <c r="T3" s="21"/>
      <c r="U3" s="21"/>
      <c r="V3" s="21"/>
      <c r="W3" s="1033"/>
      <c r="X3" s="1012" t="s">
        <v>3734</v>
      </c>
      <c r="Y3" s="1013"/>
      <c r="Z3" s="451"/>
      <c r="AA3" s="562"/>
      <c r="AB3" s="562"/>
      <c r="AC3" s="562"/>
      <c r="AD3" s="562"/>
      <c r="AE3" s="562"/>
      <c r="AF3" s="594" t="s">
        <v>3735</v>
      </c>
      <c r="AG3" s="562" t="b">
        <f ca="1">OR(ReportType="",IF(ReportType="Rough",OR(AF:AF),OR(AE:AE)))</f>
        <v>1</v>
      </c>
      <c r="AH3" s="594" t="s">
        <v>3736</v>
      </c>
      <c r="AI3" s="562" t="e">
        <f ca="1">OR(AD:AD)</f>
        <v>#REF!</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s="36" customFormat="1" ht="15" customHeight="1" x14ac:dyDescent="0.2">
      <c r="A4" s="913" t="s">
        <v>3737</v>
      </c>
      <c r="B4" s="294"/>
      <c r="C4" s="681"/>
      <c r="D4" s="681"/>
      <c r="E4" s="681"/>
      <c r="F4" s="294"/>
      <c r="G4" s="1011" t="s">
        <v>2160</v>
      </c>
      <c r="H4" s="913" t="s">
        <v>3738</v>
      </c>
      <c r="I4" s="1031"/>
      <c r="J4" s="1031"/>
      <c r="K4" s="1031"/>
      <c r="L4" s="1031"/>
      <c r="M4" s="1024"/>
      <c r="N4" s="1025"/>
      <c r="O4" s="1026"/>
      <c r="P4" s="21"/>
      <c r="Q4" s="21"/>
      <c r="R4" s="21"/>
      <c r="S4" s="21"/>
      <c r="T4" s="21"/>
      <c r="U4" s="21"/>
      <c r="V4" s="21"/>
      <c r="W4" s="213" t="s">
        <v>3739</v>
      </c>
      <c r="X4" s="1015" t="str">
        <f>IF('Overview (Verification)'!P11="","",'Overview (Verification)'!P9&amp;", "&amp;'Overview (Verification)'!P11&amp;", "&amp;'Overview (Verification)'!P12&amp;"  "&amp;'Overview (Verification)'!P14)</f>
        <v>6666 Oak St., Raleigh, North Carolina  99999</v>
      </c>
      <c r="Y4" s="1016"/>
      <c r="Z4" s="45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s="36" customFormat="1" ht="15" customHeight="1" x14ac:dyDescent="0.2">
      <c r="A5" s="913"/>
      <c r="B5" s="294"/>
      <c r="C5" s="540"/>
      <c r="D5" s="540"/>
      <c r="E5" s="540"/>
      <c r="F5" s="294"/>
      <c r="G5" s="1011"/>
      <c r="H5" s="913"/>
      <c r="I5" s="1019" t="s">
        <v>3740</v>
      </c>
      <c r="J5" s="1019"/>
      <c r="K5" s="1019"/>
      <c r="L5" s="37"/>
      <c r="M5" s="1027"/>
      <c r="N5" s="1028"/>
      <c r="O5" s="1029"/>
      <c r="P5" s="21"/>
      <c r="Q5" s="21"/>
      <c r="R5" s="21"/>
      <c r="S5" s="21"/>
      <c r="T5" s="21"/>
      <c r="U5" s="21"/>
      <c r="V5" s="21"/>
      <c r="W5" s="212" t="s">
        <v>58</v>
      </c>
      <c r="X5" s="1017" t="str">
        <f>IF('Overview (Verification)'!P10="","",'Overview (Verification)'!P10)</f>
        <v/>
      </c>
      <c r="Y5" s="1018"/>
      <c r="Z5" s="45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ht="15" customHeight="1" x14ac:dyDescent="0.2">
      <c r="A6" s="913"/>
      <c r="C6" s="540"/>
      <c r="D6" s="540"/>
      <c r="E6" s="540"/>
      <c r="G6" s="1011"/>
      <c r="H6" s="913"/>
      <c r="I6" s="789" t="s">
        <v>2157</v>
      </c>
      <c r="J6" s="789"/>
      <c r="K6" s="790"/>
      <c r="L6" s="784" t="s">
        <v>3741</v>
      </c>
      <c r="M6" s="784" t="s">
        <v>2159</v>
      </c>
      <c r="N6" s="1014" t="s">
        <v>3742</v>
      </c>
      <c r="O6" s="1014" t="s">
        <v>3743</v>
      </c>
      <c r="P6" s="602" t="s">
        <v>3744</v>
      </c>
      <c r="Q6" s="602" t="s">
        <v>3681</v>
      </c>
      <c r="R6" s="602" t="s">
        <v>2163</v>
      </c>
      <c r="S6" s="602" t="s">
        <v>2164</v>
      </c>
      <c r="T6" s="602" t="s">
        <v>2165</v>
      </c>
      <c r="U6" s="602" t="s">
        <v>3745</v>
      </c>
      <c r="V6" s="602"/>
      <c r="W6" s="784" t="s">
        <v>2167</v>
      </c>
      <c r="X6" s="784" t="s">
        <v>3746</v>
      </c>
      <c r="Y6" s="770" t="s">
        <v>3747</v>
      </c>
      <c r="Z6" s="1036" t="s">
        <v>3748</v>
      </c>
      <c r="AA6" s="562" t="s">
        <v>3749</v>
      </c>
      <c r="AB6" s="562"/>
      <c r="AC6" s="588" t="s">
        <v>2169</v>
      </c>
      <c r="AD6" s="588" t="s">
        <v>2165</v>
      </c>
      <c r="AE6" s="588" t="s">
        <v>2170</v>
      </c>
      <c r="AF6" s="594" t="s">
        <v>3750</v>
      </c>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s="22" customFormat="1" x14ac:dyDescent="0.2">
      <c r="A7" s="294"/>
      <c r="B7" s="662"/>
      <c r="C7" s="662"/>
      <c r="D7" s="662"/>
      <c r="E7" s="662"/>
      <c r="F7" s="294"/>
      <c r="G7" s="294"/>
      <c r="H7" s="294"/>
      <c r="I7" s="789"/>
      <c r="J7" s="789"/>
      <c r="K7" s="790"/>
      <c r="L7" s="785"/>
      <c r="M7" s="785"/>
      <c r="N7" s="1014"/>
      <c r="O7" s="1014"/>
      <c r="P7" s="602"/>
      <c r="Q7" s="602"/>
      <c r="R7" s="602"/>
      <c r="S7" s="602"/>
      <c r="T7" s="602"/>
      <c r="U7" s="602"/>
      <c r="V7" s="602"/>
      <c r="W7" s="785"/>
      <c r="X7" s="785"/>
      <c r="Y7" s="771"/>
      <c r="Z7" s="1037"/>
      <c r="AA7" s="562" t="str">
        <f>'Photo Review'!H10</f>
        <v>Not OK</v>
      </c>
      <c r="AB7" s="562"/>
      <c r="AC7" s="588"/>
      <c r="AD7" s="588"/>
      <c r="AE7" s="588"/>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s="340" customFormat="1" ht="19" x14ac:dyDescent="0.25">
      <c r="A8" s="541">
        <v>5</v>
      </c>
      <c r="B8" s="542"/>
      <c r="C8" s="542"/>
      <c r="D8" s="542"/>
      <c r="E8" s="542"/>
      <c r="F8" s="542"/>
      <c r="G8" s="543"/>
      <c r="H8" s="541" t="s">
        <v>3751</v>
      </c>
      <c r="I8" s="15" t="s">
        <v>2172</v>
      </c>
      <c r="J8" s="15"/>
      <c r="K8" s="15"/>
      <c r="L8" s="16"/>
      <c r="M8" s="17"/>
      <c r="N8" s="17"/>
      <c r="O8" s="17"/>
      <c r="P8" s="562" t="s">
        <v>48</v>
      </c>
      <c r="Q8" s="562" t="s">
        <v>48</v>
      </c>
      <c r="R8" s="562" t="s">
        <v>48</v>
      </c>
      <c r="S8" s="562" t="s">
        <v>48</v>
      </c>
      <c r="T8" s="562" t="s">
        <v>48</v>
      </c>
      <c r="U8" s="562" t="s">
        <v>48</v>
      </c>
      <c r="V8" s="562" t="s">
        <v>48</v>
      </c>
      <c r="W8" s="16"/>
      <c r="X8" s="16"/>
      <c r="Y8" s="16"/>
      <c r="Z8" s="457" t="s">
        <v>48</v>
      </c>
      <c r="AA8" s="588" t="s">
        <v>48</v>
      </c>
      <c r="AB8" s="588" t="s">
        <v>48</v>
      </c>
      <c r="AC8" s="588" t="s">
        <v>48</v>
      </c>
      <c r="AD8" s="588" t="s">
        <v>48</v>
      </c>
      <c r="AE8" s="588" t="s">
        <v>48</v>
      </c>
      <c r="AF8" s="588" t="s">
        <v>48</v>
      </c>
      <c r="AG8" s="588" t="s">
        <v>48</v>
      </c>
      <c r="AH8" s="588" t="s">
        <v>48</v>
      </c>
      <c r="AI8" s="588" t="s">
        <v>48</v>
      </c>
      <c r="AJ8" s="588" t="s">
        <v>48</v>
      </c>
      <c r="AK8" s="588" t="s">
        <v>48</v>
      </c>
      <c r="AL8" s="588" t="s">
        <v>48</v>
      </c>
      <c r="AM8" s="588" t="s">
        <v>48</v>
      </c>
      <c r="AN8" s="588" t="s">
        <v>48</v>
      </c>
      <c r="AO8" s="588" t="s">
        <v>48</v>
      </c>
      <c r="AP8" s="588" t="s">
        <v>48</v>
      </c>
      <c r="AQ8" s="588" t="s">
        <v>48</v>
      </c>
      <c r="AR8" s="588" t="s">
        <v>48</v>
      </c>
      <c r="AS8" s="588" t="s">
        <v>48</v>
      </c>
      <c r="AT8" s="588" t="s">
        <v>48</v>
      </c>
      <c r="AU8" s="588" t="s">
        <v>48</v>
      </c>
      <c r="AV8" s="588" t="s">
        <v>48</v>
      </c>
      <c r="AW8" s="588" t="s">
        <v>48</v>
      </c>
      <c r="AX8" s="588" t="s">
        <v>48</v>
      </c>
      <c r="AY8" s="588" t="s">
        <v>48</v>
      </c>
      <c r="AZ8" s="588" t="s">
        <v>48</v>
      </c>
      <c r="BA8" s="588" t="s">
        <v>48</v>
      </c>
      <c r="BB8" s="588" t="s">
        <v>48</v>
      </c>
      <c r="BC8" s="588" t="s">
        <v>48</v>
      </c>
      <c r="BD8" s="588" t="s">
        <v>48</v>
      </c>
      <c r="BE8" s="588" t="s">
        <v>48</v>
      </c>
      <c r="BF8" s="588" t="s">
        <v>48</v>
      </c>
      <c r="BG8" s="588" t="s">
        <v>48</v>
      </c>
      <c r="BH8" s="588" t="s">
        <v>48</v>
      </c>
      <c r="BI8" s="588" t="s">
        <v>48</v>
      </c>
    </row>
    <row r="9" spans="1:61" x14ac:dyDescent="0.2">
      <c r="A9" s="541">
        <v>5</v>
      </c>
      <c r="B9" s="544" t="s">
        <v>2173</v>
      </c>
      <c r="C9" s="544"/>
      <c r="D9" s="544"/>
      <c r="E9" s="544"/>
      <c r="F9" s="544"/>
      <c r="G9" s="543"/>
      <c r="H9" s="545"/>
      <c r="I9" s="57" t="s">
        <v>2174</v>
      </c>
      <c r="J9" s="57"/>
      <c r="K9" s="57"/>
      <c r="L9" s="775" t="s">
        <v>2175</v>
      </c>
      <c r="M9" s="42"/>
      <c r="N9" s="648"/>
      <c r="O9" s="648"/>
      <c r="P9" s="562"/>
      <c r="Q9" s="562"/>
      <c r="R9" s="562" t="b">
        <v>0</v>
      </c>
      <c r="S9" s="562" t="b">
        <v>1</v>
      </c>
      <c r="T9" s="562" t="b">
        <v>0</v>
      </c>
      <c r="U9" s="562"/>
      <c r="V9" s="562"/>
      <c r="W9" s="562"/>
      <c r="X9" s="562"/>
      <c r="Y9" s="562"/>
      <c r="Z9" s="562"/>
      <c r="AA9" s="562"/>
      <c r="AB9" s="562"/>
      <c r="AC9" s="562"/>
      <c r="AD9" s="562"/>
      <c r="AE9" s="562"/>
      <c r="AF9" s="562"/>
      <c r="AG9" s="562"/>
      <c r="AH9" s="562"/>
      <c r="AI9" s="562"/>
      <c r="AJ9" s="562"/>
      <c r="AK9" s="562"/>
      <c r="AL9" s="562"/>
      <c r="AM9" s="13"/>
      <c r="AN9" s="562"/>
      <c r="AO9" s="13"/>
      <c r="AP9" s="562"/>
      <c r="AQ9" s="562"/>
      <c r="AR9" s="562"/>
      <c r="AS9" s="562"/>
      <c r="AT9" s="562"/>
      <c r="AU9" s="562"/>
      <c r="AV9" s="562"/>
      <c r="AW9" s="562"/>
      <c r="AX9" s="562"/>
      <c r="AY9" s="562"/>
      <c r="AZ9" s="562"/>
      <c r="BA9" s="562"/>
      <c r="BB9" s="562"/>
      <c r="BC9" s="562"/>
      <c r="BD9" s="562"/>
      <c r="BE9" s="562"/>
      <c r="BF9" s="562"/>
      <c r="BG9" s="562"/>
      <c r="BH9" s="562"/>
      <c r="BI9" s="562"/>
    </row>
    <row r="10" spans="1:61" x14ac:dyDescent="0.2">
      <c r="A10" s="541">
        <v>5</v>
      </c>
      <c r="B10" s="544" t="s">
        <v>2173</v>
      </c>
      <c r="C10" s="544"/>
      <c r="D10" s="544"/>
      <c r="E10" s="544"/>
      <c r="F10" s="544"/>
      <c r="G10" s="543"/>
      <c r="H10" s="545"/>
      <c r="I10" s="57"/>
      <c r="J10" s="57"/>
      <c r="K10" s="57"/>
      <c r="L10" s="775"/>
      <c r="M10" s="42"/>
      <c r="N10" s="648"/>
      <c r="O10" s="648"/>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94" t="str">
        <f>'Overview (Verification)'!A8</f>
        <v>Builder Name:</v>
      </c>
      <c r="AY10" s="562" t="str">
        <f>IF(LEN('Overview (Verification)'!P8)=0,0,'Overview (Verification)'!P8)</f>
        <v>AAA Green Builders</v>
      </c>
      <c r="AZ10" s="562"/>
      <c r="BA10" s="562"/>
      <c r="BB10" s="562"/>
      <c r="BC10" s="562"/>
      <c r="BD10" s="562"/>
      <c r="BE10" s="562"/>
      <c r="BF10" s="562"/>
      <c r="BG10" s="562"/>
      <c r="BH10" s="562"/>
      <c r="BI10" s="562"/>
    </row>
    <row r="11" spans="1:61" x14ac:dyDescent="0.2">
      <c r="A11" s="541">
        <v>5</v>
      </c>
      <c r="B11" s="544" t="s">
        <v>2173</v>
      </c>
      <c r="C11" s="544"/>
      <c r="D11" s="544"/>
      <c r="E11" s="544"/>
      <c r="F11" s="544"/>
      <c r="G11" s="543"/>
      <c r="H11" s="545"/>
      <c r="I11" s="57"/>
      <c r="J11" s="57"/>
      <c r="K11" s="57"/>
      <c r="L11" s="775"/>
      <c r="M11" s="42"/>
      <c r="N11" s="648"/>
      <c r="O11" s="648"/>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94" t="str">
        <f>'Overview (Verification)'!A9</f>
        <v>Physical Address of Home:</v>
      </c>
      <c r="AY11" s="562" t="str">
        <f>IF(LEN('Overview (Verification)'!P9)=0,0,'Overview (Verification)'!P9)</f>
        <v>6666 Oak St.</v>
      </c>
      <c r="AZ11" s="562"/>
      <c r="BA11" s="562"/>
      <c r="BB11" s="562"/>
      <c r="BC11" s="562"/>
      <c r="BD11" s="562"/>
      <c r="BE11" s="562"/>
      <c r="BF11" s="562"/>
      <c r="BG11" s="562"/>
      <c r="BH11" s="562"/>
      <c r="BI11" s="562"/>
    </row>
    <row r="12" spans="1:61" ht="19" x14ac:dyDescent="0.25">
      <c r="A12" s="541">
        <v>5</v>
      </c>
      <c r="B12" s="544" t="s">
        <v>2176</v>
      </c>
      <c r="C12" s="544"/>
      <c r="D12" s="544"/>
      <c r="E12" s="544"/>
      <c r="F12" s="544"/>
      <c r="G12" s="543" t="s">
        <v>3343</v>
      </c>
      <c r="H12" s="541" t="s">
        <v>3751</v>
      </c>
      <c r="I12" s="58" t="s">
        <v>2177</v>
      </c>
      <c r="J12" s="58"/>
      <c r="K12" s="58"/>
      <c r="L12" s="52"/>
      <c r="M12" s="43"/>
      <c r="N12" s="44"/>
      <c r="O12" s="44"/>
      <c r="P12" s="16"/>
      <c r="Q12" s="16"/>
      <c r="R12" s="16"/>
      <c r="S12" s="16"/>
      <c r="T12" s="16"/>
      <c r="U12" s="16"/>
      <c r="V12" s="16"/>
      <c r="W12" s="16"/>
      <c r="X12" s="16"/>
      <c r="Y12" s="16"/>
      <c r="Z12" s="16"/>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94" t="str">
        <f>'Overview (Verification)'!A10</f>
        <v>Community/Lot #:</v>
      </c>
      <c r="AY12" s="562">
        <f>IF(LEN('Overview (Verification)'!P10)=0,0,'Overview (Verification)'!P10)</f>
        <v>0</v>
      </c>
      <c r="AZ12" s="562"/>
      <c r="BA12" s="562"/>
      <c r="BB12" s="562"/>
      <c r="BC12" s="562"/>
      <c r="BD12" s="562"/>
      <c r="BE12" s="562"/>
      <c r="BF12" s="562"/>
      <c r="BG12" s="562"/>
      <c r="BH12" s="562"/>
      <c r="BI12" s="562"/>
    </row>
    <row r="13" spans="1:61" ht="15" customHeight="1" x14ac:dyDescent="0.2">
      <c r="A13" s="541">
        <v>5</v>
      </c>
      <c r="B13" s="544" t="s">
        <v>2178</v>
      </c>
      <c r="C13" s="544"/>
      <c r="D13" s="544"/>
      <c r="E13" s="544"/>
      <c r="F13" s="544"/>
      <c r="G13" s="539" t="str">
        <f ca="1">IF(COUNTIF(G15:G31,"P")&gt;0,"P","")</f>
        <v/>
      </c>
      <c r="H13" s="541" t="s">
        <v>3751</v>
      </c>
      <c r="I13" s="57" t="s">
        <v>2179</v>
      </c>
      <c r="J13" s="57"/>
      <c r="K13" s="57"/>
      <c r="L13" s="775" t="s">
        <v>2180</v>
      </c>
      <c r="M13" s="1005"/>
      <c r="N13" s="188"/>
      <c r="O13" s="1034"/>
      <c r="P13" s="190"/>
      <c r="Q13" s="190"/>
      <c r="R13" s="562"/>
      <c r="S13" s="562"/>
      <c r="T13" s="562"/>
      <c r="U13" s="562"/>
      <c r="V13" s="562"/>
      <c r="W13" s="82"/>
      <c r="X13" s="786"/>
      <c r="Y13" s="975" t="str">
        <f>IF(LEN('Ch5'!X14)=0,"None",'Ch5'!X14)</f>
        <v>None</v>
      </c>
      <c r="Z13" s="976"/>
      <c r="AA13" s="562"/>
      <c r="AB13" s="562"/>
      <c r="AC13" s="562"/>
      <c r="AD13" s="562"/>
      <c r="AE13" s="562"/>
      <c r="AF13" s="562"/>
      <c r="AG13" s="562"/>
      <c r="AH13" s="562"/>
      <c r="AI13" s="562"/>
      <c r="AJ13" s="562"/>
      <c r="AK13" s="562"/>
      <c r="AL13" s="190"/>
      <c r="AM13" s="190"/>
      <c r="AN13" s="190"/>
      <c r="AO13" s="190"/>
      <c r="AP13" s="190"/>
      <c r="AQ13" s="190"/>
      <c r="AR13" s="190" t="str">
        <f>SUBSTITUTE(SUBSTITUTE(SUBSTITUTE("vnt"&amp;$B13&amp;$C13&amp;$D13&amp;$E13&amp;$F13,".","_"),"(","_"),")","")</f>
        <v>vnt501_2</v>
      </c>
      <c r="AS13" s="190">
        <f>X13</f>
        <v>0</v>
      </c>
      <c r="AT13" s="562"/>
      <c r="AU13" s="562"/>
      <c r="AV13" s="562"/>
      <c r="AW13" s="562"/>
      <c r="AX13" s="594" t="str">
        <f>'Overview (Verification)'!A11</f>
        <v>City:</v>
      </c>
      <c r="AY13" s="562" t="str">
        <f>IF(LEN('Overview (Verification)'!P11)=0,0,'Overview (Verification)'!P11)</f>
        <v>Raleigh</v>
      </c>
      <c r="AZ13" s="562"/>
      <c r="BA13" s="562"/>
      <c r="BB13" s="562"/>
      <c r="BC13" s="562"/>
      <c r="BD13" s="562"/>
      <c r="BE13" s="562"/>
      <c r="BF13" s="562"/>
      <c r="BG13" s="562"/>
      <c r="BH13" s="562"/>
      <c r="BI13" s="562"/>
    </row>
    <row r="14" spans="1:61" x14ac:dyDescent="0.2">
      <c r="A14" s="541">
        <v>5</v>
      </c>
      <c r="B14" s="544" t="s">
        <v>2178</v>
      </c>
      <c r="C14" s="544"/>
      <c r="D14" s="544"/>
      <c r="E14" s="544"/>
      <c r="F14" s="544"/>
      <c r="G14" s="543" t="str">
        <f ca="1">G13</f>
        <v/>
      </c>
      <c r="H14" s="541" t="s">
        <v>3751</v>
      </c>
      <c r="I14" s="57"/>
      <c r="J14" s="57"/>
      <c r="K14" s="57"/>
      <c r="L14" s="775"/>
      <c r="M14" s="1005"/>
      <c r="N14" s="188"/>
      <c r="O14" s="1034"/>
      <c r="P14" s="190"/>
      <c r="Q14" s="190"/>
      <c r="R14" s="562"/>
      <c r="S14" s="562"/>
      <c r="T14" s="562"/>
      <c r="U14" s="562"/>
      <c r="V14" s="562"/>
      <c r="W14" s="562"/>
      <c r="X14" s="787"/>
      <c r="Y14" s="980"/>
      <c r="Z14" s="983"/>
      <c r="AA14" s="562"/>
      <c r="AB14" s="562"/>
      <c r="AC14" s="562"/>
      <c r="AD14" s="562"/>
      <c r="AE14" s="562"/>
      <c r="AF14" s="562"/>
      <c r="AG14" s="562"/>
      <c r="AH14" s="562"/>
      <c r="AI14" s="562"/>
      <c r="AJ14" s="562"/>
      <c r="AK14" s="562"/>
      <c r="AL14" s="190"/>
      <c r="AM14" s="190"/>
      <c r="AN14" s="190"/>
      <c r="AO14" s="190"/>
      <c r="AP14" s="190"/>
      <c r="AQ14" s="190"/>
      <c r="AR14" s="190"/>
      <c r="AS14" s="190"/>
      <c r="AT14" s="562"/>
      <c r="AU14" s="562"/>
      <c r="AV14" s="562"/>
      <c r="AW14" s="562"/>
      <c r="AX14" s="594" t="str">
        <f>'Overview (Verification)'!A12</f>
        <v>State:</v>
      </c>
      <c r="AY14" s="562" t="str">
        <f>IF(LEN('Overview (Verification)'!P12)=0,0,'Overview (Verification)'!P12)</f>
        <v>North Carolina</v>
      </c>
      <c r="AZ14" s="562"/>
      <c r="BA14" s="562"/>
      <c r="BB14" s="562"/>
      <c r="BC14" s="562" t="str">
        <f>'Overview (Verification)'!T12</f>
        <v>State</v>
      </c>
      <c r="BD14" s="562" t="str">
        <f>'Overview (Verification)'!U12</f>
        <v>County</v>
      </c>
      <c r="BE14" s="562" t="str">
        <f>'Overview (Verification)'!V12</f>
        <v>Radon</v>
      </c>
      <c r="BF14" s="562" t="str">
        <f>'Overview (Verification)'!W12</f>
        <v>Climate</v>
      </c>
      <c r="BG14" s="562" t="str">
        <f>'Overview (Verification)'!X12</f>
        <v>Moist</v>
      </c>
      <c r="BH14" s="562" t="str">
        <f>'Overview (Verification)'!Y12</f>
        <v>WarmHumid</v>
      </c>
      <c r="BI14" s="562"/>
    </row>
    <row r="15" spans="1:61" x14ac:dyDescent="0.2">
      <c r="A15" s="541">
        <v>5</v>
      </c>
      <c r="B15" s="544" t="s">
        <v>2178</v>
      </c>
      <c r="C15" s="544"/>
      <c r="D15" s="544"/>
      <c r="E15" s="544" t="s">
        <v>2181</v>
      </c>
      <c r="F15" s="544"/>
      <c r="G15" s="543" t="str">
        <f>IF(N15&gt;0,"P","")</f>
        <v/>
      </c>
      <c r="H15" s="541" t="s">
        <v>3751</v>
      </c>
      <c r="I15" s="57"/>
      <c r="J15" s="61" t="s">
        <v>2181</v>
      </c>
      <c r="K15" s="61"/>
      <c r="L15" s="776" t="s">
        <v>2182</v>
      </c>
      <c r="M15" s="999" t="s">
        <v>3752</v>
      </c>
      <c r="N15" s="989">
        <f>'Ch5'!O16</f>
        <v>0</v>
      </c>
      <c r="O15" s="1001">
        <f>M15*W15</f>
        <v>0</v>
      </c>
      <c r="P15" s="63" t="b">
        <v>1</v>
      </c>
      <c r="Q15" s="63" t="b">
        <v>1</v>
      </c>
      <c r="R15" s="562" t="b">
        <v>0</v>
      </c>
      <c r="S15" s="562" t="b">
        <v>1</v>
      </c>
      <c r="T15" s="562" t="b">
        <v>0</v>
      </c>
      <c r="U15" s="562"/>
      <c r="V15" s="562"/>
      <c r="W15" s="18"/>
      <c r="X15" s="787"/>
      <c r="Y15" s="980" t="str">
        <f>IF(LEN('Ch5'!X16)=0,"None",'Ch5'!X16)</f>
        <v>None</v>
      </c>
      <c r="Z15" s="983"/>
      <c r="AA15" s="562"/>
      <c r="AB15" s="562"/>
      <c r="AC15" s="562"/>
      <c r="AD15" s="562"/>
      <c r="AE15" s="562"/>
      <c r="AF15" s="562"/>
      <c r="AG15" s="562"/>
      <c r="AH15" s="562"/>
      <c r="AI15" s="562"/>
      <c r="AJ15" s="562"/>
      <c r="AK15" s="562"/>
      <c r="AL15" s="190" t="str">
        <f>SUBSTITUTE(SUBSTITUTE(SUBSTITUTE("vpa"&amp;$B15&amp;$C15&amp;$D15&amp;$E15&amp;$F15,".","_"),"(","_"),")","")</f>
        <v>vpa501_2_1</v>
      </c>
      <c r="AM15" s="190" t="str">
        <f>M15</f>
        <v>6</v>
      </c>
      <c r="AN15" s="190" t="str">
        <f>SUBSTITUTE(SUBSTITUTE(SUBSTITUTE("vpc"&amp;$B15&amp;$C15&amp;$D15&amp;$E15&amp;$F15,".","_"),"(","_"),")","")</f>
        <v>vpc501_2_1</v>
      </c>
      <c r="AO15" s="190">
        <f>O15</f>
        <v>0</v>
      </c>
      <c r="AP15" s="190" t="str">
        <f>SUBSTITUTE(SUBSTITUTE(SUBSTITUTE("vch"&amp;$B15&amp;$C15&amp;$D15&amp;$E15&amp;$F15,".","_"),"(","_"),")","")</f>
        <v>vch501_2_1</v>
      </c>
      <c r="AQ15" s="190">
        <f>W15</f>
        <v>0</v>
      </c>
      <c r="AR15" s="190" t="str">
        <f>SUBSTITUTE(SUBSTITUTE(SUBSTITUTE("vnt"&amp;$B15&amp;$C15&amp;$D15&amp;$E15&amp;$F15,".","_"),"(","_"),")","")</f>
        <v>vnt501_2_1</v>
      </c>
      <c r="AS15" s="190">
        <f>X15</f>
        <v>0</v>
      </c>
      <c r="AT15" s="562"/>
      <c r="AU15" s="562"/>
      <c r="AV15" s="562"/>
      <c r="AW15" s="562"/>
      <c r="AX15" s="594" t="str">
        <f>'Overview (Verification)'!A13</f>
        <v>County:</v>
      </c>
      <c r="AY15" s="562">
        <f>IF(LEN('Overview (Verification)'!P13)=0,0,'Overview (Verification)'!P13)</f>
        <v>0</v>
      </c>
      <c r="AZ15" s="562"/>
      <c r="BA15" s="562"/>
      <c r="BB15" s="562"/>
      <c r="BC15" s="562" t="str">
        <f>'Overview (Verification)'!T13</f>
        <v>North Carolina</v>
      </c>
      <c r="BD15" s="562" t="str">
        <f>'Overview (Verification)'!U13</f>
        <v/>
      </c>
      <c r="BE15" s="562" t="str">
        <f>'Overview (Verification)'!V13</f>
        <v>!!</v>
      </c>
      <c r="BF15" s="562" t="str">
        <f>'Overview (Verification)'!W13</f>
        <v>!!</v>
      </c>
      <c r="BG15" s="562" t="str">
        <f>'Overview (Verification)'!X13</f>
        <v>!!</v>
      </c>
      <c r="BH15" s="562" t="str">
        <f>'Overview (Verification)'!Y13</f>
        <v>!!</v>
      </c>
      <c r="BI15" s="562"/>
    </row>
    <row r="16" spans="1:61" x14ac:dyDescent="0.2">
      <c r="A16" s="541">
        <v>5</v>
      </c>
      <c r="B16" s="544" t="s">
        <v>2178</v>
      </c>
      <c r="C16" s="544"/>
      <c r="D16" s="544"/>
      <c r="E16" s="544" t="s">
        <v>2181</v>
      </c>
      <c r="F16" s="544"/>
      <c r="G16" s="543" t="str">
        <f>G15</f>
        <v/>
      </c>
      <c r="H16" s="541" t="s">
        <v>3751</v>
      </c>
      <c r="I16" s="57"/>
      <c r="J16" s="125"/>
      <c r="K16" s="125"/>
      <c r="L16" s="777"/>
      <c r="M16" s="1000"/>
      <c r="N16" s="1004"/>
      <c r="O16" s="1002"/>
      <c r="P16" s="189"/>
      <c r="Q16" s="189"/>
      <c r="R16" s="562"/>
      <c r="S16" s="562"/>
      <c r="T16" s="562"/>
      <c r="U16" s="562"/>
      <c r="V16" s="562"/>
      <c r="W16" s="562"/>
      <c r="X16" s="787"/>
      <c r="Y16" s="980"/>
      <c r="Z16" s="983"/>
      <c r="AA16" s="562"/>
      <c r="AB16" s="562"/>
      <c r="AC16" s="562"/>
      <c r="AD16" s="562"/>
      <c r="AE16" s="562"/>
      <c r="AF16" s="562"/>
      <c r="AG16" s="562"/>
      <c r="AH16" s="562"/>
      <c r="AI16" s="562"/>
      <c r="AJ16" s="562"/>
      <c r="AK16" s="562"/>
      <c r="AL16" s="190"/>
      <c r="AM16" s="190"/>
      <c r="AN16" s="190"/>
      <c r="AO16" s="190"/>
      <c r="AP16" s="190"/>
      <c r="AQ16" s="190"/>
      <c r="AR16" s="190"/>
      <c r="AS16" s="190"/>
      <c r="AT16" s="562"/>
      <c r="AU16" s="562"/>
      <c r="AV16" s="562"/>
      <c r="AW16" s="562"/>
      <c r="AX16" s="594" t="str">
        <f>'Overview (Verification)'!A14</f>
        <v>Zip:</v>
      </c>
      <c r="AY16" s="562" t="str">
        <f>IF(LEN('Overview (Verification)'!P14)=0,0,'Overview (Verification)'!P14)</f>
        <v>99999</v>
      </c>
      <c r="AZ16" s="562"/>
      <c r="BA16" s="562"/>
      <c r="BB16" s="562"/>
      <c r="BC16" s="562"/>
      <c r="BD16" s="562"/>
      <c r="BE16" s="562"/>
      <c r="BF16" s="562"/>
      <c r="BG16" s="562"/>
      <c r="BH16" s="562"/>
      <c r="BI16" s="562"/>
    </row>
    <row r="17" spans="1:52" x14ac:dyDescent="0.2">
      <c r="A17" s="541">
        <v>5</v>
      </c>
      <c r="B17" s="544" t="s">
        <v>2178</v>
      </c>
      <c r="C17" s="544"/>
      <c r="D17" s="544"/>
      <c r="E17" s="544" t="s">
        <v>2183</v>
      </c>
      <c r="F17" s="544"/>
      <c r="G17" s="543" t="str">
        <f>IF(N17&gt;0,"P","")</f>
        <v/>
      </c>
      <c r="H17" s="541" t="s">
        <v>3751</v>
      </c>
      <c r="I17" s="57"/>
      <c r="J17" s="61" t="s">
        <v>2183</v>
      </c>
      <c r="K17" s="61"/>
      <c r="L17" s="791" t="s">
        <v>2184</v>
      </c>
      <c r="M17" s="999" t="s">
        <v>3753</v>
      </c>
      <c r="N17" s="1003">
        <f>'Ch5'!O18</f>
        <v>0</v>
      </c>
      <c r="O17" s="1001">
        <f>M17*W17</f>
        <v>0</v>
      </c>
      <c r="P17" s="63" t="b">
        <v>1</v>
      </c>
      <c r="Q17" s="63" t="b">
        <v>1</v>
      </c>
      <c r="R17" s="562" t="b">
        <v>0</v>
      </c>
      <c r="S17" s="562" t="b">
        <v>1</v>
      </c>
      <c r="T17" s="562" t="b">
        <v>0</v>
      </c>
      <c r="U17" s="562"/>
      <c r="V17" s="562"/>
      <c r="W17" s="18"/>
      <c r="X17" s="787"/>
      <c r="Y17" s="980" t="str">
        <f>IF(LEN('Ch5'!X18)=0,"None",'Ch5'!X18)</f>
        <v>None</v>
      </c>
      <c r="Z17" s="983"/>
      <c r="AA17" s="562"/>
      <c r="AB17" s="562"/>
      <c r="AC17" s="562"/>
      <c r="AD17" s="562"/>
      <c r="AE17" s="562"/>
      <c r="AF17" s="562"/>
      <c r="AG17" s="562"/>
      <c r="AH17" s="562"/>
      <c r="AI17" s="562"/>
      <c r="AJ17" s="562"/>
      <c r="AK17" s="562"/>
      <c r="AL17" s="190" t="str">
        <f>SUBSTITUTE(SUBSTITUTE(SUBSTITUTE("vpa"&amp;$B17&amp;$C17&amp;$D17&amp;$E17&amp;$F17,".","_"),"(","_"),")","")</f>
        <v>vpa501_2_2</v>
      </c>
      <c r="AM17" s="190" t="str">
        <f>M17</f>
        <v>3</v>
      </c>
      <c r="AN17" s="190" t="str">
        <f>SUBSTITUTE(SUBSTITUTE(SUBSTITUTE("vpc"&amp;$B17&amp;$C17&amp;$D17&amp;$E17&amp;$F17,".","_"),"(","_"),")","")</f>
        <v>vpc501_2_2</v>
      </c>
      <c r="AO17" s="190">
        <f>O17</f>
        <v>0</v>
      </c>
      <c r="AP17" s="190" t="str">
        <f>SUBSTITUTE(SUBSTITUTE(SUBSTITUTE("vch"&amp;$B17&amp;$C17&amp;$D17&amp;$E17&amp;$F17,".","_"),"(","_"),")","")</f>
        <v>vch501_2_2</v>
      </c>
      <c r="AQ17" s="190">
        <f>W17</f>
        <v>0</v>
      </c>
      <c r="AR17" s="190" t="str">
        <f>SUBSTITUTE(SUBSTITUTE(SUBSTITUTE("vnt"&amp;$B17&amp;$C17&amp;$D17&amp;$E17&amp;$F17,".","_"),"(","_"),")","")</f>
        <v>vnt501_2_2</v>
      </c>
      <c r="AS17" s="190">
        <f>X17</f>
        <v>0</v>
      </c>
      <c r="AT17" s="562"/>
      <c r="AU17" s="562"/>
      <c r="AV17" s="562"/>
      <c r="AW17" s="562"/>
      <c r="AX17" s="594"/>
      <c r="AY17" s="562"/>
      <c r="AZ17" s="562"/>
    </row>
    <row r="18" spans="1:52" x14ac:dyDescent="0.2">
      <c r="A18" s="541">
        <v>5</v>
      </c>
      <c r="B18" s="544" t="s">
        <v>2178</v>
      </c>
      <c r="C18" s="544"/>
      <c r="D18" s="544"/>
      <c r="E18" s="544" t="s">
        <v>2183</v>
      </c>
      <c r="F18" s="544"/>
      <c r="G18" s="543" t="str">
        <f>G17</f>
        <v/>
      </c>
      <c r="H18" s="541" t="s">
        <v>3751</v>
      </c>
      <c r="I18" s="57"/>
      <c r="J18" s="125"/>
      <c r="K18" s="125"/>
      <c r="L18" s="792"/>
      <c r="M18" s="1000"/>
      <c r="N18" s="1004"/>
      <c r="O18" s="1002"/>
      <c r="P18" s="189"/>
      <c r="Q18" s="189"/>
      <c r="R18" s="562"/>
      <c r="S18" s="562"/>
      <c r="T18" s="562"/>
      <c r="U18" s="562"/>
      <c r="V18" s="562"/>
      <c r="W18" s="562"/>
      <c r="X18" s="787"/>
      <c r="Y18" s="980"/>
      <c r="Z18" s="983"/>
      <c r="AA18" s="562"/>
      <c r="AB18" s="562"/>
      <c r="AC18" s="562"/>
      <c r="AD18" s="562"/>
      <c r="AE18" s="562"/>
      <c r="AF18" s="562"/>
      <c r="AG18" s="562"/>
      <c r="AH18" s="562"/>
      <c r="AI18" s="562"/>
      <c r="AJ18" s="562"/>
      <c r="AK18" s="562"/>
      <c r="AL18" s="190"/>
      <c r="AM18" s="190"/>
      <c r="AN18" s="190"/>
      <c r="AO18" s="190"/>
      <c r="AP18" s="190"/>
      <c r="AQ18" s="190"/>
      <c r="AR18" s="190"/>
      <c r="AS18" s="190"/>
      <c r="AT18" s="562"/>
      <c r="AU18" s="562"/>
      <c r="AV18" s="562"/>
      <c r="AW18" s="562"/>
      <c r="AX18" s="594" t="str">
        <f>'Overview (Verification)'!A16</f>
        <v>Single-Family or Multifamily:</v>
      </c>
      <c r="AY18" s="562" t="str">
        <f>IF(LEN('Overview (Verification)'!P16)=0,0,'Overview (Verification)'!P16)</f>
        <v>Single-Family</v>
      </c>
      <c r="AZ18" s="562"/>
    </row>
    <row r="19" spans="1:52" ht="15" customHeight="1" x14ac:dyDescent="0.2">
      <c r="A19" s="541">
        <v>5</v>
      </c>
      <c r="B19" s="544" t="s">
        <v>2178</v>
      </c>
      <c r="C19" s="544"/>
      <c r="D19" s="544"/>
      <c r="E19" s="544" t="s">
        <v>2185</v>
      </c>
      <c r="F19" s="544"/>
      <c r="G19" s="543" t="str">
        <f>IF(N19&gt;0,"P","")</f>
        <v/>
      </c>
      <c r="H19" s="541" t="s">
        <v>3751</v>
      </c>
      <c r="I19" s="57"/>
      <c r="J19" s="61" t="s">
        <v>2185</v>
      </c>
      <c r="K19" s="61"/>
      <c r="L19" s="791" t="s">
        <v>2186</v>
      </c>
      <c r="M19" s="999" t="s">
        <v>3754</v>
      </c>
      <c r="N19" s="1003">
        <f>'Ch5'!O20</f>
        <v>0</v>
      </c>
      <c r="O19" s="1001">
        <f>IF(LEN(X19)&gt;0,M19*W19,0)</f>
        <v>0</v>
      </c>
      <c r="P19" s="63" t="b">
        <v>1</v>
      </c>
      <c r="Q19" s="63" t="b">
        <v>1</v>
      </c>
      <c r="R19" s="562" t="b">
        <v>0</v>
      </c>
      <c r="S19" s="562" t="b">
        <v>1</v>
      </c>
      <c r="T19" s="562" t="b">
        <v>0</v>
      </c>
      <c r="U19" s="562"/>
      <c r="V19" s="562"/>
      <c r="W19" s="18"/>
      <c r="X19" s="787"/>
      <c r="Y19" s="980" t="str">
        <f>IF(LEN('Ch5'!X20)=0,"None",'Ch5'!X20)</f>
        <v>None</v>
      </c>
      <c r="Z19" s="983"/>
      <c r="AA19" s="562"/>
      <c r="AB19" s="562"/>
      <c r="AC19" s="562" t="b">
        <f>OR(AD19:AE19)</f>
        <v>0</v>
      </c>
      <c r="AD19" s="562" t="b">
        <f>T19</f>
        <v>0</v>
      </c>
      <c r="AE19" s="562" t="b">
        <f>AND(W19=TRUE,LEN(X19)=0)</f>
        <v>0</v>
      </c>
      <c r="AF19" s="562" t="b">
        <f>AND(AE19,NOT(Q19))</f>
        <v>0</v>
      </c>
      <c r="AG19" s="562"/>
      <c r="AH19" s="562"/>
      <c r="AI19" s="562"/>
      <c r="AJ19" s="562"/>
      <c r="AK19" s="562"/>
      <c r="AL19" s="190" t="str">
        <f>SUBSTITUTE(SUBSTITUTE(SUBSTITUTE("vpa"&amp;$B19&amp;$C19&amp;$D19&amp;$E19&amp;$F19,".","_"),"(","_"),")","")</f>
        <v>vpa501_2_3</v>
      </c>
      <c r="AM19" s="190" t="str">
        <f>M19</f>
        <v>4</v>
      </c>
      <c r="AN19" s="190" t="str">
        <f>SUBSTITUTE(SUBSTITUTE(SUBSTITUTE("vpc"&amp;$B19&amp;$C19&amp;$D19&amp;$E19&amp;$F19,".","_"),"(","_"),")","")</f>
        <v>vpc501_2_3</v>
      </c>
      <c r="AO19" s="190">
        <f>O19</f>
        <v>0</v>
      </c>
      <c r="AP19" s="190" t="str">
        <f>SUBSTITUTE(SUBSTITUTE(SUBSTITUTE("vch"&amp;$B19&amp;$C19&amp;$D19&amp;$E19&amp;$F19,".","_"),"(","_"),")","")</f>
        <v>vch501_2_3</v>
      </c>
      <c r="AQ19" s="190">
        <f>W19</f>
        <v>0</v>
      </c>
      <c r="AR19" s="190" t="str">
        <f>SUBSTITUTE(SUBSTITUTE(SUBSTITUTE("vnt"&amp;$B19&amp;$C19&amp;$D19&amp;$E19&amp;$F19,".","_"),"(","_"),")","")</f>
        <v>vnt501_2_3</v>
      </c>
      <c r="AS19" s="190">
        <f>X19</f>
        <v>0</v>
      </c>
      <c r="AT19" s="562"/>
      <c r="AU19" s="562"/>
      <c r="AV19" s="562"/>
      <c r="AW19" s="562"/>
      <c r="AX19" s="594" t="str">
        <f>'Overview (Verification)'!A17</f>
        <v>Number of Units:</v>
      </c>
      <c r="AY19" s="562">
        <f>IF(LEN('Overview (Verification)'!P17)=0,0,'Overview (Verification)'!P17)</f>
        <v>0</v>
      </c>
      <c r="AZ19" s="562"/>
    </row>
    <row r="20" spans="1:52" x14ac:dyDescent="0.2">
      <c r="A20" s="541">
        <v>5</v>
      </c>
      <c r="B20" s="544" t="s">
        <v>2178</v>
      </c>
      <c r="C20" s="544"/>
      <c r="D20" s="544"/>
      <c r="E20" s="544" t="s">
        <v>2185</v>
      </c>
      <c r="F20" s="544"/>
      <c r="G20" s="543" t="str">
        <f t="shared" ref="G20:G27" si="0">G19</f>
        <v/>
      </c>
      <c r="H20" s="541" t="s">
        <v>3751</v>
      </c>
      <c r="I20" s="57"/>
      <c r="J20" s="61"/>
      <c r="K20" s="61"/>
      <c r="L20" s="791"/>
      <c r="M20" s="999"/>
      <c r="N20" s="989"/>
      <c r="O20" s="1001"/>
      <c r="P20" s="189"/>
      <c r="Q20" s="189"/>
      <c r="R20" s="562"/>
      <c r="S20" s="562"/>
      <c r="T20" s="562"/>
      <c r="U20" s="562"/>
      <c r="V20" s="562"/>
      <c r="W20" s="562"/>
      <c r="X20" s="787"/>
      <c r="Y20" s="980" t="str">
        <f>IF(LEN('Ch5'!X21)=0,"None",'Ch5'!X21:X25)</f>
        <v>None</v>
      </c>
      <c r="Z20" s="983"/>
      <c r="AA20" s="562"/>
      <c r="AB20" s="562"/>
      <c r="AC20" s="562"/>
      <c r="AD20" s="562"/>
      <c r="AE20" s="562"/>
      <c r="AF20" s="562"/>
      <c r="AG20" s="562"/>
      <c r="AH20" s="562"/>
      <c r="AI20" s="562"/>
      <c r="AJ20" s="562"/>
      <c r="AK20" s="562"/>
      <c r="AL20" s="190"/>
      <c r="AM20" s="190"/>
      <c r="AN20" s="190"/>
      <c r="AO20" s="190"/>
      <c r="AP20" s="190"/>
      <c r="AQ20" s="190"/>
      <c r="AR20" s="190"/>
      <c r="AS20" s="190"/>
      <c r="AT20" s="562"/>
      <c r="AU20" s="562"/>
      <c r="AV20" s="562"/>
      <c r="AW20" s="562"/>
      <c r="AX20" s="594" t="str">
        <f>'Overview (Verification)'!A18</f>
        <v>Project Name:</v>
      </c>
      <c r="AY20" s="562">
        <f>IF(LEN('Overview (Verification)'!P18)=0,0,'Overview (Verification)'!P18)</f>
        <v>0</v>
      </c>
      <c r="AZ20" s="562"/>
    </row>
    <row r="21" spans="1:52" x14ac:dyDescent="0.2">
      <c r="A21" s="541">
        <v>5</v>
      </c>
      <c r="B21" s="544" t="s">
        <v>2178</v>
      </c>
      <c r="C21" s="544"/>
      <c r="D21" s="544"/>
      <c r="E21" s="544" t="s">
        <v>2185</v>
      </c>
      <c r="F21" s="544"/>
      <c r="G21" s="543" t="str">
        <f t="shared" si="0"/>
        <v/>
      </c>
      <c r="H21" s="541" t="s">
        <v>3751</v>
      </c>
      <c r="I21" s="57"/>
      <c r="J21" s="61"/>
      <c r="K21" s="61"/>
      <c r="L21" s="791"/>
      <c r="M21" s="999"/>
      <c r="N21" s="989"/>
      <c r="O21" s="1001"/>
      <c r="P21" s="189"/>
      <c r="Q21" s="189"/>
      <c r="R21" s="562"/>
      <c r="S21" s="562"/>
      <c r="T21" s="562"/>
      <c r="U21" s="562"/>
      <c r="V21" s="562"/>
      <c r="W21" s="562"/>
      <c r="X21" s="787"/>
      <c r="Y21" s="980" t="str">
        <f>IF(LEN('Ch5'!X22)=0,"None",'Ch5'!X22:X26)</f>
        <v>None</v>
      </c>
      <c r="Z21" s="983"/>
      <c r="AA21" s="562"/>
      <c r="AB21" s="562"/>
      <c r="AC21" s="562"/>
      <c r="AD21" s="562"/>
      <c r="AE21" s="562"/>
      <c r="AF21" s="562"/>
      <c r="AG21" s="562"/>
      <c r="AH21" s="562"/>
      <c r="AI21" s="562"/>
      <c r="AJ21" s="562"/>
      <c r="AK21" s="562"/>
      <c r="AL21" s="190"/>
      <c r="AM21" s="190"/>
      <c r="AN21" s="190"/>
      <c r="AO21" s="190"/>
      <c r="AP21" s="190"/>
      <c r="AQ21" s="190"/>
      <c r="AR21" s="190"/>
      <c r="AS21" s="190"/>
      <c r="AT21" s="562"/>
      <c r="AU21" s="562"/>
      <c r="AV21" s="562"/>
      <c r="AW21" s="562"/>
      <c r="AX21" s="594"/>
      <c r="AY21" s="562"/>
      <c r="AZ21" s="562"/>
    </row>
    <row r="22" spans="1:52" x14ac:dyDescent="0.2">
      <c r="A22" s="541">
        <v>5</v>
      </c>
      <c r="B22" s="544" t="s">
        <v>2178</v>
      </c>
      <c r="C22" s="544"/>
      <c r="D22" s="544"/>
      <c r="E22" s="544" t="s">
        <v>2185</v>
      </c>
      <c r="F22" s="544"/>
      <c r="G22" s="543" t="str">
        <f t="shared" si="0"/>
        <v/>
      </c>
      <c r="H22" s="541" t="s">
        <v>3751</v>
      </c>
      <c r="I22" s="57"/>
      <c r="J22" s="61"/>
      <c r="K22" s="61"/>
      <c r="L22" s="791"/>
      <c r="M22" s="999"/>
      <c r="N22" s="989"/>
      <c r="O22" s="1001"/>
      <c r="P22" s="189"/>
      <c r="Q22" s="189"/>
      <c r="R22" s="562"/>
      <c r="S22" s="562"/>
      <c r="T22" s="562"/>
      <c r="U22" s="562"/>
      <c r="V22" s="562"/>
      <c r="W22" s="562"/>
      <c r="X22" s="787"/>
      <c r="Y22" s="980" t="str">
        <f>IF(LEN('Ch5'!X23)=0,"None",'Ch5'!X23:X27)</f>
        <v>None</v>
      </c>
      <c r="Z22" s="983"/>
      <c r="AA22" s="562"/>
      <c r="AB22" s="562"/>
      <c r="AC22" s="562"/>
      <c r="AD22" s="562"/>
      <c r="AE22" s="562"/>
      <c r="AF22" s="562"/>
      <c r="AG22" s="562"/>
      <c r="AH22" s="562"/>
      <c r="AI22" s="562"/>
      <c r="AJ22" s="562"/>
      <c r="AK22" s="562"/>
      <c r="AL22" s="190"/>
      <c r="AM22" s="190"/>
      <c r="AN22" s="190"/>
      <c r="AO22" s="190"/>
      <c r="AP22" s="190"/>
      <c r="AQ22" s="190"/>
      <c r="AR22" s="190"/>
      <c r="AS22" s="190"/>
      <c r="AT22" s="562"/>
      <c r="AU22" s="562"/>
      <c r="AV22" s="562"/>
      <c r="AW22" s="562"/>
      <c r="AX22" s="594" t="str">
        <f>'Overview (Verification)'!A21</f>
        <v>Above grade plane finished floor area:</v>
      </c>
      <c r="AY22" s="562">
        <f>IF(LEN('Overview (Verification)'!P21)=0,0,'Overview (Verification)'!P21)</f>
        <v>0</v>
      </c>
      <c r="AZ22" s="562"/>
    </row>
    <row r="23" spans="1:52" x14ac:dyDescent="0.2">
      <c r="A23" s="541">
        <v>5</v>
      </c>
      <c r="B23" s="544" t="s">
        <v>2178</v>
      </c>
      <c r="C23" s="544"/>
      <c r="D23" s="544"/>
      <c r="E23" s="544" t="s">
        <v>2185</v>
      </c>
      <c r="F23" s="544"/>
      <c r="G23" s="543" t="str">
        <f t="shared" si="0"/>
        <v/>
      </c>
      <c r="H23" s="541" t="s">
        <v>3751</v>
      </c>
      <c r="I23" s="57"/>
      <c r="J23" s="61"/>
      <c r="K23" s="61"/>
      <c r="L23" s="65" t="s">
        <v>2187</v>
      </c>
      <c r="M23" s="999"/>
      <c r="N23" s="989"/>
      <c r="O23" s="1001"/>
      <c r="P23" s="189"/>
      <c r="Q23" s="189"/>
      <c r="R23" s="562"/>
      <c r="S23" s="562"/>
      <c r="T23" s="562"/>
      <c r="U23" s="562"/>
      <c r="V23" s="562"/>
      <c r="W23" s="562"/>
      <c r="X23" s="787"/>
      <c r="Y23" s="980" t="str">
        <f>IF(LEN('Ch5'!X24)=0,"None",'Ch5'!X24:X28)</f>
        <v>None</v>
      </c>
      <c r="Z23" s="983"/>
      <c r="AA23" s="562"/>
      <c r="AB23" s="562"/>
      <c r="AC23" s="562"/>
      <c r="AD23" s="562"/>
      <c r="AE23" s="562"/>
      <c r="AF23" s="562"/>
      <c r="AG23" s="562"/>
      <c r="AH23" s="562"/>
      <c r="AI23" s="562"/>
      <c r="AJ23" s="562"/>
      <c r="AK23" s="562"/>
      <c r="AL23" s="190"/>
      <c r="AM23" s="190"/>
      <c r="AN23" s="190"/>
      <c r="AO23" s="190"/>
      <c r="AP23" s="190"/>
      <c r="AQ23" s="190"/>
      <c r="AR23" s="190"/>
      <c r="AS23" s="190"/>
      <c r="AT23" s="562"/>
      <c r="AU23" s="562"/>
      <c r="AV23" s="562"/>
      <c r="AW23" s="562"/>
      <c r="AX23" s="594" t="str">
        <f>'Overview (Verification)'!A22</f>
        <v>Total conditioned floor area:</v>
      </c>
      <c r="AY23" s="562">
        <f>IF(LEN('Overview (Verification)'!P22)=0,0,'Overview (Verification)'!P22)</f>
        <v>0</v>
      </c>
      <c r="AZ23" s="562"/>
    </row>
    <row r="24" spans="1:52" x14ac:dyDescent="0.2">
      <c r="A24" s="541">
        <v>5</v>
      </c>
      <c r="B24" s="544" t="s">
        <v>2178</v>
      </c>
      <c r="C24" s="544"/>
      <c r="D24" s="544"/>
      <c r="E24" s="544" t="s">
        <v>2185</v>
      </c>
      <c r="F24" s="544"/>
      <c r="G24" s="543" t="str">
        <f t="shared" si="0"/>
        <v/>
      </c>
      <c r="H24" s="541" t="s">
        <v>3751</v>
      </c>
      <c r="I24" s="57"/>
      <c r="J24" s="61"/>
      <c r="K24" s="61"/>
      <c r="L24" s="65" t="s">
        <v>2188</v>
      </c>
      <c r="M24" s="999"/>
      <c r="N24" s="989"/>
      <c r="O24" s="1001"/>
      <c r="P24" s="189"/>
      <c r="Q24" s="189"/>
      <c r="R24" s="562"/>
      <c r="S24" s="562"/>
      <c r="T24" s="562"/>
      <c r="U24" s="562"/>
      <c r="V24" s="562"/>
      <c r="W24" s="562"/>
      <c r="X24" s="787"/>
      <c r="Y24" s="980" t="str">
        <f>IF(LEN('Ch5'!X25)=0,"None",'Ch5'!X25:X29)</f>
        <v>None</v>
      </c>
      <c r="Z24" s="983"/>
      <c r="AA24" s="562"/>
      <c r="AB24" s="562"/>
      <c r="AC24" s="562"/>
      <c r="AD24" s="562"/>
      <c r="AE24" s="562"/>
      <c r="AF24" s="562"/>
      <c r="AG24" s="562"/>
      <c r="AH24" s="562"/>
      <c r="AI24" s="562"/>
      <c r="AJ24" s="562"/>
      <c r="AK24" s="562"/>
      <c r="AL24" s="190"/>
      <c r="AM24" s="190"/>
      <c r="AN24" s="190"/>
      <c r="AO24" s="190"/>
      <c r="AP24" s="190"/>
      <c r="AQ24" s="190"/>
      <c r="AR24" s="190"/>
      <c r="AS24" s="190"/>
      <c r="AT24" s="562"/>
      <c r="AU24" s="562"/>
      <c r="AV24" s="562"/>
      <c r="AW24" s="562"/>
      <c r="AX24" s="594" t="str">
        <f>'Overview (Verification)'!A23</f>
        <v>Stories above grade:</v>
      </c>
      <c r="AY24" s="562">
        <f>IF(LEN('Overview (Verification)'!P23)=0,0,'Overview (Verification)'!P23)</f>
        <v>0</v>
      </c>
      <c r="AZ24" s="562"/>
    </row>
    <row r="25" spans="1:52" x14ac:dyDescent="0.2">
      <c r="A25" s="541">
        <v>5</v>
      </c>
      <c r="B25" s="544" t="s">
        <v>2178</v>
      </c>
      <c r="C25" s="544"/>
      <c r="D25" s="544"/>
      <c r="E25" s="544" t="s">
        <v>2185</v>
      </c>
      <c r="F25" s="544"/>
      <c r="G25" s="543" t="str">
        <f t="shared" si="0"/>
        <v/>
      </c>
      <c r="H25" s="541" t="s">
        <v>3751</v>
      </c>
      <c r="I25" s="57"/>
      <c r="J25" s="61"/>
      <c r="K25" s="61"/>
      <c r="L25" s="65" t="s">
        <v>2189</v>
      </c>
      <c r="M25" s="999"/>
      <c r="N25" s="989"/>
      <c r="O25" s="1001"/>
      <c r="P25" s="189"/>
      <c r="Q25" s="189"/>
      <c r="R25" s="562"/>
      <c r="S25" s="562"/>
      <c r="T25" s="562"/>
      <c r="U25" s="562"/>
      <c r="V25" s="562"/>
      <c r="W25" s="562"/>
      <c r="X25" s="787"/>
      <c r="Y25" s="980" t="str">
        <f>IF(LEN('Ch5'!X26)=0,"None",'Ch5'!X26:X30)</f>
        <v>None</v>
      </c>
      <c r="Z25" s="983"/>
      <c r="AA25" s="562"/>
      <c r="AB25" s="562"/>
      <c r="AC25" s="562"/>
      <c r="AD25" s="562"/>
      <c r="AE25" s="562"/>
      <c r="AF25" s="562"/>
      <c r="AG25" s="562"/>
      <c r="AH25" s="562"/>
      <c r="AI25" s="562"/>
      <c r="AJ25" s="562"/>
      <c r="AK25" s="562"/>
      <c r="AL25" s="190"/>
      <c r="AM25" s="190"/>
      <c r="AN25" s="190"/>
      <c r="AO25" s="190"/>
      <c r="AP25" s="190"/>
      <c r="AQ25" s="190"/>
      <c r="AR25" s="190"/>
      <c r="AS25" s="190"/>
      <c r="AT25" s="562"/>
      <c r="AU25" s="562"/>
      <c r="AV25" s="562"/>
      <c r="AW25" s="562"/>
      <c r="AX25" s="562"/>
      <c r="AY25" s="562"/>
      <c r="AZ25" s="562"/>
    </row>
    <row r="26" spans="1:52" x14ac:dyDescent="0.2">
      <c r="A26" s="541">
        <v>5</v>
      </c>
      <c r="B26" s="544" t="s">
        <v>2178</v>
      </c>
      <c r="C26" s="544"/>
      <c r="D26" s="544"/>
      <c r="E26" s="544" t="s">
        <v>2185</v>
      </c>
      <c r="F26" s="544"/>
      <c r="G26" s="543" t="str">
        <f t="shared" si="0"/>
        <v/>
      </c>
      <c r="H26" s="541" t="s">
        <v>3751</v>
      </c>
      <c r="I26" s="57"/>
      <c r="J26" s="61"/>
      <c r="K26" s="61"/>
      <c r="L26" s="65" t="s">
        <v>2190</v>
      </c>
      <c r="M26" s="999"/>
      <c r="N26" s="989"/>
      <c r="O26" s="1001"/>
      <c r="P26" s="189"/>
      <c r="Q26" s="189"/>
      <c r="R26" s="562"/>
      <c r="S26" s="562"/>
      <c r="T26" s="562"/>
      <c r="U26" s="562"/>
      <c r="V26" s="562"/>
      <c r="W26" s="562"/>
      <c r="X26" s="787"/>
      <c r="Y26" s="980" t="str">
        <f>IF(LEN('Ch5'!X27)=0,"None",'Ch5'!X27:X31)</f>
        <v>None</v>
      </c>
      <c r="Z26" s="983"/>
      <c r="AA26" s="562"/>
      <c r="AB26" s="562"/>
      <c r="AC26" s="562"/>
      <c r="AD26" s="562"/>
      <c r="AE26" s="562"/>
      <c r="AF26" s="562"/>
      <c r="AG26" s="562"/>
      <c r="AH26" s="562"/>
      <c r="AI26" s="562"/>
      <c r="AJ26" s="562"/>
      <c r="AK26" s="562"/>
      <c r="AL26" s="190"/>
      <c r="AM26" s="190"/>
      <c r="AN26" s="190"/>
      <c r="AO26" s="190"/>
      <c r="AP26" s="190"/>
      <c r="AQ26" s="190"/>
      <c r="AR26" s="190"/>
      <c r="AS26" s="190"/>
      <c r="AT26" s="562"/>
      <c r="AU26" s="562"/>
      <c r="AV26" s="562"/>
      <c r="AW26" s="562"/>
      <c r="AX26" s="594" t="str">
        <f>'Overview (Verification)'!A25</f>
        <v xml:space="preserve">Project Description (optional): </v>
      </c>
      <c r="AY26" s="562" t="str">
        <f>IF(LEN('Overview (Verification)'!P25)=0,0,'Overview (Verification)'!P25)</f>
        <v>Test Description</v>
      </c>
      <c r="AZ26" s="562"/>
    </row>
    <row r="27" spans="1:52" x14ac:dyDescent="0.2">
      <c r="A27" s="541">
        <v>5</v>
      </c>
      <c r="B27" s="544" t="s">
        <v>2178</v>
      </c>
      <c r="C27" s="544"/>
      <c r="D27" s="544"/>
      <c r="E27" s="544" t="s">
        <v>2185</v>
      </c>
      <c r="F27" s="544"/>
      <c r="G27" s="543" t="str">
        <f t="shared" si="0"/>
        <v/>
      </c>
      <c r="H27" s="541" t="s">
        <v>3751</v>
      </c>
      <c r="I27" s="57"/>
      <c r="J27" s="125"/>
      <c r="K27" s="125"/>
      <c r="L27" s="571" t="s">
        <v>2191</v>
      </c>
      <c r="M27" s="1000"/>
      <c r="N27" s="1004"/>
      <c r="O27" s="1002"/>
      <c r="P27" s="189"/>
      <c r="Q27" s="189"/>
      <c r="R27" s="562"/>
      <c r="S27" s="562"/>
      <c r="T27" s="562"/>
      <c r="U27" s="562"/>
      <c r="V27" s="562"/>
      <c r="W27" s="562"/>
      <c r="X27" s="787"/>
      <c r="Y27" s="980" t="str">
        <f>IF(LEN('Ch5'!X28)=0,"None",'Ch5'!X28:X32)</f>
        <v>None</v>
      </c>
      <c r="Z27" s="983"/>
      <c r="AA27" s="562"/>
      <c r="AB27" s="562"/>
      <c r="AC27" s="562"/>
      <c r="AD27" s="562"/>
      <c r="AE27" s="562"/>
      <c r="AF27" s="562"/>
      <c r="AG27" s="562"/>
      <c r="AH27" s="562"/>
      <c r="AI27" s="562"/>
      <c r="AJ27" s="562"/>
      <c r="AK27" s="562"/>
      <c r="AL27" s="190"/>
      <c r="AM27" s="190"/>
      <c r="AN27" s="190"/>
      <c r="AO27" s="190"/>
      <c r="AP27" s="190"/>
      <c r="AQ27" s="190"/>
      <c r="AR27" s="190"/>
      <c r="AS27" s="190"/>
      <c r="AT27" s="562"/>
      <c r="AU27" s="562"/>
      <c r="AV27" s="562"/>
      <c r="AW27" s="562"/>
      <c r="AX27" s="594"/>
      <c r="AY27" s="562"/>
      <c r="AZ27" s="562"/>
    </row>
    <row r="28" spans="1:52" x14ac:dyDescent="0.2">
      <c r="A28" s="541">
        <v>5</v>
      </c>
      <c r="B28" s="544" t="s">
        <v>2178</v>
      </c>
      <c r="C28" s="544"/>
      <c r="D28" s="544"/>
      <c r="E28" s="544" t="s">
        <v>2192</v>
      </c>
      <c r="F28" s="544"/>
      <c r="G28" s="543" t="str">
        <f>IF(N28&gt;0,"P","")</f>
        <v/>
      </c>
      <c r="H28" s="541" t="s">
        <v>3751</v>
      </c>
      <c r="I28" s="57"/>
      <c r="J28" s="61" t="s">
        <v>2192</v>
      </c>
      <c r="K28" s="61"/>
      <c r="L28" s="791" t="s">
        <v>2193</v>
      </c>
      <c r="M28" s="999" t="s">
        <v>3755</v>
      </c>
      <c r="N28" s="1003">
        <f>'Ch5'!O29</f>
        <v>0</v>
      </c>
      <c r="O28" s="1001">
        <f>M28*W28</f>
        <v>0</v>
      </c>
      <c r="P28" s="63" t="b">
        <v>1</v>
      </c>
      <c r="Q28" s="63" t="b">
        <v>1</v>
      </c>
      <c r="R28" s="562" t="b">
        <v>0</v>
      </c>
      <c r="S28" s="562" t="b">
        <v>1</v>
      </c>
      <c r="T28" s="562" t="b">
        <v>0</v>
      </c>
      <c r="U28" s="562"/>
      <c r="V28" s="562"/>
      <c r="W28" s="18"/>
      <c r="X28" s="787"/>
      <c r="Y28" s="980" t="str">
        <f>IF(LEN('Ch5'!X29)=0,"None",'Ch5'!X29)</f>
        <v>None</v>
      </c>
      <c r="Z28" s="983"/>
      <c r="AA28" s="562"/>
      <c r="AB28" s="562"/>
      <c r="AC28" s="562"/>
      <c r="AD28" s="562"/>
      <c r="AE28" s="562"/>
      <c r="AF28" s="562"/>
      <c r="AG28" s="562"/>
      <c r="AH28" s="562"/>
      <c r="AI28" s="562"/>
      <c r="AJ28" s="562"/>
      <c r="AK28" s="562"/>
      <c r="AL28" s="190" t="str">
        <f>SUBSTITUTE(SUBSTITUTE(SUBSTITUTE("vpa"&amp;$B28&amp;$C28&amp;$D28&amp;$E28&amp;$F28,".","_"),"(","_"),")","")</f>
        <v>vpa501_2_4</v>
      </c>
      <c r="AM28" s="190" t="str">
        <f>M28</f>
        <v>5</v>
      </c>
      <c r="AN28" s="190" t="str">
        <f>SUBSTITUTE(SUBSTITUTE(SUBSTITUTE("vpc"&amp;$B28&amp;$C28&amp;$D28&amp;$E28&amp;$F28,".","_"),"(","_"),")","")</f>
        <v>vpc501_2_4</v>
      </c>
      <c r="AO28" s="190">
        <f>O28</f>
        <v>0</v>
      </c>
      <c r="AP28" s="190" t="str">
        <f>SUBSTITUTE(SUBSTITUTE(SUBSTITUTE("vch"&amp;$B28&amp;$C28&amp;$D28&amp;$E28&amp;$F28,".","_"),"(","_"),")","")</f>
        <v>vch501_2_4</v>
      </c>
      <c r="AQ28" s="190">
        <f>W28</f>
        <v>0</v>
      </c>
      <c r="AR28" s="190" t="str">
        <f>SUBSTITUTE(SUBSTITUTE(SUBSTITUTE("vnt"&amp;$B28&amp;$C28&amp;$D28&amp;$E28&amp;$F28,".","_"),"(","_"),")","")</f>
        <v>vnt501_2_4</v>
      </c>
      <c r="AS28" s="190">
        <f>X28</f>
        <v>0</v>
      </c>
      <c r="AT28" s="562"/>
      <c r="AU28" s="562"/>
      <c r="AV28" s="562"/>
      <c r="AW28" s="562"/>
      <c r="AX28" s="594" t="str">
        <f>'Overview (Verification)'!A27</f>
        <v>HERS Index (if available):</v>
      </c>
      <c r="AY28" s="562">
        <f>IF(LEN('Overview (Verification)'!P27)=0,0,'Overview (Verification)'!P27)</f>
        <v>0</v>
      </c>
      <c r="AZ28" s="562"/>
    </row>
    <row r="29" spans="1:52" x14ac:dyDescent="0.2">
      <c r="A29" s="541">
        <v>5</v>
      </c>
      <c r="B29" s="544" t="s">
        <v>2178</v>
      </c>
      <c r="C29" s="544"/>
      <c r="D29" s="544"/>
      <c r="E29" s="544" t="s">
        <v>2192</v>
      </c>
      <c r="F29" s="544"/>
      <c r="G29" s="543" t="str">
        <f t="shared" ref="G29:G30" si="1">G28</f>
        <v/>
      </c>
      <c r="H29" s="541" t="s">
        <v>3751</v>
      </c>
      <c r="I29" s="57"/>
      <c r="J29" s="61"/>
      <c r="K29" s="61"/>
      <c r="L29" s="791"/>
      <c r="M29" s="999"/>
      <c r="N29" s="989"/>
      <c r="O29" s="1001"/>
      <c r="P29" s="189"/>
      <c r="Q29" s="189"/>
      <c r="R29" s="562"/>
      <c r="S29" s="562"/>
      <c r="T29" s="562"/>
      <c r="U29" s="562"/>
      <c r="V29" s="562"/>
      <c r="W29" s="562"/>
      <c r="X29" s="787"/>
      <c r="Y29" s="980" t="str">
        <f>IF(LEN('Ch5'!X30)=0,"None",'Ch5'!X30:X34)</f>
        <v>None</v>
      </c>
      <c r="Z29" s="983"/>
      <c r="AA29" s="562"/>
      <c r="AB29" s="562"/>
      <c r="AC29" s="562"/>
      <c r="AD29" s="562"/>
      <c r="AE29" s="562"/>
      <c r="AF29" s="562"/>
      <c r="AG29" s="562"/>
      <c r="AH29" s="562"/>
      <c r="AI29" s="562"/>
      <c r="AJ29" s="562"/>
      <c r="AK29" s="562"/>
      <c r="AL29" s="190"/>
      <c r="AM29" s="190"/>
      <c r="AN29" s="190"/>
      <c r="AO29" s="190"/>
      <c r="AP29" s="190"/>
      <c r="AQ29" s="190"/>
      <c r="AR29" s="190"/>
      <c r="AS29" s="190"/>
      <c r="AT29" s="562"/>
      <c r="AU29" s="562"/>
      <c r="AV29" s="562"/>
      <c r="AW29" s="562"/>
      <c r="AX29" s="594" t="str">
        <f>'Overview (Verification)'!A28</f>
        <v>Foundation Type:</v>
      </c>
      <c r="AY29" s="562">
        <f>IF(LEN('Overview (Verification)'!P28)=0,0,'Overview (Verification)'!P28)</f>
        <v>0</v>
      </c>
      <c r="AZ29" s="1">
        <f>IFERROR(MATCH(AY29,ddFoundation,0),0)</f>
        <v>0</v>
      </c>
    </row>
    <row r="30" spans="1:52" x14ac:dyDescent="0.2">
      <c r="A30" s="541">
        <v>5</v>
      </c>
      <c r="B30" s="544" t="s">
        <v>2178</v>
      </c>
      <c r="C30" s="544"/>
      <c r="D30" s="544"/>
      <c r="E30" s="544" t="s">
        <v>2192</v>
      </c>
      <c r="F30" s="544"/>
      <c r="G30" s="543" t="str">
        <f t="shared" si="1"/>
        <v/>
      </c>
      <c r="H30" s="541" t="s">
        <v>3751</v>
      </c>
      <c r="I30" s="57"/>
      <c r="J30" s="125"/>
      <c r="K30" s="125"/>
      <c r="L30" s="792"/>
      <c r="M30" s="1000"/>
      <c r="N30" s="1004"/>
      <c r="O30" s="1002"/>
      <c r="P30" s="189"/>
      <c r="Q30" s="189"/>
      <c r="R30" s="562"/>
      <c r="S30" s="562"/>
      <c r="T30" s="562"/>
      <c r="U30" s="562"/>
      <c r="V30" s="562"/>
      <c r="W30" s="562"/>
      <c r="X30" s="787"/>
      <c r="Y30" s="980" t="str">
        <f>IF(LEN('Ch5'!X31)=0,"None",'Ch5'!X31:X35)</f>
        <v>None</v>
      </c>
      <c r="Z30" s="983"/>
      <c r="AA30" s="562"/>
      <c r="AB30" s="562"/>
      <c r="AC30" s="562"/>
      <c r="AD30" s="562"/>
      <c r="AE30" s="562"/>
      <c r="AF30" s="562"/>
      <c r="AG30" s="562"/>
      <c r="AH30" s="562"/>
      <c r="AI30" s="562"/>
      <c r="AJ30" s="562"/>
      <c r="AK30" s="562"/>
      <c r="AL30" s="190"/>
      <c r="AM30" s="190"/>
      <c r="AN30" s="190"/>
      <c r="AO30" s="190"/>
      <c r="AP30" s="190"/>
      <c r="AQ30" s="190"/>
      <c r="AR30" s="190"/>
      <c r="AS30" s="190"/>
      <c r="AT30" s="562"/>
      <c r="AU30" s="562"/>
      <c r="AV30" s="562"/>
      <c r="AW30" s="562"/>
      <c r="AX30" s="594"/>
      <c r="AY30" s="562"/>
      <c r="AZ30" s="562"/>
    </row>
    <row r="31" spans="1:52" x14ac:dyDescent="0.2">
      <c r="A31" s="541">
        <v>5</v>
      </c>
      <c r="B31" s="544" t="s">
        <v>2178</v>
      </c>
      <c r="C31" s="544"/>
      <c r="D31" s="544"/>
      <c r="E31" s="544" t="s">
        <v>2194</v>
      </c>
      <c r="F31" s="544"/>
      <c r="G31" s="543" t="str">
        <f ca="1">IF(N31&gt;0,"P","")</f>
        <v/>
      </c>
      <c r="H31" s="541" t="s">
        <v>3751</v>
      </c>
      <c r="I31" s="57"/>
      <c r="J31" s="57" t="s">
        <v>2194</v>
      </c>
      <c r="K31" s="57"/>
      <c r="L31" s="817" t="s">
        <v>2195</v>
      </c>
      <c r="M31" s="1005"/>
      <c r="N31" s="1003">
        <f ca="1">'Ch5'!O32</f>
        <v>0</v>
      </c>
      <c r="O31" s="1006">
        <f ca="1">IFERROR(INDEX({2,4,6},MATCH(W31,INDIRECT(U31),0)),0)*S31</f>
        <v>0</v>
      </c>
      <c r="P31" s="63" t="b">
        <v>1</v>
      </c>
      <c r="Q31" s="63" t="b">
        <v>1</v>
      </c>
      <c r="R31" s="562" t="b">
        <v>0</v>
      </c>
      <c r="S31" s="562" t="b">
        <f ca="1">IF($AY$18=INDEX(INDIRECT("ddSingleOrMulti"),2),TRUE,FALSE)</f>
        <v>0</v>
      </c>
      <c r="T31" s="64" t="b">
        <f ca="1">IF(AND(NOT(S31),LEN(W31)&gt;0),TRUE,FALSE)</f>
        <v>0</v>
      </c>
      <c r="U31" s="562" t="str">
        <f>SUBSTITUTE(SUBSTITUTE(SUBSTITUTE("dd"&amp;$B31&amp;$C31&amp;$D31&amp;$E31&amp;$F31,".","_"),"(","_"),")","")</f>
        <v>dd501_2_5</v>
      </c>
      <c r="V31" s="562"/>
      <c r="W31" s="6"/>
      <c r="X31" s="787"/>
      <c r="Y31" s="980" t="str">
        <f>IF(LEN('Ch5'!X32)=0,"None",'Ch5'!X32)</f>
        <v>None</v>
      </c>
      <c r="Z31" s="983"/>
      <c r="AA31" s="562"/>
      <c r="AB31" s="562"/>
      <c r="AC31" s="562" t="b">
        <f ca="1">OR(AD31:AE31)</f>
        <v>0</v>
      </c>
      <c r="AD31" s="562" t="b">
        <f ca="1">T31</f>
        <v>0</v>
      </c>
      <c r="AE31" s="562"/>
      <c r="AF31" s="562"/>
      <c r="AG31" s="562"/>
      <c r="AH31" s="562"/>
      <c r="AI31" s="562"/>
      <c r="AJ31" s="562"/>
      <c r="AK31" s="562"/>
      <c r="AL31" s="190"/>
      <c r="AM31" s="190"/>
      <c r="AN31" s="190" t="str">
        <f>SUBSTITUTE(SUBSTITUTE(SUBSTITUTE("vpc"&amp;$B31&amp;$C31&amp;$D31&amp;$E31&amp;$F31,".","_"),"(","_"),")","")</f>
        <v>vpc501_2_5</v>
      </c>
      <c r="AO31" s="190">
        <f ca="1">O31</f>
        <v>0</v>
      </c>
      <c r="AP31" s="190" t="str">
        <f>SUBSTITUTE(SUBSTITUTE(SUBSTITUTE("vch"&amp;$B31&amp;$C31&amp;$D31&amp;$E31&amp;$F31,".","_"),"(","_"),")","")</f>
        <v>vch501_2_5</v>
      </c>
      <c r="AQ31" s="190">
        <f>W31</f>
        <v>0</v>
      </c>
      <c r="AR31" s="190" t="str">
        <f>SUBSTITUTE(SUBSTITUTE(SUBSTITUTE("vnt"&amp;$B31&amp;$C31&amp;$D31&amp;$E31&amp;$F31,".","_"),"(","_"),")","")</f>
        <v>vnt501_2_5</v>
      </c>
      <c r="AS31" s="190">
        <f>X31</f>
        <v>0</v>
      </c>
      <c r="AT31" s="562"/>
      <c r="AU31" s="562"/>
      <c r="AV31" s="562"/>
      <c r="AW31" s="562"/>
      <c r="AX31" s="594" t="str">
        <f>'Overview (Verification)'!A30</f>
        <v>Type of Heating System (main system):</v>
      </c>
      <c r="AY31" s="562">
        <f>IF(LEN('Overview (Verification)'!P30)=0,0,'Overview (Verification)'!P30)</f>
        <v>0</v>
      </c>
      <c r="AZ31" s="562"/>
    </row>
    <row r="32" spans="1:52" x14ac:dyDescent="0.2">
      <c r="A32" s="541">
        <v>5</v>
      </c>
      <c r="B32" s="544" t="s">
        <v>2178</v>
      </c>
      <c r="C32" s="544"/>
      <c r="D32" s="544"/>
      <c r="E32" s="544" t="s">
        <v>2194</v>
      </c>
      <c r="F32" s="544"/>
      <c r="G32" s="543" t="str">
        <f t="shared" ref="G32:G35" ca="1" si="2">G31</f>
        <v/>
      </c>
      <c r="H32" s="541" t="s">
        <v>3751</v>
      </c>
      <c r="I32" s="57"/>
      <c r="J32" s="57"/>
      <c r="K32" s="57"/>
      <c r="L32" s="817"/>
      <c r="M32" s="1005"/>
      <c r="N32" s="989"/>
      <c r="O32" s="1006"/>
      <c r="P32" s="189"/>
      <c r="Q32" s="189"/>
      <c r="R32" s="562"/>
      <c r="S32" s="562"/>
      <c r="T32" s="562"/>
      <c r="U32" s="562"/>
      <c r="V32" s="562"/>
      <c r="W32" s="562"/>
      <c r="X32" s="787"/>
      <c r="Y32" s="980" t="str">
        <f>IF(LEN('Ch5'!X33)=0,"None",'Ch5'!X33:X37)</f>
        <v>None</v>
      </c>
      <c r="Z32" s="983"/>
      <c r="AA32" s="562"/>
      <c r="AB32" s="562"/>
      <c r="AC32" s="562"/>
      <c r="AD32" s="562"/>
      <c r="AE32" s="562"/>
      <c r="AF32" s="562"/>
      <c r="AG32" s="562"/>
      <c r="AH32" s="562"/>
      <c r="AI32" s="562"/>
      <c r="AJ32" s="562"/>
      <c r="AK32" s="562"/>
      <c r="AL32" s="190"/>
      <c r="AM32" s="190"/>
      <c r="AN32" s="190"/>
      <c r="AO32" s="190"/>
      <c r="AP32" s="190"/>
      <c r="AQ32" s="190"/>
      <c r="AR32" s="190"/>
      <c r="AS32" s="190"/>
      <c r="AT32" s="562"/>
      <c r="AU32" s="562"/>
      <c r="AV32" s="562"/>
      <c r="AW32" s="562"/>
      <c r="AX32" s="594" t="str">
        <f>'Overview (Verification)'!A31</f>
        <v>Type of Heating System (system 2):</v>
      </c>
      <c r="AY32" s="562">
        <f>IF(LEN('Overview (Verification)'!P31)=0,0,'Overview (Verification)'!P31)</f>
        <v>0</v>
      </c>
      <c r="AZ32" s="562"/>
    </row>
    <row r="33" spans="1:51" x14ac:dyDescent="0.2">
      <c r="A33" s="541">
        <v>5</v>
      </c>
      <c r="B33" s="544" t="s">
        <v>2178</v>
      </c>
      <c r="C33" s="544"/>
      <c r="D33" s="544"/>
      <c r="E33" s="544" t="s">
        <v>2194</v>
      </c>
      <c r="F33" s="544" t="s">
        <v>2196</v>
      </c>
      <c r="G33" s="543" t="str">
        <f t="shared" ca="1" si="2"/>
        <v/>
      </c>
      <c r="H33" s="541" t="s">
        <v>3751</v>
      </c>
      <c r="I33" s="57"/>
      <c r="J33" s="57"/>
      <c r="K33" s="57" t="s">
        <v>2196</v>
      </c>
      <c r="L33" s="53" t="s">
        <v>2197</v>
      </c>
      <c r="M33" s="581" t="s">
        <v>3756</v>
      </c>
      <c r="N33" s="188"/>
      <c r="O33" s="648"/>
      <c r="P33" s="562"/>
      <c r="Q33" s="562"/>
      <c r="R33" s="562"/>
      <c r="S33" s="562"/>
      <c r="T33" s="562"/>
      <c r="U33" s="562"/>
      <c r="V33" s="562"/>
      <c r="W33" s="562"/>
      <c r="X33" s="787"/>
      <c r="Y33" s="980" t="str">
        <f>IF(LEN('Ch5'!X34)=0,"None",'Ch5'!X34:X38)</f>
        <v>None</v>
      </c>
      <c r="Z33" s="983"/>
      <c r="AA33" s="562"/>
      <c r="AB33" s="562"/>
      <c r="AC33" s="562"/>
      <c r="AD33" s="562"/>
      <c r="AE33" s="562"/>
      <c r="AF33" s="562"/>
      <c r="AG33" s="562"/>
      <c r="AH33" s="562"/>
      <c r="AI33" s="562"/>
      <c r="AJ33" s="562"/>
      <c r="AK33" s="562"/>
      <c r="AL33" s="190" t="str">
        <f t="shared" ref="AL33:AL35" si="3">SUBSTITUTE(SUBSTITUTE(SUBSTITUTE("vpa"&amp;$B33&amp;$C33&amp;$D33&amp;$E33&amp;$F33,".","_"),"(","_"),")","")</f>
        <v>vpa501_2_5_a</v>
      </c>
      <c r="AM33" s="190" t="str">
        <f>M33</f>
        <v>2</v>
      </c>
      <c r="AN33" s="190"/>
      <c r="AO33" s="190"/>
      <c r="AP33" s="190"/>
      <c r="AQ33" s="190"/>
      <c r="AR33" s="190"/>
      <c r="AS33" s="190"/>
      <c r="AT33" s="562"/>
      <c r="AU33" s="562"/>
      <c r="AV33" s="562"/>
      <c r="AW33" s="562"/>
      <c r="AX33" s="594" t="str">
        <f>'Overview (Verification)'!A32</f>
        <v>Type of Heating System (system 3):</v>
      </c>
      <c r="AY33" s="562">
        <f>IF(LEN('Overview (Verification)'!P32)=0,0,'Overview (Verification)'!P32)</f>
        <v>0</v>
      </c>
    </row>
    <row r="34" spans="1:51" x14ac:dyDescent="0.2">
      <c r="A34" s="541">
        <v>5</v>
      </c>
      <c r="B34" s="544" t="s">
        <v>2178</v>
      </c>
      <c r="C34" s="544"/>
      <c r="D34" s="544"/>
      <c r="E34" s="544" t="s">
        <v>2194</v>
      </c>
      <c r="F34" s="544" t="s">
        <v>2198</v>
      </c>
      <c r="G34" s="543" t="str">
        <f t="shared" ca="1" si="2"/>
        <v/>
      </c>
      <c r="H34" s="541" t="s">
        <v>3751</v>
      </c>
      <c r="I34" s="57"/>
      <c r="J34" s="57"/>
      <c r="K34" s="57" t="s">
        <v>2198</v>
      </c>
      <c r="L34" s="53" t="s">
        <v>2199</v>
      </c>
      <c r="M34" s="581" t="s">
        <v>3754</v>
      </c>
      <c r="N34" s="188"/>
      <c r="O34" s="648"/>
      <c r="P34" s="562"/>
      <c r="Q34" s="562"/>
      <c r="R34" s="562"/>
      <c r="S34" s="562"/>
      <c r="T34" s="562"/>
      <c r="U34" s="562"/>
      <c r="V34" s="562"/>
      <c r="W34" s="562"/>
      <c r="X34" s="787"/>
      <c r="Y34" s="980" t="str">
        <f>IF(LEN('Ch5'!X35)=0,"None",'Ch5'!X35:X39)</f>
        <v>None</v>
      </c>
      <c r="Z34" s="983"/>
      <c r="AA34" s="562"/>
      <c r="AB34" s="562"/>
      <c r="AC34" s="562"/>
      <c r="AD34" s="562"/>
      <c r="AE34" s="562"/>
      <c r="AF34" s="562"/>
      <c r="AG34" s="562"/>
      <c r="AH34" s="562"/>
      <c r="AI34" s="562"/>
      <c r="AJ34" s="562"/>
      <c r="AK34" s="562"/>
      <c r="AL34" s="190" t="str">
        <f t="shared" si="3"/>
        <v>vpa501_2_5_b</v>
      </c>
      <c r="AM34" s="190" t="str">
        <f>M34</f>
        <v>4</v>
      </c>
      <c r="AN34" s="190"/>
      <c r="AO34" s="190"/>
      <c r="AP34" s="190"/>
      <c r="AQ34" s="190"/>
      <c r="AR34" s="190"/>
      <c r="AS34" s="190"/>
      <c r="AT34" s="562"/>
      <c r="AU34" s="562"/>
      <c r="AV34" s="562"/>
      <c r="AW34" s="562"/>
      <c r="AX34" s="594" t="str">
        <f>'Overview (Verification)'!A33</f>
        <v>Heating Fuel:</v>
      </c>
      <c r="AY34" s="562">
        <f>IF(LEN('Overview (Verification)'!P33)=0,0,'Overview (Verification)'!P33)</f>
        <v>0</v>
      </c>
    </row>
    <row r="35" spans="1:51" x14ac:dyDescent="0.2">
      <c r="A35" s="541">
        <v>5</v>
      </c>
      <c r="B35" s="544" t="s">
        <v>2178</v>
      </c>
      <c r="C35" s="544"/>
      <c r="D35" s="544"/>
      <c r="E35" s="544" t="s">
        <v>2194</v>
      </c>
      <c r="F35" s="546" t="s">
        <v>2200</v>
      </c>
      <c r="G35" s="543" t="str">
        <f t="shared" ca="1" si="2"/>
        <v/>
      </c>
      <c r="H35" s="541" t="s">
        <v>3751</v>
      </c>
      <c r="I35" s="57"/>
      <c r="J35" s="57"/>
      <c r="K35" s="59" t="s">
        <v>2200</v>
      </c>
      <c r="L35" s="53" t="s">
        <v>2201</v>
      </c>
      <c r="M35" s="581" t="s">
        <v>3752</v>
      </c>
      <c r="N35" s="188"/>
      <c r="O35" s="648"/>
      <c r="P35" s="562"/>
      <c r="Q35" s="562"/>
      <c r="R35" s="562"/>
      <c r="S35" s="562"/>
      <c r="T35" s="562"/>
      <c r="U35" s="562"/>
      <c r="V35" s="562"/>
      <c r="W35" s="562"/>
      <c r="X35" s="787"/>
      <c r="Y35" s="980" t="str">
        <f>IF(LEN('Ch5'!X36)=0,"None",'Ch5'!X36:X40)</f>
        <v>None</v>
      </c>
      <c r="Z35" s="983"/>
      <c r="AA35" s="562"/>
      <c r="AB35" s="562"/>
      <c r="AC35" s="562"/>
      <c r="AD35" s="562"/>
      <c r="AE35" s="562"/>
      <c r="AF35" s="562"/>
      <c r="AG35" s="562"/>
      <c r="AH35" s="562"/>
      <c r="AI35" s="562"/>
      <c r="AJ35" s="562"/>
      <c r="AK35" s="562"/>
      <c r="AL35" s="190" t="str">
        <f t="shared" si="3"/>
        <v>vpa501_2_5_c</v>
      </c>
      <c r="AM35" s="190" t="str">
        <f>M35</f>
        <v>6</v>
      </c>
      <c r="AN35" s="190"/>
      <c r="AO35" s="190"/>
      <c r="AP35" s="190"/>
      <c r="AQ35" s="190"/>
      <c r="AR35" s="190"/>
      <c r="AS35" s="190"/>
      <c r="AT35" s="562"/>
      <c r="AU35" s="562"/>
      <c r="AV35" s="562"/>
      <c r="AW35" s="562"/>
      <c r="AX35" s="594" t="str">
        <f>'Overview (Verification)'!A34</f>
        <v>Heating Ducts:</v>
      </c>
      <c r="AY35" s="562">
        <f>IF(LEN('Overview (Verification)'!P34)=0,0,'Overview (Verification)'!P34)</f>
        <v>0</v>
      </c>
    </row>
    <row r="36" spans="1:51" ht="19" x14ac:dyDescent="0.25">
      <c r="A36" s="541">
        <v>5</v>
      </c>
      <c r="B36" s="544" t="s">
        <v>2202</v>
      </c>
      <c r="C36" s="544"/>
      <c r="D36" s="544"/>
      <c r="E36" s="544"/>
      <c r="F36" s="544"/>
      <c r="G36" s="543" t="s">
        <v>3343</v>
      </c>
      <c r="H36" s="541" t="s">
        <v>3751</v>
      </c>
      <c r="I36" s="45" t="s">
        <v>2203</v>
      </c>
      <c r="J36" s="45"/>
      <c r="K36" s="45"/>
      <c r="L36" s="45"/>
      <c r="M36" s="44"/>
      <c r="N36" s="44"/>
      <c r="O36" s="44"/>
      <c r="P36" s="16"/>
      <c r="Q36" s="16"/>
      <c r="R36" s="16"/>
      <c r="S36" s="16"/>
      <c r="T36" s="16"/>
      <c r="U36" s="16"/>
      <c r="V36" s="16"/>
      <c r="W36" s="16"/>
      <c r="X36" s="16"/>
      <c r="Y36" s="16"/>
      <c r="Z36" s="453"/>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94" t="str">
        <f>'Overview (Verification)'!A35</f>
        <v>Type of Cooling System (main system):</v>
      </c>
      <c r="AY36" s="562">
        <f>IF(LEN('Overview (Verification)'!P35)=0,0,'Overview (Verification)'!P35)</f>
        <v>0</v>
      </c>
    </row>
    <row r="37" spans="1:51" x14ac:dyDescent="0.2">
      <c r="A37" s="541">
        <v>5</v>
      </c>
      <c r="B37" s="544" t="s">
        <v>2204</v>
      </c>
      <c r="C37" s="544"/>
      <c r="D37" s="544"/>
      <c r="E37" s="544"/>
      <c r="F37" s="544"/>
      <c r="G37" s="543" t="str">
        <f>IF(N37&gt;0,"P","")</f>
        <v/>
      </c>
      <c r="H37" s="541" t="s">
        <v>3751</v>
      </c>
      <c r="I37" s="107" t="s">
        <v>2205</v>
      </c>
      <c r="J37" s="60"/>
      <c r="K37" s="60"/>
      <c r="L37" s="775" t="s">
        <v>2206</v>
      </c>
      <c r="M37" s="994">
        <v>4</v>
      </c>
      <c r="N37" s="989">
        <f>'Ch5'!O38</f>
        <v>0</v>
      </c>
      <c r="O37" s="887">
        <f>M37*W37</f>
        <v>0</v>
      </c>
      <c r="P37" s="562" t="b">
        <v>1</v>
      </c>
      <c r="Q37" s="562" t="b">
        <v>1</v>
      </c>
      <c r="R37" s="562" t="b">
        <v>0</v>
      </c>
      <c r="S37" s="562" t="b">
        <v>1</v>
      </c>
      <c r="T37" s="562" t="b">
        <v>0</v>
      </c>
      <c r="U37" s="562"/>
      <c r="V37" s="562"/>
      <c r="W37" s="18"/>
      <c r="X37" s="787"/>
      <c r="Y37" s="980" t="str">
        <f>IF(LEN('Ch5'!X38)=0,"None",'Ch5'!X38)</f>
        <v>None</v>
      </c>
      <c r="Z37" s="983"/>
      <c r="AA37" s="562"/>
      <c r="AB37" s="562"/>
      <c r="AC37" s="562"/>
      <c r="AD37" s="562"/>
      <c r="AE37" s="562"/>
      <c r="AF37" s="562"/>
      <c r="AG37" s="562"/>
      <c r="AH37" s="562"/>
      <c r="AI37" s="562"/>
      <c r="AJ37" s="562"/>
      <c r="AK37" s="562"/>
      <c r="AL37" s="190" t="str">
        <f>SUBSTITUTE(SUBSTITUTE(SUBSTITUTE("vpa"&amp;$B37&amp;$C37&amp;$D37&amp;$E37&amp;$F37,".","_"),"(","_"),")","")</f>
        <v>vpa502_1</v>
      </c>
      <c r="AM37" s="190">
        <f>M37</f>
        <v>4</v>
      </c>
      <c r="AN37" s="190" t="str">
        <f>SUBSTITUTE(SUBSTITUTE(SUBSTITUTE("vpc"&amp;$B37&amp;$C37&amp;$D37&amp;$E37&amp;$F37,".","_"),"(","_"),")","")</f>
        <v>vpc502_1</v>
      </c>
      <c r="AO37" s="190">
        <f>O37</f>
        <v>0</v>
      </c>
      <c r="AP37" s="190" t="str">
        <f>SUBSTITUTE(SUBSTITUTE(SUBSTITUTE("vch"&amp;$B37&amp;$C37&amp;$D37&amp;$E37&amp;$F37,".","_"),"(","_"),")","")</f>
        <v>vch502_1</v>
      </c>
      <c r="AQ37" s="190">
        <f>W37</f>
        <v>0</v>
      </c>
      <c r="AR37" s="190" t="str">
        <f>SUBSTITUTE(SUBSTITUTE(SUBSTITUTE("vnt"&amp;$B37&amp;$C37&amp;$D37&amp;$E37&amp;$F37,".","_"),"(","_"),")","")</f>
        <v>vnt502_1</v>
      </c>
      <c r="AS37" s="190">
        <f>X37</f>
        <v>0</v>
      </c>
      <c r="AT37" s="562"/>
      <c r="AU37" s="562"/>
      <c r="AV37" s="562"/>
      <c r="AW37" s="562"/>
      <c r="AX37" s="594" t="str">
        <f>'Overview (Verification)'!A36</f>
        <v>Type of Cooling System (system 2):</v>
      </c>
      <c r="AY37" s="562">
        <f>IF(LEN('Overview (Verification)'!P36)=0,0,'Overview (Verification)'!P36)</f>
        <v>0</v>
      </c>
    </row>
    <row r="38" spans="1:51" x14ac:dyDescent="0.2">
      <c r="A38" s="541">
        <v>5</v>
      </c>
      <c r="B38" s="544" t="s">
        <v>2204</v>
      </c>
      <c r="C38" s="544"/>
      <c r="D38" s="544"/>
      <c r="E38" s="544"/>
      <c r="F38" s="544"/>
      <c r="G38" s="543" t="str">
        <f t="shared" ref="G38:G40" si="4">G37</f>
        <v/>
      </c>
      <c r="H38" s="541" t="s">
        <v>3751</v>
      </c>
      <c r="I38" s="60"/>
      <c r="J38" s="60"/>
      <c r="K38" s="60"/>
      <c r="L38" s="775"/>
      <c r="M38" s="994"/>
      <c r="N38" s="989"/>
      <c r="O38" s="887"/>
      <c r="P38" s="562"/>
      <c r="Q38" s="562"/>
      <c r="R38" s="562"/>
      <c r="S38" s="562"/>
      <c r="T38" s="562"/>
      <c r="U38" s="562"/>
      <c r="V38" s="562"/>
      <c r="W38" s="562"/>
      <c r="X38" s="787"/>
      <c r="Y38" s="980"/>
      <c r="Z38" s="983"/>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94" t="str">
        <f>'Overview (Verification)'!A37</f>
        <v>Type of Cooling System (system 3):</v>
      </c>
      <c r="AY38" s="562">
        <f>IF(LEN('Overview (Verification)'!P37)=0,0,'Overview (Verification)'!P37)</f>
        <v>0</v>
      </c>
    </row>
    <row r="39" spans="1:51" x14ac:dyDescent="0.2">
      <c r="A39" s="541">
        <v>5</v>
      </c>
      <c r="B39" s="544" t="s">
        <v>2204</v>
      </c>
      <c r="C39" s="544"/>
      <c r="D39" s="544"/>
      <c r="E39" s="544"/>
      <c r="F39" s="544"/>
      <c r="G39" s="543" t="str">
        <f t="shared" si="4"/>
        <v/>
      </c>
      <c r="H39" s="541" t="s">
        <v>3751</v>
      </c>
      <c r="I39" s="60"/>
      <c r="J39" s="60"/>
      <c r="K39" s="60"/>
      <c r="L39" s="775"/>
      <c r="M39" s="994"/>
      <c r="N39" s="989"/>
      <c r="O39" s="887"/>
      <c r="P39" s="562"/>
      <c r="Q39" s="562"/>
      <c r="R39" s="562"/>
      <c r="S39" s="562"/>
      <c r="T39" s="562"/>
      <c r="U39" s="562"/>
      <c r="V39" s="562"/>
      <c r="W39" s="562"/>
      <c r="X39" s="787"/>
      <c r="Y39" s="980"/>
      <c r="Z39" s="983"/>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94" t="str">
        <f>'Overview (Verification)'!A38</f>
        <v>Cooling Ducts:</v>
      </c>
      <c r="AY39" s="562">
        <f>IF(LEN('Overview (Verification)'!P38)=0,0,'Overview (Verification)'!P38)</f>
        <v>0</v>
      </c>
    </row>
    <row r="40" spans="1:51" x14ac:dyDescent="0.2">
      <c r="A40" s="541">
        <v>5</v>
      </c>
      <c r="B40" s="544" t="s">
        <v>2204</v>
      </c>
      <c r="C40" s="544"/>
      <c r="D40" s="544"/>
      <c r="E40" s="544"/>
      <c r="F40" s="544"/>
      <c r="G40" s="543" t="str">
        <f t="shared" si="4"/>
        <v/>
      </c>
      <c r="H40" s="541" t="s">
        <v>3751</v>
      </c>
      <c r="I40" s="60"/>
      <c r="J40" s="60"/>
      <c r="K40" s="60"/>
      <c r="L40" s="775"/>
      <c r="M40" s="994"/>
      <c r="N40" s="989"/>
      <c r="O40" s="887"/>
      <c r="P40" s="562"/>
      <c r="Q40" s="562"/>
      <c r="R40" s="562"/>
      <c r="S40" s="562"/>
      <c r="T40" s="562"/>
      <c r="U40" s="562"/>
      <c r="V40" s="562"/>
      <c r="W40" s="562"/>
      <c r="X40" s="787"/>
      <c r="Y40" s="980"/>
      <c r="Z40" s="983"/>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94"/>
      <c r="AY40" s="562"/>
    </row>
    <row r="41" spans="1:51" ht="19" x14ac:dyDescent="0.25">
      <c r="A41" s="541">
        <v>5</v>
      </c>
      <c r="B41" s="544" t="s">
        <v>2207</v>
      </c>
      <c r="C41" s="544"/>
      <c r="D41" s="544"/>
      <c r="E41" s="544"/>
      <c r="F41" s="544"/>
      <c r="G41" s="543" t="s">
        <v>3343</v>
      </c>
      <c r="H41" s="541" t="s">
        <v>3751</v>
      </c>
      <c r="I41" s="45" t="s">
        <v>2208</v>
      </c>
      <c r="J41" s="58"/>
      <c r="K41" s="58"/>
      <c r="L41" s="54"/>
      <c r="M41" s="44"/>
      <c r="N41" s="44"/>
      <c r="O41" s="44"/>
      <c r="P41" s="16"/>
      <c r="Q41" s="16"/>
      <c r="R41" s="16"/>
      <c r="S41" s="16"/>
      <c r="T41" s="16"/>
      <c r="U41" s="16"/>
      <c r="V41" s="16"/>
      <c r="W41" s="16"/>
      <c r="X41" s="16"/>
      <c r="Y41" s="16"/>
      <c r="Z41" s="453"/>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94" t="str">
        <f>'Overview (Verification)'!A40</f>
        <v>Maximum window and door SHGC:</v>
      </c>
      <c r="AY41" s="562">
        <f>IF(LEN('Overview (Verification)'!P40)=0,0,'Overview (Verification)'!P40)</f>
        <v>0</v>
      </c>
    </row>
    <row r="42" spans="1:51" x14ac:dyDescent="0.2">
      <c r="A42" s="541">
        <v>5</v>
      </c>
      <c r="B42" s="544" t="s">
        <v>2209</v>
      </c>
      <c r="C42" s="544"/>
      <c r="D42" s="544"/>
      <c r="E42" s="544"/>
      <c r="F42" s="544"/>
      <c r="G42" s="545"/>
      <c r="H42" s="545"/>
      <c r="I42" s="347" t="s">
        <v>2210</v>
      </c>
      <c r="J42" s="71"/>
      <c r="K42" s="71"/>
      <c r="L42" s="820" t="s">
        <v>2211</v>
      </c>
      <c r="M42" s="676"/>
      <c r="N42" s="668"/>
      <c r="O42" s="668"/>
      <c r="P42" s="64"/>
      <c r="Q42" s="64"/>
      <c r="R42" s="64"/>
      <c r="S42" s="64"/>
      <c r="T42" s="64"/>
      <c r="U42" s="64"/>
      <c r="V42" s="64"/>
      <c r="W42" s="64"/>
      <c r="X42" s="798"/>
      <c r="Y42" s="977" t="str">
        <f>IF(LEN('Ch5'!X43)=0,"None",'Ch5'!X43)</f>
        <v>None</v>
      </c>
      <c r="Z42" s="978"/>
      <c r="AA42" s="562"/>
      <c r="AB42" s="562"/>
      <c r="AC42" s="562"/>
      <c r="AD42" s="562"/>
      <c r="AE42" s="562"/>
      <c r="AF42" s="562"/>
      <c r="AG42" s="562"/>
      <c r="AH42" s="562"/>
      <c r="AI42" s="562"/>
      <c r="AJ42" s="562"/>
      <c r="AK42" s="562"/>
      <c r="AL42" s="562"/>
      <c r="AM42" s="562"/>
      <c r="AN42" s="562"/>
      <c r="AO42" s="562"/>
      <c r="AP42" s="562"/>
      <c r="AQ42" s="562"/>
      <c r="AR42" s="190" t="str">
        <f>SUBSTITUTE(SUBSTITUTE(SUBSTITUTE("vnt"&amp;$B42&amp;$C42&amp;$D42&amp;$E42&amp;$F42,".","_"),"(","_"),")","")</f>
        <v>vnt503_0</v>
      </c>
      <c r="AS42" s="190">
        <f>X42</f>
        <v>0</v>
      </c>
      <c r="AT42" s="562"/>
      <c r="AU42" s="562"/>
      <c r="AV42" s="562"/>
      <c r="AW42" s="562"/>
      <c r="AX42" s="594" t="str">
        <f>'Overview (Verification)'!A41</f>
        <v>Maximum skylight SHGC:</v>
      </c>
      <c r="AY42" s="562">
        <f>IF(LEN('Overview (Verification)'!P41)=0,0,'Overview (Verification)'!P41)</f>
        <v>0</v>
      </c>
    </row>
    <row r="43" spans="1:51" x14ac:dyDescent="0.2">
      <c r="A43" s="541">
        <v>5</v>
      </c>
      <c r="B43" s="544" t="s">
        <v>2209</v>
      </c>
      <c r="C43" s="544"/>
      <c r="D43" s="544"/>
      <c r="E43" s="544"/>
      <c r="F43" s="544"/>
      <c r="G43" s="545"/>
      <c r="H43" s="545"/>
      <c r="I43" s="71"/>
      <c r="J43" s="71"/>
      <c r="K43" s="71"/>
      <c r="L43" s="820"/>
      <c r="M43" s="676"/>
      <c r="N43" s="668"/>
      <c r="O43" s="668"/>
      <c r="P43" s="64"/>
      <c r="Q43" s="64"/>
      <c r="R43" s="64"/>
      <c r="S43" s="64"/>
      <c r="T43" s="64"/>
      <c r="U43" s="64"/>
      <c r="V43" s="64"/>
      <c r="W43" s="64"/>
      <c r="X43" s="798"/>
      <c r="Y43" s="977"/>
      <c r="Z43" s="978"/>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94" t="str">
        <f>'Overview (Verification)'!A42</f>
        <v>Maximum window and door U-value:</v>
      </c>
      <c r="AY43" s="562">
        <f>IF(LEN('Overview (Verification)'!P42)=0,0,'Overview (Verification)'!P42)</f>
        <v>0</v>
      </c>
    </row>
    <row r="44" spans="1:51" x14ac:dyDescent="0.2">
      <c r="A44" s="541">
        <v>5</v>
      </c>
      <c r="B44" s="544" t="s">
        <v>2209</v>
      </c>
      <c r="C44" s="544"/>
      <c r="D44" s="544"/>
      <c r="E44" s="544"/>
      <c r="F44" s="544"/>
      <c r="G44" s="545"/>
      <c r="H44" s="545"/>
      <c r="I44" s="71"/>
      <c r="J44" s="71"/>
      <c r="K44" s="71"/>
      <c r="L44" s="820"/>
      <c r="M44" s="676"/>
      <c r="N44" s="668"/>
      <c r="O44" s="668"/>
      <c r="P44" s="64"/>
      <c r="Q44" s="64"/>
      <c r="R44" s="64"/>
      <c r="S44" s="64"/>
      <c r="T44" s="64"/>
      <c r="U44" s="64"/>
      <c r="V44" s="64"/>
      <c r="W44" s="64"/>
      <c r="X44" s="798"/>
      <c r="Y44" s="977"/>
      <c r="Z44" s="978"/>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94" t="str">
        <f>'Overview (Verification)'!A43</f>
        <v>Maximum skylight U-value:</v>
      </c>
      <c r="AY44" s="562">
        <f>IF(LEN('Overview (Verification)'!P43)=0,0,'Overview (Verification)'!P43)</f>
        <v>0</v>
      </c>
    </row>
    <row r="45" spans="1:51" x14ac:dyDescent="0.2">
      <c r="A45" s="541">
        <v>5</v>
      </c>
      <c r="B45" s="544" t="s">
        <v>2209</v>
      </c>
      <c r="C45" s="544"/>
      <c r="D45" s="544"/>
      <c r="E45" s="544"/>
      <c r="F45" s="544"/>
      <c r="G45" s="545"/>
      <c r="H45" s="545"/>
      <c r="I45" s="71"/>
      <c r="J45" s="71"/>
      <c r="K45" s="71"/>
      <c r="L45" s="820"/>
      <c r="M45" s="676"/>
      <c r="N45" s="668"/>
      <c r="O45" s="668"/>
      <c r="P45" s="64"/>
      <c r="Q45" s="64"/>
      <c r="R45" s="64"/>
      <c r="S45" s="64"/>
      <c r="T45" s="64"/>
      <c r="U45" s="64"/>
      <c r="V45" s="64"/>
      <c r="W45" s="64"/>
      <c r="X45" s="798"/>
      <c r="Y45" s="977"/>
      <c r="Z45" s="978"/>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94" t="str">
        <f>'Overview (Verification)'!A44</f>
        <v>Renewable Energy:</v>
      </c>
      <c r="AY45" s="562">
        <f>IF(LEN('Overview (Verification)'!P44)=0,0,'Overview (Verification)'!P44)</f>
        <v>0</v>
      </c>
    </row>
    <row r="46" spans="1:51" ht="16" thickBot="1" x14ac:dyDescent="0.25">
      <c r="A46" s="541">
        <v>5</v>
      </c>
      <c r="B46" s="544" t="s">
        <v>2209</v>
      </c>
      <c r="C46" s="544"/>
      <c r="D46" s="544"/>
      <c r="E46" s="544"/>
      <c r="F46" s="544"/>
      <c r="G46" s="545"/>
      <c r="H46" s="545"/>
      <c r="I46" s="72"/>
      <c r="J46" s="72"/>
      <c r="K46" s="72"/>
      <c r="L46" s="73" t="s">
        <v>2212</v>
      </c>
      <c r="M46" s="677"/>
      <c r="N46" s="674"/>
      <c r="O46" s="674"/>
      <c r="P46" s="68"/>
      <c r="Q46" s="68"/>
      <c r="R46" s="68"/>
      <c r="S46" s="68"/>
      <c r="T46" s="68"/>
      <c r="U46" s="68"/>
      <c r="V46" s="68"/>
      <c r="W46" s="68"/>
      <c r="X46" s="799"/>
      <c r="Y46" s="979"/>
      <c r="Z46" s="1007"/>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94" t="str">
        <f>'Overview (Verification)'!A45</f>
        <v>Thermal Envelope Insulation:</v>
      </c>
      <c r="AY46" s="562">
        <f>IF(LEN('Overview (Verification)'!P45)=0,0,'Overview (Verification)'!P45)</f>
        <v>0</v>
      </c>
    </row>
    <row r="47" spans="1:51" ht="15.75" customHeight="1" thickTop="1" x14ac:dyDescent="0.2">
      <c r="A47" s="541">
        <v>5</v>
      </c>
      <c r="B47" s="544" t="s">
        <v>2213</v>
      </c>
      <c r="C47" s="544"/>
      <c r="D47" s="544"/>
      <c r="E47" s="544"/>
      <c r="F47" s="544"/>
      <c r="G47" s="539" t="str">
        <f>IF(COUNTIF(G49:G58,"P")&gt;0,"P","")</f>
        <v/>
      </c>
      <c r="H47" s="545" t="s">
        <v>3757</v>
      </c>
      <c r="I47" s="613" t="s">
        <v>2214</v>
      </c>
      <c r="J47" s="613"/>
      <c r="K47" s="613"/>
      <c r="L47" s="811" t="s">
        <v>2215</v>
      </c>
      <c r="M47" s="675"/>
      <c r="N47" s="673"/>
      <c r="O47" s="673"/>
      <c r="P47" s="74"/>
      <c r="Q47" s="74"/>
      <c r="R47" s="74"/>
      <c r="S47" s="74"/>
      <c r="T47" s="74"/>
      <c r="U47" s="74"/>
      <c r="V47" s="74"/>
      <c r="W47" s="74"/>
      <c r="X47" s="802"/>
      <c r="Y47" s="975" t="str">
        <f>IF(LEN('Ch5'!X48)=0,"None",'Ch5'!X48)</f>
        <v>None</v>
      </c>
      <c r="Z47" s="976"/>
      <c r="AA47" s="562"/>
      <c r="AB47" s="562"/>
      <c r="AC47" s="562"/>
      <c r="AD47" s="562"/>
      <c r="AE47" s="562"/>
      <c r="AF47" s="562"/>
      <c r="AG47" s="562"/>
      <c r="AH47" s="562"/>
      <c r="AI47" s="562"/>
      <c r="AJ47" s="562"/>
      <c r="AK47" s="562"/>
      <c r="AL47" s="562"/>
      <c r="AM47" s="562"/>
      <c r="AN47" s="562"/>
      <c r="AO47" s="562"/>
      <c r="AP47" s="562"/>
      <c r="AQ47" s="562"/>
      <c r="AR47" s="190" t="str">
        <f>SUBSTITUTE(SUBSTITUTE(SUBSTITUTE("vnt"&amp;$B47&amp;$C47&amp;$D47&amp;$E47&amp;$F47,".","_"),"(","_"),")","")</f>
        <v>vnt503_1</v>
      </c>
      <c r="AS47" s="190">
        <f>X47</f>
        <v>0</v>
      </c>
      <c r="AT47" s="562"/>
      <c r="AU47" s="562"/>
      <c r="AV47" s="562"/>
      <c r="AW47" s="562"/>
      <c r="AX47" s="594" t="str">
        <f>'Overview (Verification)'!A46</f>
        <v>Attic Type:</v>
      </c>
      <c r="AY47" s="562">
        <f>IF(LEN('Overview (Verification)'!P46)=0,0,'Overview (Verification)'!P46)</f>
        <v>0</v>
      </c>
    </row>
    <row r="48" spans="1:51" s="507" customFormat="1" ht="15.75" customHeight="1" x14ac:dyDescent="0.2">
      <c r="A48" s="541">
        <v>5</v>
      </c>
      <c r="B48" s="544" t="s">
        <v>2213</v>
      </c>
      <c r="C48" s="544"/>
      <c r="D48" s="544"/>
      <c r="E48" s="544"/>
      <c r="F48" s="544"/>
      <c r="G48" s="543" t="str">
        <f>G47</f>
        <v/>
      </c>
      <c r="H48" s="545" t="s">
        <v>3757</v>
      </c>
      <c r="I48" s="614"/>
      <c r="J48" s="614"/>
      <c r="K48" s="614"/>
      <c r="L48" s="812"/>
      <c r="M48" s="676"/>
      <c r="N48" s="668"/>
      <c r="O48" s="668"/>
      <c r="P48" s="64"/>
      <c r="Q48" s="64"/>
      <c r="R48" s="64"/>
      <c r="S48" s="64"/>
      <c r="T48" s="64"/>
      <c r="U48" s="64"/>
      <c r="V48" s="64"/>
      <c r="W48" s="64"/>
      <c r="X48" s="786"/>
      <c r="Y48" s="975"/>
      <c r="Z48" s="976"/>
      <c r="AA48" s="562"/>
      <c r="AB48" s="562"/>
      <c r="AC48" s="562"/>
      <c r="AD48" s="562"/>
      <c r="AE48" s="562"/>
      <c r="AF48" s="562"/>
      <c r="AG48" s="562"/>
      <c r="AH48" s="562"/>
      <c r="AI48" s="562"/>
      <c r="AJ48" s="562"/>
      <c r="AK48" s="562"/>
      <c r="AL48" s="562"/>
      <c r="AM48" s="562"/>
      <c r="AN48" s="562"/>
      <c r="AO48" s="562"/>
      <c r="AP48" s="562"/>
      <c r="AQ48" s="562"/>
      <c r="AR48" s="190"/>
      <c r="AS48" s="190"/>
      <c r="AT48" s="562"/>
      <c r="AU48" s="562"/>
      <c r="AV48" s="562"/>
      <c r="AW48" s="562"/>
      <c r="AX48" s="594"/>
      <c r="AY48" s="562"/>
    </row>
    <row r="49" spans="1:51" x14ac:dyDescent="0.2">
      <c r="A49" s="541">
        <v>5</v>
      </c>
      <c r="B49" s="544" t="s">
        <v>2213</v>
      </c>
      <c r="C49" s="544"/>
      <c r="D49" s="544"/>
      <c r="E49" s="544" t="s">
        <v>2181</v>
      </c>
      <c r="F49" s="544"/>
      <c r="G49" s="543" t="str">
        <f>IF(N49&gt;0,"P","")</f>
        <v/>
      </c>
      <c r="H49" s="545" t="s">
        <v>3757</v>
      </c>
      <c r="I49" s="71"/>
      <c r="J49" s="125" t="s">
        <v>2181</v>
      </c>
      <c r="K49" s="128"/>
      <c r="L49" s="126" t="s">
        <v>2216</v>
      </c>
      <c r="M49" s="679">
        <v>5</v>
      </c>
      <c r="N49" s="669">
        <f>'Ch5'!O50</f>
        <v>0</v>
      </c>
      <c r="O49" s="669">
        <f>M49*W49</f>
        <v>0</v>
      </c>
      <c r="P49" s="562" t="b">
        <v>1</v>
      </c>
      <c r="Q49" s="562" t="b">
        <v>0</v>
      </c>
      <c r="R49" s="64" t="b">
        <v>0</v>
      </c>
      <c r="S49" s="64" t="b">
        <v>1</v>
      </c>
      <c r="T49" s="64" t="b">
        <v>0</v>
      </c>
      <c r="U49" s="64"/>
      <c r="V49" s="64"/>
      <c r="W49" s="18"/>
      <c r="X49" s="798"/>
      <c r="Y49" s="977"/>
      <c r="Z49" s="978"/>
      <c r="AA49" s="562"/>
      <c r="AB49" s="562"/>
      <c r="AC49" s="562"/>
      <c r="AD49" s="562"/>
      <c r="AE49" s="562"/>
      <c r="AF49" s="562"/>
      <c r="AG49" s="562"/>
      <c r="AH49" s="562"/>
      <c r="AI49" s="562"/>
      <c r="AJ49" s="562"/>
      <c r="AK49" s="562"/>
      <c r="AL49" s="190" t="str">
        <f t="shared" ref="AL49:AL50" si="5">SUBSTITUTE(SUBSTITUTE(SUBSTITUTE("vpa"&amp;$B49&amp;$C49&amp;$D49&amp;$E49&amp;$F49,".","_"),"(","_"),")","")</f>
        <v>vpa503_1_1</v>
      </c>
      <c r="AM49" s="190">
        <f>M49</f>
        <v>5</v>
      </c>
      <c r="AN49" s="190" t="str">
        <f t="shared" ref="AN49:AN50" si="6">SUBSTITUTE(SUBSTITUTE(SUBSTITUTE("vpc"&amp;$B49&amp;$C49&amp;$D49&amp;$E49&amp;$F49,".","_"),"(","_"),")","")</f>
        <v>vpc503_1_1</v>
      </c>
      <c r="AO49" s="190">
        <f>O49</f>
        <v>0</v>
      </c>
      <c r="AP49" s="190" t="str">
        <f t="shared" ref="AP49:AP50" si="7">SUBSTITUTE(SUBSTITUTE(SUBSTITUTE("vch"&amp;$B49&amp;$C49&amp;$D49&amp;$E49&amp;$F49,".","_"),"(","_"),")","")</f>
        <v>vch503_1_1</v>
      </c>
      <c r="AQ49" s="190">
        <f>W49</f>
        <v>0</v>
      </c>
      <c r="AR49" s="190"/>
      <c r="AS49" s="190"/>
      <c r="AT49" s="562"/>
      <c r="AU49" s="562"/>
      <c r="AV49" s="562"/>
      <c r="AW49" s="562"/>
      <c r="AX49" s="594" t="str">
        <f>'Overview (Verification)'!A47</f>
        <v>Attached Garage:</v>
      </c>
      <c r="AY49" s="562">
        <f>IF(LEN('Overview (Verification)'!P47)=0,0,'Overview (Verification)'!P47)</f>
        <v>0</v>
      </c>
    </row>
    <row r="50" spans="1:51" x14ac:dyDescent="0.2">
      <c r="A50" s="541">
        <v>5</v>
      </c>
      <c r="B50" s="544" t="s">
        <v>2213</v>
      </c>
      <c r="C50" s="544"/>
      <c r="D50" s="544"/>
      <c r="E50" s="544" t="s">
        <v>2183</v>
      </c>
      <c r="F50" s="544"/>
      <c r="G50" s="543" t="str">
        <f>IF(N50&gt;0,"P","")</f>
        <v/>
      </c>
      <c r="H50" s="545" t="s">
        <v>3757</v>
      </c>
      <c r="I50" s="71"/>
      <c r="J50" s="61" t="s">
        <v>2183</v>
      </c>
      <c r="K50" s="71"/>
      <c r="L50" s="791" t="s">
        <v>2217</v>
      </c>
      <c r="M50" s="992">
        <v>6</v>
      </c>
      <c r="N50" s="923">
        <f>'Ch5'!O51</f>
        <v>0</v>
      </c>
      <c r="O50" s="924">
        <f>M50*S50*W50</f>
        <v>0</v>
      </c>
      <c r="P50" s="562" t="b">
        <v>1</v>
      </c>
      <c r="Q50" s="562" t="b">
        <v>0</v>
      </c>
      <c r="R50" s="64" t="b">
        <v>0</v>
      </c>
      <c r="S50" s="64" t="b">
        <f>IF(W49=TRUE,TRUE,FALSE)</f>
        <v>0</v>
      </c>
      <c r="T50" s="64" t="b">
        <f>IF(AND(NOT(S50),W50=TRUE),TRUE,FALSE)</f>
        <v>0</v>
      </c>
      <c r="U50" s="64"/>
      <c r="V50" s="64"/>
      <c r="W50" s="18"/>
      <c r="X50" s="798"/>
      <c r="Y50" s="977"/>
      <c r="Z50" s="978"/>
      <c r="AA50" s="562"/>
      <c r="AB50" s="562"/>
      <c r="AC50" s="562" t="b">
        <f>OR(AD50:AE50)</f>
        <v>0</v>
      </c>
      <c r="AD50" s="562" t="b">
        <f>T50</f>
        <v>0</v>
      </c>
      <c r="AE50" s="562"/>
      <c r="AF50" s="562"/>
      <c r="AG50" s="562"/>
      <c r="AH50" s="562"/>
      <c r="AI50" s="562"/>
      <c r="AJ50" s="562"/>
      <c r="AK50" s="562"/>
      <c r="AL50" s="190" t="str">
        <f t="shared" si="5"/>
        <v>vpa503_1_2</v>
      </c>
      <c r="AM50" s="190">
        <f>M50</f>
        <v>6</v>
      </c>
      <c r="AN50" s="190" t="str">
        <f t="shared" si="6"/>
        <v>vpc503_1_2</v>
      </c>
      <c r="AO50" s="190">
        <f>O50</f>
        <v>0</v>
      </c>
      <c r="AP50" s="190" t="str">
        <f t="shared" si="7"/>
        <v>vch503_1_2</v>
      </c>
      <c r="AQ50" s="190">
        <f>W50</f>
        <v>0</v>
      </c>
      <c r="AR50" s="190"/>
      <c r="AS50" s="190"/>
      <c r="AT50" s="562"/>
      <c r="AU50" s="562"/>
      <c r="AV50" s="562"/>
      <c r="AW50" s="562"/>
      <c r="AX50" s="594" t="str">
        <f>'Overview (Verification)'!A48</f>
        <v>Recessed Lighting:</v>
      </c>
      <c r="AY50" s="562">
        <f>IF(LEN('Overview (Verification)'!P48)=0,0,'Overview (Verification)'!P48)</f>
        <v>0</v>
      </c>
    </row>
    <row r="51" spans="1:51" x14ac:dyDescent="0.2">
      <c r="A51" s="541">
        <v>5</v>
      </c>
      <c r="B51" s="544" t="s">
        <v>2213</v>
      </c>
      <c r="C51" s="544"/>
      <c r="D51" s="544"/>
      <c r="E51" s="544" t="s">
        <v>2183</v>
      </c>
      <c r="F51" s="544"/>
      <c r="G51" s="543" t="str">
        <f>G50</f>
        <v/>
      </c>
      <c r="H51" s="545" t="s">
        <v>3757</v>
      </c>
      <c r="I51" s="71"/>
      <c r="J51" s="125"/>
      <c r="K51" s="128"/>
      <c r="L51" s="792"/>
      <c r="M51" s="995"/>
      <c r="N51" s="942"/>
      <c r="O51" s="942"/>
      <c r="P51" s="64"/>
      <c r="Q51" s="64"/>
      <c r="R51" s="64"/>
      <c r="S51" s="64"/>
      <c r="T51" s="64"/>
      <c r="U51" s="64"/>
      <c r="V51" s="64"/>
      <c r="W51" s="64"/>
      <c r="X51" s="798"/>
      <c r="Y51" s="977"/>
      <c r="Z51" s="978"/>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94"/>
      <c r="AY51" s="562"/>
    </row>
    <row r="52" spans="1:51" x14ac:dyDescent="0.2">
      <c r="A52" s="541">
        <v>5</v>
      </c>
      <c r="B52" s="544" t="s">
        <v>2213</v>
      </c>
      <c r="C52" s="544"/>
      <c r="D52" s="544"/>
      <c r="E52" s="544" t="s">
        <v>2185</v>
      </c>
      <c r="F52" s="544"/>
      <c r="G52" s="543" t="str">
        <f>IF(N52&gt;0,"P","")</f>
        <v/>
      </c>
      <c r="H52" s="545" t="s">
        <v>3757</v>
      </c>
      <c r="I52" s="71"/>
      <c r="J52" s="61" t="s">
        <v>2185</v>
      </c>
      <c r="K52" s="71"/>
      <c r="L52" s="791" t="s">
        <v>2218</v>
      </c>
      <c r="M52" s="992">
        <v>4</v>
      </c>
      <c r="N52" s="923">
        <f>'Ch5'!O53</f>
        <v>0</v>
      </c>
      <c r="O52" s="924">
        <f>M52*S52*W52</f>
        <v>0</v>
      </c>
      <c r="P52" s="562" t="b">
        <v>1</v>
      </c>
      <c r="Q52" s="562" t="b">
        <v>0</v>
      </c>
      <c r="R52" s="64" t="b">
        <v>0</v>
      </c>
      <c r="S52" s="64" t="b">
        <f>IF(AND(W49=TRUE,W50=TRUE),TRUE,FALSE)</f>
        <v>0</v>
      </c>
      <c r="T52" s="64" t="b">
        <f>IF(AND(NOT(S52),W52=TRUE),TRUE,FALSE)</f>
        <v>0</v>
      </c>
      <c r="U52" s="64"/>
      <c r="V52" s="64"/>
      <c r="W52" s="18"/>
      <c r="X52" s="798"/>
      <c r="Y52" s="977"/>
      <c r="Z52" s="978"/>
      <c r="AA52" s="562"/>
      <c r="AB52" s="562"/>
      <c r="AC52" s="562" t="b">
        <f>OR(AD52:AE52)</f>
        <v>0</v>
      </c>
      <c r="AD52" s="562" t="b">
        <f>T52</f>
        <v>0</v>
      </c>
      <c r="AE52" s="562"/>
      <c r="AF52" s="562"/>
      <c r="AG52" s="562"/>
      <c r="AH52" s="562"/>
      <c r="AI52" s="562"/>
      <c r="AJ52" s="562"/>
      <c r="AK52" s="562"/>
      <c r="AL52" s="190" t="str">
        <f>SUBSTITUTE(SUBSTITUTE(SUBSTITUTE("vpa"&amp;$B52&amp;$C52&amp;$D52&amp;$E52&amp;$F52,".","_"),"(","_"),")","")</f>
        <v>vpa503_1_3</v>
      </c>
      <c r="AM52" s="190">
        <f>M52</f>
        <v>4</v>
      </c>
      <c r="AN52" s="190" t="str">
        <f>SUBSTITUTE(SUBSTITUTE(SUBSTITUTE("vpc"&amp;$B52&amp;$C52&amp;$D52&amp;$E52&amp;$F52,".","_"),"(","_"),")","")</f>
        <v>vpc503_1_3</v>
      </c>
      <c r="AO52" s="190">
        <f>O52</f>
        <v>0</v>
      </c>
      <c r="AP52" s="190" t="str">
        <f>SUBSTITUTE(SUBSTITUTE(SUBSTITUTE("vch"&amp;$B52&amp;$C52&amp;$D52&amp;$E52&amp;$F52,".","_"),"(","_"),")","")</f>
        <v>vch503_1_3</v>
      </c>
      <c r="AQ52" s="190">
        <f>W52</f>
        <v>0</v>
      </c>
      <c r="AR52" s="190"/>
      <c r="AS52" s="190"/>
      <c r="AT52" s="562"/>
      <c r="AU52" s="562"/>
      <c r="AV52" s="562"/>
      <c r="AW52" s="562"/>
      <c r="AX52" s="594" t="str">
        <f>'Overview (Verification)'!A50</f>
        <v>Special Design Features:</v>
      </c>
      <c r="AY52" s="562"/>
    </row>
    <row r="53" spans="1:51" x14ac:dyDescent="0.2">
      <c r="A53" s="541">
        <v>5</v>
      </c>
      <c r="B53" s="544" t="s">
        <v>2213</v>
      </c>
      <c r="C53" s="544"/>
      <c r="D53" s="544"/>
      <c r="E53" s="544" t="s">
        <v>2185</v>
      </c>
      <c r="F53" s="544"/>
      <c r="G53" s="543" t="str">
        <f>G52</f>
        <v/>
      </c>
      <c r="H53" s="545" t="s">
        <v>3757</v>
      </c>
      <c r="I53" s="71"/>
      <c r="J53" s="125"/>
      <c r="K53" s="128"/>
      <c r="L53" s="792"/>
      <c r="M53" s="995"/>
      <c r="N53" s="942"/>
      <c r="O53" s="942"/>
      <c r="P53" s="64"/>
      <c r="Q53" s="64"/>
      <c r="R53" s="64"/>
      <c r="S53" s="64"/>
      <c r="T53" s="64"/>
      <c r="U53" s="64"/>
      <c r="V53" s="64"/>
      <c r="W53" s="64"/>
      <c r="X53" s="798"/>
      <c r="Y53" s="977"/>
      <c r="Z53" s="978"/>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94" t="str">
        <f>'Overview (Verification)'!A51</f>
        <v>Passive Solar:</v>
      </c>
      <c r="AY53" s="562">
        <f>IF(LEN('Overview (Verification)'!P51)=0,0,'Overview (Verification)'!P51)</f>
        <v>0</v>
      </c>
    </row>
    <row r="54" spans="1:51" x14ac:dyDescent="0.2">
      <c r="A54" s="541">
        <v>5</v>
      </c>
      <c r="B54" s="544" t="s">
        <v>2213</v>
      </c>
      <c r="C54" s="544"/>
      <c r="D54" s="544"/>
      <c r="E54" s="544" t="s">
        <v>2192</v>
      </c>
      <c r="F54" s="544"/>
      <c r="G54" s="543" t="str">
        <f>IF(N54&gt;0,"P","")</f>
        <v/>
      </c>
      <c r="H54" s="545" t="s">
        <v>3757</v>
      </c>
      <c r="I54" s="71"/>
      <c r="J54" s="125" t="s">
        <v>2192</v>
      </c>
      <c r="K54" s="128"/>
      <c r="L54" s="126" t="s">
        <v>2219</v>
      </c>
      <c r="M54" s="679">
        <v>4</v>
      </c>
      <c r="N54" s="669">
        <f>'Ch5'!O55</f>
        <v>0</v>
      </c>
      <c r="O54" s="669">
        <f>M54*W54</f>
        <v>0</v>
      </c>
      <c r="P54" s="562" t="b">
        <v>1</v>
      </c>
      <c r="Q54" s="562" t="b">
        <v>0</v>
      </c>
      <c r="R54" s="64" t="b">
        <v>0</v>
      </c>
      <c r="S54" s="64" t="b">
        <v>1</v>
      </c>
      <c r="T54" s="64" t="b">
        <v>0</v>
      </c>
      <c r="U54" s="64"/>
      <c r="V54" s="64"/>
      <c r="W54" s="18"/>
      <c r="X54" s="798"/>
      <c r="Y54" s="977"/>
      <c r="Z54" s="978"/>
      <c r="AA54" s="562"/>
      <c r="AB54" s="562"/>
      <c r="AC54" s="562"/>
      <c r="AD54" s="562"/>
      <c r="AE54" s="562"/>
      <c r="AF54" s="562"/>
      <c r="AG54" s="562"/>
      <c r="AH54" s="562"/>
      <c r="AI54" s="562"/>
      <c r="AJ54" s="562"/>
      <c r="AK54" s="562"/>
      <c r="AL54" s="190" t="str">
        <f t="shared" ref="AL54:AL56" si="8">SUBSTITUTE(SUBSTITUTE(SUBSTITUTE("vpa"&amp;$B54&amp;$C54&amp;$D54&amp;$E54&amp;$F54,".","_"),"(","_"),")","")</f>
        <v>vpa503_1_4</v>
      </c>
      <c r="AM54" s="190">
        <f>M54</f>
        <v>4</v>
      </c>
      <c r="AN54" s="190" t="str">
        <f t="shared" ref="AN54:AN56" si="9">SUBSTITUTE(SUBSTITUTE(SUBSTITUTE("vpc"&amp;$B54&amp;$C54&amp;$D54&amp;$E54&amp;$F54,".","_"),"(","_"),")","")</f>
        <v>vpc503_1_4</v>
      </c>
      <c r="AO54" s="190">
        <f>O54</f>
        <v>0</v>
      </c>
      <c r="AP54" s="190" t="str">
        <f t="shared" ref="AP54:AP56" si="10">SUBSTITUTE(SUBSTITUTE(SUBSTITUTE("vch"&amp;$B54&amp;$C54&amp;$D54&amp;$E54&amp;$F54,".","_"),"(","_"),")","")</f>
        <v>vch503_1_4</v>
      </c>
      <c r="AQ54" s="190">
        <f>W54</f>
        <v>0</v>
      </c>
      <c r="AR54" s="190"/>
      <c r="AS54" s="190"/>
      <c r="AT54" s="562"/>
      <c r="AU54" s="562"/>
      <c r="AV54" s="562"/>
      <c r="AW54" s="562"/>
      <c r="AX54" s="594" t="str">
        <f>'Overview (Verification)'!A52</f>
        <v>Mass Walls:</v>
      </c>
      <c r="AY54" s="562">
        <f>IF(LEN('Overview (Verification)'!P52)=0,0,'Overview (Verification)'!P52)</f>
        <v>0</v>
      </c>
    </row>
    <row r="55" spans="1:51" x14ac:dyDescent="0.2">
      <c r="A55" s="541">
        <v>5</v>
      </c>
      <c r="B55" s="544" t="s">
        <v>2213</v>
      </c>
      <c r="C55" s="544"/>
      <c r="D55" s="544"/>
      <c r="E55" s="544" t="s">
        <v>2194</v>
      </c>
      <c r="F55" s="544"/>
      <c r="G55" s="543" t="str">
        <f>IF(N55&gt;0,"P","")</f>
        <v/>
      </c>
      <c r="H55" s="545" t="s">
        <v>3757</v>
      </c>
      <c r="I55" s="71"/>
      <c r="J55" s="125" t="s">
        <v>2194</v>
      </c>
      <c r="K55" s="128"/>
      <c r="L55" s="126" t="s">
        <v>2220</v>
      </c>
      <c r="M55" s="679">
        <v>3</v>
      </c>
      <c r="N55" s="669">
        <f>'Ch5'!O56</f>
        <v>0</v>
      </c>
      <c r="O55" s="669">
        <f>M55*W55</f>
        <v>0</v>
      </c>
      <c r="P55" s="562" t="b">
        <v>1</v>
      </c>
      <c r="Q55" s="562" t="b">
        <v>0</v>
      </c>
      <c r="R55" s="64" t="b">
        <v>0</v>
      </c>
      <c r="S55" s="64" t="b">
        <v>1</v>
      </c>
      <c r="T55" s="64" t="b">
        <v>0</v>
      </c>
      <c r="U55" s="64"/>
      <c r="V55" s="64"/>
      <c r="W55" s="18"/>
      <c r="X55" s="798"/>
      <c r="Y55" s="977"/>
      <c r="Z55" s="978"/>
      <c r="AA55" s="562"/>
      <c r="AB55" s="562"/>
      <c r="AC55" s="562"/>
      <c r="AD55" s="562"/>
      <c r="AE55" s="562"/>
      <c r="AF55" s="562"/>
      <c r="AG55" s="562"/>
      <c r="AH55" s="562"/>
      <c r="AI55" s="562"/>
      <c r="AJ55" s="562"/>
      <c r="AK55" s="562"/>
      <c r="AL55" s="190" t="str">
        <f t="shared" si="8"/>
        <v>vpa503_1_5</v>
      </c>
      <c r="AM55" s="190">
        <f>M55</f>
        <v>3</v>
      </c>
      <c r="AN55" s="190" t="str">
        <f t="shared" si="9"/>
        <v>vpc503_1_5</v>
      </c>
      <c r="AO55" s="190">
        <f>O55</f>
        <v>0</v>
      </c>
      <c r="AP55" s="190" t="str">
        <f t="shared" si="10"/>
        <v>vch503_1_5</v>
      </c>
      <c r="AQ55" s="190">
        <f>W55</f>
        <v>0</v>
      </c>
      <c r="AR55" s="190"/>
      <c r="AS55" s="190"/>
      <c r="AT55" s="562"/>
      <c r="AU55" s="562"/>
      <c r="AV55" s="562"/>
      <c r="AW55" s="562"/>
      <c r="AX55" s="594" t="str">
        <f>'Overview (Verification)'!A53</f>
        <v>Ductless:</v>
      </c>
      <c r="AY55" s="562">
        <f>IF(LEN('Overview (Verification)'!P53)=0,0,'Overview (Verification)'!P53)</f>
        <v>0</v>
      </c>
    </row>
    <row r="56" spans="1:51" x14ac:dyDescent="0.2">
      <c r="A56" s="541">
        <v>5</v>
      </c>
      <c r="B56" s="544" t="s">
        <v>2213</v>
      </c>
      <c r="C56" s="544"/>
      <c r="D56" s="544"/>
      <c r="E56" s="544" t="s">
        <v>2221</v>
      </c>
      <c r="F56" s="544"/>
      <c r="G56" s="543" t="str">
        <f>IF(N56&gt;0,"P","")</f>
        <v/>
      </c>
      <c r="H56" s="545" t="s">
        <v>3757</v>
      </c>
      <c r="I56" s="71"/>
      <c r="J56" s="61" t="s">
        <v>2221</v>
      </c>
      <c r="K56" s="71"/>
      <c r="L56" s="791" t="s">
        <v>2222</v>
      </c>
      <c r="M56" s="992">
        <v>4</v>
      </c>
      <c r="N56" s="923">
        <f>'Ch5'!O57</f>
        <v>0</v>
      </c>
      <c r="O56" s="924">
        <f>M56*W56</f>
        <v>0</v>
      </c>
      <c r="P56" s="562" t="b">
        <v>1</v>
      </c>
      <c r="Q56" s="562" t="b">
        <v>0</v>
      </c>
      <c r="R56" s="64" t="b">
        <v>0</v>
      </c>
      <c r="S56" s="64" t="b">
        <v>1</v>
      </c>
      <c r="T56" s="64" t="b">
        <v>0</v>
      </c>
      <c r="U56" s="64"/>
      <c r="V56" s="64"/>
      <c r="W56" s="18"/>
      <c r="X56" s="798"/>
      <c r="Y56" s="977"/>
      <c r="Z56" s="978"/>
      <c r="AA56" s="562"/>
      <c r="AB56" s="562"/>
      <c r="AC56" s="562"/>
      <c r="AD56" s="562"/>
      <c r="AE56" s="562"/>
      <c r="AF56" s="562"/>
      <c r="AG56" s="562"/>
      <c r="AH56" s="562"/>
      <c r="AI56" s="562"/>
      <c r="AJ56" s="562"/>
      <c r="AK56" s="562"/>
      <c r="AL56" s="190" t="str">
        <f t="shared" si="8"/>
        <v>vpa503_1_6</v>
      </c>
      <c r="AM56" s="190">
        <f>M56</f>
        <v>4</v>
      </c>
      <c r="AN56" s="190" t="str">
        <f t="shared" si="9"/>
        <v>vpc503_1_6</v>
      </c>
      <c r="AO56" s="190">
        <f>O56</f>
        <v>0</v>
      </c>
      <c r="AP56" s="190" t="str">
        <f t="shared" si="10"/>
        <v>vch503_1_6</v>
      </c>
      <c r="AQ56" s="190">
        <f>W56</f>
        <v>0</v>
      </c>
      <c r="AR56" s="190"/>
      <c r="AS56" s="190"/>
      <c r="AT56" s="562"/>
      <c r="AU56" s="562"/>
      <c r="AV56" s="562"/>
      <c r="AW56" s="562"/>
      <c r="AX56" s="594" t="str">
        <f>'Overview (Verification)'!A54</f>
        <v>Radiant/Hydronic:</v>
      </c>
      <c r="AY56" s="562">
        <f>IF(LEN('Overview (Verification)'!P54)=0,0,'Overview (Verification)'!P54)</f>
        <v>0</v>
      </c>
    </row>
    <row r="57" spans="1:51" x14ac:dyDescent="0.2">
      <c r="A57" s="541">
        <v>5</v>
      </c>
      <c r="B57" s="544" t="s">
        <v>2213</v>
      </c>
      <c r="C57" s="544"/>
      <c r="D57" s="544"/>
      <c r="E57" s="544" t="s">
        <v>2221</v>
      </c>
      <c r="F57" s="544"/>
      <c r="G57" s="543" t="str">
        <f>G56</f>
        <v/>
      </c>
      <c r="H57" s="545" t="s">
        <v>3757</v>
      </c>
      <c r="I57" s="71"/>
      <c r="J57" s="125"/>
      <c r="K57" s="128"/>
      <c r="L57" s="792"/>
      <c r="M57" s="995"/>
      <c r="N57" s="942"/>
      <c r="O57" s="942"/>
      <c r="P57" s="64"/>
      <c r="Q57" s="64"/>
      <c r="R57" s="64"/>
      <c r="S57" s="64"/>
      <c r="T57" s="64"/>
      <c r="U57" s="64"/>
      <c r="V57" s="64"/>
      <c r="W57" s="64"/>
      <c r="X57" s="798"/>
      <c r="Y57" s="977"/>
      <c r="Z57" s="978"/>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94" t="str">
        <f>'Overview (Verification)'!A55</f>
        <v>Tankless Water Heater:</v>
      </c>
      <c r="AY57" s="562">
        <f>IF(LEN('Overview (Verification)'!P55)=0,0,'Overview (Verification)'!P55)</f>
        <v>0</v>
      </c>
    </row>
    <row r="58" spans="1:51" x14ac:dyDescent="0.2">
      <c r="A58" s="541">
        <v>5</v>
      </c>
      <c r="B58" s="544" t="s">
        <v>2213</v>
      </c>
      <c r="C58" s="544"/>
      <c r="D58" s="544"/>
      <c r="E58" s="544" t="s">
        <v>2223</v>
      </c>
      <c r="F58" s="544"/>
      <c r="G58" s="543" t="str">
        <f>IF(N58&gt;0,"P","")</f>
        <v/>
      </c>
      <c r="H58" s="545" t="s">
        <v>3757</v>
      </c>
      <c r="I58" s="71"/>
      <c r="J58" s="61" t="s">
        <v>2223</v>
      </c>
      <c r="K58" s="71"/>
      <c r="L58" s="791" t="s">
        <v>2224</v>
      </c>
      <c r="M58" s="992">
        <v>5</v>
      </c>
      <c r="N58" s="923">
        <f>'Ch5'!O59</f>
        <v>0</v>
      </c>
      <c r="O58" s="924">
        <f>M58*W58</f>
        <v>0</v>
      </c>
      <c r="P58" s="562" t="b">
        <v>1</v>
      </c>
      <c r="Q58" s="562" t="b">
        <v>0</v>
      </c>
      <c r="R58" s="64" t="b">
        <v>0</v>
      </c>
      <c r="S58" s="64" t="b">
        <v>1</v>
      </c>
      <c r="T58" s="64" t="b">
        <v>0</v>
      </c>
      <c r="U58" s="64"/>
      <c r="V58" s="64"/>
      <c r="W58" s="18"/>
      <c r="X58" s="798"/>
      <c r="Y58" s="977"/>
      <c r="Z58" s="978"/>
      <c r="AA58" s="562"/>
      <c r="AB58" s="562"/>
      <c r="AC58" s="562"/>
      <c r="AD58" s="562"/>
      <c r="AE58" s="562"/>
      <c r="AF58" s="562"/>
      <c r="AG58" s="562"/>
      <c r="AH58" s="562"/>
      <c r="AI58" s="562"/>
      <c r="AJ58" s="562"/>
      <c r="AK58" s="562"/>
      <c r="AL58" s="190" t="str">
        <f>SUBSTITUTE(SUBSTITUTE(SUBSTITUTE("vpa"&amp;$B58&amp;$C58&amp;$D58&amp;$E58&amp;$F58,".","_"),"(","_"),")","")</f>
        <v>vpa503_1_7</v>
      </c>
      <c r="AM58" s="190">
        <f>M58</f>
        <v>5</v>
      </c>
      <c r="AN58" s="190" t="str">
        <f>SUBSTITUTE(SUBSTITUTE(SUBSTITUTE("vpc"&amp;$B58&amp;$C58&amp;$D58&amp;$E58&amp;$F58,".","_"),"(","_"),")","")</f>
        <v>vpc503_1_7</v>
      </c>
      <c r="AO58" s="190">
        <f>O58</f>
        <v>0</v>
      </c>
      <c r="AP58" s="190" t="str">
        <f>SUBSTITUTE(SUBSTITUTE(SUBSTITUTE("vch"&amp;$B58&amp;$C58&amp;$D58&amp;$E58&amp;$F58,".","_"),"(","_"),")","")</f>
        <v>vch503_1_7</v>
      </c>
      <c r="AQ58" s="190">
        <f>W58</f>
        <v>0</v>
      </c>
      <c r="AR58" s="190"/>
      <c r="AS58" s="190"/>
      <c r="AT58" s="562"/>
      <c r="AU58" s="562"/>
      <c r="AV58" s="562"/>
      <c r="AW58" s="562"/>
      <c r="AX58" s="594" t="str">
        <f>'Overview (Verification)'!A56</f>
        <v>Composting Toilet:</v>
      </c>
      <c r="AY58" s="562">
        <f>IF(LEN('Overview (Verification)'!P56)=0,0,'Overview (Verification)'!P56)</f>
        <v>0</v>
      </c>
    </row>
    <row r="59" spans="1:51" ht="16" thickBot="1" x14ac:dyDescent="0.25">
      <c r="A59" s="541">
        <v>5</v>
      </c>
      <c r="B59" s="544" t="s">
        <v>2213</v>
      </c>
      <c r="C59" s="544"/>
      <c r="D59" s="544"/>
      <c r="E59" s="544" t="s">
        <v>2223</v>
      </c>
      <c r="F59" s="544"/>
      <c r="G59" s="543" t="str">
        <f>G58</f>
        <v/>
      </c>
      <c r="H59" s="545" t="s">
        <v>3757</v>
      </c>
      <c r="I59" s="72"/>
      <c r="J59" s="72"/>
      <c r="K59" s="72"/>
      <c r="L59" s="818"/>
      <c r="M59" s="993"/>
      <c r="N59" s="982"/>
      <c r="O59" s="982"/>
      <c r="P59" s="68"/>
      <c r="Q59" s="68"/>
      <c r="R59" s="68"/>
      <c r="S59" s="68"/>
      <c r="T59" s="68"/>
      <c r="U59" s="68"/>
      <c r="V59" s="68"/>
      <c r="W59" s="68"/>
      <c r="X59" s="799"/>
      <c r="Y59" s="979"/>
      <c r="Z59" s="1007"/>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94"/>
      <c r="AY59" s="562"/>
    </row>
    <row r="60" spans="1:51" ht="16" thickTop="1" x14ac:dyDescent="0.2">
      <c r="A60" s="541">
        <v>5</v>
      </c>
      <c r="B60" s="544" t="s">
        <v>2225</v>
      </c>
      <c r="C60" s="544"/>
      <c r="D60" s="544"/>
      <c r="E60" s="544"/>
      <c r="F60" s="544"/>
      <c r="G60" s="539" t="str">
        <f ca="1">IF(COUNTIF(G62:G72,"P")&gt;0,"P","")</f>
        <v/>
      </c>
      <c r="H60" s="545" t="s">
        <v>3751</v>
      </c>
      <c r="I60" s="75" t="s">
        <v>2226</v>
      </c>
      <c r="J60" s="76"/>
      <c r="K60" s="76"/>
      <c r="L60" s="95" t="s">
        <v>2227</v>
      </c>
      <c r="M60" s="675"/>
      <c r="N60" s="673"/>
      <c r="O60" s="673"/>
      <c r="P60" s="74"/>
      <c r="Q60" s="74"/>
      <c r="R60" s="74"/>
      <c r="S60" s="74"/>
      <c r="T60" s="74"/>
      <c r="U60" s="74"/>
      <c r="V60" s="74"/>
      <c r="W60" s="74" t="s">
        <v>2228</v>
      </c>
      <c r="X60" s="802"/>
      <c r="Y60" s="975" t="str">
        <f>IF(LEN('Ch5'!X61)=0,"None",'Ch5'!X61)</f>
        <v>None</v>
      </c>
      <c r="Z60" s="1008"/>
      <c r="AA60" s="562">
        <f>'Photo Review'!H60</f>
        <v>0</v>
      </c>
      <c r="AB60" s="562"/>
      <c r="AC60" s="562"/>
      <c r="AD60" s="562"/>
      <c r="AE60" s="562"/>
      <c r="AF60" s="562"/>
      <c r="AG60" s="562"/>
      <c r="AH60" s="562"/>
      <c r="AI60" s="562"/>
      <c r="AJ60" s="562"/>
      <c r="AK60" s="562"/>
      <c r="AL60" s="562"/>
      <c r="AM60" s="562"/>
      <c r="AN60" s="562"/>
      <c r="AO60" s="562"/>
      <c r="AP60" s="562"/>
      <c r="AQ60" s="562"/>
      <c r="AR60" s="190" t="str">
        <f>SUBSTITUTE(SUBSTITUTE(SUBSTITUTE("vnt"&amp;$B60&amp;$C60&amp;$D60&amp;$E60&amp;$F60,".","_"),"(","_"),")","")</f>
        <v>vnt503_2</v>
      </c>
      <c r="AS60" s="190">
        <f>X60</f>
        <v>0</v>
      </c>
      <c r="AT60" s="562"/>
      <c r="AU60" s="562"/>
      <c r="AV60" s="562"/>
      <c r="AW60" s="562"/>
      <c r="AX60" s="594" t="str">
        <f>'Overview (Verification)'!A58</f>
        <v>Local Energy Code:</v>
      </c>
      <c r="AY60" s="562">
        <f>IF(LEN('Overview (Verification)'!P58)=0,0,'Overview (Verification)'!P58)</f>
        <v>0</v>
      </c>
    </row>
    <row r="61" spans="1:51" x14ac:dyDescent="0.2">
      <c r="A61" s="541">
        <v>5</v>
      </c>
      <c r="B61" s="544" t="s">
        <v>2225</v>
      </c>
      <c r="C61" s="544"/>
      <c r="D61" s="544"/>
      <c r="E61" s="544"/>
      <c r="F61" s="544"/>
      <c r="G61" s="543" t="str">
        <f t="shared" ref="G61" ca="1" si="11">G60</f>
        <v/>
      </c>
      <c r="H61" s="545" t="s">
        <v>3751</v>
      </c>
      <c r="I61" s="70"/>
      <c r="J61" s="71"/>
      <c r="K61" s="71"/>
      <c r="L61" s="567" t="s">
        <v>2229</v>
      </c>
      <c r="M61" s="676"/>
      <c r="N61" s="668"/>
      <c r="O61" s="668"/>
      <c r="P61" s="562" t="b">
        <v>1</v>
      </c>
      <c r="Q61" s="562" t="b">
        <v>1</v>
      </c>
      <c r="R61" s="64" t="b">
        <v>1</v>
      </c>
      <c r="S61" s="64" t="b">
        <v>1</v>
      </c>
      <c r="T61" s="64" t="b">
        <v>0</v>
      </c>
      <c r="U61" s="64"/>
      <c r="V61" s="64"/>
      <c r="W61" s="77"/>
      <c r="X61" s="798"/>
      <c r="Y61" s="977"/>
      <c r="Z61" s="973"/>
      <c r="AA61" s="562"/>
      <c r="AB61" s="562"/>
      <c r="AC61" s="562"/>
      <c r="AD61" s="562"/>
      <c r="AE61" s="562"/>
      <c r="AF61" s="562"/>
      <c r="AG61" s="562"/>
      <c r="AH61" s="562"/>
      <c r="AI61" s="562"/>
      <c r="AJ61" s="562"/>
      <c r="AK61" s="562"/>
      <c r="AL61" s="562"/>
      <c r="AM61" s="562"/>
      <c r="AN61" s="562"/>
      <c r="AO61" s="562"/>
      <c r="AP61" s="190" t="str">
        <f t="shared" ref="AP61:AP63" si="12">SUBSTITUTE(SUBSTITUTE(SUBSTITUTE("vch"&amp;$B61&amp;$C61&amp;$D61&amp;$E61&amp;$F61,".","_"),"(","_"),")","")</f>
        <v>vch503_2</v>
      </c>
      <c r="AQ61" s="190">
        <f>W61</f>
        <v>0</v>
      </c>
      <c r="AR61" s="562"/>
      <c r="AS61" s="562"/>
      <c r="AT61" s="562"/>
      <c r="AU61" s="562"/>
      <c r="AV61" s="562"/>
      <c r="AW61" s="562"/>
      <c r="AX61" s="594" t="str">
        <f>'Overview (Verification)'!A59</f>
        <v>Local Building Code:</v>
      </c>
      <c r="AY61" s="562">
        <f>IF(LEN('Overview (Verification)'!P59)=0,0,'Overview (Verification)'!P59)</f>
        <v>0</v>
      </c>
    </row>
    <row r="62" spans="1:51" x14ac:dyDescent="0.2">
      <c r="A62" s="541">
        <v>5</v>
      </c>
      <c r="B62" s="544" t="s">
        <v>2225</v>
      </c>
      <c r="C62" s="544"/>
      <c r="D62" s="544"/>
      <c r="E62" s="544" t="s">
        <v>2181</v>
      </c>
      <c r="F62" s="544"/>
      <c r="G62" s="543" t="str">
        <f>IF(N62&gt;0,"P","")</f>
        <v/>
      </c>
      <c r="H62" s="545" t="s">
        <v>3751</v>
      </c>
      <c r="I62" s="71"/>
      <c r="J62" s="125" t="s">
        <v>2181</v>
      </c>
      <c r="K62" s="128"/>
      <c r="L62" s="126" t="s">
        <v>2230</v>
      </c>
      <c r="M62" s="679">
        <v>5</v>
      </c>
      <c r="N62" s="669">
        <f>'Ch5'!O63</f>
        <v>0</v>
      </c>
      <c r="O62" s="669">
        <f>M62*W62*S62</f>
        <v>0</v>
      </c>
      <c r="P62" s="562" t="b">
        <v>1</v>
      </c>
      <c r="Q62" s="562" t="b">
        <v>1</v>
      </c>
      <c r="R62" s="64" t="b">
        <v>0</v>
      </c>
      <c r="S62" s="64" t="b">
        <f>IF(W61&gt;=0.25,TRUE,FALSE)</f>
        <v>0</v>
      </c>
      <c r="T62" s="64" t="b">
        <f>IF(AND(NOT(S62),W62=TRUE),TRUE,FALSE)</f>
        <v>0</v>
      </c>
      <c r="U62" s="64"/>
      <c r="V62" s="64"/>
      <c r="W62" s="18"/>
      <c r="X62" s="798"/>
      <c r="Y62" s="977"/>
      <c r="Z62" s="973"/>
      <c r="AA62" s="562"/>
      <c r="AB62" s="562"/>
      <c r="AC62" s="562" t="b">
        <f>OR(AD62:AE62)</f>
        <v>0</v>
      </c>
      <c r="AD62" s="562" t="b">
        <f>T62</f>
        <v>0</v>
      </c>
      <c r="AE62" s="562"/>
      <c r="AF62" s="562"/>
      <c r="AG62" s="562"/>
      <c r="AH62" s="562"/>
      <c r="AI62" s="562"/>
      <c r="AJ62" s="562"/>
      <c r="AK62" s="562"/>
      <c r="AL62" s="190" t="str">
        <f t="shared" ref="AL62:AL63" si="13">SUBSTITUTE(SUBSTITUTE(SUBSTITUTE("vpa"&amp;$B62&amp;$C62&amp;$D62&amp;$E62&amp;$F62,".","_"),"(","_"),")","")</f>
        <v>vpa503_2_1</v>
      </c>
      <c r="AM62" s="190">
        <f>M62</f>
        <v>5</v>
      </c>
      <c r="AN62" s="190" t="str">
        <f t="shared" ref="AN62:AN63" si="14">SUBSTITUTE(SUBSTITUTE(SUBSTITUTE("vpc"&amp;$B62&amp;$C62&amp;$D62&amp;$E62&amp;$F62,".","_"),"(","_"),")","")</f>
        <v>vpc503_2_1</v>
      </c>
      <c r="AO62" s="190">
        <f>O62</f>
        <v>0</v>
      </c>
      <c r="AP62" s="190" t="str">
        <f t="shared" si="12"/>
        <v>vch503_2_1</v>
      </c>
      <c r="AQ62" s="190">
        <f>W62</f>
        <v>0</v>
      </c>
      <c r="AR62" s="190"/>
      <c r="AS62" s="190"/>
      <c r="AT62" s="562"/>
      <c r="AU62" s="562"/>
      <c r="AV62" s="562"/>
      <c r="AW62" s="562"/>
      <c r="AX62" s="594"/>
      <c r="AY62" s="562"/>
    </row>
    <row r="63" spans="1:51" x14ac:dyDescent="0.2">
      <c r="A63" s="541">
        <v>5</v>
      </c>
      <c r="B63" s="544" t="s">
        <v>2225</v>
      </c>
      <c r="C63" s="544"/>
      <c r="D63" s="544"/>
      <c r="E63" s="544" t="s">
        <v>2183</v>
      </c>
      <c r="F63" s="544"/>
      <c r="G63" s="543" t="str">
        <f>IF(N63&gt;0,"P","")</f>
        <v/>
      </c>
      <c r="H63" s="545" t="s">
        <v>3751</v>
      </c>
      <c r="I63" s="71"/>
      <c r="J63" s="61" t="s">
        <v>2183</v>
      </c>
      <c r="K63" s="71"/>
      <c r="L63" s="791" t="s">
        <v>2231</v>
      </c>
      <c r="M63" s="992">
        <v>5</v>
      </c>
      <c r="N63" s="923">
        <f>'Ch5'!O64</f>
        <v>0</v>
      </c>
      <c r="O63" s="924">
        <f>M63*W63*S63</f>
        <v>0</v>
      </c>
      <c r="P63" s="562" t="b">
        <v>1</v>
      </c>
      <c r="Q63" s="562" t="b">
        <v>1</v>
      </c>
      <c r="R63" s="64" t="b">
        <v>0</v>
      </c>
      <c r="S63" s="64" t="b">
        <f>S62</f>
        <v>0</v>
      </c>
      <c r="T63" s="64" t="b">
        <f>IF(AND(NOT(S63),W63=TRUE),TRUE,FALSE)</f>
        <v>0</v>
      </c>
      <c r="U63" s="64"/>
      <c r="V63" s="64"/>
      <c r="W63" s="18"/>
      <c r="X63" s="798"/>
      <c r="Y63" s="977"/>
      <c r="Z63" s="973"/>
      <c r="AA63" s="562"/>
      <c r="AB63" s="562"/>
      <c r="AC63" s="562" t="b">
        <f>OR(AD63:AE63)</f>
        <v>0</v>
      </c>
      <c r="AD63" s="562" t="b">
        <f>T63</f>
        <v>0</v>
      </c>
      <c r="AE63" s="562"/>
      <c r="AF63" s="562"/>
      <c r="AG63" s="562"/>
      <c r="AH63" s="562"/>
      <c r="AI63" s="562"/>
      <c r="AJ63" s="562"/>
      <c r="AK63" s="562"/>
      <c r="AL63" s="190" t="str">
        <f t="shared" si="13"/>
        <v>vpa503_2_2</v>
      </c>
      <c r="AM63" s="190">
        <f>M63</f>
        <v>5</v>
      </c>
      <c r="AN63" s="190" t="str">
        <f t="shared" si="14"/>
        <v>vpc503_2_2</v>
      </c>
      <c r="AO63" s="190">
        <f>O63</f>
        <v>0</v>
      </c>
      <c r="AP63" s="190" t="str">
        <f t="shared" si="12"/>
        <v>vch503_2_2</v>
      </c>
      <c r="AQ63" s="190">
        <f>W63</f>
        <v>0</v>
      </c>
      <c r="AR63" s="562"/>
      <c r="AS63" s="562"/>
      <c r="AT63" s="562"/>
      <c r="AU63" s="562"/>
      <c r="AV63" s="562"/>
      <c r="AW63" s="562"/>
      <c r="AX63" s="562"/>
      <c r="AY63" s="562"/>
    </row>
    <row r="64" spans="1:51" x14ac:dyDescent="0.2">
      <c r="A64" s="541">
        <v>5</v>
      </c>
      <c r="B64" s="544" t="s">
        <v>2225</v>
      </c>
      <c r="C64" s="544"/>
      <c r="D64" s="544"/>
      <c r="E64" s="544" t="s">
        <v>2183</v>
      </c>
      <c r="F64" s="544"/>
      <c r="G64" s="543" t="str">
        <f>G63</f>
        <v/>
      </c>
      <c r="H64" s="545" t="s">
        <v>3751</v>
      </c>
      <c r="I64" s="71"/>
      <c r="J64" s="128"/>
      <c r="K64" s="128"/>
      <c r="L64" s="792"/>
      <c r="M64" s="995"/>
      <c r="N64" s="942"/>
      <c r="O64" s="942"/>
      <c r="P64" s="64"/>
      <c r="Q64" s="64"/>
      <c r="R64" s="64"/>
      <c r="S64" s="64"/>
      <c r="T64" s="64"/>
      <c r="U64" s="64"/>
      <c r="V64" s="64"/>
      <c r="W64" s="64"/>
      <c r="X64" s="798"/>
      <c r="Y64" s="977"/>
      <c r="Z64" s="973"/>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row>
    <row r="65" spans="1:45" x14ac:dyDescent="0.2">
      <c r="A65" s="541">
        <v>5</v>
      </c>
      <c r="B65" s="544" t="s">
        <v>2225</v>
      </c>
      <c r="C65" s="544"/>
      <c r="D65" s="544"/>
      <c r="E65" s="544" t="s">
        <v>2185</v>
      </c>
      <c r="F65" s="544"/>
      <c r="G65" s="543" t="str">
        <f ca="1">IF(N65&gt;0,"P","")</f>
        <v/>
      </c>
      <c r="H65" s="545" t="s">
        <v>3751</v>
      </c>
      <c r="I65" s="71"/>
      <c r="J65" s="61" t="s">
        <v>2185</v>
      </c>
      <c r="K65" s="71"/>
      <c r="L65" s="791" t="s">
        <v>2232</v>
      </c>
      <c r="M65" s="676"/>
      <c r="N65" s="923">
        <f ca="1">'Ch5'!O66</f>
        <v>0</v>
      </c>
      <c r="O65" s="924">
        <f ca="1">S65*IFERROR(INDEX({1,4,6},MATCH(W65,INDIRECT(U65))),0)</f>
        <v>0</v>
      </c>
      <c r="P65" s="562" t="b">
        <v>1</v>
      </c>
      <c r="Q65" s="562" t="b">
        <v>1</v>
      </c>
      <c r="R65" s="64" t="b">
        <v>0</v>
      </c>
      <c r="S65" s="64" t="b">
        <f>S62</f>
        <v>0</v>
      </c>
      <c r="T65" s="64" t="b">
        <f>IF(AND(NOT(S65),LEN(W65)&gt;0),TRUE,FALSE)</f>
        <v>0</v>
      </c>
      <c r="U65" s="64" t="str">
        <f>SUBSTITUTE(SUBSTITUTE(SUBSTITUTE("dd"&amp;B65&amp;C65&amp;D65&amp;E65&amp;F65,".","_"),"(","_"),")","")</f>
        <v>dd503_2_3</v>
      </c>
      <c r="V65" s="64"/>
      <c r="W65" s="6"/>
      <c r="X65" s="798"/>
      <c r="Y65" s="977"/>
      <c r="Z65" s="973"/>
      <c r="AA65" s="562"/>
      <c r="AB65" s="562"/>
      <c r="AC65" s="562" t="b">
        <f>OR(AD65:AE65)</f>
        <v>0</v>
      </c>
      <c r="AD65" s="562" t="b">
        <f>T65</f>
        <v>0</v>
      </c>
      <c r="AE65" s="562"/>
      <c r="AF65" s="562"/>
      <c r="AG65" s="562"/>
      <c r="AH65" s="562"/>
      <c r="AI65" s="562"/>
      <c r="AJ65" s="562"/>
      <c r="AK65" s="562"/>
      <c r="AL65" s="562"/>
      <c r="AM65" s="562"/>
      <c r="AN65" s="190" t="str">
        <f>SUBSTITUTE(SUBSTITUTE(SUBSTITUTE("vpc"&amp;$B65&amp;$C65&amp;$D65&amp;$E65&amp;$F65,".","_"),"(","_"),")","")</f>
        <v>vpc503_2_3</v>
      </c>
      <c r="AO65" s="190">
        <f ca="1">O65</f>
        <v>0</v>
      </c>
      <c r="AP65" s="190" t="str">
        <f>SUBSTITUTE(SUBSTITUTE(SUBSTITUTE("vch"&amp;$B65&amp;$C65&amp;$D65&amp;$E65&amp;$F65,".","_"),"(","_"),")","")</f>
        <v>vch503_2_3</v>
      </c>
      <c r="AQ65" s="190">
        <f>W65</f>
        <v>0</v>
      </c>
      <c r="AR65" s="562"/>
      <c r="AS65" s="562"/>
    </row>
    <row r="66" spans="1:45" x14ac:dyDescent="0.2">
      <c r="A66" s="541">
        <v>5</v>
      </c>
      <c r="B66" s="544" t="s">
        <v>2225</v>
      </c>
      <c r="C66" s="544"/>
      <c r="D66" s="544"/>
      <c r="E66" s="544" t="s">
        <v>2185</v>
      </c>
      <c r="F66" s="544"/>
      <c r="G66" s="543" t="str">
        <f t="shared" ref="G66:G69" ca="1" si="15">G65</f>
        <v/>
      </c>
      <c r="H66" s="545" t="s">
        <v>3751</v>
      </c>
      <c r="I66" s="71"/>
      <c r="J66" s="71"/>
      <c r="K66" s="71"/>
      <c r="L66" s="791"/>
      <c r="M66" s="676"/>
      <c r="N66" s="924"/>
      <c r="O66" s="924"/>
      <c r="P66" s="64"/>
      <c r="Q66" s="64"/>
      <c r="R66" s="64"/>
      <c r="S66" s="64"/>
      <c r="T66" s="64"/>
      <c r="U66" s="64"/>
      <c r="V66" s="64"/>
      <c r="W66" s="64"/>
      <c r="X66" s="798"/>
      <c r="Y66" s="977"/>
      <c r="Z66" s="973"/>
      <c r="AA66" s="562"/>
      <c r="AB66" s="562"/>
      <c r="AC66" s="562"/>
      <c r="AD66" s="562"/>
      <c r="AE66" s="562"/>
      <c r="AF66" s="562"/>
      <c r="AG66" s="562"/>
      <c r="AH66" s="562"/>
      <c r="AI66" s="562"/>
      <c r="AJ66" s="562"/>
      <c r="AK66" s="562"/>
      <c r="AL66" s="562"/>
      <c r="AM66" s="562"/>
      <c r="AN66" s="562"/>
      <c r="AO66" s="562"/>
      <c r="AP66" s="562"/>
      <c r="AQ66" s="562"/>
      <c r="AR66" s="562"/>
      <c r="AS66" s="562"/>
    </row>
    <row r="67" spans="1:45" x14ac:dyDescent="0.2">
      <c r="A67" s="541">
        <v>5</v>
      </c>
      <c r="B67" s="544" t="s">
        <v>2225</v>
      </c>
      <c r="C67" s="544"/>
      <c r="D67" s="544"/>
      <c r="E67" s="544" t="s">
        <v>2185</v>
      </c>
      <c r="F67" s="544" t="s">
        <v>2196</v>
      </c>
      <c r="G67" s="543" t="str">
        <f t="shared" ca="1" si="15"/>
        <v/>
      </c>
      <c r="H67" s="545" t="s">
        <v>3751</v>
      </c>
      <c r="I67" s="71"/>
      <c r="J67" s="71"/>
      <c r="K67" s="61" t="s">
        <v>2196</v>
      </c>
      <c r="L67" s="65" t="s">
        <v>2233</v>
      </c>
      <c r="M67" s="676">
        <v>1</v>
      </c>
      <c r="N67" s="668"/>
      <c r="O67" s="668"/>
      <c r="P67" s="64"/>
      <c r="Q67" s="64"/>
      <c r="R67" s="64"/>
      <c r="S67" s="64"/>
      <c r="T67" s="64"/>
      <c r="U67" s="64"/>
      <c r="V67" s="64"/>
      <c r="W67" s="64"/>
      <c r="X67" s="798"/>
      <c r="Y67" s="977"/>
      <c r="Z67" s="973"/>
      <c r="AA67" s="562"/>
      <c r="AB67" s="562"/>
      <c r="AC67" s="562"/>
      <c r="AD67" s="562"/>
      <c r="AE67" s="562"/>
      <c r="AF67" s="562"/>
      <c r="AG67" s="562"/>
      <c r="AH67" s="562"/>
      <c r="AI67" s="562"/>
      <c r="AJ67" s="562"/>
      <c r="AK67" s="562"/>
      <c r="AL67" s="190" t="str">
        <f t="shared" ref="AL67:AL70" si="16">SUBSTITUTE(SUBSTITUTE(SUBSTITUTE("vpa"&amp;$B67&amp;$C67&amp;$D67&amp;$E67&amp;$F67,".","_"),"(","_"),")","")</f>
        <v>vpa503_2_3_a</v>
      </c>
      <c r="AM67" s="190">
        <f>M67</f>
        <v>1</v>
      </c>
      <c r="AN67" s="562"/>
      <c r="AO67" s="562"/>
      <c r="AP67" s="562"/>
      <c r="AQ67" s="562"/>
      <c r="AR67" s="562"/>
      <c r="AS67" s="562"/>
    </row>
    <row r="68" spans="1:45" x14ac:dyDescent="0.2">
      <c r="A68" s="541">
        <v>5</v>
      </c>
      <c r="B68" s="544" t="s">
        <v>2225</v>
      </c>
      <c r="C68" s="544"/>
      <c r="D68" s="544"/>
      <c r="E68" s="544" t="s">
        <v>2185</v>
      </c>
      <c r="F68" s="544" t="s">
        <v>2198</v>
      </c>
      <c r="G68" s="543" t="str">
        <f t="shared" ca="1" si="15"/>
        <v/>
      </c>
      <c r="H68" s="545" t="s">
        <v>3751</v>
      </c>
      <c r="I68" s="71"/>
      <c r="J68" s="71"/>
      <c r="K68" s="61" t="s">
        <v>2198</v>
      </c>
      <c r="L68" s="65" t="s">
        <v>2234</v>
      </c>
      <c r="M68" s="676">
        <v>4</v>
      </c>
      <c r="N68" s="668"/>
      <c r="O68" s="668"/>
      <c r="P68" s="64"/>
      <c r="Q68" s="64"/>
      <c r="R68" s="64"/>
      <c r="S68" s="64"/>
      <c r="T68" s="64"/>
      <c r="U68" s="64"/>
      <c r="V68" s="64"/>
      <c r="W68" s="64"/>
      <c r="X68" s="798"/>
      <c r="Y68" s="977"/>
      <c r="Z68" s="973"/>
      <c r="AA68" s="562"/>
      <c r="AB68" s="562"/>
      <c r="AC68" s="562"/>
      <c r="AD68" s="562"/>
      <c r="AE68" s="562"/>
      <c r="AF68" s="562"/>
      <c r="AG68" s="562"/>
      <c r="AH68" s="562"/>
      <c r="AI68" s="562"/>
      <c r="AJ68" s="562"/>
      <c r="AK68" s="562"/>
      <c r="AL68" s="190" t="str">
        <f t="shared" si="16"/>
        <v>vpa503_2_3_b</v>
      </c>
      <c r="AM68" s="190">
        <f>M68</f>
        <v>4</v>
      </c>
      <c r="AN68" s="562"/>
      <c r="AO68" s="562"/>
      <c r="AP68" s="562"/>
      <c r="AQ68" s="562"/>
      <c r="AR68" s="562"/>
      <c r="AS68" s="562"/>
    </row>
    <row r="69" spans="1:45" x14ac:dyDescent="0.2">
      <c r="A69" s="541">
        <v>5</v>
      </c>
      <c r="B69" s="544" t="s">
        <v>2225</v>
      </c>
      <c r="C69" s="544"/>
      <c r="D69" s="544"/>
      <c r="E69" s="544" t="s">
        <v>2185</v>
      </c>
      <c r="F69" s="546" t="s">
        <v>2200</v>
      </c>
      <c r="G69" s="543" t="str">
        <f t="shared" ca="1" si="15"/>
        <v/>
      </c>
      <c r="H69" s="547" t="s">
        <v>3751</v>
      </c>
      <c r="I69" s="71"/>
      <c r="J69" s="128"/>
      <c r="K69" s="130" t="s">
        <v>2200</v>
      </c>
      <c r="L69" s="126" t="s">
        <v>2235</v>
      </c>
      <c r="M69" s="679">
        <v>6</v>
      </c>
      <c r="N69" s="668"/>
      <c r="O69" s="669"/>
      <c r="P69" s="64"/>
      <c r="Q69" s="64"/>
      <c r="R69" s="64"/>
      <c r="S69" s="64"/>
      <c r="T69" s="64"/>
      <c r="U69" s="64"/>
      <c r="V69" s="64"/>
      <c r="W69" s="64"/>
      <c r="X69" s="798"/>
      <c r="Y69" s="977"/>
      <c r="Z69" s="973"/>
      <c r="AA69" s="562"/>
      <c r="AB69" s="562"/>
      <c r="AC69" s="562"/>
      <c r="AD69" s="562"/>
      <c r="AE69" s="562"/>
      <c r="AF69" s="562"/>
      <c r="AG69" s="562"/>
      <c r="AH69" s="562"/>
      <c r="AI69" s="562"/>
      <c r="AJ69" s="562"/>
      <c r="AK69" s="562"/>
      <c r="AL69" s="190" t="str">
        <f t="shared" si="16"/>
        <v>vpa503_2_3_c</v>
      </c>
      <c r="AM69" s="190">
        <f>M69</f>
        <v>6</v>
      </c>
      <c r="AN69" s="562"/>
      <c r="AO69" s="562"/>
      <c r="AP69" s="562"/>
      <c r="AQ69" s="562"/>
      <c r="AR69" s="562"/>
      <c r="AS69" s="562"/>
    </row>
    <row r="70" spans="1:45" x14ac:dyDescent="0.2">
      <c r="A70" s="541">
        <v>5</v>
      </c>
      <c r="B70" s="544" t="s">
        <v>2225</v>
      </c>
      <c r="C70" s="544"/>
      <c r="D70" s="544"/>
      <c r="E70" s="544" t="s">
        <v>2192</v>
      </c>
      <c r="F70" s="544"/>
      <c r="G70" s="543" t="str">
        <f>IF(N70&gt;0,"P","")</f>
        <v/>
      </c>
      <c r="H70" s="545" t="s">
        <v>3751</v>
      </c>
      <c r="I70" s="71"/>
      <c r="J70" s="61" t="s">
        <v>2192</v>
      </c>
      <c r="K70" s="71"/>
      <c r="L70" s="791" t="s">
        <v>2236</v>
      </c>
      <c r="M70" s="992">
        <v>6</v>
      </c>
      <c r="N70" s="923">
        <f>'Ch5'!O71</f>
        <v>0</v>
      </c>
      <c r="O70" s="924">
        <f>M70*W70*S70</f>
        <v>0</v>
      </c>
      <c r="P70" s="562" t="b">
        <v>1</v>
      </c>
      <c r="Q70" s="562" t="b">
        <v>1</v>
      </c>
      <c r="R70" s="64" t="b">
        <v>0</v>
      </c>
      <c r="S70" s="64" t="b">
        <f>S62</f>
        <v>0</v>
      </c>
      <c r="T70" s="64" t="b">
        <f>IF(AND(NOT(S70),W70=TRUE),TRUE,FALSE)</f>
        <v>0</v>
      </c>
      <c r="U70" s="64"/>
      <c r="V70" s="64"/>
      <c r="W70" s="18"/>
      <c r="X70" s="798"/>
      <c r="Y70" s="977"/>
      <c r="Z70" s="973"/>
      <c r="AA70" s="562"/>
      <c r="AB70" s="562"/>
      <c r="AC70" s="562" t="b">
        <f>OR(AD70:AE70)</f>
        <v>0</v>
      </c>
      <c r="AD70" s="562" t="b">
        <f>T70</f>
        <v>0</v>
      </c>
      <c r="AE70" s="562"/>
      <c r="AF70" s="562"/>
      <c r="AG70" s="562"/>
      <c r="AH70" s="562"/>
      <c r="AI70" s="562"/>
      <c r="AJ70" s="562"/>
      <c r="AK70" s="562"/>
      <c r="AL70" s="190" t="str">
        <f t="shared" si="16"/>
        <v>vpa503_2_4</v>
      </c>
      <c r="AM70" s="190">
        <f>M70</f>
        <v>6</v>
      </c>
      <c r="AN70" s="190" t="str">
        <f>SUBSTITUTE(SUBSTITUTE(SUBSTITUTE("vpc"&amp;$B70&amp;$C70&amp;$D70&amp;$E70&amp;$F70,".","_"),"(","_"),")","")</f>
        <v>vpc503_2_4</v>
      </c>
      <c r="AO70" s="190">
        <f>O70</f>
        <v>0</v>
      </c>
      <c r="AP70" s="190" t="str">
        <f>SUBSTITUTE(SUBSTITUTE(SUBSTITUTE("vch"&amp;$B70&amp;$C70&amp;$D70&amp;$E70&amp;$F70,".","_"),"(","_"),")","")</f>
        <v>vch503_2_4</v>
      </c>
      <c r="AQ70" s="190">
        <f>W70</f>
        <v>0</v>
      </c>
      <c r="AR70" s="562"/>
      <c r="AS70" s="562"/>
    </row>
    <row r="71" spans="1:45" x14ac:dyDescent="0.2">
      <c r="A71" s="541">
        <v>5</v>
      </c>
      <c r="B71" s="544" t="s">
        <v>2225</v>
      </c>
      <c r="C71" s="544"/>
      <c r="D71" s="544"/>
      <c r="E71" s="544" t="s">
        <v>2192</v>
      </c>
      <c r="F71" s="544"/>
      <c r="G71" s="543" t="str">
        <f>G70</f>
        <v/>
      </c>
      <c r="H71" s="545" t="s">
        <v>3751</v>
      </c>
      <c r="I71" s="71"/>
      <c r="J71" s="128"/>
      <c r="K71" s="128"/>
      <c r="L71" s="792"/>
      <c r="M71" s="995"/>
      <c r="N71" s="942"/>
      <c r="O71" s="942"/>
      <c r="P71" s="64"/>
      <c r="Q71" s="64"/>
      <c r="R71" s="64"/>
      <c r="S71" s="64"/>
      <c r="T71" s="64"/>
      <c r="U71" s="64"/>
      <c r="V71" s="64"/>
      <c r="W71" s="64"/>
      <c r="X71" s="798"/>
      <c r="Y71" s="977"/>
      <c r="Z71" s="973"/>
      <c r="AA71" s="562"/>
      <c r="AB71" s="562"/>
      <c r="AC71" s="562"/>
      <c r="AD71" s="562"/>
      <c r="AE71" s="562"/>
      <c r="AF71" s="562"/>
      <c r="AG71" s="562"/>
      <c r="AH71" s="562"/>
      <c r="AI71" s="562"/>
      <c r="AJ71" s="562"/>
      <c r="AK71" s="562"/>
      <c r="AL71" s="562"/>
      <c r="AM71" s="562"/>
      <c r="AN71" s="562"/>
      <c r="AO71" s="562"/>
      <c r="AP71" s="562"/>
      <c r="AQ71" s="562"/>
      <c r="AR71" s="562"/>
      <c r="AS71" s="562"/>
    </row>
    <row r="72" spans="1:45" ht="16" thickBot="1" x14ac:dyDescent="0.25">
      <c r="A72" s="541">
        <v>5</v>
      </c>
      <c r="B72" s="544" t="s">
        <v>2225</v>
      </c>
      <c r="C72" s="544"/>
      <c r="D72" s="544"/>
      <c r="E72" s="544" t="s">
        <v>2194</v>
      </c>
      <c r="F72" s="544"/>
      <c r="G72" s="543" t="str">
        <f>IF(N72&gt;0,"P","")</f>
        <v/>
      </c>
      <c r="H72" s="545" t="s">
        <v>3751</v>
      </c>
      <c r="I72" s="72"/>
      <c r="J72" s="66" t="s">
        <v>2194</v>
      </c>
      <c r="K72" s="72"/>
      <c r="L72" s="67" t="s">
        <v>2237</v>
      </c>
      <c r="M72" s="677">
        <v>5</v>
      </c>
      <c r="N72" s="674">
        <f>'Ch5'!O73</f>
        <v>0</v>
      </c>
      <c r="O72" s="674">
        <f>M72*W72*S72</f>
        <v>0</v>
      </c>
      <c r="P72" s="562" t="b">
        <v>1</v>
      </c>
      <c r="Q72" s="562" t="b">
        <v>1</v>
      </c>
      <c r="R72" s="68" t="b">
        <v>0</v>
      </c>
      <c r="S72" s="68" t="b">
        <f>S62</f>
        <v>0</v>
      </c>
      <c r="T72" s="68" t="b">
        <f>IF(AND(NOT(S72),W72=TRUE),TRUE,FALSE)</f>
        <v>0</v>
      </c>
      <c r="U72" s="68"/>
      <c r="V72" s="68"/>
      <c r="W72" s="18"/>
      <c r="X72" s="799"/>
      <c r="Y72" s="979"/>
      <c r="Z72" s="974"/>
      <c r="AA72" s="562"/>
      <c r="AB72" s="562"/>
      <c r="AC72" s="562" t="b">
        <f>OR(AD72:AE72)</f>
        <v>0</v>
      </c>
      <c r="AD72" s="562" t="b">
        <f>T72</f>
        <v>0</v>
      </c>
      <c r="AE72" s="562"/>
      <c r="AF72" s="562"/>
      <c r="AG72" s="562"/>
      <c r="AH72" s="562"/>
      <c r="AI72" s="562"/>
      <c r="AJ72" s="562"/>
      <c r="AK72" s="562"/>
      <c r="AL72" s="190" t="str">
        <f>SUBSTITUTE(SUBSTITUTE(SUBSTITUTE("vpa"&amp;$B72&amp;$C72&amp;$D72&amp;$E72&amp;$F72,".","_"),"(","_"),")","")</f>
        <v>vpa503_2_5</v>
      </c>
      <c r="AM72" s="190">
        <f>M72</f>
        <v>5</v>
      </c>
      <c r="AN72" s="190" t="str">
        <f>SUBSTITUTE(SUBSTITUTE(SUBSTITUTE("vpc"&amp;$B72&amp;$C72&amp;$D72&amp;$E72&amp;$F72,".","_"),"(","_"),")","")</f>
        <v>vpc503_2_5</v>
      </c>
      <c r="AO72" s="190">
        <f>O72</f>
        <v>0</v>
      </c>
      <c r="AP72" s="190" t="str">
        <f>SUBSTITUTE(SUBSTITUTE(SUBSTITUTE("vch"&amp;$B72&amp;$C72&amp;$D72&amp;$E72&amp;$F72,".","_"),"(","_"),")","")</f>
        <v>vch503_2_5</v>
      </c>
      <c r="AQ72" s="190">
        <f>W72</f>
        <v>0</v>
      </c>
      <c r="AR72" s="562"/>
      <c r="AS72" s="562"/>
    </row>
    <row r="73" spans="1:45" ht="16" thickTop="1" x14ac:dyDescent="0.2">
      <c r="A73" s="541">
        <v>5</v>
      </c>
      <c r="B73" s="544" t="s">
        <v>2238</v>
      </c>
      <c r="C73" s="544"/>
      <c r="D73" s="544"/>
      <c r="E73" s="544"/>
      <c r="F73" s="544"/>
      <c r="G73" s="539" t="str">
        <f>IF(COUNTIF(G76:G85,"P")&gt;0,"P","")</f>
        <v/>
      </c>
      <c r="H73" s="545" t="s">
        <v>3757</v>
      </c>
      <c r="I73" s="75" t="s">
        <v>2239</v>
      </c>
      <c r="J73" s="76"/>
      <c r="K73" s="76"/>
      <c r="L73" s="819" t="s">
        <v>2240</v>
      </c>
      <c r="M73" s="675"/>
      <c r="N73" s="673"/>
      <c r="O73" s="673"/>
      <c r="P73" s="74"/>
      <c r="Q73" s="74"/>
      <c r="R73" s="74"/>
      <c r="S73" s="74"/>
      <c r="T73" s="74"/>
      <c r="U73" s="74"/>
      <c r="V73" s="74"/>
      <c r="W73" s="74"/>
      <c r="X73" s="802"/>
      <c r="Y73" s="975" t="str">
        <f>IF(LEN('Ch5'!X74)=0,"None",'Ch5'!X74)</f>
        <v>None</v>
      </c>
      <c r="Z73" s="976"/>
      <c r="AA73" s="562"/>
      <c r="AB73" s="562"/>
      <c r="AC73" s="562"/>
      <c r="AD73" s="562"/>
      <c r="AE73" s="562"/>
      <c r="AF73" s="562"/>
      <c r="AG73" s="562"/>
      <c r="AH73" s="562"/>
      <c r="AI73" s="562"/>
      <c r="AJ73" s="562"/>
      <c r="AK73" s="562"/>
      <c r="AL73" s="562"/>
      <c r="AM73" s="562"/>
      <c r="AN73" s="562"/>
      <c r="AO73" s="562"/>
      <c r="AP73" s="562"/>
      <c r="AQ73" s="562"/>
      <c r="AR73" s="190" t="str">
        <f>SUBSTITUTE(SUBSTITUTE(SUBSTITUTE("vnt"&amp;$B73&amp;$C73&amp;$D73&amp;$E73&amp;$F73,".","_"),"(","_"),")","")</f>
        <v>vnt503_3</v>
      </c>
      <c r="AS73" s="190">
        <f>X73</f>
        <v>0</v>
      </c>
    </row>
    <row r="74" spans="1:45" x14ac:dyDescent="0.2">
      <c r="A74" s="541">
        <v>5</v>
      </c>
      <c r="B74" s="544" t="s">
        <v>2238</v>
      </c>
      <c r="C74" s="544"/>
      <c r="D74" s="544"/>
      <c r="E74" s="544"/>
      <c r="F74" s="544"/>
      <c r="G74" s="543" t="str">
        <f t="shared" ref="G74:G75" si="17">G73</f>
        <v/>
      </c>
      <c r="H74" s="545" t="s">
        <v>3757</v>
      </c>
      <c r="I74" s="71"/>
      <c r="J74" s="71"/>
      <c r="K74" s="71"/>
      <c r="L74" s="820"/>
      <c r="M74" s="676"/>
      <c r="N74" s="668"/>
      <c r="O74" s="668"/>
      <c r="P74" s="64"/>
      <c r="Q74" s="64"/>
      <c r="R74" s="64"/>
      <c r="S74" s="64"/>
      <c r="T74" s="64"/>
      <c r="U74" s="64"/>
      <c r="V74" s="64"/>
      <c r="W74" s="64"/>
      <c r="X74" s="798"/>
      <c r="Y74" s="977"/>
      <c r="Z74" s="978"/>
      <c r="AA74" s="562"/>
      <c r="AB74" s="562"/>
      <c r="AC74" s="562"/>
      <c r="AD74" s="562"/>
      <c r="AE74" s="562"/>
      <c r="AF74" s="562"/>
      <c r="AG74" s="562"/>
      <c r="AH74" s="562"/>
      <c r="AI74" s="562"/>
      <c r="AJ74" s="562"/>
      <c r="AK74" s="562"/>
      <c r="AL74" s="562"/>
      <c r="AM74" s="562"/>
      <c r="AN74" s="562"/>
      <c r="AO74" s="562"/>
      <c r="AP74" s="562"/>
      <c r="AQ74" s="562"/>
      <c r="AR74" s="562"/>
      <c r="AS74" s="562"/>
    </row>
    <row r="75" spans="1:45" x14ac:dyDescent="0.2">
      <c r="A75" s="541">
        <v>5</v>
      </c>
      <c r="B75" s="544" t="s">
        <v>2238</v>
      </c>
      <c r="C75" s="544"/>
      <c r="D75" s="544"/>
      <c r="E75" s="544"/>
      <c r="F75" s="544"/>
      <c r="G75" s="543" t="str">
        <f t="shared" si="17"/>
        <v/>
      </c>
      <c r="H75" s="545" t="s">
        <v>3757</v>
      </c>
      <c r="I75" s="71"/>
      <c r="J75" s="71"/>
      <c r="K75" s="71"/>
      <c r="L75" s="567" t="s">
        <v>2241</v>
      </c>
      <c r="M75" s="676"/>
      <c r="N75" s="668"/>
      <c r="O75" s="668"/>
      <c r="P75" s="64"/>
      <c r="Q75" s="64"/>
      <c r="R75" s="64"/>
      <c r="S75" s="64"/>
      <c r="T75" s="64"/>
      <c r="U75" s="64"/>
      <c r="V75" s="64"/>
      <c r="W75" s="64"/>
      <c r="X75" s="798"/>
      <c r="Y75" s="977"/>
      <c r="Z75" s="978"/>
      <c r="AA75" s="562"/>
      <c r="AB75" s="562"/>
      <c r="AC75" s="562"/>
      <c r="AD75" s="562"/>
      <c r="AE75" s="562"/>
      <c r="AF75" s="562"/>
      <c r="AG75" s="562"/>
      <c r="AH75" s="562"/>
      <c r="AI75" s="562"/>
      <c r="AJ75" s="562"/>
      <c r="AK75" s="562"/>
      <c r="AL75" s="562"/>
      <c r="AM75" s="562"/>
      <c r="AN75" s="562"/>
      <c r="AO75" s="562"/>
      <c r="AP75" s="562"/>
      <c r="AQ75" s="562"/>
      <c r="AR75" s="562"/>
      <c r="AS75" s="562"/>
    </row>
    <row r="76" spans="1:45" x14ac:dyDescent="0.2">
      <c r="A76" s="541">
        <v>5</v>
      </c>
      <c r="B76" s="544" t="s">
        <v>2238</v>
      </c>
      <c r="C76" s="544"/>
      <c r="D76" s="544"/>
      <c r="E76" s="544" t="s">
        <v>2181</v>
      </c>
      <c r="F76" s="544"/>
      <c r="G76" s="543" t="str">
        <f>IF(N76&gt;0,"P","")</f>
        <v/>
      </c>
      <c r="H76" s="545" t="s">
        <v>3757</v>
      </c>
      <c r="I76" s="71"/>
      <c r="J76" s="61" t="s">
        <v>2181</v>
      </c>
      <c r="K76" s="71"/>
      <c r="L76" s="791" t="s">
        <v>2242</v>
      </c>
      <c r="M76" s="992">
        <v>5</v>
      </c>
      <c r="N76" s="924">
        <f>'Ch5'!O77</f>
        <v>0</v>
      </c>
      <c r="O76" s="924">
        <f>M76*W76</f>
        <v>0</v>
      </c>
      <c r="P76" s="562" t="b">
        <v>1</v>
      </c>
      <c r="Q76" s="562" t="b">
        <v>0</v>
      </c>
      <c r="R76" s="64" t="b">
        <v>0</v>
      </c>
      <c r="S76" s="64" t="b">
        <v>1</v>
      </c>
      <c r="T76" s="64" t="b">
        <v>0</v>
      </c>
      <c r="U76" s="64"/>
      <c r="V76" s="64"/>
      <c r="W76" s="18"/>
      <c r="X76" s="798"/>
      <c r="Y76" s="977"/>
      <c r="Z76" s="978"/>
      <c r="AA76" s="562"/>
      <c r="AB76" s="562"/>
      <c r="AC76" s="562"/>
      <c r="AD76" s="562"/>
      <c r="AE76" s="562"/>
      <c r="AF76" s="562"/>
      <c r="AG76" s="562"/>
      <c r="AH76" s="562"/>
      <c r="AI76" s="562"/>
      <c r="AJ76" s="562"/>
      <c r="AK76" s="562"/>
      <c r="AL76" s="190" t="str">
        <f>SUBSTITUTE(SUBSTITUTE(SUBSTITUTE("vpa"&amp;$B76&amp;$C76&amp;$D76&amp;$E76&amp;$F76,".","_"),"(","_"),")","")</f>
        <v>vpa503_3_1</v>
      </c>
      <c r="AM76" s="190">
        <f>M76</f>
        <v>5</v>
      </c>
      <c r="AN76" s="190" t="str">
        <f>SUBSTITUTE(SUBSTITUTE(SUBSTITUTE("vpc"&amp;$B76&amp;$C76&amp;$D76&amp;$E76&amp;$F76,".","_"),"(","_"),")","")</f>
        <v>vpc503_3_1</v>
      </c>
      <c r="AO76" s="190">
        <f>O76</f>
        <v>0</v>
      </c>
      <c r="AP76" s="190" t="str">
        <f>SUBSTITUTE(SUBSTITUTE(SUBSTITUTE("vch"&amp;$B76&amp;$C76&amp;$D76&amp;$E76&amp;$F76,".","_"),"(","_"),")","")</f>
        <v>vch503_3_1</v>
      </c>
      <c r="AQ76" s="190">
        <f>W76</f>
        <v>0</v>
      </c>
      <c r="AR76" s="562"/>
      <c r="AS76" s="562"/>
    </row>
    <row r="77" spans="1:45" x14ac:dyDescent="0.2">
      <c r="A77" s="541">
        <v>5</v>
      </c>
      <c r="B77" s="544" t="s">
        <v>2238</v>
      </c>
      <c r="C77" s="544"/>
      <c r="D77" s="544"/>
      <c r="E77" s="544" t="s">
        <v>2181</v>
      </c>
      <c r="F77" s="544"/>
      <c r="G77" s="543" t="str">
        <f>G76</f>
        <v/>
      </c>
      <c r="H77" s="545" t="s">
        <v>3757</v>
      </c>
      <c r="I77" s="71"/>
      <c r="J77" s="125"/>
      <c r="K77" s="128"/>
      <c r="L77" s="792"/>
      <c r="M77" s="995"/>
      <c r="N77" s="942"/>
      <c r="O77" s="942"/>
      <c r="P77" s="64"/>
      <c r="Q77" s="64"/>
      <c r="R77" s="64"/>
      <c r="S77" s="64"/>
      <c r="T77" s="64"/>
      <c r="U77" s="64"/>
      <c r="V77" s="64"/>
      <c r="W77" s="64"/>
      <c r="X77" s="798"/>
      <c r="Y77" s="977"/>
      <c r="Z77" s="978"/>
      <c r="AA77" s="562"/>
      <c r="AB77" s="562"/>
      <c r="AC77" s="562"/>
      <c r="AD77" s="562"/>
      <c r="AE77" s="562"/>
      <c r="AF77" s="562"/>
      <c r="AG77" s="562"/>
      <c r="AH77" s="562"/>
      <c r="AI77" s="562"/>
      <c r="AJ77" s="562"/>
      <c r="AK77" s="562"/>
      <c r="AL77" s="562"/>
      <c r="AM77" s="562"/>
      <c r="AN77" s="562"/>
      <c r="AO77" s="562"/>
      <c r="AP77" s="562"/>
      <c r="AQ77" s="562"/>
      <c r="AR77" s="562"/>
      <c r="AS77" s="562"/>
    </row>
    <row r="78" spans="1:45" x14ac:dyDescent="0.2">
      <c r="A78" s="541">
        <v>5</v>
      </c>
      <c r="B78" s="544" t="s">
        <v>2238</v>
      </c>
      <c r="C78" s="544"/>
      <c r="D78" s="544"/>
      <c r="E78" s="544" t="s">
        <v>2183</v>
      </c>
      <c r="F78" s="544"/>
      <c r="G78" s="543" t="str">
        <f>IF(N78&gt;0,"P","")</f>
        <v/>
      </c>
      <c r="H78" s="545" t="s">
        <v>3757</v>
      </c>
      <c r="I78" s="71"/>
      <c r="J78" s="61" t="s">
        <v>2183</v>
      </c>
      <c r="K78" s="71"/>
      <c r="L78" s="791" t="s">
        <v>2243</v>
      </c>
      <c r="M78" s="996">
        <v>5</v>
      </c>
      <c r="N78" s="923">
        <f>'Ch5'!O79</f>
        <v>0</v>
      </c>
      <c r="O78" s="923">
        <f>M78*MIN(W80+W81+W83+W84,1)</f>
        <v>0</v>
      </c>
      <c r="P78" s="562" t="b">
        <v>1</v>
      </c>
      <c r="Q78" s="562" t="b">
        <v>0</v>
      </c>
      <c r="R78" s="64" t="b">
        <v>0</v>
      </c>
      <c r="S78" s="64" t="b">
        <v>1</v>
      </c>
      <c r="T78" s="64" t="b">
        <v>0</v>
      </c>
      <c r="U78" s="64"/>
      <c r="V78" s="64"/>
      <c r="W78" s="64"/>
      <c r="X78" s="798"/>
      <c r="Y78" s="977"/>
      <c r="Z78" s="978"/>
      <c r="AA78" s="562"/>
      <c r="AB78" s="562"/>
      <c r="AC78" s="562"/>
      <c r="AD78" s="562"/>
      <c r="AE78" s="562"/>
      <c r="AF78" s="562"/>
      <c r="AG78" s="562"/>
      <c r="AH78" s="562"/>
      <c r="AI78" s="562"/>
      <c r="AJ78" s="562"/>
      <c r="AK78" s="562"/>
      <c r="AL78" s="190" t="str">
        <f>SUBSTITUTE(SUBSTITUTE(SUBSTITUTE("vpa"&amp;$B78&amp;$C78&amp;$D78&amp;$E78&amp;$F78,".","_"),"(","_"),")","")</f>
        <v>vpa503_3_2</v>
      </c>
      <c r="AM78" s="190">
        <f>M78</f>
        <v>5</v>
      </c>
      <c r="AN78" s="190" t="str">
        <f>SUBSTITUTE(SUBSTITUTE(SUBSTITUTE("vpc"&amp;$B78&amp;$C78&amp;$D78&amp;$E78&amp;$F78,".","_"),"(","_"),")","")</f>
        <v>vpc503_3_2</v>
      </c>
      <c r="AO78" s="190">
        <f>O78</f>
        <v>0</v>
      </c>
      <c r="AP78" s="562"/>
      <c r="AQ78" s="562"/>
      <c r="AR78" s="562"/>
      <c r="AS78" s="562"/>
    </row>
    <row r="79" spans="1:45" x14ac:dyDescent="0.2">
      <c r="A79" s="541">
        <v>5</v>
      </c>
      <c r="B79" s="544" t="s">
        <v>2238</v>
      </c>
      <c r="C79" s="544"/>
      <c r="D79" s="544"/>
      <c r="E79" s="544" t="s">
        <v>2183</v>
      </c>
      <c r="F79" s="544"/>
      <c r="G79" s="543" t="str">
        <f t="shared" ref="G79:G84" si="18">G78</f>
        <v/>
      </c>
      <c r="H79" s="545" t="s">
        <v>3757</v>
      </c>
      <c r="I79" s="71"/>
      <c r="J79" s="71"/>
      <c r="K79" s="71"/>
      <c r="L79" s="791"/>
      <c r="M79" s="992"/>
      <c r="N79" s="924"/>
      <c r="O79" s="924"/>
      <c r="P79" s="64"/>
      <c r="Q79" s="64"/>
      <c r="R79" s="64"/>
      <c r="S79" s="64"/>
      <c r="T79" s="64"/>
      <c r="U79" s="64"/>
      <c r="V79" s="64"/>
      <c r="W79" s="64"/>
      <c r="X79" s="798"/>
      <c r="Y79" s="977"/>
      <c r="Z79" s="978"/>
      <c r="AA79" s="562"/>
      <c r="AB79" s="562"/>
      <c r="AC79" s="562"/>
      <c r="AD79" s="562"/>
      <c r="AE79" s="562"/>
      <c r="AF79" s="562"/>
      <c r="AG79" s="562"/>
      <c r="AH79" s="562"/>
      <c r="AI79" s="562"/>
      <c r="AJ79" s="562"/>
      <c r="AK79" s="562"/>
      <c r="AL79" s="562"/>
      <c r="AM79" s="562"/>
      <c r="AN79" s="562"/>
      <c r="AO79" s="562"/>
      <c r="AP79" s="562"/>
      <c r="AQ79" s="562"/>
      <c r="AR79" s="562"/>
      <c r="AS79" s="562"/>
    </row>
    <row r="80" spans="1:45" x14ac:dyDescent="0.2">
      <c r="A80" s="541">
        <v>5</v>
      </c>
      <c r="B80" s="544" t="s">
        <v>2238</v>
      </c>
      <c r="C80" s="544"/>
      <c r="D80" s="544"/>
      <c r="E80" s="544" t="s">
        <v>2183</v>
      </c>
      <c r="F80" s="544" t="s">
        <v>2196</v>
      </c>
      <c r="G80" s="543" t="str">
        <f t="shared" si="18"/>
        <v/>
      </c>
      <c r="H80" s="545" t="s">
        <v>3757</v>
      </c>
      <c r="I80" s="71"/>
      <c r="J80" s="71"/>
      <c r="K80" s="61" t="s">
        <v>2196</v>
      </c>
      <c r="L80" s="65" t="s">
        <v>2244</v>
      </c>
      <c r="M80" s="992"/>
      <c r="N80" s="924"/>
      <c r="O80" s="924"/>
      <c r="P80" s="562" t="b">
        <v>1</v>
      </c>
      <c r="Q80" s="562" t="b">
        <v>0</v>
      </c>
      <c r="R80" s="64" t="b">
        <v>0</v>
      </c>
      <c r="S80" s="64" t="b">
        <v>1</v>
      </c>
      <c r="T80" s="64" t="b">
        <v>0</v>
      </c>
      <c r="U80" s="64"/>
      <c r="V80" s="64"/>
      <c r="W80" s="18"/>
      <c r="X80" s="798"/>
      <c r="Y80" s="977"/>
      <c r="Z80" s="978"/>
      <c r="AA80" s="562"/>
      <c r="AB80" s="562"/>
      <c r="AC80" s="562"/>
      <c r="AD80" s="562"/>
      <c r="AE80" s="562"/>
      <c r="AF80" s="562"/>
      <c r="AG80" s="562"/>
      <c r="AH80" s="562"/>
      <c r="AI80" s="562"/>
      <c r="AJ80" s="562"/>
      <c r="AK80" s="562"/>
      <c r="AL80" s="562"/>
      <c r="AM80" s="562"/>
      <c r="AN80" s="562"/>
      <c r="AO80" s="562"/>
      <c r="AP80" s="190" t="str">
        <f t="shared" ref="AP80:AP81" si="19">SUBSTITUTE(SUBSTITUTE(SUBSTITUTE("vch"&amp;$B80&amp;$C80&amp;$D80&amp;$E80&amp;$F80,".","_"),"(","_"),")","")</f>
        <v>vch503_3_2_a</v>
      </c>
      <c r="AQ80" s="190">
        <f>W80</f>
        <v>0</v>
      </c>
      <c r="AR80" s="562"/>
      <c r="AS80" s="562"/>
    </row>
    <row r="81" spans="1:45" x14ac:dyDescent="0.2">
      <c r="A81" s="541">
        <v>5</v>
      </c>
      <c r="B81" s="544" t="s">
        <v>2238</v>
      </c>
      <c r="C81" s="544"/>
      <c r="D81" s="544"/>
      <c r="E81" s="544" t="s">
        <v>2183</v>
      </c>
      <c r="F81" s="544" t="s">
        <v>2198</v>
      </c>
      <c r="G81" s="543" t="str">
        <f t="shared" si="18"/>
        <v/>
      </c>
      <c r="H81" s="545" t="s">
        <v>3757</v>
      </c>
      <c r="I81" s="71"/>
      <c r="J81" s="71"/>
      <c r="K81" s="61" t="s">
        <v>2198</v>
      </c>
      <c r="L81" s="791" t="s">
        <v>2245</v>
      </c>
      <c r="M81" s="992"/>
      <c r="N81" s="924"/>
      <c r="O81" s="924"/>
      <c r="P81" s="562" t="b">
        <v>1</v>
      </c>
      <c r="Q81" s="562" t="b">
        <v>0</v>
      </c>
      <c r="R81" s="64" t="b">
        <v>0</v>
      </c>
      <c r="S81" s="64" t="b">
        <v>1</v>
      </c>
      <c r="T81" s="64" t="b">
        <v>0</v>
      </c>
      <c r="U81" s="64"/>
      <c r="V81" s="64"/>
      <c r="W81" s="18"/>
      <c r="X81" s="798"/>
      <c r="Y81" s="977"/>
      <c r="Z81" s="978"/>
      <c r="AA81" s="562"/>
      <c r="AB81" s="562"/>
      <c r="AC81" s="562"/>
      <c r="AD81" s="562"/>
      <c r="AE81" s="562"/>
      <c r="AF81" s="562"/>
      <c r="AG81" s="562"/>
      <c r="AH81" s="562"/>
      <c r="AI81" s="562"/>
      <c r="AJ81" s="562"/>
      <c r="AK81" s="562"/>
      <c r="AL81" s="562"/>
      <c r="AM81" s="562"/>
      <c r="AN81" s="562"/>
      <c r="AO81" s="562"/>
      <c r="AP81" s="190" t="str">
        <f t="shared" si="19"/>
        <v>vch503_3_2_b</v>
      </c>
      <c r="AQ81" s="190">
        <f>W81</f>
        <v>0</v>
      </c>
      <c r="AR81" s="562"/>
      <c r="AS81" s="562"/>
    </row>
    <row r="82" spans="1:45" x14ac:dyDescent="0.2">
      <c r="A82" s="541">
        <v>5</v>
      </c>
      <c r="B82" s="544" t="s">
        <v>2238</v>
      </c>
      <c r="C82" s="544"/>
      <c r="D82" s="544"/>
      <c r="E82" s="544" t="s">
        <v>2183</v>
      </c>
      <c r="F82" s="544" t="s">
        <v>2198</v>
      </c>
      <c r="G82" s="543" t="str">
        <f t="shared" si="18"/>
        <v/>
      </c>
      <c r="H82" s="545" t="s">
        <v>3757</v>
      </c>
      <c r="I82" s="71"/>
      <c r="J82" s="71"/>
      <c r="K82" s="71"/>
      <c r="L82" s="791"/>
      <c r="M82" s="992"/>
      <c r="N82" s="924"/>
      <c r="O82" s="924"/>
      <c r="P82" s="64"/>
      <c r="Q82" s="64"/>
      <c r="R82" s="64"/>
      <c r="S82" s="64"/>
      <c r="T82" s="64"/>
      <c r="U82" s="64"/>
      <c r="V82" s="64"/>
      <c r="W82" s="64"/>
      <c r="X82" s="798"/>
      <c r="Y82" s="977"/>
      <c r="Z82" s="978"/>
      <c r="AA82" s="562"/>
      <c r="AB82" s="562"/>
      <c r="AC82" s="562"/>
      <c r="AD82" s="562"/>
      <c r="AE82" s="562"/>
      <c r="AF82" s="562"/>
      <c r="AG82" s="562"/>
      <c r="AH82" s="562"/>
      <c r="AI82" s="562"/>
      <c r="AJ82" s="562"/>
      <c r="AK82" s="562"/>
      <c r="AL82" s="562"/>
      <c r="AM82" s="562"/>
      <c r="AN82" s="562"/>
      <c r="AO82" s="562"/>
      <c r="AP82" s="562"/>
      <c r="AQ82" s="562"/>
      <c r="AR82" s="562"/>
      <c r="AS82" s="562"/>
    </row>
    <row r="83" spans="1:45" x14ac:dyDescent="0.2">
      <c r="A83" s="541">
        <v>5</v>
      </c>
      <c r="B83" s="544" t="s">
        <v>2238</v>
      </c>
      <c r="C83" s="544"/>
      <c r="D83" s="544"/>
      <c r="E83" s="544" t="s">
        <v>2183</v>
      </c>
      <c r="F83" s="546" t="s">
        <v>2200</v>
      </c>
      <c r="G83" s="543" t="str">
        <f t="shared" si="18"/>
        <v/>
      </c>
      <c r="H83" s="547" t="s">
        <v>3757</v>
      </c>
      <c r="I83" s="71"/>
      <c r="J83" s="71"/>
      <c r="K83" s="79" t="s">
        <v>2200</v>
      </c>
      <c r="L83" s="65" t="s">
        <v>2246</v>
      </c>
      <c r="M83" s="992"/>
      <c r="N83" s="924"/>
      <c r="O83" s="924"/>
      <c r="P83" s="562" t="b">
        <v>1</v>
      </c>
      <c r="Q83" s="562" t="b">
        <v>0</v>
      </c>
      <c r="R83" s="64" t="b">
        <v>0</v>
      </c>
      <c r="S83" s="64" t="b">
        <v>1</v>
      </c>
      <c r="T83" s="64" t="b">
        <v>0</v>
      </c>
      <c r="U83" s="64"/>
      <c r="V83" s="64"/>
      <c r="W83" s="18"/>
      <c r="X83" s="798"/>
      <c r="Y83" s="977"/>
      <c r="Z83" s="978"/>
      <c r="AA83" s="562"/>
      <c r="AB83" s="562"/>
      <c r="AC83" s="562"/>
      <c r="AD83" s="562"/>
      <c r="AE83" s="562"/>
      <c r="AF83" s="562"/>
      <c r="AG83" s="562"/>
      <c r="AH83" s="562"/>
      <c r="AI83" s="562"/>
      <c r="AJ83" s="562"/>
      <c r="AK83" s="562"/>
      <c r="AL83" s="562"/>
      <c r="AM83" s="562"/>
      <c r="AN83" s="562"/>
      <c r="AO83" s="562"/>
      <c r="AP83" s="190" t="str">
        <f t="shared" ref="AP83:AP85" si="20">SUBSTITUTE(SUBSTITUTE(SUBSTITUTE("vch"&amp;$B83&amp;$C83&amp;$D83&amp;$E83&amp;$F83,".","_"),"(","_"),")","")</f>
        <v>vch503_3_2_c</v>
      </c>
      <c r="AQ83" s="190">
        <f>W83</f>
        <v>0</v>
      </c>
      <c r="AR83" s="562"/>
      <c r="AS83" s="562"/>
    </row>
    <row r="84" spans="1:45" x14ac:dyDescent="0.2">
      <c r="A84" s="541">
        <v>5</v>
      </c>
      <c r="B84" s="544" t="s">
        <v>2238</v>
      </c>
      <c r="C84" s="544"/>
      <c r="D84" s="544"/>
      <c r="E84" s="544" t="s">
        <v>2183</v>
      </c>
      <c r="F84" s="546" t="s">
        <v>2247</v>
      </c>
      <c r="G84" s="543" t="str">
        <f t="shared" si="18"/>
        <v/>
      </c>
      <c r="H84" s="547" t="s">
        <v>3757</v>
      </c>
      <c r="I84" s="71"/>
      <c r="J84" s="128"/>
      <c r="K84" s="130" t="s">
        <v>2247</v>
      </c>
      <c r="L84" s="126" t="s">
        <v>2248</v>
      </c>
      <c r="M84" s="995"/>
      <c r="N84" s="942"/>
      <c r="O84" s="942"/>
      <c r="P84" s="562" t="b">
        <v>1</v>
      </c>
      <c r="Q84" s="562" t="b">
        <v>0</v>
      </c>
      <c r="R84" s="64" t="b">
        <v>0</v>
      </c>
      <c r="S84" s="64" t="b">
        <v>1</v>
      </c>
      <c r="T84" s="64" t="b">
        <v>0</v>
      </c>
      <c r="U84" s="64"/>
      <c r="V84" s="64"/>
      <c r="W84" s="18"/>
      <c r="X84" s="798"/>
      <c r="Y84" s="977"/>
      <c r="Z84" s="978"/>
      <c r="AA84" s="562"/>
      <c r="AB84" s="562"/>
      <c r="AC84" s="562"/>
      <c r="AD84" s="562"/>
      <c r="AE84" s="562"/>
      <c r="AF84" s="562"/>
      <c r="AG84" s="562"/>
      <c r="AH84" s="562"/>
      <c r="AI84" s="562"/>
      <c r="AJ84" s="562"/>
      <c r="AK84" s="562"/>
      <c r="AL84" s="562"/>
      <c r="AM84" s="562"/>
      <c r="AN84" s="562"/>
      <c r="AO84" s="562"/>
      <c r="AP84" s="190" t="str">
        <f t="shared" si="20"/>
        <v>vch503_3_2_d</v>
      </c>
      <c r="AQ84" s="190">
        <f>W84</f>
        <v>0</v>
      </c>
      <c r="AR84" s="562"/>
      <c r="AS84" s="562"/>
    </row>
    <row r="85" spans="1:45" ht="16" thickBot="1" x14ac:dyDescent="0.25">
      <c r="A85" s="541">
        <v>5</v>
      </c>
      <c r="B85" s="544" t="s">
        <v>2238</v>
      </c>
      <c r="C85" s="544"/>
      <c r="D85" s="544"/>
      <c r="E85" s="544" t="s">
        <v>2185</v>
      </c>
      <c r="F85" s="544"/>
      <c r="G85" s="543" t="str">
        <f>IF(N85&gt;0,"P","")</f>
        <v/>
      </c>
      <c r="H85" s="545" t="s">
        <v>3757</v>
      </c>
      <c r="I85" s="72"/>
      <c r="J85" s="66" t="s">
        <v>2185</v>
      </c>
      <c r="K85" s="72"/>
      <c r="L85" s="67" t="s">
        <v>2249</v>
      </c>
      <c r="M85" s="677">
        <v>5</v>
      </c>
      <c r="N85" s="674">
        <f>'Ch5'!O86</f>
        <v>0</v>
      </c>
      <c r="O85" s="674">
        <f>M85*W85</f>
        <v>0</v>
      </c>
      <c r="P85" s="562" t="b">
        <v>1</v>
      </c>
      <c r="Q85" s="562" t="b">
        <v>0</v>
      </c>
      <c r="R85" s="68" t="b">
        <v>0</v>
      </c>
      <c r="S85" s="68" t="b">
        <v>1</v>
      </c>
      <c r="T85" s="68" t="b">
        <v>0</v>
      </c>
      <c r="U85" s="68"/>
      <c r="V85" s="68"/>
      <c r="W85" s="137"/>
      <c r="X85" s="799"/>
      <c r="Y85" s="979"/>
      <c r="Z85" s="1007"/>
      <c r="AA85" s="562"/>
      <c r="AB85" s="562"/>
      <c r="AC85" s="562"/>
      <c r="AD85" s="562"/>
      <c r="AE85" s="562"/>
      <c r="AF85" s="562"/>
      <c r="AG85" s="562"/>
      <c r="AH85" s="562"/>
      <c r="AI85" s="562"/>
      <c r="AJ85" s="562"/>
      <c r="AK85" s="562"/>
      <c r="AL85" s="190" t="str">
        <f>SUBSTITUTE(SUBSTITUTE(SUBSTITUTE("vpa"&amp;$B85&amp;$C85&amp;$D85&amp;$E85&amp;$F85,".","_"),"(","_"),")","")</f>
        <v>vpa503_3_3</v>
      </c>
      <c r="AM85" s="190">
        <f>M85</f>
        <v>5</v>
      </c>
      <c r="AN85" s="190" t="str">
        <f>SUBSTITUTE(SUBSTITUTE(SUBSTITUTE("vpc"&amp;$B85&amp;$C85&amp;$D85&amp;$E85&amp;$F85,".","_"),"(","_"),")","")</f>
        <v>vpc503_3_3</v>
      </c>
      <c r="AO85" s="190">
        <f>O85</f>
        <v>0</v>
      </c>
      <c r="AP85" s="190" t="str">
        <f t="shared" si="20"/>
        <v>vch503_3_3</v>
      </c>
      <c r="AQ85" s="190">
        <f>W85</f>
        <v>0</v>
      </c>
      <c r="AR85" s="562"/>
      <c r="AS85" s="562"/>
    </row>
    <row r="86" spans="1:45" ht="16" thickTop="1" x14ac:dyDescent="0.2">
      <c r="A86" s="541">
        <v>5</v>
      </c>
      <c r="B86" s="544" t="s">
        <v>2250</v>
      </c>
      <c r="C86" s="544"/>
      <c r="D86" s="544"/>
      <c r="E86" s="544"/>
      <c r="F86" s="544"/>
      <c r="G86" s="539" t="str">
        <f ca="1">IF(COUNTIF(G93:G103,"P")&gt;0,"P","")</f>
        <v/>
      </c>
      <c r="H86" s="545" t="s">
        <v>3751</v>
      </c>
      <c r="I86" s="107" t="s">
        <v>2251</v>
      </c>
      <c r="J86" s="60"/>
      <c r="K86" s="60"/>
      <c r="L86" s="819" t="s">
        <v>2252</v>
      </c>
      <c r="M86" s="678"/>
      <c r="N86" s="648"/>
      <c r="O86" s="648"/>
      <c r="P86" s="562"/>
      <c r="Q86" s="562"/>
      <c r="R86" s="562"/>
      <c r="S86" s="562"/>
      <c r="T86" s="562"/>
      <c r="U86" s="562"/>
      <c r="V86" s="562"/>
      <c r="W86" s="136"/>
      <c r="X86" s="796"/>
      <c r="Y86" s="975" t="str">
        <f>IF(LEN('Ch5'!X87)=0,"None",'Ch5'!X87)</f>
        <v>None</v>
      </c>
      <c r="Z86" s="976"/>
      <c r="AA86" s="562"/>
      <c r="AB86" s="562"/>
      <c r="AC86" s="562"/>
      <c r="AD86" s="562"/>
      <c r="AE86" s="562"/>
      <c r="AF86" s="562"/>
      <c r="AG86" s="562"/>
      <c r="AH86" s="562"/>
      <c r="AI86" s="562"/>
      <c r="AJ86" s="562"/>
      <c r="AK86" s="562"/>
      <c r="AL86" s="562"/>
      <c r="AM86" s="562"/>
      <c r="AN86" s="562"/>
      <c r="AO86" s="562"/>
      <c r="AP86" s="562"/>
      <c r="AQ86" s="562"/>
      <c r="AR86" s="190" t="str">
        <f>SUBSTITUTE(SUBSTITUTE(SUBSTITUTE("vnt"&amp;$B86&amp;$C86&amp;$D86&amp;$E86&amp;$F86,".","_"),"(","_"),")","")</f>
        <v>vnt503_4</v>
      </c>
      <c r="AS86" s="190">
        <f>X86</f>
        <v>0</v>
      </c>
    </row>
    <row r="87" spans="1:45" x14ac:dyDescent="0.2">
      <c r="A87" s="541">
        <v>5</v>
      </c>
      <c r="B87" s="544" t="s">
        <v>2250</v>
      </c>
      <c r="C87" s="544"/>
      <c r="D87" s="544"/>
      <c r="E87" s="544"/>
      <c r="F87" s="544"/>
      <c r="G87" s="543" t="str">
        <f t="shared" ref="G87:G89" ca="1" si="21">G86</f>
        <v/>
      </c>
      <c r="H87" s="545" t="s">
        <v>3751</v>
      </c>
      <c r="I87" s="60"/>
      <c r="J87" s="60"/>
      <c r="K87" s="60"/>
      <c r="L87" s="775"/>
      <c r="M87" s="678"/>
      <c r="N87" s="648"/>
      <c r="O87" s="648"/>
      <c r="P87" s="562"/>
      <c r="Q87" s="562"/>
      <c r="R87" s="562"/>
      <c r="S87" s="562"/>
      <c r="T87" s="562"/>
      <c r="U87" s="562"/>
      <c r="V87" s="562"/>
      <c r="W87" s="562"/>
      <c r="X87" s="797"/>
      <c r="Y87" s="980"/>
      <c r="Z87" s="983"/>
      <c r="AA87" s="562"/>
      <c r="AB87" s="562"/>
      <c r="AC87" s="562"/>
      <c r="AD87" s="562"/>
      <c r="AE87" s="562"/>
      <c r="AF87" s="562"/>
      <c r="AG87" s="562"/>
      <c r="AH87" s="562"/>
      <c r="AI87" s="562"/>
      <c r="AJ87" s="562"/>
      <c r="AK87" s="562"/>
      <c r="AL87" s="562"/>
      <c r="AM87" s="562"/>
      <c r="AN87" s="562"/>
      <c r="AO87" s="562"/>
      <c r="AP87" s="562"/>
      <c r="AQ87" s="562"/>
      <c r="AR87" s="562"/>
      <c r="AS87" s="562"/>
    </row>
    <row r="88" spans="1:45" x14ac:dyDescent="0.2">
      <c r="A88" s="541">
        <v>5</v>
      </c>
      <c r="B88" s="544" t="s">
        <v>2250</v>
      </c>
      <c r="C88" s="544"/>
      <c r="D88" s="544"/>
      <c r="E88" s="544"/>
      <c r="F88" s="544"/>
      <c r="G88" s="543" t="str">
        <f t="shared" ca="1" si="21"/>
        <v/>
      </c>
      <c r="H88" s="545" t="s">
        <v>3751</v>
      </c>
      <c r="I88" s="60"/>
      <c r="J88" s="60"/>
      <c r="K88" s="60"/>
      <c r="L88" s="775"/>
      <c r="M88" s="678"/>
      <c r="N88" s="648"/>
      <c r="O88" s="648"/>
      <c r="P88" s="562"/>
      <c r="Q88" s="562"/>
      <c r="R88" s="562"/>
      <c r="S88" s="562"/>
      <c r="T88" s="562"/>
      <c r="U88" s="562"/>
      <c r="V88" s="562"/>
      <c r="W88" s="562"/>
      <c r="X88" s="797"/>
      <c r="Y88" s="980"/>
      <c r="Z88" s="983"/>
      <c r="AA88" s="562"/>
      <c r="AB88" s="562"/>
      <c r="AC88" s="562"/>
      <c r="AD88" s="562"/>
      <c r="AE88" s="562"/>
      <c r="AF88" s="562"/>
      <c r="AG88" s="562"/>
      <c r="AH88" s="562"/>
      <c r="AI88" s="562"/>
      <c r="AJ88" s="562"/>
      <c r="AK88" s="562"/>
      <c r="AL88" s="562"/>
      <c r="AM88" s="562"/>
      <c r="AN88" s="562"/>
      <c r="AO88" s="562"/>
      <c r="AP88" s="562"/>
      <c r="AQ88" s="562"/>
      <c r="AR88" s="562"/>
      <c r="AS88" s="562"/>
    </row>
    <row r="89" spans="1:45" x14ac:dyDescent="0.2">
      <c r="A89" s="541">
        <v>5</v>
      </c>
      <c r="B89" s="544" t="s">
        <v>2250</v>
      </c>
      <c r="C89" s="544"/>
      <c r="D89" s="544"/>
      <c r="E89" s="544"/>
      <c r="F89" s="544"/>
      <c r="G89" s="543" t="str">
        <f t="shared" ca="1" si="21"/>
        <v/>
      </c>
      <c r="H89" s="545" t="s">
        <v>3751</v>
      </c>
      <c r="I89" s="60"/>
      <c r="J89" s="60"/>
      <c r="K89" s="60"/>
      <c r="L89" s="775"/>
      <c r="M89" s="678"/>
      <c r="N89" s="648"/>
      <c r="O89" s="648"/>
      <c r="P89" s="562"/>
      <c r="Q89" s="562"/>
      <c r="R89" s="562"/>
      <c r="S89" s="562"/>
      <c r="T89" s="562"/>
      <c r="U89" s="562"/>
      <c r="V89" s="562"/>
      <c r="W89" s="562"/>
      <c r="X89" s="797"/>
      <c r="Y89" s="980"/>
      <c r="Z89" s="983"/>
      <c r="AA89" s="562"/>
      <c r="AB89" s="562"/>
      <c r="AC89" s="562"/>
      <c r="AD89" s="562"/>
      <c r="AE89" s="562"/>
      <c r="AF89" s="562"/>
      <c r="AG89" s="562"/>
      <c r="AH89" s="562"/>
      <c r="AI89" s="562"/>
      <c r="AJ89" s="562"/>
      <c r="AK89" s="562"/>
      <c r="AL89" s="562"/>
      <c r="AM89" s="562"/>
      <c r="AN89" s="562"/>
      <c r="AO89" s="562"/>
      <c r="AP89" s="562"/>
      <c r="AQ89" s="562"/>
      <c r="AR89" s="562"/>
      <c r="AS89" s="562"/>
    </row>
    <row r="90" spans="1:45" x14ac:dyDescent="0.2">
      <c r="A90" s="541">
        <v>5</v>
      </c>
      <c r="B90" s="544" t="s">
        <v>2250</v>
      </c>
      <c r="C90" s="544"/>
      <c r="D90" s="544"/>
      <c r="E90" s="544"/>
      <c r="F90" s="544"/>
      <c r="G90" s="543"/>
      <c r="H90" s="545"/>
      <c r="I90" s="60"/>
      <c r="J90" s="60"/>
      <c r="K90" s="60"/>
      <c r="L90" s="816" t="s">
        <v>2253</v>
      </c>
      <c r="M90" s="678"/>
      <c r="N90" s="648"/>
      <c r="O90" s="648"/>
      <c r="P90" s="562"/>
      <c r="Q90" s="562"/>
      <c r="R90" s="562"/>
      <c r="S90" s="562"/>
      <c r="T90" s="562"/>
      <c r="U90" s="562"/>
      <c r="V90" s="562"/>
      <c r="W90" s="562"/>
      <c r="X90" s="797"/>
      <c r="Y90" s="980"/>
      <c r="Z90" s="983"/>
      <c r="AA90" s="562"/>
      <c r="AB90" s="562"/>
      <c r="AC90" s="562"/>
      <c r="AD90" s="562"/>
      <c r="AE90" s="562"/>
      <c r="AF90" s="562"/>
      <c r="AG90" s="562"/>
      <c r="AH90" s="562"/>
      <c r="AI90" s="562"/>
      <c r="AJ90" s="562"/>
      <c r="AK90" s="562"/>
      <c r="AL90" s="562"/>
      <c r="AM90" s="562"/>
      <c r="AN90" s="562"/>
      <c r="AO90" s="562"/>
      <c r="AP90" s="562"/>
      <c r="AQ90" s="562"/>
      <c r="AR90" s="562"/>
      <c r="AS90" s="562"/>
    </row>
    <row r="91" spans="1:45" x14ac:dyDescent="0.2">
      <c r="A91" s="541">
        <v>5</v>
      </c>
      <c r="B91" s="544" t="s">
        <v>2250</v>
      </c>
      <c r="C91" s="544"/>
      <c r="D91" s="544"/>
      <c r="E91" s="544"/>
      <c r="F91" s="544"/>
      <c r="G91" s="543"/>
      <c r="H91" s="545"/>
      <c r="I91" s="60"/>
      <c r="J91" s="60"/>
      <c r="K91" s="60"/>
      <c r="L91" s="816"/>
      <c r="M91" s="678"/>
      <c r="N91" s="648"/>
      <c r="O91" s="648"/>
      <c r="P91" s="562"/>
      <c r="Q91" s="562"/>
      <c r="R91" s="562"/>
      <c r="S91" s="562"/>
      <c r="T91" s="562"/>
      <c r="U91" s="562"/>
      <c r="V91" s="562"/>
      <c r="W91" s="562"/>
      <c r="X91" s="797"/>
      <c r="Y91" s="980"/>
      <c r="Z91" s="983"/>
      <c r="AA91" s="562"/>
      <c r="AB91" s="562"/>
      <c r="AC91" s="562"/>
      <c r="AD91" s="562"/>
      <c r="AE91" s="562"/>
      <c r="AF91" s="562"/>
      <c r="AG91" s="562"/>
      <c r="AH91" s="562"/>
      <c r="AI91" s="562"/>
      <c r="AJ91" s="562"/>
      <c r="AK91" s="562"/>
      <c r="AL91" s="562"/>
      <c r="AM91" s="562"/>
      <c r="AN91" s="562"/>
      <c r="AO91" s="562"/>
      <c r="AP91" s="562"/>
      <c r="AQ91" s="562"/>
      <c r="AR91" s="562"/>
      <c r="AS91" s="562"/>
    </row>
    <row r="92" spans="1:45" x14ac:dyDescent="0.2">
      <c r="A92" s="541">
        <v>5</v>
      </c>
      <c r="B92" s="544" t="s">
        <v>2250</v>
      </c>
      <c r="C92" s="544"/>
      <c r="D92" s="544"/>
      <c r="E92" s="544"/>
      <c r="F92" s="544"/>
      <c r="G92" s="543"/>
      <c r="H92" s="545"/>
      <c r="I92" s="60"/>
      <c r="J92" s="60"/>
      <c r="K92" s="60"/>
      <c r="L92" s="816"/>
      <c r="M92" s="678"/>
      <c r="N92" s="648"/>
      <c r="O92" s="648"/>
      <c r="P92" s="562"/>
      <c r="Q92" s="562"/>
      <c r="R92" s="562"/>
      <c r="S92" s="562"/>
      <c r="T92" s="562"/>
      <c r="U92" s="562"/>
      <c r="V92" s="562"/>
      <c r="W92" s="562"/>
      <c r="X92" s="786"/>
      <c r="Y92" s="980"/>
      <c r="Z92" s="983"/>
      <c r="AA92" s="562"/>
      <c r="AB92" s="562"/>
      <c r="AC92" s="562"/>
      <c r="AD92" s="562"/>
      <c r="AE92" s="562"/>
      <c r="AF92" s="562"/>
      <c r="AG92" s="562"/>
      <c r="AH92" s="562"/>
      <c r="AI92" s="562"/>
      <c r="AJ92" s="562"/>
      <c r="AK92" s="562"/>
      <c r="AL92" s="562"/>
      <c r="AM92" s="562"/>
      <c r="AN92" s="562"/>
      <c r="AO92" s="562"/>
      <c r="AP92" s="562"/>
      <c r="AQ92" s="562"/>
      <c r="AR92" s="562"/>
      <c r="AS92" s="562"/>
    </row>
    <row r="93" spans="1:45" x14ac:dyDescent="0.2">
      <c r="A93" s="541">
        <v>5</v>
      </c>
      <c r="B93" s="544" t="s">
        <v>2250</v>
      </c>
      <c r="C93" s="544"/>
      <c r="D93" s="544"/>
      <c r="E93" s="544" t="s">
        <v>2181</v>
      </c>
      <c r="F93" s="544"/>
      <c r="G93" s="543" t="str">
        <f>IF(N93&gt;0,"P","")</f>
        <v/>
      </c>
      <c r="H93" s="545" t="s">
        <v>3757</v>
      </c>
      <c r="I93" s="60"/>
      <c r="J93" s="61" t="s">
        <v>2181</v>
      </c>
      <c r="K93" s="71"/>
      <c r="L93" s="791" t="s">
        <v>2254</v>
      </c>
      <c r="M93" s="992">
        <v>7</v>
      </c>
      <c r="N93" s="924">
        <f>'Ch5'!O94</f>
        <v>0</v>
      </c>
      <c r="O93" s="924">
        <f>M93*W93</f>
        <v>0</v>
      </c>
      <c r="P93" s="562" t="b">
        <v>1</v>
      </c>
      <c r="Q93" s="562" t="b">
        <v>0</v>
      </c>
      <c r="R93" s="562" t="b">
        <v>0</v>
      </c>
      <c r="S93" s="562" t="b">
        <v>1</v>
      </c>
      <c r="T93" s="562" t="b">
        <v>0</v>
      </c>
      <c r="U93" s="562"/>
      <c r="V93" s="562"/>
      <c r="W93" s="18"/>
      <c r="X93" s="787"/>
      <c r="Y93" s="980" t="str">
        <f>IF(LEN('Ch5'!X94)=0,"None",'Ch5'!X94)</f>
        <v>None</v>
      </c>
      <c r="Z93" s="983"/>
      <c r="AA93" s="562"/>
      <c r="AB93" s="562"/>
      <c r="AC93" s="562"/>
      <c r="AD93" s="562"/>
      <c r="AE93" s="562"/>
      <c r="AF93" s="562"/>
      <c r="AG93" s="562"/>
      <c r="AH93" s="562"/>
      <c r="AI93" s="562"/>
      <c r="AJ93" s="562"/>
      <c r="AK93" s="562"/>
      <c r="AL93" s="190" t="str">
        <f>SUBSTITUTE(SUBSTITUTE(SUBSTITUTE("vpa"&amp;$B93&amp;$C93&amp;$D93&amp;$E93&amp;$F93,".","_"),"(","_"),")","")</f>
        <v>vpa503_4_1</v>
      </c>
      <c r="AM93" s="190">
        <f>M93</f>
        <v>7</v>
      </c>
      <c r="AN93" s="190" t="str">
        <f>SUBSTITUTE(SUBSTITUTE(SUBSTITUTE("vpc"&amp;$B93&amp;$C93&amp;$D93&amp;$E93&amp;$F93,".","_"),"(","_"),")","")</f>
        <v>vpc503_4_1</v>
      </c>
      <c r="AO93" s="190">
        <f>O93</f>
        <v>0</v>
      </c>
      <c r="AP93" s="190" t="str">
        <f>SUBSTITUTE(SUBSTITUTE(SUBSTITUTE("vch"&amp;$B93&amp;$C93&amp;$D93&amp;$E93&amp;$F93,".","_"),"(","_"),")","")</f>
        <v>vch503_4_1</v>
      </c>
      <c r="AQ93" s="190">
        <f>W93</f>
        <v>0</v>
      </c>
      <c r="AR93" s="190" t="str">
        <f>SUBSTITUTE(SUBSTITUTE(SUBSTITUTE("vnt"&amp;$B93&amp;$C93&amp;$D93&amp;$E93&amp;$F93,".","_"),"(","_"),")","")</f>
        <v>vnt503_4_1</v>
      </c>
      <c r="AS93" s="190">
        <f>X93</f>
        <v>0</v>
      </c>
    </row>
    <row r="94" spans="1:45" x14ac:dyDescent="0.2">
      <c r="A94" s="541">
        <v>5</v>
      </c>
      <c r="B94" s="544" t="s">
        <v>2250</v>
      </c>
      <c r="C94" s="544"/>
      <c r="D94" s="544"/>
      <c r="E94" s="544" t="s">
        <v>2181</v>
      </c>
      <c r="F94" s="544"/>
      <c r="G94" s="543" t="str">
        <f t="shared" ref="G94:G95" si="22">G93</f>
        <v/>
      </c>
      <c r="H94" s="545" t="s">
        <v>3757</v>
      </c>
      <c r="I94" s="60"/>
      <c r="J94" s="61"/>
      <c r="K94" s="71"/>
      <c r="L94" s="791"/>
      <c r="M94" s="992"/>
      <c r="N94" s="924"/>
      <c r="O94" s="924"/>
      <c r="P94" s="562"/>
      <c r="Q94" s="562"/>
      <c r="R94" s="562"/>
      <c r="S94" s="562"/>
      <c r="T94" s="562"/>
      <c r="U94" s="562"/>
      <c r="V94" s="562"/>
      <c r="W94" s="562"/>
      <c r="X94" s="787"/>
      <c r="Y94" s="980"/>
      <c r="Z94" s="983"/>
      <c r="AA94" s="562"/>
      <c r="AB94" s="562"/>
      <c r="AC94" s="562"/>
      <c r="AD94" s="562"/>
      <c r="AE94" s="562"/>
      <c r="AF94" s="562"/>
      <c r="AG94" s="562"/>
      <c r="AH94" s="562"/>
      <c r="AI94" s="562"/>
      <c r="AJ94" s="562"/>
      <c r="AK94" s="562"/>
      <c r="AL94" s="562"/>
      <c r="AM94" s="562"/>
      <c r="AN94" s="562"/>
      <c r="AO94" s="562"/>
      <c r="AP94" s="562"/>
      <c r="AQ94" s="562"/>
      <c r="AR94" s="562"/>
      <c r="AS94" s="562"/>
    </row>
    <row r="95" spans="1:45" x14ac:dyDescent="0.2">
      <c r="A95" s="541">
        <v>5</v>
      </c>
      <c r="B95" s="544" t="s">
        <v>2250</v>
      </c>
      <c r="C95" s="544"/>
      <c r="D95" s="544"/>
      <c r="E95" s="544" t="s">
        <v>2181</v>
      </c>
      <c r="F95" s="544"/>
      <c r="G95" s="543" t="str">
        <f t="shared" si="22"/>
        <v/>
      </c>
      <c r="H95" s="545" t="s">
        <v>3757</v>
      </c>
      <c r="I95" s="60"/>
      <c r="J95" s="128"/>
      <c r="K95" s="128"/>
      <c r="L95" s="792"/>
      <c r="M95" s="995"/>
      <c r="N95" s="942"/>
      <c r="O95" s="942"/>
      <c r="P95" s="562"/>
      <c r="Q95" s="562"/>
      <c r="R95" s="562"/>
      <c r="S95" s="562"/>
      <c r="T95" s="562"/>
      <c r="U95" s="562"/>
      <c r="V95" s="562"/>
      <c r="W95" s="562"/>
      <c r="X95" s="787"/>
      <c r="Y95" s="980"/>
      <c r="Z95" s="983"/>
      <c r="AA95" s="562"/>
      <c r="AB95" s="562"/>
      <c r="AC95" s="562"/>
      <c r="AD95" s="562"/>
      <c r="AE95" s="562"/>
      <c r="AF95" s="562"/>
      <c r="AG95" s="562"/>
      <c r="AH95" s="562"/>
      <c r="AI95" s="562"/>
      <c r="AJ95" s="562"/>
      <c r="AK95" s="562"/>
      <c r="AL95" s="562"/>
      <c r="AM95" s="562"/>
      <c r="AN95" s="562"/>
      <c r="AO95" s="562"/>
      <c r="AP95" s="562"/>
      <c r="AQ95" s="562"/>
      <c r="AR95" s="562"/>
      <c r="AS95" s="562"/>
    </row>
    <row r="96" spans="1:45" x14ac:dyDescent="0.2">
      <c r="A96" s="541">
        <v>5</v>
      </c>
      <c r="B96" s="544" t="s">
        <v>2250</v>
      </c>
      <c r="C96" s="544"/>
      <c r="D96" s="544"/>
      <c r="E96" s="544" t="s">
        <v>2183</v>
      </c>
      <c r="F96" s="544"/>
      <c r="G96" s="543" t="str">
        <f ca="1">IF(N96&gt;0,"P","")</f>
        <v/>
      </c>
      <c r="H96" s="545" t="s">
        <v>3757</v>
      </c>
      <c r="I96" s="60"/>
      <c r="J96" s="57" t="s">
        <v>2183</v>
      </c>
      <c r="K96" s="60"/>
      <c r="L96" s="817" t="s">
        <v>2255</v>
      </c>
      <c r="M96" s="678"/>
      <c r="N96" s="923">
        <f ca="1">'Ch5'!O97</f>
        <v>0</v>
      </c>
      <c r="O96" s="887">
        <f ca="1">S96*IFERROR(INDEX({5,8,10},MATCH(W96,INDIRECT(U96))),0)</f>
        <v>0</v>
      </c>
      <c r="P96" s="562" t="b">
        <v>1</v>
      </c>
      <c r="Q96" s="562" t="b">
        <v>0</v>
      </c>
      <c r="R96" s="562" t="b">
        <v>0</v>
      </c>
      <c r="S96" s="562" t="b">
        <v>1</v>
      </c>
      <c r="T96" s="562" t="b">
        <v>0</v>
      </c>
      <c r="U96" s="562" t="str">
        <f>SUBSTITUTE(SUBSTITUTE(SUBSTITUTE("dd"&amp;B96&amp;C96&amp;D96&amp;E96&amp;F96,".","_"),"(","_"),")","")</f>
        <v>dd503_4_2</v>
      </c>
      <c r="V96" s="562"/>
      <c r="W96" s="6"/>
      <c r="X96" s="787"/>
      <c r="Y96" s="980" t="str">
        <f>IF(LEN('Ch5'!X97)=0,"None",'Ch5'!X97)</f>
        <v>None</v>
      </c>
      <c r="Z96" s="983"/>
      <c r="AA96" s="562"/>
      <c r="AB96" s="562"/>
      <c r="AC96" s="562"/>
      <c r="AD96" s="562"/>
      <c r="AE96" s="562"/>
      <c r="AF96" s="562"/>
      <c r="AG96" s="562"/>
      <c r="AH96" s="562"/>
      <c r="AI96" s="562"/>
      <c r="AJ96" s="562"/>
      <c r="AK96" s="562"/>
      <c r="AL96" s="562"/>
      <c r="AM96" s="562"/>
      <c r="AN96" s="190" t="str">
        <f>SUBSTITUTE(SUBSTITUTE(SUBSTITUTE("vpc"&amp;$B96&amp;$C96&amp;$D96&amp;$E96&amp;$F96,".","_"),"(","_"),")","")</f>
        <v>vpc503_4_2</v>
      </c>
      <c r="AO96" s="190">
        <f ca="1">O96</f>
        <v>0</v>
      </c>
      <c r="AP96" s="190" t="str">
        <f>SUBSTITUTE(SUBSTITUTE(SUBSTITUTE("vch"&amp;$B96&amp;$C96&amp;$D96&amp;$E96&amp;$F96,".","_"),"(","_"),")","")</f>
        <v>vch503_4_2</v>
      </c>
      <c r="AQ96" s="190">
        <f>W96</f>
        <v>0</v>
      </c>
      <c r="AR96" s="190" t="str">
        <f>SUBSTITUTE(SUBSTITUTE(SUBSTITUTE("vnt"&amp;$B96&amp;$C96&amp;$D96&amp;$E96&amp;$F96,".","_"),"(","_"),")","")</f>
        <v>vnt503_4_2</v>
      </c>
      <c r="AS96" s="190">
        <f>X96</f>
        <v>0</v>
      </c>
    </row>
    <row r="97" spans="1:45" x14ac:dyDescent="0.2">
      <c r="A97" s="541">
        <v>5</v>
      </c>
      <c r="B97" s="544" t="s">
        <v>2250</v>
      </c>
      <c r="C97" s="544"/>
      <c r="D97" s="544"/>
      <c r="E97" s="544" t="s">
        <v>2183</v>
      </c>
      <c r="F97" s="544"/>
      <c r="G97" s="543" t="str">
        <f t="shared" ref="G97:G102" ca="1" si="23">G96</f>
        <v/>
      </c>
      <c r="H97" s="545" t="s">
        <v>3757</v>
      </c>
      <c r="I97" s="60"/>
      <c r="J97" s="60"/>
      <c r="K97" s="60"/>
      <c r="L97" s="817"/>
      <c r="M97" s="678"/>
      <c r="N97" s="887"/>
      <c r="O97" s="887"/>
      <c r="P97" s="562"/>
      <c r="Q97" s="562"/>
      <c r="R97" s="562"/>
      <c r="S97" s="562"/>
      <c r="T97" s="562"/>
      <c r="U97" s="562"/>
      <c r="V97" s="562"/>
      <c r="W97" s="562"/>
      <c r="X97" s="787"/>
      <c r="Y97" s="980"/>
      <c r="Z97" s="983"/>
      <c r="AA97" s="562"/>
      <c r="AB97" s="562"/>
      <c r="AC97" s="562"/>
      <c r="AD97" s="562"/>
      <c r="AE97" s="562"/>
      <c r="AF97" s="562"/>
      <c r="AG97" s="562"/>
      <c r="AH97" s="562"/>
      <c r="AI97" s="562"/>
      <c r="AJ97" s="562"/>
      <c r="AK97" s="562"/>
      <c r="AL97" s="562"/>
      <c r="AM97" s="562"/>
      <c r="AN97" s="562"/>
      <c r="AO97" s="562"/>
      <c r="AP97" s="562"/>
      <c r="AQ97" s="562"/>
      <c r="AR97" s="562"/>
      <c r="AS97" s="562"/>
    </row>
    <row r="98" spans="1:45" x14ac:dyDescent="0.2">
      <c r="A98" s="541">
        <v>5</v>
      </c>
      <c r="B98" s="544" t="s">
        <v>2250</v>
      </c>
      <c r="C98" s="544"/>
      <c r="D98" s="544"/>
      <c r="E98" s="544" t="s">
        <v>2183</v>
      </c>
      <c r="F98" s="544"/>
      <c r="G98" s="543" t="str">
        <f t="shared" ca="1" si="23"/>
        <v/>
      </c>
      <c r="H98" s="545" t="s">
        <v>3757</v>
      </c>
      <c r="I98" s="60"/>
      <c r="J98" s="60"/>
      <c r="K98" s="60"/>
      <c r="L98" s="817"/>
      <c r="M98" s="678"/>
      <c r="N98" s="887"/>
      <c r="O98" s="887"/>
      <c r="P98" s="562"/>
      <c r="Q98" s="562"/>
      <c r="R98" s="562"/>
      <c r="S98" s="562"/>
      <c r="T98" s="562"/>
      <c r="U98" s="562"/>
      <c r="V98" s="562"/>
      <c r="W98" s="562"/>
      <c r="X98" s="787"/>
      <c r="Y98" s="980"/>
      <c r="Z98" s="983"/>
      <c r="AA98" s="562"/>
      <c r="AB98" s="562"/>
      <c r="AC98" s="562"/>
      <c r="AD98" s="562"/>
      <c r="AE98" s="562"/>
      <c r="AF98" s="562"/>
      <c r="AG98" s="562"/>
      <c r="AH98" s="562"/>
      <c r="AI98" s="562"/>
      <c r="AJ98" s="562"/>
      <c r="AK98" s="562"/>
      <c r="AL98" s="562"/>
      <c r="AM98" s="562"/>
      <c r="AN98" s="562"/>
      <c r="AO98" s="562"/>
      <c r="AP98" s="562"/>
      <c r="AQ98" s="562"/>
      <c r="AR98" s="562"/>
      <c r="AS98" s="562"/>
    </row>
    <row r="99" spans="1:45" x14ac:dyDescent="0.2">
      <c r="A99" s="541">
        <v>5</v>
      </c>
      <c r="B99" s="544" t="s">
        <v>2250</v>
      </c>
      <c r="C99" s="544"/>
      <c r="D99" s="544"/>
      <c r="E99" s="544" t="s">
        <v>2183</v>
      </c>
      <c r="F99" s="544"/>
      <c r="G99" s="543" t="str">
        <f t="shared" ca="1" si="23"/>
        <v/>
      </c>
      <c r="H99" s="545" t="s">
        <v>3757</v>
      </c>
      <c r="I99" s="60"/>
      <c r="J99" s="60"/>
      <c r="K99" s="60"/>
      <c r="L99" s="817"/>
      <c r="M99" s="678"/>
      <c r="N99" s="887"/>
      <c r="O99" s="887"/>
      <c r="P99" s="562"/>
      <c r="Q99" s="562"/>
      <c r="R99" s="562"/>
      <c r="S99" s="562"/>
      <c r="T99" s="562"/>
      <c r="U99" s="562"/>
      <c r="V99" s="562"/>
      <c r="W99" s="562"/>
      <c r="X99" s="787"/>
      <c r="Y99" s="980"/>
      <c r="Z99" s="983"/>
      <c r="AA99" s="562"/>
      <c r="AB99" s="562"/>
      <c r="AC99" s="562"/>
      <c r="AD99" s="562"/>
      <c r="AE99" s="562"/>
      <c r="AF99" s="562"/>
      <c r="AG99" s="562"/>
      <c r="AH99" s="562"/>
      <c r="AI99" s="562"/>
      <c r="AJ99" s="562"/>
      <c r="AK99" s="562"/>
      <c r="AL99" s="562"/>
      <c r="AM99" s="562"/>
      <c r="AN99" s="562"/>
      <c r="AO99" s="562"/>
      <c r="AP99" s="562"/>
      <c r="AQ99" s="562"/>
      <c r="AR99" s="562"/>
      <c r="AS99" s="562"/>
    </row>
    <row r="100" spans="1:45" x14ac:dyDescent="0.2">
      <c r="A100" s="541">
        <v>5</v>
      </c>
      <c r="B100" s="544" t="s">
        <v>2250</v>
      </c>
      <c r="C100" s="544"/>
      <c r="D100" s="544"/>
      <c r="E100" s="544" t="s">
        <v>2183</v>
      </c>
      <c r="F100" s="544" t="s">
        <v>2196</v>
      </c>
      <c r="G100" s="543" t="str">
        <f t="shared" ca="1" si="23"/>
        <v/>
      </c>
      <c r="H100" s="545" t="s">
        <v>3757</v>
      </c>
      <c r="I100" s="60"/>
      <c r="J100" s="60"/>
      <c r="K100" s="57" t="s">
        <v>2196</v>
      </c>
      <c r="L100" s="53" t="s">
        <v>2256</v>
      </c>
      <c r="M100" s="678">
        <v>5</v>
      </c>
      <c r="N100" s="648"/>
      <c r="O100" s="648"/>
      <c r="P100" s="562"/>
      <c r="Q100" s="562"/>
      <c r="R100" s="562"/>
      <c r="S100" s="562"/>
      <c r="T100" s="562"/>
      <c r="U100" s="562"/>
      <c r="V100" s="562"/>
      <c r="W100" s="562"/>
      <c r="X100" s="787"/>
      <c r="Y100" s="980"/>
      <c r="Z100" s="983"/>
      <c r="AA100" s="562"/>
      <c r="AB100" s="562"/>
      <c r="AC100" s="562"/>
      <c r="AD100" s="562"/>
      <c r="AE100" s="562"/>
      <c r="AF100" s="562"/>
      <c r="AG100" s="562"/>
      <c r="AH100" s="562"/>
      <c r="AI100" s="562"/>
      <c r="AJ100" s="562"/>
      <c r="AK100" s="562"/>
      <c r="AL100" s="190" t="str">
        <f t="shared" ref="AL100:AL102" si="24">SUBSTITUTE(SUBSTITUTE(SUBSTITUTE("vpa"&amp;$B100&amp;$C100&amp;$D100&amp;$E100&amp;$F100,".","_"),"(","_"),")","")</f>
        <v>vpa503_4_2_a</v>
      </c>
      <c r="AM100" s="190">
        <f>M100</f>
        <v>5</v>
      </c>
      <c r="AN100" s="562"/>
      <c r="AO100" s="562"/>
      <c r="AP100" s="562"/>
      <c r="AQ100" s="562"/>
      <c r="AR100" s="562"/>
      <c r="AS100" s="562"/>
    </row>
    <row r="101" spans="1:45" x14ac:dyDescent="0.2">
      <c r="A101" s="541">
        <v>5</v>
      </c>
      <c r="B101" s="544" t="s">
        <v>2250</v>
      </c>
      <c r="C101" s="544"/>
      <c r="D101" s="544"/>
      <c r="E101" s="544" t="s">
        <v>2183</v>
      </c>
      <c r="F101" s="544" t="s">
        <v>2198</v>
      </c>
      <c r="G101" s="543" t="str">
        <f t="shared" ca="1" si="23"/>
        <v/>
      </c>
      <c r="H101" s="545" t="s">
        <v>3757</v>
      </c>
      <c r="I101" s="60"/>
      <c r="J101" s="60"/>
      <c r="K101" s="57" t="s">
        <v>2198</v>
      </c>
      <c r="L101" s="53" t="s">
        <v>2257</v>
      </c>
      <c r="M101" s="678">
        <v>8</v>
      </c>
      <c r="N101" s="648"/>
      <c r="O101" s="648"/>
      <c r="P101" s="562"/>
      <c r="Q101" s="562"/>
      <c r="R101" s="562"/>
      <c r="S101" s="562"/>
      <c r="T101" s="562"/>
      <c r="U101" s="562"/>
      <c r="V101" s="562"/>
      <c r="W101" s="562"/>
      <c r="X101" s="787"/>
      <c r="Y101" s="980"/>
      <c r="Z101" s="983"/>
      <c r="AA101" s="562"/>
      <c r="AB101" s="562"/>
      <c r="AC101" s="562"/>
      <c r="AD101" s="562"/>
      <c r="AE101" s="562"/>
      <c r="AF101" s="562"/>
      <c r="AG101" s="562"/>
      <c r="AH101" s="562"/>
      <c r="AI101" s="562"/>
      <c r="AJ101" s="562"/>
      <c r="AK101" s="562"/>
      <c r="AL101" s="190" t="str">
        <f t="shared" si="24"/>
        <v>vpa503_4_2_b</v>
      </c>
      <c r="AM101" s="190">
        <f>M101</f>
        <v>8</v>
      </c>
      <c r="AN101" s="562"/>
      <c r="AO101" s="562"/>
      <c r="AP101" s="562"/>
      <c r="AQ101" s="562"/>
      <c r="AR101" s="562"/>
      <c r="AS101" s="562"/>
    </row>
    <row r="102" spans="1:45" x14ac:dyDescent="0.2">
      <c r="A102" s="541">
        <v>5</v>
      </c>
      <c r="B102" s="544" t="s">
        <v>2250</v>
      </c>
      <c r="C102" s="544"/>
      <c r="D102" s="544"/>
      <c r="E102" s="544" t="s">
        <v>2183</v>
      </c>
      <c r="F102" s="544" t="s">
        <v>2200</v>
      </c>
      <c r="G102" s="543" t="str">
        <f t="shared" ca="1" si="23"/>
        <v/>
      </c>
      <c r="H102" s="545" t="s">
        <v>3757</v>
      </c>
      <c r="I102" s="60"/>
      <c r="J102" s="128"/>
      <c r="K102" s="130" t="s">
        <v>2200</v>
      </c>
      <c r="L102" s="126" t="s">
        <v>2258</v>
      </c>
      <c r="M102" s="679">
        <v>10</v>
      </c>
      <c r="N102" s="669"/>
      <c r="O102" s="669"/>
      <c r="P102" s="562"/>
      <c r="Q102" s="562"/>
      <c r="R102" s="562"/>
      <c r="S102" s="562"/>
      <c r="T102" s="562"/>
      <c r="U102" s="562"/>
      <c r="V102" s="562"/>
      <c r="W102" s="562"/>
      <c r="X102" s="787"/>
      <c r="Y102" s="980"/>
      <c r="Z102" s="983"/>
      <c r="AA102" s="562"/>
      <c r="AB102" s="562"/>
      <c r="AC102" s="562"/>
      <c r="AD102" s="562"/>
      <c r="AE102" s="562"/>
      <c r="AF102" s="562"/>
      <c r="AG102" s="562"/>
      <c r="AH102" s="562"/>
      <c r="AI102" s="562"/>
      <c r="AJ102" s="562"/>
      <c r="AK102" s="562"/>
      <c r="AL102" s="190" t="str">
        <f t="shared" si="24"/>
        <v>vpa503_4_2_c</v>
      </c>
      <c r="AM102" s="190">
        <f>M102</f>
        <v>10</v>
      </c>
      <c r="AN102" s="562"/>
      <c r="AO102" s="562"/>
      <c r="AP102" s="562"/>
      <c r="AQ102" s="562"/>
      <c r="AR102" s="562"/>
      <c r="AS102" s="562"/>
    </row>
    <row r="103" spans="1:45" x14ac:dyDescent="0.2">
      <c r="A103" s="541">
        <v>5</v>
      </c>
      <c r="B103" s="544" t="s">
        <v>2250</v>
      </c>
      <c r="C103" s="544"/>
      <c r="D103" s="544"/>
      <c r="E103" s="544" t="s">
        <v>2185</v>
      </c>
      <c r="F103" s="544"/>
      <c r="G103" s="543" t="str">
        <f ca="1">IF(N103&gt;0,"P","")</f>
        <v/>
      </c>
      <c r="H103" s="545" t="s">
        <v>3751</v>
      </c>
      <c r="I103" s="71"/>
      <c r="J103" s="61" t="s">
        <v>2185</v>
      </c>
      <c r="K103" s="79"/>
      <c r="L103" s="791" t="s">
        <v>2259</v>
      </c>
      <c r="M103" s="676"/>
      <c r="N103" s="923">
        <f ca="1">'Ch5'!O104</f>
        <v>0</v>
      </c>
      <c r="O103" s="887">
        <f ca="1">S103*IFERROR(INDEX({5,8,10},MATCH(W103,INDIRECT(U103))),0)</f>
        <v>0</v>
      </c>
      <c r="P103" s="64" t="b">
        <v>1</v>
      </c>
      <c r="Q103" s="64" t="b">
        <v>1</v>
      </c>
      <c r="R103" s="64" t="b">
        <v>0</v>
      </c>
      <c r="S103" s="64" t="b">
        <v>1</v>
      </c>
      <c r="T103" s="64" t="b">
        <v>0</v>
      </c>
      <c r="U103" s="64" t="str">
        <f>SUBSTITUTE(SUBSTITUTE(SUBSTITUTE("dd"&amp;B103&amp;C103&amp;D103&amp;E103&amp;F103,".","_"),"(","_"),")","")</f>
        <v>dd503_4_3</v>
      </c>
      <c r="V103" s="64"/>
      <c r="W103" s="6"/>
      <c r="X103" s="798"/>
      <c r="Y103" s="977" t="str">
        <f>IF(LEN('Ch5'!X104)=0,"None",'Ch5'!X104)</f>
        <v>None</v>
      </c>
      <c r="Z103" s="978"/>
      <c r="AA103" s="562">
        <f>'Photo Review'!H103</f>
        <v>0</v>
      </c>
      <c r="AB103" s="562"/>
      <c r="AC103" s="562"/>
      <c r="AD103" s="562"/>
      <c r="AE103" s="562"/>
      <c r="AF103" s="562"/>
      <c r="AG103" s="562"/>
      <c r="AH103" s="562"/>
      <c r="AI103" s="562"/>
      <c r="AJ103" s="562"/>
      <c r="AK103" s="562"/>
      <c r="AL103" s="562"/>
      <c r="AM103" s="562"/>
      <c r="AN103" s="190" t="str">
        <f>SUBSTITUTE(SUBSTITUTE(SUBSTITUTE("vpc"&amp;$B103&amp;$C103&amp;$D103&amp;$E103&amp;$F103,".","_"),"(","_"),")","")</f>
        <v>vpc503_4_3</v>
      </c>
      <c r="AO103" s="190">
        <f ca="1">O103</f>
        <v>0</v>
      </c>
      <c r="AP103" s="190" t="str">
        <f>SUBSTITUTE(SUBSTITUTE(SUBSTITUTE("vch"&amp;$B103&amp;$C103&amp;$D103&amp;$E103&amp;$F103,".","_"),"(","_"),")","")</f>
        <v>vch503_4_3</v>
      </c>
      <c r="AQ103" s="190">
        <f>W103</f>
        <v>0</v>
      </c>
      <c r="AR103" s="190" t="str">
        <f>SUBSTITUTE(SUBSTITUTE(SUBSTITUTE("vnt"&amp;$B103&amp;$C103&amp;$D103&amp;$E103&amp;$F103,".","_"),"(","_"),")","")</f>
        <v>vnt503_4_3</v>
      </c>
      <c r="AS103" s="190">
        <f>X103</f>
        <v>0</v>
      </c>
    </row>
    <row r="104" spans="1:45" x14ac:dyDescent="0.2">
      <c r="A104" s="541">
        <v>5</v>
      </c>
      <c r="B104" s="544" t="s">
        <v>2250</v>
      </c>
      <c r="C104" s="544"/>
      <c r="D104" s="544"/>
      <c r="E104" s="544" t="s">
        <v>2185</v>
      </c>
      <c r="F104" s="544"/>
      <c r="G104" s="543" t="str">
        <f t="shared" ref="G104:G107" ca="1" si="25">G103</f>
        <v/>
      </c>
      <c r="H104" s="545" t="s">
        <v>3751</v>
      </c>
      <c r="I104" s="71"/>
      <c r="J104" s="71"/>
      <c r="K104" s="71"/>
      <c r="L104" s="791"/>
      <c r="M104" s="676"/>
      <c r="N104" s="924"/>
      <c r="O104" s="887"/>
      <c r="P104" s="64"/>
      <c r="Q104" s="64"/>
      <c r="R104" s="64"/>
      <c r="S104" s="64"/>
      <c r="T104" s="64"/>
      <c r="U104" s="64"/>
      <c r="V104" s="64"/>
      <c r="W104" s="64"/>
      <c r="X104" s="798"/>
      <c r="Y104" s="977"/>
      <c r="Z104" s="978"/>
      <c r="AA104" s="562"/>
      <c r="AB104" s="562"/>
      <c r="AC104" s="562"/>
      <c r="AD104" s="562"/>
      <c r="AE104" s="562"/>
      <c r="AF104" s="562"/>
      <c r="AG104" s="562"/>
      <c r="AH104" s="562"/>
      <c r="AI104" s="562"/>
      <c r="AJ104" s="562"/>
      <c r="AK104" s="562"/>
      <c r="AL104" s="562"/>
      <c r="AM104" s="562"/>
      <c r="AN104" s="562"/>
      <c r="AO104" s="562"/>
      <c r="AP104" s="562"/>
      <c r="AQ104" s="562"/>
      <c r="AR104" s="562"/>
      <c r="AS104" s="562"/>
    </row>
    <row r="105" spans="1:45" x14ac:dyDescent="0.2">
      <c r="A105" s="541">
        <v>5</v>
      </c>
      <c r="B105" s="544" t="s">
        <v>2250</v>
      </c>
      <c r="C105" s="544"/>
      <c r="D105" s="544"/>
      <c r="E105" s="544" t="s">
        <v>2185</v>
      </c>
      <c r="F105" s="544" t="s">
        <v>2196</v>
      </c>
      <c r="G105" s="543" t="str">
        <f t="shared" ca="1" si="25"/>
        <v/>
      </c>
      <c r="H105" s="545" t="s">
        <v>3751</v>
      </c>
      <c r="I105" s="71"/>
      <c r="J105" s="71"/>
      <c r="K105" s="61" t="s">
        <v>2196</v>
      </c>
      <c r="L105" s="65" t="s">
        <v>2260</v>
      </c>
      <c r="M105" s="676">
        <v>5</v>
      </c>
      <c r="N105" s="668"/>
      <c r="O105" s="648"/>
      <c r="P105" s="64"/>
      <c r="Q105" s="64"/>
      <c r="R105" s="64"/>
      <c r="S105" s="64"/>
      <c r="T105" s="64"/>
      <c r="U105" s="64"/>
      <c r="V105" s="64"/>
      <c r="W105" s="64"/>
      <c r="X105" s="798"/>
      <c r="Y105" s="977"/>
      <c r="Z105" s="978"/>
      <c r="AA105" s="562"/>
      <c r="AB105" s="562"/>
      <c r="AC105" s="562"/>
      <c r="AD105" s="562"/>
      <c r="AE105" s="562"/>
      <c r="AF105" s="562"/>
      <c r="AG105" s="562"/>
      <c r="AH105" s="562"/>
      <c r="AI105" s="562"/>
      <c r="AJ105" s="562"/>
      <c r="AK105" s="562"/>
      <c r="AL105" s="190" t="str">
        <f t="shared" ref="AL105:AL107" si="26">SUBSTITUTE(SUBSTITUTE(SUBSTITUTE("vpa"&amp;$B105&amp;$C105&amp;$D105&amp;$E105&amp;$F105,".","_"),"(","_"),")","")</f>
        <v>vpa503_4_3_a</v>
      </c>
      <c r="AM105" s="190">
        <f>M105</f>
        <v>5</v>
      </c>
      <c r="AN105" s="562"/>
      <c r="AO105" s="562"/>
      <c r="AP105" s="562"/>
      <c r="AQ105" s="562"/>
      <c r="AR105" s="562"/>
      <c r="AS105" s="562"/>
    </row>
    <row r="106" spans="1:45" x14ac:dyDescent="0.2">
      <c r="A106" s="541">
        <v>5</v>
      </c>
      <c r="B106" s="544" t="s">
        <v>2250</v>
      </c>
      <c r="C106" s="544"/>
      <c r="D106" s="544"/>
      <c r="E106" s="544" t="s">
        <v>2185</v>
      </c>
      <c r="F106" s="544" t="s">
        <v>2198</v>
      </c>
      <c r="G106" s="543" t="str">
        <f t="shared" ca="1" si="25"/>
        <v/>
      </c>
      <c r="H106" s="545" t="s">
        <v>3751</v>
      </c>
      <c r="I106" s="71"/>
      <c r="J106" s="71"/>
      <c r="K106" s="61" t="s">
        <v>2198</v>
      </c>
      <c r="L106" s="65" t="s">
        <v>2261</v>
      </c>
      <c r="M106" s="676">
        <v>8</v>
      </c>
      <c r="N106" s="668"/>
      <c r="O106" s="648"/>
      <c r="P106" s="64"/>
      <c r="Q106" s="64"/>
      <c r="R106" s="64"/>
      <c r="S106" s="64"/>
      <c r="T106" s="64"/>
      <c r="U106" s="64"/>
      <c r="V106" s="64"/>
      <c r="W106" s="64"/>
      <c r="X106" s="798"/>
      <c r="Y106" s="977"/>
      <c r="Z106" s="978"/>
      <c r="AA106" s="562"/>
      <c r="AB106" s="562"/>
      <c r="AC106" s="562"/>
      <c r="AD106" s="562"/>
      <c r="AE106" s="562"/>
      <c r="AF106" s="562"/>
      <c r="AG106" s="562"/>
      <c r="AH106" s="562"/>
      <c r="AI106" s="562"/>
      <c r="AJ106" s="562"/>
      <c r="AK106" s="562"/>
      <c r="AL106" s="190" t="str">
        <f t="shared" si="26"/>
        <v>vpa503_4_3_b</v>
      </c>
      <c r="AM106" s="190">
        <f>M106</f>
        <v>8</v>
      </c>
      <c r="AN106" s="562"/>
      <c r="AO106" s="562"/>
      <c r="AP106" s="562"/>
      <c r="AQ106" s="562"/>
      <c r="AR106" s="562"/>
      <c r="AS106" s="562"/>
    </row>
    <row r="107" spans="1:45" ht="16" thickBot="1" x14ac:dyDescent="0.25">
      <c r="A107" s="541">
        <v>5</v>
      </c>
      <c r="B107" s="544" t="s">
        <v>2250</v>
      </c>
      <c r="C107" s="544"/>
      <c r="D107" s="544"/>
      <c r="E107" s="544" t="s">
        <v>2185</v>
      </c>
      <c r="F107" s="544" t="s">
        <v>2200</v>
      </c>
      <c r="G107" s="543" t="str">
        <f t="shared" ca="1" si="25"/>
        <v/>
      </c>
      <c r="H107" s="545" t="s">
        <v>3751</v>
      </c>
      <c r="I107" s="72"/>
      <c r="J107" s="72"/>
      <c r="K107" s="80" t="s">
        <v>2200</v>
      </c>
      <c r="L107" s="67" t="s">
        <v>2262</v>
      </c>
      <c r="M107" s="677">
        <v>10</v>
      </c>
      <c r="N107" s="674"/>
      <c r="O107" s="674"/>
      <c r="P107" s="68"/>
      <c r="Q107" s="68"/>
      <c r="R107" s="68"/>
      <c r="S107" s="68"/>
      <c r="T107" s="68"/>
      <c r="U107" s="68"/>
      <c r="V107" s="68"/>
      <c r="W107" s="68"/>
      <c r="X107" s="799"/>
      <c r="Y107" s="979"/>
      <c r="Z107" s="1007"/>
      <c r="AA107" s="562"/>
      <c r="AB107" s="562"/>
      <c r="AC107" s="562"/>
      <c r="AD107" s="562"/>
      <c r="AE107" s="562"/>
      <c r="AF107" s="562"/>
      <c r="AG107" s="562"/>
      <c r="AH107" s="562"/>
      <c r="AI107" s="562"/>
      <c r="AJ107" s="562"/>
      <c r="AK107" s="562"/>
      <c r="AL107" s="190" t="str">
        <f t="shared" si="26"/>
        <v>vpa503_4_3_c</v>
      </c>
      <c r="AM107" s="190">
        <f>M107</f>
        <v>10</v>
      </c>
      <c r="AN107" s="562"/>
      <c r="AO107" s="562"/>
      <c r="AP107" s="562"/>
      <c r="AQ107" s="562"/>
      <c r="AR107" s="562"/>
      <c r="AS107" s="562"/>
    </row>
    <row r="108" spans="1:45" ht="16" thickTop="1" x14ac:dyDescent="0.2">
      <c r="A108" s="541">
        <v>5</v>
      </c>
      <c r="B108" s="544" t="s">
        <v>2263</v>
      </c>
      <c r="C108" s="544"/>
      <c r="D108" s="544"/>
      <c r="E108" s="544"/>
      <c r="F108" s="544"/>
      <c r="G108" s="539" t="str">
        <f ca="1">IF(COUNTIF(G112:G144,"P")&gt;0,"P","")</f>
        <v/>
      </c>
      <c r="H108" s="545" t="s">
        <v>3758</v>
      </c>
      <c r="I108" s="107" t="s">
        <v>2264</v>
      </c>
      <c r="J108" s="60"/>
      <c r="K108" s="60"/>
      <c r="L108" s="775" t="s">
        <v>2265</v>
      </c>
      <c r="M108" s="678"/>
      <c r="N108" s="648"/>
      <c r="O108" s="562"/>
      <c r="P108" s="562"/>
      <c r="Q108" s="562"/>
      <c r="R108" s="562"/>
      <c r="S108" s="562"/>
      <c r="T108" s="562"/>
      <c r="U108" s="562"/>
      <c r="V108" s="562"/>
      <c r="W108" s="562"/>
      <c r="X108" s="786"/>
      <c r="Y108" s="975" t="str">
        <f>IF(LEN('Ch5'!X109)=0,"None",'Ch5'!X109)</f>
        <v>None</v>
      </c>
      <c r="Z108" s="976"/>
      <c r="AA108" s="562"/>
      <c r="AB108" s="562"/>
      <c r="AC108" s="562"/>
      <c r="AD108" s="562"/>
      <c r="AE108" s="562"/>
      <c r="AF108" s="562"/>
      <c r="AG108" s="562"/>
      <c r="AH108" s="562"/>
      <c r="AI108" s="562"/>
      <c r="AJ108" s="562"/>
      <c r="AK108" s="562"/>
      <c r="AL108" s="562"/>
      <c r="AM108" s="562"/>
      <c r="AN108" s="562"/>
      <c r="AO108" s="562"/>
      <c r="AP108" s="562"/>
      <c r="AQ108" s="562"/>
      <c r="AR108" s="190" t="str">
        <f>SUBSTITUTE(SUBSTITUTE(SUBSTITUTE("vnt"&amp;$B108&amp;$C108&amp;$D108&amp;$E108&amp;$F108,".","_"),"(","_"),")","")</f>
        <v>vnt503_5</v>
      </c>
      <c r="AS108" s="190">
        <f>X108</f>
        <v>0</v>
      </c>
    </row>
    <row r="109" spans="1:45" x14ac:dyDescent="0.2">
      <c r="A109" s="541">
        <v>5</v>
      </c>
      <c r="B109" s="544" t="s">
        <v>2263</v>
      </c>
      <c r="C109" s="544"/>
      <c r="D109" s="544"/>
      <c r="E109" s="544"/>
      <c r="F109" s="544"/>
      <c r="G109" s="543" t="str">
        <f t="shared" ref="G109" ca="1" si="27">G108</f>
        <v/>
      </c>
      <c r="H109" s="545" t="s">
        <v>3758</v>
      </c>
      <c r="I109" s="60"/>
      <c r="J109" s="60"/>
      <c r="K109" s="60"/>
      <c r="L109" s="775"/>
      <c r="M109" s="678"/>
      <c r="N109" s="648"/>
      <c r="O109" s="562"/>
      <c r="P109" s="562"/>
      <c r="Q109" s="562"/>
      <c r="R109" s="562"/>
      <c r="S109" s="562"/>
      <c r="T109" s="562"/>
      <c r="U109" s="562"/>
      <c r="V109" s="562"/>
      <c r="W109" s="562"/>
      <c r="X109" s="787"/>
      <c r="Y109" s="980"/>
      <c r="Z109" s="983"/>
      <c r="AA109" s="562"/>
      <c r="AB109" s="562"/>
      <c r="AC109" s="562"/>
      <c r="AD109" s="562"/>
      <c r="AE109" s="562"/>
      <c r="AF109" s="562"/>
      <c r="AG109" s="562"/>
      <c r="AH109" s="562"/>
      <c r="AI109" s="562"/>
      <c r="AJ109" s="562"/>
      <c r="AK109" s="562"/>
      <c r="AL109" s="562"/>
      <c r="AM109" s="562"/>
      <c r="AN109" s="562"/>
      <c r="AO109" s="562"/>
      <c r="AP109" s="562"/>
      <c r="AQ109" s="562"/>
      <c r="AR109" s="562"/>
      <c r="AS109" s="562"/>
    </row>
    <row r="110" spans="1:45" x14ac:dyDescent="0.2">
      <c r="A110" s="541">
        <v>5</v>
      </c>
      <c r="B110" s="544" t="s">
        <v>2263</v>
      </c>
      <c r="C110" s="544"/>
      <c r="D110" s="544"/>
      <c r="E110" s="544"/>
      <c r="F110" s="544"/>
      <c r="G110" s="545"/>
      <c r="H110" s="545"/>
      <c r="I110" s="60"/>
      <c r="J110" s="60"/>
      <c r="K110" s="60"/>
      <c r="L110" s="816" t="s">
        <v>2266</v>
      </c>
      <c r="M110" s="678"/>
      <c r="N110" s="648"/>
      <c r="O110" s="562"/>
      <c r="P110" s="64" t="b">
        <v>0</v>
      </c>
      <c r="Q110" s="64" t="b">
        <v>1</v>
      </c>
      <c r="R110" s="562" t="b">
        <v>0</v>
      </c>
      <c r="S110" s="562" t="b">
        <v>1</v>
      </c>
      <c r="T110" s="562" t="b">
        <v>0</v>
      </c>
      <c r="U110" s="562" t="str">
        <f>SUBSTITUTE(SUBSTITUTE(SUBSTITUTE("dd"&amp;B110&amp;C110&amp;D110&amp;E110&amp;F110,".","_"),"(","_"),")","")</f>
        <v>dd503_5</v>
      </c>
      <c r="V110" s="562"/>
      <c r="W110" s="6"/>
      <c r="X110" s="787"/>
      <c r="Y110" s="980"/>
      <c r="Z110" s="983"/>
      <c r="AA110" s="562"/>
      <c r="AB110" s="562"/>
      <c r="AC110" s="562"/>
      <c r="AD110" s="562"/>
      <c r="AE110" s="562"/>
      <c r="AF110" s="562"/>
      <c r="AG110" s="562"/>
      <c r="AH110" s="562"/>
      <c r="AI110" s="562"/>
      <c r="AJ110" s="562"/>
      <c r="AK110" s="562"/>
      <c r="AL110" s="562"/>
      <c r="AM110" s="562"/>
      <c r="AN110" s="562"/>
      <c r="AO110" s="562"/>
      <c r="AP110" s="190" t="str">
        <f>SUBSTITUTE(SUBSTITUTE(SUBSTITUTE("vch"&amp;$B110&amp;$C110&amp;$D110&amp;$E110&amp;$F110,".","_"),"(","_"),")","")</f>
        <v>vch503_5</v>
      </c>
      <c r="AQ110" s="190">
        <f>W110</f>
        <v>0</v>
      </c>
      <c r="AR110" s="562"/>
      <c r="AS110" s="562"/>
    </row>
    <row r="111" spans="1:45" x14ac:dyDescent="0.2">
      <c r="A111" s="541">
        <v>5</v>
      </c>
      <c r="B111" s="544" t="s">
        <v>2263</v>
      </c>
      <c r="C111" s="544"/>
      <c r="D111" s="544"/>
      <c r="E111" s="544"/>
      <c r="F111" s="544"/>
      <c r="G111" s="545"/>
      <c r="H111" s="545"/>
      <c r="I111" s="60"/>
      <c r="J111" s="60"/>
      <c r="K111" s="60"/>
      <c r="L111" s="816"/>
      <c r="M111" s="678"/>
      <c r="N111" s="648"/>
      <c r="O111" s="562"/>
      <c r="P111" s="562"/>
      <c r="Q111" s="562"/>
      <c r="R111" s="562"/>
      <c r="S111" s="562"/>
      <c r="T111" s="562"/>
      <c r="U111" s="562"/>
      <c r="V111" s="562"/>
      <c r="W111" s="562"/>
      <c r="X111" s="787"/>
      <c r="Y111" s="980"/>
      <c r="Z111" s="983"/>
      <c r="AA111" s="562"/>
      <c r="AB111" s="562"/>
      <c r="AC111" s="562"/>
      <c r="AD111" s="562"/>
      <c r="AE111" s="562"/>
      <c r="AF111" s="562"/>
      <c r="AG111" s="562"/>
      <c r="AH111" s="562"/>
      <c r="AI111" s="562"/>
      <c r="AJ111" s="562"/>
      <c r="AK111" s="562"/>
      <c r="AL111" s="562"/>
      <c r="AM111" s="562"/>
      <c r="AN111" s="562"/>
      <c r="AO111" s="562"/>
      <c r="AP111" s="562"/>
      <c r="AQ111" s="562"/>
      <c r="AR111" s="562"/>
      <c r="AS111" s="562"/>
    </row>
    <row r="112" spans="1:45" x14ac:dyDescent="0.2">
      <c r="A112" s="541">
        <v>5</v>
      </c>
      <c r="B112" s="544" t="s">
        <v>2263</v>
      </c>
      <c r="C112" s="544"/>
      <c r="D112" s="544"/>
      <c r="E112" s="544" t="s">
        <v>2181</v>
      </c>
      <c r="F112" s="544"/>
      <c r="G112" s="543" t="str">
        <f ca="1">IF(N112&gt;0,"P","")</f>
        <v/>
      </c>
      <c r="H112" s="545" t="s">
        <v>3758</v>
      </c>
      <c r="I112" s="60"/>
      <c r="J112" s="57" t="s">
        <v>2181</v>
      </c>
      <c r="K112" s="60"/>
      <c r="L112" s="817" t="s">
        <v>2267</v>
      </c>
      <c r="M112" s="678"/>
      <c r="N112" s="887">
        <f ca="1">'Ch5'!O113</f>
        <v>0</v>
      </c>
      <c r="O112" s="887">
        <f ca="1">S112*IFERROR(INDEX(M114:M117,MATCH(W112,INDIRECT(U112))),0)</f>
        <v>0</v>
      </c>
      <c r="P112" s="64" t="b">
        <v>0</v>
      </c>
      <c r="Q112" s="64" t="b">
        <v>1</v>
      </c>
      <c r="R112" s="562" t="b">
        <v>0</v>
      </c>
      <c r="S112" s="562" t="b">
        <f>NOT(ISBLANK(W110))</f>
        <v>0</v>
      </c>
      <c r="T112" s="64" t="b">
        <f>IF(AND(NOT(S112),LEN(W112)&gt;0),TRUE,FALSE)</f>
        <v>0</v>
      </c>
      <c r="U112" s="562" t="str">
        <f>SUBSTITUTE(SUBSTITUTE(SUBSTITUTE("dd"&amp;B112&amp;C112&amp;D112&amp;E112&amp;F112,".","_"),"(","_"),")","")</f>
        <v>dd503_5_1</v>
      </c>
      <c r="V112" s="562"/>
      <c r="W112" s="6"/>
      <c r="X112" s="787"/>
      <c r="Y112" s="980" t="str">
        <f>IF(LEN('Ch5'!X113)=0,"None",'Ch5'!X113)</f>
        <v>None</v>
      </c>
      <c r="Z112" s="983"/>
      <c r="AA112" s="562"/>
      <c r="AB112" s="562"/>
      <c r="AC112" s="562" t="b">
        <f>OR(AD112:AE112)</f>
        <v>0</v>
      </c>
      <c r="AD112" s="562" t="b">
        <f>T112</f>
        <v>0</v>
      </c>
      <c r="AE112" s="562"/>
      <c r="AF112" s="562"/>
      <c r="AG112" s="562"/>
      <c r="AH112" s="562"/>
      <c r="AI112" s="562"/>
      <c r="AJ112" s="562"/>
      <c r="AK112" s="562"/>
      <c r="AL112" s="562"/>
      <c r="AM112" s="562"/>
      <c r="AN112" s="190" t="str">
        <f>SUBSTITUTE(SUBSTITUTE(SUBSTITUTE("vpc"&amp;$B112&amp;$C112&amp;$D112&amp;$E112&amp;$F112,".","_"),"(","_"),")","")</f>
        <v>vpc503_5_1</v>
      </c>
      <c r="AO112" s="190">
        <f ca="1">O112</f>
        <v>0</v>
      </c>
      <c r="AP112" s="190" t="str">
        <f>SUBSTITUTE(SUBSTITUTE(SUBSTITUTE("vch"&amp;$B112&amp;$C112&amp;$D112&amp;$E112&amp;$F112,".","_"),"(","_"),")","")</f>
        <v>vch503_5_1</v>
      </c>
      <c r="AQ112" s="190">
        <f>W112</f>
        <v>0</v>
      </c>
      <c r="AR112" s="190" t="str">
        <f>SUBSTITUTE(SUBSTITUTE(SUBSTITUTE("vnt"&amp;$B112&amp;$C112&amp;$D112&amp;$E112&amp;$F112,".","_"),"(","_"),")","")</f>
        <v>vnt503_5_1</v>
      </c>
      <c r="AS112" s="190">
        <f>X112</f>
        <v>0</v>
      </c>
    </row>
    <row r="113" spans="1:45" x14ac:dyDescent="0.2">
      <c r="A113" s="541">
        <v>5</v>
      </c>
      <c r="B113" s="544" t="s">
        <v>2263</v>
      </c>
      <c r="C113" s="544"/>
      <c r="D113" s="544"/>
      <c r="E113" s="544" t="s">
        <v>2181</v>
      </c>
      <c r="F113" s="544"/>
      <c r="G113" s="543" t="str">
        <f t="shared" ref="G113:G117" ca="1" si="28">G112</f>
        <v/>
      </c>
      <c r="H113" s="545" t="s">
        <v>3758</v>
      </c>
      <c r="I113" s="60"/>
      <c r="J113" s="57"/>
      <c r="K113" s="60"/>
      <c r="L113" s="817"/>
      <c r="M113" s="678"/>
      <c r="N113" s="887"/>
      <c r="O113" s="887"/>
      <c r="P113" s="562"/>
      <c r="Q113" s="562"/>
      <c r="R113" s="562"/>
      <c r="S113" s="562"/>
      <c r="T113" s="562"/>
      <c r="U113" s="562"/>
      <c r="V113" s="562"/>
      <c r="W113" s="562"/>
      <c r="X113" s="787"/>
      <c r="Y113" s="980"/>
      <c r="Z113" s="983"/>
      <c r="AA113" s="562"/>
      <c r="AB113" s="562"/>
      <c r="AC113" s="562"/>
      <c r="AD113" s="562"/>
      <c r="AE113" s="562"/>
      <c r="AF113" s="562"/>
      <c r="AG113" s="562"/>
      <c r="AH113" s="562"/>
      <c r="AI113" s="562"/>
      <c r="AJ113" s="562"/>
      <c r="AK113" s="562"/>
      <c r="AL113" s="562"/>
      <c r="AM113" s="562"/>
      <c r="AN113" s="562"/>
      <c r="AO113" s="562"/>
      <c r="AP113" s="562"/>
      <c r="AQ113" s="562"/>
      <c r="AR113" s="562"/>
      <c r="AS113" s="562"/>
    </row>
    <row r="114" spans="1:45" x14ac:dyDescent="0.2">
      <c r="A114" s="541">
        <v>5</v>
      </c>
      <c r="B114" s="544" t="s">
        <v>2263</v>
      </c>
      <c r="C114" s="544"/>
      <c r="D114" s="544"/>
      <c r="E114" s="544" t="s">
        <v>2181</v>
      </c>
      <c r="F114" s="544" t="s">
        <v>2196</v>
      </c>
      <c r="G114" s="543" t="str">
        <f t="shared" ca="1" si="28"/>
        <v/>
      </c>
      <c r="H114" s="545" t="s">
        <v>3758</v>
      </c>
      <c r="I114" s="60"/>
      <c r="J114" s="60"/>
      <c r="K114" s="57" t="s">
        <v>2196</v>
      </c>
      <c r="L114" s="53" t="s">
        <v>2268</v>
      </c>
      <c r="M114" s="104">
        <f ca="1">4*IFERROR(INDEX({0.5,0.5,1},MATCH($W$110,INDIRECT($U$110),0)),0)</f>
        <v>0</v>
      </c>
      <c r="N114" s="648"/>
      <c r="O114" s="648"/>
      <c r="P114" s="562"/>
      <c r="Q114" s="562"/>
      <c r="R114" s="562"/>
      <c r="S114" s="562"/>
      <c r="T114" s="562"/>
      <c r="U114" s="562"/>
      <c r="V114" s="562"/>
      <c r="W114" s="562"/>
      <c r="X114" s="787"/>
      <c r="Y114" s="980"/>
      <c r="Z114" s="983"/>
      <c r="AA114" s="562"/>
      <c r="AB114" s="562"/>
      <c r="AC114" s="562"/>
      <c r="AD114" s="562"/>
      <c r="AE114" s="562"/>
      <c r="AF114" s="562"/>
      <c r="AG114" s="562"/>
      <c r="AH114" s="562"/>
      <c r="AI114" s="562"/>
      <c r="AJ114" s="562"/>
      <c r="AK114" s="562"/>
      <c r="AL114" s="190" t="str">
        <f t="shared" ref="AL114:AL118" si="29">SUBSTITUTE(SUBSTITUTE(SUBSTITUTE("vpa"&amp;$B114&amp;$C114&amp;$D114&amp;$E114&amp;$F114,".","_"),"(","_"),")","")</f>
        <v>vpa503_5_1_a</v>
      </c>
      <c r="AM114" s="190">
        <f ca="1">M114</f>
        <v>0</v>
      </c>
      <c r="AN114" s="562"/>
      <c r="AO114" s="562"/>
      <c r="AP114" s="562"/>
      <c r="AQ114" s="562"/>
      <c r="AR114" s="562"/>
      <c r="AS114" s="562"/>
    </row>
    <row r="115" spans="1:45" x14ac:dyDescent="0.2">
      <c r="A115" s="541">
        <v>5</v>
      </c>
      <c r="B115" s="544" t="s">
        <v>2263</v>
      </c>
      <c r="C115" s="544"/>
      <c r="D115" s="544"/>
      <c r="E115" s="544" t="s">
        <v>2181</v>
      </c>
      <c r="F115" s="544" t="s">
        <v>2198</v>
      </c>
      <c r="G115" s="543" t="str">
        <f t="shared" ca="1" si="28"/>
        <v/>
      </c>
      <c r="H115" s="545" t="s">
        <v>3758</v>
      </c>
      <c r="I115" s="60"/>
      <c r="J115" s="60"/>
      <c r="K115" s="57" t="s">
        <v>2198</v>
      </c>
      <c r="L115" s="53" t="s">
        <v>2269</v>
      </c>
      <c r="M115" s="104">
        <f ca="1">3*IFERROR(INDEX({0.5,0.5,1},MATCH($W$110,INDIRECT($U$110),0)),0)</f>
        <v>0</v>
      </c>
      <c r="N115" s="648"/>
      <c r="O115" s="648"/>
      <c r="P115" s="562"/>
      <c r="Q115" s="562"/>
      <c r="R115" s="562"/>
      <c r="S115" s="562"/>
      <c r="T115" s="562"/>
      <c r="U115" s="562"/>
      <c r="V115" s="562"/>
      <c r="W115" s="562"/>
      <c r="X115" s="787"/>
      <c r="Y115" s="980"/>
      <c r="Z115" s="983"/>
      <c r="AA115" s="562"/>
      <c r="AB115" s="562"/>
      <c r="AC115" s="562"/>
      <c r="AD115" s="562"/>
      <c r="AE115" s="562"/>
      <c r="AF115" s="562"/>
      <c r="AG115" s="562"/>
      <c r="AH115" s="562"/>
      <c r="AI115" s="562"/>
      <c r="AJ115" s="562"/>
      <c r="AK115" s="562"/>
      <c r="AL115" s="190" t="str">
        <f t="shared" si="29"/>
        <v>vpa503_5_1_b</v>
      </c>
      <c r="AM115" s="190">
        <f ca="1">M115</f>
        <v>0</v>
      </c>
      <c r="AN115" s="562"/>
      <c r="AO115" s="562"/>
      <c r="AP115" s="562"/>
      <c r="AQ115" s="562"/>
      <c r="AR115" s="562"/>
      <c r="AS115" s="562"/>
    </row>
    <row r="116" spans="1:45" x14ac:dyDescent="0.2">
      <c r="A116" s="541">
        <v>5</v>
      </c>
      <c r="B116" s="544" t="s">
        <v>2263</v>
      </c>
      <c r="C116" s="544"/>
      <c r="D116" s="544"/>
      <c r="E116" s="544" t="s">
        <v>2181</v>
      </c>
      <c r="F116" s="544" t="s">
        <v>2200</v>
      </c>
      <c r="G116" s="543" t="str">
        <f t="shared" ca="1" si="28"/>
        <v/>
      </c>
      <c r="H116" s="545" t="s">
        <v>3758</v>
      </c>
      <c r="I116" s="60"/>
      <c r="J116" s="60"/>
      <c r="K116" s="59" t="s">
        <v>2200</v>
      </c>
      <c r="L116" s="53" t="s">
        <v>2270</v>
      </c>
      <c r="M116" s="104">
        <f ca="1">2*IFERROR(INDEX({0.5,0.5,1},MATCH($W$110,INDIRECT($U$110),0)),0)</f>
        <v>0</v>
      </c>
      <c r="N116" s="648"/>
      <c r="O116" s="648"/>
      <c r="P116" s="562"/>
      <c r="Q116" s="562"/>
      <c r="R116" s="562"/>
      <c r="S116" s="562"/>
      <c r="T116" s="562"/>
      <c r="U116" s="562"/>
      <c r="V116" s="562"/>
      <c r="W116" s="562"/>
      <c r="X116" s="787"/>
      <c r="Y116" s="980"/>
      <c r="Z116" s="983"/>
      <c r="AA116" s="562"/>
      <c r="AB116" s="562"/>
      <c r="AC116" s="562"/>
      <c r="AD116" s="562"/>
      <c r="AE116" s="562"/>
      <c r="AF116" s="562"/>
      <c r="AG116" s="562"/>
      <c r="AH116" s="562"/>
      <c r="AI116" s="562"/>
      <c r="AJ116" s="562"/>
      <c r="AK116" s="562"/>
      <c r="AL116" s="190" t="str">
        <f t="shared" si="29"/>
        <v>vpa503_5_1_c</v>
      </c>
      <c r="AM116" s="190">
        <f ca="1">M116</f>
        <v>0</v>
      </c>
      <c r="AN116" s="562"/>
      <c r="AO116" s="562"/>
      <c r="AP116" s="562"/>
      <c r="AQ116" s="562"/>
      <c r="AR116" s="562"/>
      <c r="AS116" s="562"/>
    </row>
    <row r="117" spans="1:45" x14ac:dyDescent="0.2">
      <c r="A117" s="541">
        <v>5</v>
      </c>
      <c r="B117" s="544" t="s">
        <v>2263</v>
      </c>
      <c r="C117" s="544"/>
      <c r="D117" s="544"/>
      <c r="E117" s="544" t="s">
        <v>2181</v>
      </c>
      <c r="F117" s="544" t="s">
        <v>2247</v>
      </c>
      <c r="G117" s="543" t="str">
        <f t="shared" ca="1" si="28"/>
        <v/>
      </c>
      <c r="H117" s="545" t="s">
        <v>3758</v>
      </c>
      <c r="I117" s="60"/>
      <c r="J117" s="128"/>
      <c r="K117" s="130" t="s">
        <v>2247</v>
      </c>
      <c r="L117" s="126" t="s">
        <v>2271</v>
      </c>
      <c r="M117" s="680">
        <f ca="1">1*IFERROR(INDEX({0.5,0.5,1},MATCH($W$110,INDIRECT($U$110),0)),0)</f>
        <v>0</v>
      </c>
      <c r="N117" s="669"/>
      <c r="O117" s="669"/>
      <c r="P117" s="562"/>
      <c r="Q117" s="562"/>
      <c r="R117" s="562"/>
      <c r="S117" s="562"/>
      <c r="T117" s="562"/>
      <c r="U117" s="562"/>
      <c r="V117" s="562"/>
      <c r="W117" s="562"/>
      <c r="X117" s="787"/>
      <c r="Y117" s="980"/>
      <c r="Z117" s="983"/>
      <c r="AA117" s="562"/>
      <c r="AB117" s="562"/>
      <c r="AC117" s="562"/>
      <c r="AD117" s="562"/>
      <c r="AE117" s="562"/>
      <c r="AF117" s="562"/>
      <c r="AG117" s="562"/>
      <c r="AH117" s="562"/>
      <c r="AI117" s="562"/>
      <c r="AJ117" s="562"/>
      <c r="AK117" s="562"/>
      <c r="AL117" s="190" t="str">
        <f t="shared" si="29"/>
        <v>vpa503_5_1_d</v>
      </c>
      <c r="AM117" s="190">
        <f ca="1">M117</f>
        <v>0</v>
      </c>
      <c r="AN117" s="562"/>
      <c r="AO117" s="562"/>
      <c r="AP117" s="562"/>
      <c r="AQ117" s="562"/>
      <c r="AR117" s="562"/>
      <c r="AS117" s="562"/>
    </row>
    <row r="118" spans="1:45" x14ac:dyDescent="0.2">
      <c r="A118" s="541">
        <v>5</v>
      </c>
      <c r="B118" s="544" t="s">
        <v>2263</v>
      </c>
      <c r="C118" s="544"/>
      <c r="D118" s="544"/>
      <c r="E118" s="544" t="s">
        <v>2183</v>
      </c>
      <c r="F118" s="544"/>
      <c r="G118" s="543" t="str">
        <f ca="1">IF(N118&gt;0,"P","")</f>
        <v/>
      </c>
      <c r="H118" s="545" t="s">
        <v>3758</v>
      </c>
      <c r="I118" s="60"/>
      <c r="J118" s="61" t="s">
        <v>2183</v>
      </c>
      <c r="K118" s="71"/>
      <c r="L118" s="791" t="s">
        <v>2272</v>
      </c>
      <c r="M118" s="997">
        <f ca="1">7*IFERROR(INDEX({0.5,0.5,1},MATCH($W$110,INDIRECT($U$110),0)),0)</f>
        <v>0</v>
      </c>
      <c r="N118" s="923">
        <f ca="1">'Ch5'!O119</f>
        <v>0</v>
      </c>
      <c r="O118" s="924">
        <f ca="1">M118*S118*W118</f>
        <v>0</v>
      </c>
      <c r="P118" s="562" t="b">
        <v>0</v>
      </c>
      <c r="Q118" s="562" t="b">
        <v>1</v>
      </c>
      <c r="R118" s="562" t="b">
        <v>0</v>
      </c>
      <c r="S118" s="562" t="b">
        <f>NOT(ISBLANK(W110))</f>
        <v>0</v>
      </c>
      <c r="T118" s="64" t="b">
        <f>IF(AND(NOT(S118),W118=TRUE),TRUE,FALSE)</f>
        <v>0</v>
      </c>
      <c r="U118" s="562"/>
      <c r="V118" s="562"/>
      <c r="W118" s="18"/>
      <c r="X118" s="787"/>
      <c r="Y118" s="980" t="str">
        <f>IF(LEN('Ch5'!X119)=0,"None",'Ch5'!X119)</f>
        <v>None</v>
      </c>
      <c r="Z118" s="983"/>
      <c r="AA118" s="562">
        <f>'Photo Review'!H118</f>
        <v>0</v>
      </c>
      <c r="AB118" s="562"/>
      <c r="AC118" s="562" t="b">
        <f>OR(AD118:AE118)</f>
        <v>0</v>
      </c>
      <c r="AD118" s="562" t="b">
        <f>T118</f>
        <v>0</v>
      </c>
      <c r="AE118" s="562"/>
      <c r="AF118" s="562"/>
      <c r="AG118" s="562"/>
      <c r="AH118" s="562"/>
      <c r="AI118" s="562"/>
      <c r="AJ118" s="562"/>
      <c r="AK118" s="562"/>
      <c r="AL118" s="190" t="str">
        <f t="shared" si="29"/>
        <v>vpa503_5_2</v>
      </c>
      <c r="AM118" s="190">
        <f ca="1">M118</f>
        <v>0</v>
      </c>
      <c r="AN118" s="190" t="str">
        <f>SUBSTITUTE(SUBSTITUTE(SUBSTITUTE("vpc"&amp;$B118&amp;$C118&amp;$D118&amp;$E118&amp;$F118,".","_"),"(","_"),")","")</f>
        <v>vpc503_5_2</v>
      </c>
      <c r="AO118" s="190">
        <f ca="1">O118</f>
        <v>0</v>
      </c>
      <c r="AP118" s="190" t="str">
        <f>SUBSTITUTE(SUBSTITUTE(SUBSTITUTE("vch"&amp;$B118&amp;$C118&amp;$D118&amp;$E118&amp;$F118,".","_"),"(","_"),")","")</f>
        <v>vch503_5_2</v>
      </c>
      <c r="AQ118" s="190">
        <f>W118</f>
        <v>0</v>
      </c>
      <c r="AR118" s="190" t="str">
        <f>SUBSTITUTE(SUBSTITUTE(SUBSTITUTE("vnt"&amp;$B118&amp;$C118&amp;$D118&amp;$E118&amp;$F118,".","_"),"(","_"),")","")</f>
        <v>vnt503_5_2</v>
      </c>
      <c r="AS118" s="190">
        <f>X118</f>
        <v>0</v>
      </c>
    </row>
    <row r="119" spans="1:45" x14ac:dyDescent="0.2">
      <c r="A119" s="541">
        <v>5</v>
      </c>
      <c r="B119" s="544" t="s">
        <v>2263</v>
      </c>
      <c r="C119" s="544"/>
      <c r="D119" s="544"/>
      <c r="E119" s="544" t="s">
        <v>2183</v>
      </c>
      <c r="F119" s="544"/>
      <c r="G119" s="543" t="str">
        <f ca="1">G118</f>
        <v/>
      </c>
      <c r="H119" s="545" t="s">
        <v>3758</v>
      </c>
      <c r="I119" s="60"/>
      <c r="J119" s="128"/>
      <c r="K119" s="128"/>
      <c r="L119" s="792"/>
      <c r="M119" s="998"/>
      <c r="N119" s="942"/>
      <c r="O119" s="942"/>
      <c r="P119" s="562"/>
      <c r="Q119" s="562"/>
      <c r="R119" s="562"/>
      <c r="S119" s="562"/>
      <c r="T119" s="562"/>
      <c r="U119" s="562"/>
      <c r="V119" s="562"/>
      <c r="W119" s="562"/>
      <c r="X119" s="787"/>
      <c r="Y119" s="980"/>
      <c r="Z119" s="983"/>
      <c r="AA119" s="562"/>
      <c r="AB119" s="562"/>
      <c r="AC119" s="562"/>
      <c r="AD119" s="562"/>
      <c r="AE119" s="562"/>
      <c r="AF119" s="562"/>
      <c r="AG119" s="562"/>
      <c r="AH119" s="562"/>
      <c r="AI119" s="562"/>
      <c r="AJ119" s="562"/>
      <c r="AK119" s="562"/>
      <c r="AL119" s="562"/>
      <c r="AM119" s="562"/>
      <c r="AN119" s="562"/>
      <c r="AO119" s="562"/>
      <c r="AP119" s="562"/>
      <c r="AQ119" s="562"/>
      <c r="AR119" s="562"/>
      <c r="AS119" s="562"/>
    </row>
    <row r="120" spans="1:45" x14ac:dyDescent="0.2">
      <c r="A120" s="541">
        <v>5</v>
      </c>
      <c r="B120" s="544" t="s">
        <v>2263</v>
      </c>
      <c r="C120" s="544"/>
      <c r="D120" s="544"/>
      <c r="E120" s="544" t="s">
        <v>2185</v>
      </c>
      <c r="F120" s="544"/>
      <c r="G120" s="543" t="str">
        <f ca="1">IF(N120&gt;0,"P","")</f>
        <v/>
      </c>
      <c r="H120" s="545" t="s">
        <v>3758</v>
      </c>
      <c r="I120" s="60"/>
      <c r="J120" s="61" t="s">
        <v>2185</v>
      </c>
      <c r="K120" s="71"/>
      <c r="L120" s="791" t="s">
        <v>2273</v>
      </c>
      <c r="M120" s="997">
        <f ca="1">3*IFERROR(INDEX({0.5,0.5,1},MATCH($W$110,INDIRECT($U$110),0)),0)</f>
        <v>0</v>
      </c>
      <c r="N120" s="923">
        <f ca="1">'Ch5'!O121</f>
        <v>0</v>
      </c>
      <c r="O120" s="924">
        <f ca="1">M120*S120*W120</f>
        <v>0</v>
      </c>
      <c r="P120" s="562" t="b">
        <v>0</v>
      </c>
      <c r="Q120" s="562" t="b">
        <v>1</v>
      </c>
      <c r="R120" s="562" t="b">
        <v>0</v>
      </c>
      <c r="S120" s="562" t="b">
        <f>NOT(ISBLANK(W110))</f>
        <v>0</v>
      </c>
      <c r="T120" s="64" t="b">
        <f>IF(AND(NOT(S120),W120=TRUE),TRUE,FALSE)</f>
        <v>0</v>
      </c>
      <c r="U120" s="562"/>
      <c r="V120" s="562"/>
      <c r="W120" s="18"/>
      <c r="X120" s="787"/>
      <c r="Y120" s="980" t="str">
        <f>IF(LEN('Ch5'!X121)=0,"None",'Ch5'!X121)</f>
        <v>None</v>
      </c>
      <c r="Z120" s="983"/>
      <c r="AA120" s="562"/>
      <c r="AB120" s="562"/>
      <c r="AC120" s="562" t="b">
        <f>OR(AD120:AE120)</f>
        <v>0</v>
      </c>
      <c r="AD120" s="562" t="b">
        <f>T120</f>
        <v>0</v>
      </c>
      <c r="AE120" s="562"/>
      <c r="AF120" s="562"/>
      <c r="AG120" s="562"/>
      <c r="AH120" s="562"/>
      <c r="AI120" s="562"/>
      <c r="AJ120" s="562"/>
      <c r="AK120" s="562"/>
      <c r="AL120" s="190" t="str">
        <f>SUBSTITUTE(SUBSTITUTE(SUBSTITUTE("vpa"&amp;$B120&amp;$C120&amp;$D120&amp;$E120&amp;$F120,".","_"),"(","_"),")","")</f>
        <v>vpa503_5_3</v>
      </c>
      <c r="AM120" s="190">
        <f ca="1">M120</f>
        <v>0</v>
      </c>
      <c r="AN120" s="190" t="str">
        <f>SUBSTITUTE(SUBSTITUTE(SUBSTITUTE("vpc"&amp;$B120&amp;$C120&amp;$D120&amp;$E120&amp;$F120,".","_"),"(","_"),")","")</f>
        <v>vpc503_5_3</v>
      </c>
      <c r="AO120" s="190">
        <f ca="1">O120</f>
        <v>0</v>
      </c>
      <c r="AP120" s="190" t="str">
        <f>SUBSTITUTE(SUBSTITUTE(SUBSTITUTE("vch"&amp;$B120&amp;$C120&amp;$D120&amp;$E120&amp;$F120,".","_"),"(","_"),")","")</f>
        <v>vch503_5_3</v>
      </c>
      <c r="AQ120" s="190">
        <f>W120</f>
        <v>0</v>
      </c>
      <c r="AR120" s="190" t="str">
        <f>SUBSTITUTE(SUBSTITUTE(SUBSTITUTE("vnt"&amp;$B120&amp;$C120&amp;$D120&amp;$E120&amp;$F120,".","_"),"(","_"),")","")</f>
        <v>vnt503_5_3</v>
      </c>
      <c r="AS120" s="190">
        <f>X120</f>
        <v>0</v>
      </c>
    </row>
    <row r="121" spans="1:45" x14ac:dyDescent="0.2">
      <c r="A121" s="541">
        <v>5</v>
      </c>
      <c r="B121" s="544" t="s">
        <v>2263</v>
      </c>
      <c r="C121" s="544"/>
      <c r="D121" s="544"/>
      <c r="E121" s="544" t="s">
        <v>2185</v>
      </c>
      <c r="F121" s="544"/>
      <c r="G121" s="543" t="str">
        <f ca="1">G120</f>
        <v/>
      </c>
      <c r="H121" s="545" t="s">
        <v>3758</v>
      </c>
      <c r="I121" s="60"/>
      <c r="J121" s="128"/>
      <c r="K121" s="128"/>
      <c r="L121" s="792"/>
      <c r="M121" s="998"/>
      <c r="N121" s="942"/>
      <c r="O121" s="942"/>
      <c r="P121" s="562"/>
      <c r="Q121" s="562"/>
      <c r="R121" s="562"/>
      <c r="S121" s="562"/>
      <c r="T121" s="562"/>
      <c r="U121" s="562"/>
      <c r="V121" s="562"/>
      <c r="W121" s="562"/>
      <c r="X121" s="787"/>
      <c r="Y121" s="980"/>
      <c r="Z121" s="983"/>
      <c r="AA121" s="562"/>
      <c r="AB121" s="562"/>
      <c r="AC121" s="562"/>
      <c r="AD121" s="562"/>
      <c r="AE121" s="562"/>
      <c r="AF121" s="562"/>
      <c r="AG121" s="562"/>
      <c r="AH121" s="562"/>
      <c r="AI121" s="562"/>
      <c r="AJ121" s="562"/>
      <c r="AK121" s="562"/>
      <c r="AL121" s="562"/>
      <c r="AM121" s="562"/>
      <c r="AN121" s="562"/>
      <c r="AO121" s="562"/>
      <c r="AP121" s="562"/>
      <c r="AQ121" s="562"/>
      <c r="AR121" s="562"/>
      <c r="AS121" s="562"/>
    </row>
    <row r="122" spans="1:45" x14ac:dyDescent="0.2">
      <c r="A122" s="541">
        <v>5</v>
      </c>
      <c r="B122" s="544" t="s">
        <v>2263</v>
      </c>
      <c r="C122" s="544"/>
      <c r="D122" s="544"/>
      <c r="E122" s="544" t="s">
        <v>2192</v>
      </c>
      <c r="F122" s="544"/>
      <c r="G122" s="543" t="str">
        <f ca="1">IF(N122&gt;0,"P","")</f>
        <v/>
      </c>
      <c r="H122" s="545" t="s">
        <v>3758</v>
      </c>
      <c r="I122" s="60"/>
      <c r="J122" s="61" t="s">
        <v>2192</v>
      </c>
      <c r="K122" s="71"/>
      <c r="L122" s="791" t="s">
        <v>2274</v>
      </c>
      <c r="M122" s="997">
        <f ca="1">2*IFERROR(INDEX({0.5,0.5,1},MATCH($W$110,INDIRECT($U$110),0)),0)</f>
        <v>0</v>
      </c>
      <c r="N122" s="923">
        <f ca="1">'Ch5'!O123</f>
        <v>0</v>
      </c>
      <c r="O122" s="924">
        <f ca="1">M122*S122*W122</f>
        <v>0</v>
      </c>
      <c r="P122" s="562" t="b">
        <v>0</v>
      </c>
      <c r="Q122" s="562" t="b">
        <v>1</v>
      </c>
      <c r="R122" s="562" t="b">
        <v>0</v>
      </c>
      <c r="S122" s="562" t="b">
        <f>NOT(ISBLANK(W110))</f>
        <v>0</v>
      </c>
      <c r="T122" s="64" t="b">
        <f>IF(AND(NOT(S122),W122=TRUE),TRUE,FALSE)</f>
        <v>0</v>
      </c>
      <c r="U122" s="562"/>
      <c r="V122" s="562"/>
      <c r="W122" s="18"/>
      <c r="X122" s="787"/>
      <c r="Y122" s="980" t="str">
        <f>IF(LEN('Ch5'!X123)=0,"None",'Ch5'!X123)</f>
        <v>None</v>
      </c>
      <c r="Z122" s="983"/>
      <c r="AA122" s="562"/>
      <c r="AB122" s="562"/>
      <c r="AC122" s="562" t="b">
        <f>OR(AD122:AE122)</f>
        <v>0</v>
      </c>
      <c r="AD122" s="562" t="b">
        <f>T122</f>
        <v>0</v>
      </c>
      <c r="AE122" s="562"/>
      <c r="AF122" s="562"/>
      <c r="AG122" s="562"/>
      <c r="AH122" s="562"/>
      <c r="AI122" s="562"/>
      <c r="AJ122" s="562"/>
      <c r="AK122" s="562"/>
      <c r="AL122" s="190" t="str">
        <f>SUBSTITUTE(SUBSTITUTE(SUBSTITUTE("vpa"&amp;$B122&amp;$C122&amp;$D122&amp;$E122&amp;$F122,".","_"),"(","_"),")","")</f>
        <v>vpa503_5_4</v>
      </c>
      <c r="AM122" s="190">
        <f ca="1">M122</f>
        <v>0</v>
      </c>
      <c r="AN122" s="190" t="str">
        <f>SUBSTITUTE(SUBSTITUTE(SUBSTITUTE("vpc"&amp;$B122&amp;$C122&amp;$D122&amp;$E122&amp;$F122,".","_"),"(","_"),")","")</f>
        <v>vpc503_5_4</v>
      </c>
      <c r="AO122" s="190">
        <f ca="1">O122</f>
        <v>0</v>
      </c>
      <c r="AP122" s="190" t="str">
        <f>SUBSTITUTE(SUBSTITUTE(SUBSTITUTE("vch"&amp;$B122&amp;$C122&amp;$D122&amp;$E122&amp;$F122,".","_"),"(","_"),")","")</f>
        <v>vch503_5_4</v>
      </c>
      <c r="AQ122" s="190">
        <f>W122</f>
        <v>0</v>
      </c>
      <c r="AR122" s="190" t="str">
        <f>SUBSTITUTE(SUBSTITUTE(SUBSTITUTE("vnt"&amp;$B122&amp;$C122&amp;$D122&amp;$E122&amp;$F122,".","_"),"(","_"),")","")</f>
        <v>vnt503_5_4</v>
      </c>
      <c r="AS122" s="190">
        <f>X122</f>
        <v>0</v>
      </c>
    </row>
    <row r="123" spans="1:45" x14ac:dyDescent="0.2">
      <c r="A123" s="541">
        <v>5</v>
      </c>
      <c r="B123" s="544" t="s">
        <v>2263</v>
      </c>
      <c r="C123" s="544"/>
      <c r="D123" s="544"/>
      <c r="E123" s="544" t="s">
        <v>2192</v>
      </c>
      <c r="F123" s="544"/>
      <c r="G123" s="543" t="str">
        <f ca="1">G122</f>
        <v/>
      </c>
      <c r="H123" s="545" t="s">
        <v>3758</v>
      </c>
      <c r="I123" s="60"/>
      <c r="J123" s="128"/>
      <c r="K123" s="128"/>
      <c r="L123" s="792"/>
      <c r="M123" s="998"/>
      <c r="N123" s="942"/>
      <c r="O123" s="942"/>
      <c r="P123" s="562"/>
      <c r="Q123" s="562"/>
      <c r="R123" s="562"/>
      <c r="S123" s="562"/>
      <c r="T123" s="562"/>
      <c r="U123" s="562"/>
      <c r="V123" s="562"/>
      <c r="W123" s="562"/>
      <c r="X123" s="787"/>
      <c r="Y123" s="980"/>
      <c r="Z123" s="983"/>
      <c r="AA123" s="562"/>
      <c r="AB123" s="562"/>
      <c r="AC123" s="562"/>
      <c r="AD123" s="562"/>
      <c r="AE123" s="562"/>
      <c r="AF123" s="562"/>
      <c r="AG123" s="562"/>
      <c r="AH123" s="562"/>
      <c r="AI123" s="562"/>
      <c r="AJ123" s="562"/>
      <c r="AK123" s="562"/>
      <c r="AL123" s="562"/>
      <c r="AM123" s="562"/>
      <c r="AN123" s="562"/>
      <c r="AO123" s="562"/>
      <c r="AP123" s="562"/>
      <c r="AQ123" s="562"/>
      <c r="AR123" s="562"/>
      <c r="AS123" s="562"/>
    </row>
    <row r="124" spans="1:45" x14ac:dyDescent="0.2">
      <c r="A124" s="541">
        <v>5</v>
      </c>
      <c r="B124" s="544" t="s">
        <v>2263</v>
      </c>
      <c r="C124" s="544"/>
      <c r="D124" s="544"/>
      <c r="E124" s="544" t="s">
        <v>2194</v>
      </c>
      <c r="F124" s="544"/>
      <c r="G124" s="543" t="str">
        <f ca="1">IF(N124&gt;0,"P","")</f>
        <v/>
      </c>
      <c r="H124" s="545" t="s">
        <v>3758</v>
      </c>
      <c r="I124" s="60"/>
      <c r="J124" s="57" t="s">
        <v>2194</v>
      </c>
      <c r="K124" s="60"/>
      <c r="L124" s="53" t="s">
        <v>2275</v>
      </c>
      <c r="M124" s="104"/>
      <c r="N124" s="648">
        <f ca="1">'Ch5'!O125</f>
        <v>0</v>
      </c>
      <c r="O124" s="648">
        <f ca="1">S124*IFERROR(INDEX(M125:M128,MATCH(W124,INDIRECT(U124))),0)</f>
        <v>0</v>
      </c>
      <c r="P124" s="562" t="b">
        <v>0</v>
      </c>
      <c r="Q124" s="562" t="b">
        <v>1</v>
      </c>
      <c r="R124" s="562" t="b">
        <v>0</v>
      </c>
      <c r="S124" s="562" t="b">
        <f>NOT(ISBLANK(W110))</f>
        <v>0</v>
      </c>
      <c r="T124" s="64" t="b">
        <f>IF(AND(NOT(S124),LEN(W124)&gt;0),TRUE,FALSE)</f>
        <v>0</v>
      </c>
      <c r="U124" s="562" t="str">
        <f>SUBSTITUTE(SUBSTITUTE(SUBSTITUTE("dd"&amp;B124&amp;C124&amp;D124&amp;E124&amp;F124,".","_"),"(","_"),")","")</f>
        <v>dd503_5_5</v>
      </c>
      <c r="V124" s="562"/>
      <c r="W124" s="6"/>
      <c r="X124" s="787"/>
      <c r="Y124" s="980" t="str">
        <f>IF(LEN('Ch5'!X125)=0,"None",'Ch5'!X125)</f>
        <v>None</v>
      </c>
      <c r="Z124" s="983"/>
      <c r="AA124" s="562">
        <f>'Photo Review'!H124</f>
        <v>0</v>
      </c>
      <c r="AB124" s="562"/>
      <c r="AC124" s="562" t="b">
        <f>OR(AD124:AE124)</f>
        <v>0</v>
      </c>
      <c r="AD124" s="562" t="b">
        <f>T124</f>
        <v>0</v>
      </c>
      <c r="AE124" s="562"/>
      <c r="AF124" s="562"/>
      <c r="AG124" s="562"/>
      <c r="AH124" s="562"/>
      <c r="AI124" s="562"/>
      <c r="AJ124" s="562"/>
      <c r="AK124" s="562"/>
      <c r="AL124" s="562"/>
      <c r="AM124" s="562"/>
      <c r="AN124" s="190" t="str">
        <f>SUBSTITUTE(SUBSTITUTE(SUBSTITUTE("vpc"&amp;$B124&amp;$C124&amp;$D124&amp;$E124&amp;$F124,".","_"),"(","_"),")","")</f>
        <v>vpc503_5_5</v>
      </c>
      <c r="AO124" s="190">
        <f ca="1">O124</f>
        <v>0</v>
      </c>
      <c r="AP124" s="190" t="str">
        <f>SUBSTITUTE(SUBSTITUTE(SUBSTITUTE("vch"&amp;$B124&amp;$C124&amp;$D124&amp;$E124&amp;$F124,".","_"),"(","_"),")","")</f>
        <v>vch503_5_5</v>
      </c>
      <c r="AQ124" s="190">
        <f>W124</f>
        <v>0</v>
      </c>
      <c r="AR124" s="190" t="str">
        <f>SUBSTITUTE(SUBSTITUTE(SUBSTITUTE("vnt"&amp;$B124&amp;$C124&amp;$D124&amp;$E124&amp;$F124,".","_"),"(","_"),")","")</f>
        <v>vnt503_5_5</v>
      </c>
      <c r="AS124" s="190">
        <f>X124</f>
        <v>0</v>
      </c>
    </row>
    <row r="125" spans="1:45" x14ac:dyDescent="0.2">
      <c r="A125" s="541">
        <v>5</v>
      </c>
      <c r="B125" s="544" t="s">
        <v>2263</v>
      </c>
      <c r="C125" s="544"/>
      <c r="D125" s="544"/>
      <c r="E125" s="544" t="s">
        <v>2194</v>
      </c>
      <c r="F125" s="544" t="s">
        <v>2196</v>
      </c>
      <c r="G125" s="543" t="str">
        <f t="shared" ref="G125:G128" ca="1" si="30">G124</f>
        <v/>
      </c>
      <c r="H125" s="545" t="s">
        <v>3758</v>
      </c>
      <c r="I125" s="60"/>
      <c r="J125" s="60"/>
      <c r="K125" s="57" t="s">
        <v>2196</v>
      </c>
      <c r="L125" s="53" t="s">
        <v>2276</v>
      </c>
      <c r="M125" s="104">
        <f ca="1">5*IFERROR(INDEX({0.5,0.5,1},MATCH($W$110,INDIRECT($U$110),0)),0)</f>
        <v>0</v>
      </c>
      <c r="N125" s="648"/>
      <c r="O125" s="648"/>
      <c r="P125" s="562"/>
      <c r="Q125" s="562"/>
      <c r="R125" s="562"/>
      <c r="S125" s="562"/>
      <c r="T125" s="562"/>
      <c r="U125" s="562"/>
      <c r="V125" s="562"/>
      <c r="W125" s="562"/>
      <c r="X125" s="787"/>
      <c r="Y125" s="980"/>
      <c r="Z125" s="983"/>
      <c r="AA125" s="562"/>
      <c r="AB125" s="562"/>
      <c r="AC125" s="562"/>
      <c r="AD125" s="562"/>
      <c r="AE125" s="562"/>
      <c r="AF125" s="562"/>
      <c r="AG125" s="562"/>
      <c r="AH125" s="562"/>
      <c r="AI125" s="562"/>
      <c r="AJ125" s="562"/>
      <c r="AK125" s="562"/>
      <c r="AL125" s="190" t="str">
        <f t="shared" ref="AL125:AL130" si="31">SUBSTITUTE(SUBSTITUTE(SUBSTITUTE("vpa"&amp;$B125&amp;$C125&amp;$D125&amp;$E125&amp;$F125,".","_"),"(","_"),")","")</f>
        <v>vpa503_5_5_a</v>
      </c>
      <c r="AM125" s="190">
        <f t="shared" ref="AM125:AM130" ca="1" si="32">M125</f>
        <v>0</v>
      </c>
      <c r="AN125" s="562"/>
      <c r="AO125" s="562"/>
      <c r="AP125" s="562"/>
      <c r="AQ125" s="562"/>
      <c r="AR125" s="562"/>
      <c r="AS125" s="562"/>
    </row>
    <row r="126" spans="1:45" x14ac:dyDescent="0.2">
      <c r="A126" s="541">
        <v>5</v>
      </c>
      <c r="B126" s="544" t="s">
        <v>2263</v>
      </c>
      <c r="C126" s="544"/>
      <c r="D126" s="544"/>
      <c r="E126" s="544" t="s">
        <v>2194</v>
      </c>
      <c r="F126" s="544" t="s">
        <v>2198</v>
      </c>
      <c r="G126" s="543" t="str">
        <f t="shared" ca="1" si="30"/>
        <v/>
      </c>
      <c r="H126" s="545" t="s">
        <v>3758</v>
      </c>
      <c r="I126" s="60"/>
      <c r="J126" s="60"/>
      <c r="K126" s="57" t="s">
        <v>2198</v>
      </c>
      <c r="L126" s="53" t="s">
        <v>2277</v>
      </c>
      <c r="M126" s="104">
        <f ca="1">4*IFERROR(INDEX({0.5,0.5,1},MATCH($W$110,INDIRECT($U$110),0)),0)</f>
        <v>0</v>
      </c>
      <c r="N126" s="648"/>
      <c r="O126" s="648"/>
      <c r="P126" s="562"/>
      <c r="Q126" s="562"/>
      <c r="R126" s="562"/>
      <c r="S126" s="562"/>
      <c r="T126" s="562"/>
      <c r="U126" s="562"/>
      <c r="V126" s="562"/>
      <c r="W126" s="562"/>
      <c r="X126" s="787"/>
      <c r="Y126" s="980"/>
      <c r="Z126" s="983"/>
      <c r="AA126" s="562"/>
      <c r="AB126" s="562"/>
      <c r="AC126" s="562"/>
      <c r="AD126" s="562"/>
      <c r="AE126" s="562"/>
      <c r="AF126" s="562"/>
      <c r="AG126" s="562"/>
      <c r="AH126" s="562"/>
      <c r="AI126" s="562"/>
      <c r="AJ126" s="562"/>
      <c r="AK126" s="562"/>
      <c r="AL126" s="190" t="str">
        <f t="shared" si="31"/>
        <v>vpa503_5_5_b</v>
      </c>
      <c r="AM126" s="190">
        <f t="shared" ca="1" si="32"/>
        <v>0</v>
      </c>
      <c r="AN126" s="562"/>
      <c r="AO126" s="562"/>
      <c r="AP126" s="562"/>
      <c r="AQ126" s="562"/>
      <c r="AR126" s="562"/>
      <c r="AS126" s="562"/>
    </row>
    <row r="127" spans="1:45" x14ac:dyDescent="0.2">
      <c r="A127" s="541">
        <v>5</v>
      </c>
      <c r="B127" s="544" t="s">
        <v>2263</v>
      </c>
      <c r="C127" s="544"/>
      <c r="D127" s="544"/>
      <c r="E127" s="544" t="s">
        <v>2194</v>
      </c>
      <c r="F127" s="544" t="s">
        <v>2200</v>
      </c>
      <c r="G127" s="543" t="str">
        <f t="shared" ca="1" si="30"/>
        <v/>
      </c>
      <c r="H127" s="545" t="s">
        <v>3758</v>
      </c>
      <c r="I127" s="60"/>
      <c r="J127" s="60"/>
      <c r="K127" s="59" t="s">
        <v>2200</v>
      </c>
      <c r="L127" s="53" t="s">
        <v>2278</v>
      </c>
      <c r="M127" s="104">
        <f ca="1">3*IFERROR(INDEX({0.5,0.5,1},MATCH($W$110,INDIRECT($U$110),0)),0)</f>
        <v>0</v>
      </c>
      <c r="N127" s="648"/>
      <c r="O127" s="648"/>
      <c r="P127" s="562"/>
      <c r="Q127" s="562"/>
      <c r="R127" s="562"/>
      <c r="S127" s="562"/>
      <c r="T127" s="562"/>
      <c r="U127" s="562"/>
      <c r="V127" s="562"/>
      <c r="W127" s="562"/>
      <c r="X127" s="787"/>
      <c r="Y127" s="980"/>
      <c r="Z127" s="983"/>
      <c r="AA127" s="562"/>
      <c r="AB127" s="562"/>
      <c r="AC127" s="562"/>
      <c r="AD127" s="562"/>
      <c r="AE127" s="562"/>
      <c r="AF127" s="562"/>
      <c r="AG127" s="562"/>
      <c r="AH127" s="562"/>
      <c r="AI127" s="562"/>
      <c r="AJ127" s="562"/>
      <c r="AK127" s="562"/>
      <c r="AL127" s="190" t="str">
        <f t="shared" si="31"/>
        <v>vpa503_5_5_c</v>
      </c>
      <c r="AM127" s="190">
        <f t="shared" ca="1" si="32"/>
        <v>0</v>
      </c>
      <c r="AN127" s="562"/>
      <c r="AO127" s="562"/>
      <c r="AP127" s="562"/>
      <c r="AQ127" s="562"/>
      <c r="AR127" s="562"/>
      <c r="AS127" s="562"/>
    </row>
    <row r="128" spans="1:45" x14ac:dyDescent="0.2">
      <c r="A128" s="541">
        <v>5</v>
      </c>
      <c r="B128" s="544" t="s">
        <v>2263</v>
      </c>
      <c r="C128" s="544"/>
      <c r="D128" s="544"/>
      <c r="E128" s="544" t="s">
        <v>2194</v>
      </c>
      <c r="F128" s="544" t="s">
        <v>2247</v>
      </c>
      <c r="G128" s="543" t="str">
        <f t="shared" ca="1" si="30"/>
        <v/>
      </c>
      <c r="H128" s="545" t="s">
        <v>3758</v>
      </c>
      <c r="I128" s="60"/>
      <c r="J128" s="128"/>
      <c r="K128" s="130" t="s">
        <v>2247</v>
      </c>
      <c r="L128" s="126" t="s">
        <v>2279</v>
      </c>
      <c r="M128" s="680">
        <f ca="1">2*IFERROR(INDEX({0.5,0.5,1},MATCH($W$110,INDIRECT($U$110),0)),0)</f>
        <v>0</v>
      </c>
      <c r="N128" s="669"/>
      <c r="O128" s="669"/>
      <c r="P128" s="562"/>
      <c r="Q128" s="562"/>
      <c r="R128" s="562"/>
      <c r="S128" s="562"/>
      <c r="T128" s="562"/>
      <c r="U128" s="562"/>
      <c r="V128" s="562"/>
      <c r="W128" s="562"/>
      <c r="X128" s="787"/>
      <c r="Y128" s="980"/>
      <c r="Z128" s="983"/>
      <c r="AA128" s="562"/>
      <c r="AB128" s="562"/>
      <c r="AC128" s="562"/>
      <c r="AD128" s="562"/>
      <c r="AE128" s="562"/>
      <c r="AF128" s="562"/>
      <c r="AG128" s="562"/>
      <c r="AH128" s="562"/>
      <c r="AI128" s="562"/>
      <c r="AJ128" s="562"/>
      <c r="AK128" s="562"/>
      <c r="AL128" s="190" t="str">
        <f t="shared" si="31"/>
        <v>vpa503_5_5_d</v>
      </c>
      <c r="AM128" s="190">
        <f t="shared" ca="1" si="32"/>
        <v>0</v>
      </c>
      <c r="AN128" s="562"/>
      <c r="AO128" s="562"/>
      <c r="AP128" s="562"/>
      <c r="AQ128" s="562"/>
      <c r="AR128" s="562"/>
      <c r="AS128" s="562"/>
    </row>
    <row r="129" spans="1:45" ht="16" x14ac:dyDescent="0.2">
      <c r="A129" s="541">
        <v>5</v>
      </c>
      <c r="B129" s="544" t="s">
        <v>2263</v>
      </c>
      <c r="C129" s="544"/>
      <c r="D129" s="544"/>
      <c r="E129" s="544" t="s">
        <v>2221</v>
      </c>
      <c r="F129" s="544"/>
      <c r="G129" s="543" t="str">
        <f ca="1">IF(N129&gt;0,"P","")</f>
        <v/>
      </c>
      <c r="H129" s="545" t="s">
        <v>3758</v>
      </c>
      <c r="I129" s="60"/>
      <c r="J129" s="125" t="s">
        <v>2221</v>
      </c>
      <c r="K129" s="128"/>
      <c r="L129" s="126" t="s">
        <v>2280</v>
      </c>
      <c r="M129" s="680">
        <f ca="1">5*IFERROR(INDEX({0.5,0.5,1},MATCH($W$110,INDIRECT($U$110),0)),0)</f>
        <v>0</v>
      </c>
      <c r="N129" s="669">
        <f ca="1">'Ch5'!O130</f>
        <v>0</v>
      </c>
      <c r="O129" s="669">
        <f ca="1">M129*S129*W129</f>
        <v>0</v>
      </c>
      <c r="P129" s="562" t="b">
        <v>0</v>
      </c>
      <c r="Q129" s="562" t="b">
        <v>1</v>
      </c>
      <c r="R129" s="562" t="b">
        <v>0</v>
      </c>
      <c r="S129" s="562" t="b">
        <f>NOT(ISBLANK(W110))</f>
        <v>0</v>
      </c>
      <c r="T129" s="64" t="b">
        <f>IF(AND(NOT(S129),W129=TRUE),TRUE,FALSE)</f>
        <v>0</v>
      </c>
      <c r="U129" s="562"/>
      <c r="V129" s="562"/>
      <c r="W129" s="18"/>
      <c r="X129" s="563"/>
      <c r="Y129" s="578" t="str">
        <f>IF(LEN('Ch5'!X130)=0,"None",'Ch5'!X130)</f>
        <v>None</v>
      </c>
      <c r="Z129" s="579"/>
      <c r="AA129" s="562">
        <f>'Photo Review'!H129</f>
        <v>0</v>
      </c>
      <c r="AB129" s="562"/>
      <c r="AC129" s="562" t="b">
        <f>OR(AD129:AE129)</f>
        <v>0</v>
      </c>
      <c r="AD129" s="562" t="b">
        <f>T129</f>
        <v>0</v>
      </c>
      <c r="AE129" s="562"/>
      <c r="AF129" s="562"/>
      <c r="AG129" s="562"/>
      <c r="AH129" s="562"/>
      <c r="AI129" s="562"/>
      <c r="AJ129" s="562"/>
      <c r="AK129" s="562"/>
      <c r="AL129" s="190" t="str">
        <f t="shared" si="31"/>
        <v>vpa503_5_6</v>
      </c>
      <c r="AM129" s="190">
        <f t="shared" ca="1" si="32"/>
        <v>0</v>
      </c>
      <c r="AN129" s="190" t="str">
        <f t="shared" ref="AN129:AN130" si="33">SUBSTITUTE(SUBSTITUTE(SUBSTITUTE("vpc"&amp;$B129&amp;$C129&amp;$D129&amp;$E129&amp;$F129,".","_"),"(","_"),")","")</f>
        <v>vpc503_5_6</v>
      </c>
      <c r="AO129" s="190">
        <f ca="1">O129</f>
        <v>0</v>
      </c>
      <c r="AP129" s="190" t="str">
        <f t="shared" ref="AP129:AP130" si="34">SUBSTITUTE(SUBSTITUTE(SUBSTITUTE("vch"&amp;$B129&amp;$C129&amp;$D129&amp;$E129&amp;$F129,".","_"),"(","_"),")","")</f>
        <v>vch503_5_6</v>
      </c>
      <c r="AQ129" s="190">
        <f>W129</f>
        <v>0</v>
      </c>
      <c r="AR129" s="190" t="str">
        <f t="shared" ref="AR129:AR130" si="35">SUBSTITUTE(SUBSTITUTE(SUBSTITUTE("vnt"&amp;$B129&amp;$C129&amp;$D129&amp;$E129&amp;$F129,".","_"),"(","_"),")","")</f>
        <v>vnt503_5_6</v>
      </c>
      <c r="AS129" s="190">
        <f>X129</f>
        <v>0</v>
      </c>
    </row>
    <row r="130" spans="1:45" x14ac:dyDescent="0.2">
      <c r="A130" s="541">
        <v>5</v>
      </c>
      <c r="B130" s="544" t="s">
        <v>2263</v>
      </c>
      <c r="C130" s="544"/>
      <c r="D130" s="544"/>
      <c r="E130" s="544" t="s">
        <v>2223</v>
      </c>
      <c r="F130" s="544"/>
      <c r="G130" s="543" t="str">
        <f ca="1">IF(N130&gt;0,"P","")</f>
        <v/>
      </c>
      <c r="H130" s="545" t="s">
        <v>3758</v>
      </c>
      <c r="I130" s="60"/>
      <c r="J130" s="61" t="s">
        <v>2223</v>
      </c>
      <c r="K130" s="71"/>
      <c r="L130" s="791" t="s">
        <v>2281</v>
      </c>
      <c r="M130" s="997">
        <f ca="1">5*IFERROR(INDEX({0.5,0.5,1},MATCH($W$110,INDIRECT($U$110),0)),0)</f>
        <v>0</v>
      </c>
      <c r="N130" s="923">
        <f ca="1">'Ch5'!O131</f>
        <v>0</v>
      </c>
      <c r="O130" s="924">
        <f ca="1">M130*S130*W130</f>
        <v>0</v>
      </c>
      <c r="P130" s="562" t="b">
        <v>0</v>
      </c>
      <c r="Q130" s="562" t="b">
        <v>1</v>
      </c>
      <c r="R130" s="562" t="b">
        <v>0</v>
      </c>
      <c r="S130" s="562" t="b">
        <f>NOT(ISBLANK(W110))</f>
        <v>0</v>
      </c>
      <c r="T130" s="64" t="b">
        <f>IF(AND(NOT(S130),W130=TRUE),TRUE,FALSE)</f>
        <v>0</v>
      </c>
      <c r="U130" s="562"/>
      <c r="V130" s="562"/>
      <c r="W130" s="18"/>
      <c r="X130" s="787"/>
      <c r="Y130" s="980" t="str">
        <f>IF(LEN('Ch5'!X131)=0,"None",'Ch5'!X131)</f>
        <v>None</v>
      </c>
      <c r="Z130" s="983"/>
      <c r="AA130" s="562">
        <f>'Photo Review'!H130</f>
        <v>0</v>
      </c>
      <c r="AB130" s="562"/>
      <c r="AC130" s="562" t="b">
        <f>OR(AD130:AE130)</f>
        <v>0</v>
      </c>
      <c r="AD130" s="562" t="b">
        <f>T130</f>
        <v>0</v>
      </c>
      <c r="AE130" s="562"/>
      <c r="AF130" s="562"/>
      <c r="AG130" s="562"/>
      <c r="AH130" s="562"/>
      <c r="AI130" s="562"/>
      <c r="AJ130" s="562"/>
      <c r="AK130" s="562"/>
      <c r="AL130" s="190" t="str">
        <f t="shared" si="31"/>
        <v>vpa503_5_7</v>
      </c>
      <c r="AM130" s="190">
        <f t="shared" ca="1" si="32"/>
        <v>0</v>
      </c>
      <c r="AN130" s="190" t="str">
        <f t="shared" si="33"/>
        <v>vpc503_5_7</v>
      </c>
      <c r="AO130" s="190">
        <f ca="1">O130</f>
        <v>0</v>
      </c>
      <c r="AP130" s="190" t="str">
        <f t="shared" si="34"/>
        <v>vch503_5_7</v>
      </c>
      <c r="AQ130" s="190">
        <f>W130</f>
        <v>0</v>
      </c>
      <c r="AR130" s="190" t="str">
        <f t="shared" si="35"/>
        <v>vnt503_5_7</v>
      </c>
      <c r="AS130" s="190">
        <f>X130</f>
        <v>0</v>
      </c>
    </row>
    <row r="131" spans="1:45" x14ac:dyDescent="0.2">
      <c r="A131" s="541">
        <v>5</v>
      </c>
      <c r="B131" s="544" t="s">
        <v>2263</v>
      </c>
      <c r="C131" s="544"/>
      <c r="D131" s="544"/>
      <c r="E131" s="544" t="s">
        <v>2223</v>
      </c>
      <c r="F131" s="544"/>
      <c r="G131" s="543" t="str">
        <f t="shared" ref="G131:G134" ca="1" si="36">G130</f>
        <v/>
      </c>
      <c r="H131" s="545" t="s">
        <v>3758</v>
      </c>
      <c r="I131" s="60"/>
      <c r="J131" s="71"/>
      <c r="K131" s="71"/>
      <c r="L131" s="791"/>
      <c r="M131" s="997"/>
      <c r="N131" s="924"/>
      <c r="O131" s="924"/>
      <c r="P131" s="562"/>
      <c r="Q131" s="562"/>
      <c r="R131" s="562"/>
      <c r="S131" s="562"/>
      <c r="T131" s="562"/>
      <c r="U131" s="562"/>
      <c r="V131" s="562"/>
      <c r="W131" s="562"/>
      <c r="X131" s="787"/>
      <c r="Y131" s="980"/>
      <c r="Z131" s="983"/>
      <c r="AA131" s="562"/>
      <c r="AB131" s="562"/>
      <c r="AC131" s="562"/>
      <c r="AD131" s="562"/>
      <c r="AE131" s="562"/>
      <c r="AF131" s="562"/>
      <c r="AG131" s="562"/>
      <c r="AH131" s="562"/>
      <c r="AI131" s="562"/>
      <c r="AJ131" s="562"/>
      <c r="AK131" s="562"/>
      <c r="AL131" s="562"/>
      <c r="AM131" s="562"/>
      <c r="AN131" s="562"/>
      <c r="AO131" s="562"/>
      <c r="AP131" s="562"/>
      <c r="AQ131" s="562"/>
      <c r="AR131" s="562"/>
      <c r="AS131" s="562"/>
    </row>
    <row r="132" spans="1:45" x14ac:dyDescent="0.2">
      <c r="A132" s="541">
        <v>5</v>
      </c>
      <c r="B132" s="544" t="s">
        <v>2263</v>
      </c>
      <c r="C132" s="544"/>
      <c r="D132" s="544"/>
      <c r="E132" s="544" t="s">
        <v>2223</v>
      </c>
      <c r="F132" s="544"/>
      <c r="G132" s="543" t="str">
        <f t="shared" ca="1" si="36"/>
        <v/>
      </c>
      <c r="H132" s="545" t="s">
        <v>3758</v>
      </c>
      <c r="I132" s="60"/>
      <c r="J132" s="71"/>
      <c r="K132" s="71"/>
      <c r="L132" s="791"/>
      <c r="M132" s="997"/>
      <c r="N132" s="924"/>
      <c r="O132" s="924"/>
      <c r="P132" s="562"/>
      <c r="Q132" s="562"/>
      <c r="R132" s="562"/>
      <c r="S132" s="562"/>
      <c r="T132" s="562"/>
      <c r="U132" s="562"/>
      <c r="V132" s="562"/>
      <c r="W132" s="562"/>
      <c r="X132" s="787"/>
      <c r="Y132" s="980"/>
      <c r="Z132" s="983"/>
      <c r="AA132" s="562"/>
      <c r="AB132" s="562"/>
      <c r="AC132" s="562"/>
      <c r="AD132" s="562"/>
      <c r="AE132" s="562"/>
      <c r="AF132" s="562"/>
      <c r="AG132" s="562"/>
      <c r="AH132" s="562"/>
      <c r="AI132" s="562"/>
      <c r="AJ132" s="562"/>
      <c r="AK132" s="562"/>
      <c r="AL132" s="562"/>
      <c r="AM132" s="562"/>
      <c r="AN132" s="562"/>
      <c r="AO132" s="562"/>
      <c r="AP132" s="562"/>
      <c r="AQ132" s="562"/>
      <c r="AR132" s="562"/>
      <c r="AS132" s="562"/>
    </row>
    <row r="133" spans="1:45" x14ac:dyDescent="0.2">
      <c r="A133" s="541">
        <v>5</v>
      </c>
      <c r="B133" s="544" t="s">
        <v>2263</v>
      </c>
      <c r="C133" s="544"/>
      <c r="D133" s="544"/>
      <c r="E133" s="544" t="s">
        <v>2223</v>
      </c>
      <c r="F133" s="544"/>
      <c r="G133" s="543" t="str">
        <f t="shared" ca="1" si="36"/>
        <v/>
      </c>
      <c r="H133" s="545" t="s">
        <v>3758</v>
      </c>
      <c r="I133" s="60"/>
      <c r="J133" s="71"/>
      <c r="K133" s="71"/>
      <c r="L133" s="791"/>
      <c r="M133" s="997"/>
      <c r="N133" s="924"/>
      <c r="O133" s="924"/>
      <c r="P133" s="562"/>
      <c r="Q133" s="562"/>
      <c r="R133" s="562"/>
      <c r="S133" s="562"/>
      <c r="T133" s="562"/>
      <c r="U133" s="562"/>
      <c r="V133" s="562"/>
      <c r="W133" s="562"/>
      <c r="X133" s="787"/>
      <c r="Y133" s="980"/>
      <c r="Z133" s="983"/>
      <c r="AA133" s="562"/>
      <c r="AB133" s="562"/>
      <c r="AC133" s="562"/>
      <c r="AD133" s="562"/>
      <c r="AE133" s="562"/>
      <c r="AF133" s="562"/>
      <c r="AG133" s="562"/>
      <c r="AH133" s="562"/>
      <c r="AI133" s="562"/>
      <c r="AJ133" s="562"/>
      <c r="AK133" s="562"/>
      <c r="AL133" s="562"/>
      <c r="AM133" s="562"/>
      <c r="AN133" s="562"/>
      <c r="AO133" s="562"/>
      <c r="AP133" s="562"/>
      <c r="AQ133" s="562"/>
      <c r="AR133" s="562"/>
      <c r="AS133" s="562"/>
    </row>
    <row r="134" spans="1:45" x14ac:dyDescent="0.2">
      <c r="A134" s="541">
        <v>5</v>
      </c>
      <c r="B134" s="544" t="s">
        <v>2263</v>
      </c>
      <c r="C134" s="544"/>
      <c r="D134" s="544"/>
      <c r="E134" s="544" t="s">
        <v>2223</v>
      </c>
      <c r="F134" s="544"/>
      <c r="G134" s="543" t="str">
        <f t="shared" ca="1" si="36"/>
        <v/>
      </c>
      <c r="H134" s="545" t="s">
        <v>3758</v>
      </c>
      <c r="I134" s="60"/>
      <c r="J134" s="128"/>
      <c r="K134" s="128"/>
      <c r="L134" s="792"/>
      <c r="M134" s="998"/>
      <c r="N134" s="942"/>
      <c r="O134" s="942"/>
      <c r="P134" s="562"/>
      <c r="Q134" s="562"/>
      <c r="R134" s="562"/>
      <c r="S134" s="562"/>
      <c r="T134" s="562"/>
      <c r="U134" s="562"/>
      <c r="V134" s="562"/>
      <c r="W134" s="562"/>
      <c r="X134" s="787"/>
      <c r="Y134" s="980"/>
      <c r="Z134" s="983"/>
      <c r="AA134" s="562"/>
      <c r="AB134" s="562"/>
      <c r="AC134" s="562"/>
      <c r="AD134" s="562"/>
      <c r="AE134" s="562"/>
      <c r="AF134" s="562"/>
      <c r="AG134" s="562"/>
      <c r="AH134" s="562"/>
      <c r="AI134" s="562"/>
      <c r="AJ134" s="562"/>
      <c r="AK134" s="562"/>
      <c r="AL134" s="562"/>
      <c r="AM134" s="562"/>
      <c r="AN134" s="562"/>
      <c r="AO134" s="562"/>
      <c r="AP134" s="562"/>
      <c r="AQ134" s="562"/>
      <c r="AR134" s="562"/>
      <c r="AS134" s="562"/>
    </row>
    <row r="135" spans="1:45" x14ac:dyDescent="0.2">
      <c r="A135" s="541">
        <v>5</v>
      </c>
      <c r="B135" s="544" t="s">
        <v>2263</v>
      </c>
      <c r="C135" s="544"/>
      <c r="D135" s="544"/>
      <c r="E135" s="544" t="s">
        <v>2282</v>
      </c>
      <c r="F135" s="544"/>
      <c r="G135" s="543" t="str">
        <f ca="1">IF(N135&gt;0,"P","")</f>
        <v/>
      </c>
      <c r="H135" s="545" t="s">
        <v>3758</v>
      </c>
      <c r="I135" s="60"/>
      <c r="J135" s="61" t="s">
        <v>2282</v>
      </c>
      <c r="K135" s="71"/>
      <c r="L135" s="791" t="s">
        <v>2283</v>
      </c>
      <c r="M135" s="997">
        <f ca="1">5*IFERROR(INDEX({0.5,0.5,1},MATCH($W$110,INDIRECT($U$110),0)),0)</f>
        <v>0</v>
      </c>
      <c r="N135" s="923">
        <f ca="1">'Ch5'!O136</f>
        <v>0</v>
      </c>
      <c r="O135" s="924">
        <f ca="1">M135*S135*W135</f>
        <v>0</v>
      </c>
      <c r="P135" s="64" t="b">
        <v>0</v>
      </c>
      <c r="Q135" s="64" t="b">
        <v>1</v>
      </c>
      <c r="R135" s="562" t="b">
        <v>0</v>
      </c>
      <c r="S135" s="562" t="b">
        <f>NOT(ISBLANK(W110))</f>
        <v>0</v>
      </c>
      <c r="T135" s="64" t="b">
        <f>IF(AND(NOT(S135),W135=TRUE),TRUE,FALSE)</f>
        <v>0</v>
      </c>
      <c r="U135" s="562"/>
      <c r="V135" s="562"/>
      <c r="W135" s="18"/>
      <c r="X135" s="787"/>
      <c r="Y135" s="980" t="str">
        <f>IF(LEN('Ch5'!X136)=0,"None",'Ch5'!X136)</f>
        <v>None</v>
      </c>
      <c r="Z135" s="983"/>
      <c r="AA135" s="562"/>
      <c r="AB135" s="562"/>
      <c r="AC135" s="562" t="b">
        <f>OR(AD135:AE135)</f>
        <v>0</v>
      </c>
      <c r="AD135" s="562" t="b">
        <f>T135</f>
        <v>0</v>
      </c>
      <c r="AE135" s="562"/>
      <c r="AF135" s="562"/>
      <c r="AG135" s="562"/>
      <c r="AH135" s="562"/>
      <c r="AI135" s="562"/>
      <c r="AJ135" s="562"/>
      <c r="AK135" s="562"/>
      <c r="AL135" s="190" t="str">
        <f>SUBSTITUTE(SUBSTITUTE(SUBSTITUTE("vpa"&amp;$B135&amp;$C135&amp;$D135&amp;$E135&amp;$F135,".","_"),"(","_"),")","")</f>
        <v>vpa503_5_8</v>
      </c>
      <c r="AM135" s="190">
        <f ca="1">M135</f>
        <v>0</v>
      </c>
      <c r="AN135" s="190" t="str">
        <f>SUBSTITUTE(SUBSTITUTE(SUBSTITUTE("vpc"&amp;$B135&amp;$C135&amp;$D135&amp;$E135&amp;$F135,".","_"),"(","_"),")","")</f>
        <v>vpc503_5_8</v>
      </c>
      <c r="AO135" s="190">
        <f ca="1">O135</f>
        <v>0</v>
      </c>
      <c r="AP135" s="190" t="str">
        <f>SUBSTITUTE(SUBSTITUTE(SUBSTITUTE("vch"&amp;$B135&amp;$C135&amp;$D135&amp;$E135&amp;$F135,".","_"),"(","_"),")","")</f>
        <v>vch503_5_8</v>
      </c>
      <c r="AQ135" s="190">
        <f>W135</f>
        <v>0</v>
      </c>
      <c r="AR135" s="190" t="str">
        <f>SUBSTITUTE(SUBSTITUTE(SUBSTITUTE("vnt"&amp;$B135&amp;$C135&amp;$D135&amp;$E135&amp;$F135,".","_"),"(","_"),")","")</f>
        <v>vnt503_5_8</v>
      </c>
      <c r="AS135" s="190">
        <f>X135</f>
        <v>0</v>
      </c>
    </row>
    <row r="136" spans="1:45" x14ac:dyDescent="0.2">
      <c r="A136" s="541">
        <v>5</v>
      </c>
      <c r="B136" s="544" t="s">
        <v>2263</v>
      </c>
      <c r="C136" s="544"/>
      <c r="D136" s="544"/>
      <c r="E136" s="544" t="s">
        <v>2282</v>
      </c>
      <c r="F136" s="544"/>
      <c r="G136" s="543" t="str">
        <f ca="1">G135</f>
        <v/>
      </c>
      <c r="H136" s="545" t="s">
        <v>3758</v>
      </c>
      <c r="I136" s="60"/>
      <c r="J136" s="128"/>
      <c r="K136" s="128"/>
      <c r="L136" s="792"/>
      <c r="M136" s="998"/>
      <c r="N136" s="942"/>
      <c r="O136" s="942"/>
      <c r="P136" s="562"/>
      <c r="Q136" s="562"/>
      <c r="R136" s="562"/>
      <c r="S136" s="562"/>
      <c r="T136" s="562"/>
      <c r="U136" s="562"/>
      <c r="V136" s="562"/>
      <c r="W136" s="562"/>
      <c r="X136" s="787"/>
      <c r="Y136" s="980"/>
      <c r="Z136" s="983"/>
      <c r="AA136" s="562"/>
      <c r="AB136" s="562"/>
      <c r="AC136" s="562"/>
      <c r="AD136" s="562"/>
      <c r="AE136" s="562"/>
      <c r="AF136" s="562"/>
      <c r="AG136" s="562"/>
      <c r="AH136" s="562"/>
      <c r="AI136" s="562"/>
      <c r="AJ136" s="562"/>
      <c r="AK136" s="562"/>
      <c r="AL136" s="562"/>
      <c r="AM136" s="562"/>
      <c r="AN136" s="562"/>
      <c r="AO136" s="562"/>
      <c r="AP136" s="562"/>
      <c r="AQ136" s="562"/>
      <c r="AR136" s="562"/>
      <c r="AS136" s="562"/>
    </row>
    <row r="137" spans="1:45" x14ac:dyDescent="0.2">
      <c r="A137" s="541">
        <v>5</v>
      </c>
      <c r="B137" s="544" t="s">
        <v>2263</v>
      </c>
      <c r="C137" s="544"/>
      <c r="D137" s="544"/>
      <c r="E137" s="544" t="s">
        <v>2284</v>
      </c>
      <c r="F137" s="544"/>
      <c r="G137" s="543" t="str">
        <f>IF(N137&gt;0,"P","")</f>
        <v/>
      </c>
      <c r="H137" s="545" t="s">
        <v>3758</v>
      </c>
      <c r="I137" s="60"/>
      <c r="J137" s="61" t="s">
        <v>2284</v>
      </c>
      <c r="K137" s="71"/>
      <c r="L137" s="791" t="s">
        <v>2285</v>
      </c>
      <c r="M137" s="996">
        <v>3</v>
      </c>
      <c r="N137" s="923">
        <f>'Ch5'!O138</f>
        <v>0</v>
      </c>
      <c r="O137" s="923">
        <f>M137*S137*W137</f>
        <v>0</v>
      </c>
      <c r="P137" s="64" t="b">
        <v>0</v>
      </c>
      <c r="Q137" s="64" t="b">
        <v>1</v>
      </c>
      <c r="R137" s="562" t="b">
        <v>0</v>
      </c>
      <c r="S137" s="562" t="b">
        <f>NOT(ISBLANK(W110))</f>
        <v>0</v>
      </c>
      <c r="T137" s="64" t="b">
        <f>IF(AND(NOT(S137),W137=TRUE),TRUE,FALSE)</f>
        <v>0</v>
      </c>
      <c r="U137" s="562"/>
      <c r="V137" s="562"/>
      <c r="W137" s="18"/>
      <c r="X137" s="825"/>
      <c r="Y137" s="980" t="str">
        <f>IF(LEN('Ch5'!X138)=0,"None",'Ch5'!X138)</f>
        <v>None</v>
      </c>
      <c r="Z137" s="983"/>
      <c r="AA137" s="562"/>
      <c r="AB137" s="562"/>
      <c r="AC137" s="562" t="b">
        <f>OR(AD137:AE137)</f>
        <v>0</v>
      </c>
      <c r="AD137" s="562" t="b">
        <f>T137</f>
        <v>0</v>
      </c>
      <c r="AE137" s="562"/>
      <c r="AF137" s="562"/>
      <c r="AG137" s="562"/>
      <c r="AH137" s="562"/>
      <c r="AI137" s="562"/>
      <c r="AJ137" s="562"/>
      <c r="AK137" s="562"/>
      <c r="AL137" s="190" t="str">
        <f>SUBSTITUTE(SUBSTITUTE(SUBSTITUTE("vpa"&amp;$B137&amp;$C137&amp;$D137&amp;$E137&amp;$F137,".","_"),"(","_"),")","")</f>
        <v>vpa503_5_9</v>
      </c>
      <c r="AM137" s="190">
        <f>M137</f>
        <v>3</v>
      </c>
      <c r="AN137" s="190" t="str">
        <f>SUBSTITUTE(SUBSTITUTE(SUBSTITUTE("vpc"&amp;$B137&amp;$C137&amp;$D137&amp;$E137&amp;$F137,".","_"),"(","_"),")","")</f>
        <v>vpc503_5_9</v>
      </c>
      <c r="AO137" s="190">
        <f>O137</f>
        <v>0</v>
      </c>
      <c r="AP137" s="190" t="str">
        <f>SUBSTITUTE(SUBSTITUTE(SUBSTITUTE("vch"&amp;$B137&amp;$C137&amp;$D137&amp;$E137&amp;$F137,".","_"),"(","_"),")","")</f>
        <v>vch503_5_9</v>
      </c>
      <c r="AQ137" s="190">
        <f>W137</f>
        <v>0</v>
      </c>
      <c r="AR137" s="190" t="str">
        <f>SUBSTITUTE(SUBSTITUTE(SUBSTITUTE("vnt"&amp;$B137&amp;$C137&amp;$D137&amp;$E137&amp;$F137,".","_"),"(","_"),")","")</f>
        <v>vnt503_5_9</v>
      </c>
      <c r="AS137" s="190">
        <f>X137</f>
        <v>0</v>
      </c>
    </row>
    <row r="138" spans="1:45" x14ac:dyDescent="0.2">
      <c r="A138" s="541">
        <v>5</v>
      </c>
      <c r="B138" s="544" t="s">
        <v>2263</v>
      </c>
      <c r="C138" s="544"/>
      <c r="D138" s="544"/>
      <c r="E138" s="544" t="s">
        <v>2284</v>
      </c>
      <c r="F138" s="544"/>
      <c r="G138" s="543" t="str">
        <f t="shared" ref="G138:G139" si="37">G137</f>
        <v/>
      </c>
      <c r="H138" s="545" t="s">
        <v>3758</v>
      </c>
      <c r="I138" s="60"/>
      <c r="J138" s="71"/>
      <c r="K138" s="71"/>
      <c r="L138" s="791"/>
      <c r="M138" s="992"/>
      <c r="N138" s="924"/>
      <c r="O138" s="924"/>
      <c r="P138" s="562"/>
      <c r="Q138" s="562"/>
      <c r="R138" s="562"/>
      <c r="S138" s="562"/>
      <c r="T138" s="562"/>
      <c r="U138" s="562"/>
      <c r="V138" s="562"/>
      <c r="W138" s="562"/>
      <c r="X138" s="797"/>
      <c r="Y138" s="980"/>
      <c r="Z138" s="983"/>
      <c r="AA138" s="562"/>
      <c r="AB138" s="562"/>
      <c r="AC138" s="562"/>
      <c r="AD138" s="562"/>
      <c r="AE138" s="562"/>
      <c r="AF138" s="562"/>
      <c r="AG138" s="562"/>
      <c r="AH138" s="562"/>
      <c r="AI138" s="562"/>
      <c r="AJ138" s="562"/>
      <c r="AK138" s="562"/>
      <c r="AL138" s="562"/>
      <c r="AM138" s="562"/>
      <c r="AN138" s="562"/>
      <c r="AO138" s="562"/>
      <c r="AP138" s="562"/>
      <c r="AQ138" s="562"/>
      <c r="AR138" s="562"/>
      <c r="AS138" s="562"/>
    </row>
    <row r="139" spans="1:45" x14ac:dyDescent="0.2">
      <c r="A139" s="541">
        <v>5</v>
      </c>
      <c r="B139" s="544" t="s">
        <v>2263</v>
      </c>
      <c r="C139" s="544"/>
      <c r="D139" s="544"/>
      <c r="E139" s="544" t="s">
        <v>2284</v>
      </c>
      <c r="F139" s="544"/>
      <c r="G139" s="543" t="str">
        <f t="shared" si="37"/>
        <v/>
      </c>
      <c r="H139" s="545" t="s">
        <v>3758</v>
      </c>
      <c r="I139" s="60"/>
      <c r="J139" s="128"/>
      <c r="K139" s="128"/>
      <c r="L139" s="792"/>
      <c r="M139" s="995"/>
      <c r="N139" s="942"/>
      <c r="O139" s="942"/>
      <c r="P139" s="562"/>
      <c r="Q139" s="562"/>
      <c r="R139" s="562"/>
      <c r="S139" s="562"/>
      <c r="T139" s="562"/>
      <c r="U139" s="562"/>
      <c r="V139" s="562"/>
      <c r="W139" s="562"/>
      <c r="X139" s="786"/>
      <c r="Y139" s="980"/>
      <c r="Z139" s="983"/>
      <c r="AA139" s="562"/>
      <c r="AB139" s="562"/>
      <c r="AC139" s="562"/>
      <c r="AD139" s="562"/>
      <c r="AE139" s="562"/>
      <c r="AF139" s="562"/>
      <c r="AG139" s="562"/>
      <c r="AH139" s="562"/>
      <c r="AI139" s="562"/>
      <c r="AJ139" s="562"/>
      <c r="AK139" s="562"/>
      <c r="AL139" s="562"/>
      <c r="AM139" s="562"/>
      <c r="AN139" s="562"/>
      <c r="AO139" s="562"/>
      <c r="AP139" s="562"/>
      <c r="AQ139" s="562"/>
      <c r="AR139" s="562"/>
      <c r="AS139" s="562"/>
    </row>
    <row r="140" spans="1:45" x14ac:dyDescent="0.2">
      <c r="A140" s="541">
        <v>5</v>
      </c>
      <c r="B140" s="544" t="s">
        <v>2263</v>
      </c>
      <c r="C140" s="544"/>
      <c r="D140" s="544"/>
      <c r="E140" s="544" t="s">
        <v>2286</v>
      </c>
      <c r="F140" s="544"/>
      <c r="G140" s="543" t="str">
        <f>IF(N140&gt;0,"P","")</f>
        <v/>
      </c>
      <c r="H140" s="545" t="s">
        <v>3758</v>
      </c>
      <c r="I140" s="60"/>
      <c r="J140" s="61" t="s">
        <v>2286</v>
      </c>
      <c r="K140" s="71"/>
      <c r="L140" s="791" t="s">
        <v>2287</v>
      </c>
      <c r="M140" s="992">
        <v>4</v>
      </c>
      <c r="N140" s="923">
        <f>'Ch5'!O141</f>
        <v>0</v>
      </c>
      <c r="O140" s="924">
        <f>M140*S140*W140</f>
        <v>0</v>
      </c>
      <c r="P140" s="64" t="b">
        <v>0</v>
      </c>
      <c r="Q140" s="64" t="b">
        <v>1</v>
      </c>
      <c r="R140" s="562" t="b">
        <v>0</v>
      </c>
      <c r="S140" s="562" t="b">
        <f>NOT(ISBLANK(W110))</f>
        <v>0</v>
      </c>
      <c r="T140" s="64" t="b">
        <f>IF(AND(NOT(S140),W140=TRUE),TRUE,FALSE)</f>
        <v>0</v>
      </c>
      <c r="U140" s="562"/>
      <c r="V140" s="562"/>
      <c r="W140" s="18"/>
      <c r="X140" s="787"/>
      <c r="Y140" s="980" t="str">
        <f>IF(LEN('Ch5'!X141)=0,"None",'Ch5'!X141)</f>
        <v>None</v>
      </c>
      <c r="Z140" s="983"/>
      <c r="AA140" s="562"/>
      <c r="AB140" s="562"/>
      <c r="AC140" s="562" t="b">
        <f>OR(AD140:AE140)</f>
        <v>0</v>
      </c>
      <c r="AD140" s="562" t="b">
        <f>T140</f>
        <v>0</v>
      </c>
      <c r="AE140" s="562"/>
      <c r="AF140" s="562"/>
      <c r="AG140" s="562"/>
      <c r="AH140" s="562"/>
      <c r="AI140" s="562"/>
      <c r="AJ140" s="562"/>
      <c r="AK140" s="562"/>
      <c r="AL140" s="190" t="str">
        <f>SUBSTITUTE(SUBSTITUTE(SUBSTITUTE("vpa"&amp;$B140&amp;$C140&amp;$D140&amp;$E140&amp;$F140,".","_"),"(","_"),")","")</f>
        <v>vpa503_5_10</v>
      </c>
      <c r="AM140" s="190">
        <f>M140</f>
        <v>4</v>
      </c>
      <c r="AN140" s="190" t="str">
        <f>SUBSTITUTE(SUBSTITUTE(SUBSTITUTE("vpc"&amp;$B140&amp;$C140&amp;$D140&amp;$E140&amp;$F140,".","_"),"(","_"),")","")</f>
        <v>vpc503_5_10</v>
      </c>
      <c r="AO140" s="190">
        <f>O140</f>
        <v>0</v>
      </c>
      <c r="AP140" s="190" t="str">
        <f>SUBSTITUTE(SUBSTITUTE(SUBSTITUTE("vch"&amp;$B140&amp;$C140&amp;$D140&amp;$E140&amp;$F140,".","_"),"(","_"),")","")</f>
        <v>vch503_5_10</v>
      </c>
      <c r="AQ140" s="190">
        <f>W140</f>
        <v>0</v>
      </c>
      <c r="AR140" s="190" t="str">
        <f>SUBSTITUTE(SUBSTITUTE(SUBSTITUTE("vnt"&amp;$B140&amp;$C140&amp;$D140&amp;$E140&amp;$F140,".","_"),"(","_"),")","")</f>
        <v>vnt503_5_10</v>
      </c>
      <c r="AS140" s="190">
        <f>X140</f>
        <v>0</v>
      </c>
    </row>
    <row r="141" spans="1:45" x14ac:dyDescent="0.2">
      <c r="A141" s="541">
        <v>5</v>
      </c>
      <c r="B141" s="544" t="s">
        <v>2263</v>
      </c>
      <c r="C141" s="544"/>
      <c r="D141" s="544"/>
      <c r="E141" s="544" t="s">
        <v>2286</v>
      </c>
      <c r="F141" s="544"/>
      <c r="G141" s="543" t="str">
        <f>G140</f>
        <v/>
      </c>
      <c r="H141" s="545" t="s">
        <v>3758</v>
      </c>
      <c r="I141" s="60"/>
      <c r="J141" s="128"/>
      <c r="K141" s="128"/>
      <c r="L141" s="792"/>
      <c r="M141" s="995"/>
      <c r="N141" s="942"/>
      <c r="O141" s="942"/>
      <c r="P141" s="562"/>
      <c r="Q141" s="562"/>
      <c r="R141" s="562"/>
      <c r="S141" s="562"/>
      <c r="T141" s="562"/>
      <c r="U141" s="562"/>
      <c r="V141" s="562"/>
      <c r="W141" s="562"/>
      <c r="X141" s="787"/>
      <c r="Y141" s="980"/>
      <c r="Z141" s="983"/>
      <c r="AA141" s="562"/>
      <c r="AB141" s="562"/>
      <c r="AC141" s="562"/>
      <c r="AD141" s="562"/>
      <c r="AE141" s="562"/>
      <c r="AF141" s="562"/>
      <c r="AG141" s="562"/>
      <c r="AH141" s="562"/>
      <c r="AI141" s="562"/>
      <c r="AJ141" s="562"/>
      <c r="AK141" s="562"/>
      <c r="AL141" s="562"/>
      <c r="AM141" s="562"/>
      <c r="AN141" s="562"/>
      <c r="AO141" s="562"/>
      <c r="AP141" s="562"/>
      <c r="AQ141" s="562"/>
      <c r="AR141" s="562"/>
      <c r="AS141" s="562"/>
    </row>
    <row r="142" spans="1:45" x14ac:dyDescent="0.2">
      <c r="A142" s="541">
        <v>5</v>
      </c>
      <c r="B142" s="544" t="s">
        <v>2263</v>
      </c>
      <c r="C142" s="544"/>
      <c r="D142" s="544"/>
      <c r="E142" s="544" t="s">
        <v>2288</v>
      </c>
      <c r="F142" s="544"/>
      <c r="G142" s="543" t="str">
        <f>IF(N142&gt;0,"P","")</f>
        <v/>
      </c>
      <c r="H142" s="545" t="s">
        <v>3758</v>
      </c>
      <c r="I142" s="60"/>
      <c r="J142" s="61" t="s">
        <v>2288</v>
      </c>
      <c r="K142" s="71"/>
      <c r="L142" s="791" t="s">
        <v>2289</v>
      </c>
      <c r="M142" s="992">
        <v>3</v>
      </c>
      <c r="N142" s="923">
        <f>'Ch5'!O143</f>
        <v>0</v>
      </c>
      <c r="O142" s="924">
        <f>M142*S142*W142</f>
        <v>0</v>
      </c>
      <c r="P142" s="64" t="b">
        <v>0</v>
      </c>
      <c r="Q142" s="64" t="b">
        <v>1</v>
      </c>
      <c r="R142" s="562" t="b">
        <v>0</v>
      </c>
      <c r="S142" s="562" t="b">
        <f>NOT(ISBLANK(W110))</f>
        <v>0</v>
      </c>
      <c r="T142" s="64" t="b">
        <f>IF(AND(NOT(S142),W142=TRUE),TRUE,FALSE)</f>
        <v>0</v>
      </c>
      <c r="U142" s="562"/>
      <c r="V142" s="562"/>
      <c r="W142" s="18"/>
      <c r="X142" s="787"/>
      <c r="Y142" s="980" t="str">
        <f>IF(LEN('Ch5'!X143)=0,"None",'Ch5'!X143)</f>
        <v>None</v>
      </c>
      <c r="Z142" s="983"/>
      <c r="AA142" s="562"/>
      <c r="AB142" s="562"/>
      <c r="AC142" s="562" t="b">
        <f>OR(AD142:AE142)</f>
        <v>0</v>
      </c>
      <c r="AD142" s="562" t="b">
        <f>T142</f>
        <v>0</v>
      </c>
      <c r="AE142" s="562"/>
      <c r="AF142" s="562"/>
      <c r="AG142" s="562"/>
      <c r="AH142" s="562"/>
      <c r="AI142" s="562"/>
      <c r="AJ142" s="562"/>
      <c r="AK142" s="562"/>
      <c r="AL142" s="190" t="str">
        <f>SUBSTITUTE(SUBSTITUTE(SUBSTITUTE("vpa"&amp;$B142&amp;$C142&amp;$D142&amp;$E142&amp;$F142,".","_"),"(","_"),")","")</f>
        <v>vpa503_5_11</v>
      </c>
      <c r="AM142" s="190">
        <f>M142</f>
        <v>3</v>
      </c>
      <c r="AN142" s="190" t="str">
        <f>SUBSTITUTE(SUBSTITUTE(SUBSTITUTE("vpc"&amp;$B142&amp;$C142&amp;$D142&amp;$E142&amp;$F142,".","_"),"(","_"),")","")</f>
        <v>vpc503_5_11</v>
      </c>
      <c r="AO142" s="190">
        <f>O142</f>
        <v>0</v>
      </c>
      <c r="AP142" s="190" t="str">
        <f>SUBSTITUTE(SUBSTITUTE(SUBSTITUTE("vch"&amp;$B142&amp;$C142&amp;$D142&amp;$E142&amp;$F142,".","_"),"(","_"),")","")</f>
        <v>vch503_5_11</v>
      </c>
      <c r="AQ142" s="190">
        <f>W142</f>
        <v>0</v>
      </c>
      <c r="AR142" s="190" t="str">
        <f>SUBSTITUTE(SUBSTITUTE(SUBSTITUTE("vnt"&amp;$B142&amp;$C142&amp;$D142&amp;$E142&amp;$F142,".","_"),"(","_"),")","")</f>
        <v>vnt503_5_11</v>
      </c>
      <c r="AS142" s="190">
        <f>X142</f>
        <v>0</v>
      </c>
    </row>
    <row r="143" spans="1:45" x14ac:dyDescent="0.2">
      <c r="A143" s="541">
        <v>5</v>
      </c>
      <c r="B143" s="544" t="s">
        <v>2263</v>
      </c>
      <c r="C143" s="544"/>
      <c r="D143" s="544"/>
      <c r="E143" s="544" t="s">
        <v>2288</v>
      </c>
      <c r="F143" s="544"/>
      <c r="G143" s="543" t="str">
        <f>G142</f>
        <v/>
      </c>
      <c r="H143" s="545" t="s">
        <v>3758</v>
      </c>
      <c r="I143" s="60"/>
      <c r="J143" s="128"/>
      <c r="K143" s="128"/>
      <c r="L143" s="792"/>
      <c r="M143" s="995"/>
      <c r="N143" s="942"/>
      <c r="O143" s="942"/>
      <c r="P143" s="562"/>
      <c r="Q143" s="562"/>
      <c r="R143" s="562"/>
      <c r="S143" s="562"/>
      <c r="T143" s="562"/>
      <c r="U143" s="562"/>
      <c r="V143" s="562"/>
      <c r="W143" s="562"/>
      <c r="X143" s="787"/>
      <c r="Y143" s="980"/>
      <c r="Z143" s="983"/>
      <c r="AA143" s="562"/>
      <c r="AB143" s="562"/>
      <c r="AC143" s="562"/>
      <c r="AD143" s="562"/>
      <c r="AE143" s="562"/>
      <c r="AF143" s="562"/>
      <c r="AG143" s="562"/>
      <c r="AH143" s="562"/>
      <c r="AI143" s="562"/>
      <c r="AJ143" s="562"/>
      <c r="AK143" s="562"/>
      <c r="AL143" s="562"/>
      <c r="AM143" s="562"/>
      <c r="AN143" s="562"/>
      <c r="AO143" s="562"/>
      <c r="AP143" s="562"/>
      <c r="AQ143" s="562"/>
      <c r="AR143" s="562"/>
      <c r="AS143" s="562"/>
    </row>
    <row r="144" spans="1:45" x14ac:dyDescent="0.2">
      <c r="A144" s="541">
        <v>5</v>
      </c>
      <c r="B144" s="544" t="s">
        <v>2263</v>
      </c>
      <c r="C144" s="544"/>
      <c r="D144" s="544"/>
      <c r="E144" s="544" t="s">
        <v>2290</v>
      </c>
      <c r="F144" s="544"/>
      <c r="G144" s="543" t="str">
        <f>IF(N144&gt;0,"P","")</f>
        <v/>
      </c>
      <c r="H144" s="545" t="s">
        <v>3758</v>
      </c>
      <c r="I144" s="71"/>
      <c r="J144" s="61" t="s">
        <v>2290</v>
      </c>
      <c r="K144" s="71"/>
      <c r="L144" s="791" t="s">
        <v>2291</v>
      </c>
      <c r="M144" s="992">
        <v>6</v>
      </c>
      <c r="N144" s="923">
        <f>'Ch5'!O145</f>
        <v>0</v>
      </c>
      <c r="O144" s="887">
        <f>M144*S144*W144</f>
        <v>0</v>
      </c>
      <c r="P144" s="64" t="b">
        <v>0</v>
      </c>
      <c r="Q144" s="64" t="b">
        <v>1</v>
      </c>
      <c r="R144" s="64" t="b">
        <v>0</v>
      </c>
      <c r="S144" s="562" t="b">
        <f>NOT(ISBLANK(W110))</f>
        <v>0</v>
      </c>
      <c r="T144" s="64" t="b">
        <f>IF(AND(NOT(S144),W144=TRUE),TRUE,FALSE)</f>
        <v>0</v>
      </c>
      <c r="U144" s="64"/>
      <c r="V144" s="64"/>
      <c r="W144" s="18"/>
      <c r="X144" s="798"/>
      <c r="Y144" s="977" t="str">
        <f>IF(LEN('Ch5'!X145)=0,"None",'Ch5'!X145)</f>
        <v>None</v>
      </c>
      <c r="Z144" s="978"/>
      <c r="AA144" s="562"/>
      <c r="AB144" s="562"/>
      <c r="AC144" s="562" t="b">
        <f>OR(AD144:AE144)</f>
        <v>0</v>
      </c>
      <c r="AD144" s="562" t="b">
        <f>T144</f>
        <v>0</v>
      </c>
      <c r="AE144" s="562"/>
      <c r="AF144" s="562"/>
      <c r="AG144" s="562"/>
      <c r="AH144" s="562"/>
      <c r="AI144" s="562"/>
      <c r="AJ144" s="562"/>
      <c r="AK144" s="562"/>
      <c r="AL144" s="190" t="str">
        <f>SUBSTITUTE(SUBSTITUTE(SUBSTITUTE("vpa"&amp;$B144&amp;$C144&amp;$D144&amp;$E144&amp;$F144,".","_"),"(","_"),")","")</f>
        <v>vpa503_5_12</v>
      </c>
      <c r="AM144" s="190">
        <f>M144</f>
        <v>6</v>
      </c>
      <c r="AN144" s="190" t="str">
        <f>SUBSTITUTE(SUBSTITUTE(SUBSTITUTE("vpc"&amp;$B144&amp;$C144&amp;$D144&amp;$E144&amp;$F144,".","_"),"(","_"),")","")</f>
        <v>vpc503_5_12</v>
      </c>
      <c r="AO144" s="190">
        <f>O144</f>
        <v>0</v>
      </c>
      <c r="AP144" s="190" t="str">
        <f>SUBSTITUTE(SUBSTITUTE(SUBSTITUTE("vch"&amp;$B144&amp;$C144&amp;$D144&amp;$E144&amp;$F144,".","_"),"(","_"),")","")</f>
        <v>vch503_5_12</v>
      </c>
      <c r="AQ144" s="190">
        <f>W144</f>
        <v>0</v>
      </c>
      <c r="AR144" s="190" t="str">
        <f>SUBSTITUTE(SUBSTITUTE(SUBSTITUTE("vnt"&amp;$B144&amp;$C144&amp;$D144&amp;$E144&amp;$F144,".","_"),"(","_"),")","")</f>
        <v>vnt503_5_12</v>
      </c>
      <c r="AS144" s="190">
        <f>X144</f>
        <v>0</v>
      </c>
    </row>
    <row r="145" spans="1:45" ht="16" thickBot="1" x14ac:dyDescent="0.25">
      <c r="A145" s="541">
        <v>5</v>
      </c>
      <c r="B145" s="544" t="s">
        <v>2263</v>
      </c>
      <c r="C145" s="544"/>
      <c r="D145" s="544"/>
      <c r="E145" s="544" t="s">
        <v>2290</v>
      </c>
      <c r="F145" s="544"/>
      <c r="G145" s="543" t="str">
        <f>G144</f>
        <v/>
      </c>
      <c r="H145" s="545" t="s">
        <v>3758</v>
      </c>
      <c r="I145" s="72"/>
      <c r="J145" s="72"/>
      <c r="K145" s="72"/>
      <c r="L145" s="818"/>
      <c r="M145" s="993"/>
      <c r="N145" s="982"/>
      <c r="O145" s="982"/>
      <c r="P145" s="68"/>
      <c r="Q145" s="68"/>
      <c r="R145" s="68"/>
      <c r="S145" s="68"/>
      <c r="T145" s="68"/>
      <c r="U145" s="68"/>
      <c r="V145" s="68"/>
      <c r="W145" s="68"/>
      <c r="X145" s="799"/>
      <c r="Y145" s="979"/>
      <c r="Z145" s="1007"/>
      <c r="AA145" s="562"/>
      <c r="AB145" s="562"/>
      <c r="AC145" s="562"/>
      <c r="AD145" s="562"/>
      <c r="AE145" s="562"/>
      <c r="AF145" s="562"/>
      <c r="AG145" s="562"/>
      <c r="AH145" s="562"/>
      <c r="AI145" s="562"/>
      <c r="AJ145" s="562"/>
      <c r="AK145" s="562"/>
      <c r="AL145" s="562"/>
      <c r="AM145" s="562"/>
      <c r="AN145" s="562"/>
      <c r="AO145" s="562"/>
      <c r="AP145" s="562"/>
      <c r="AQ145" s="562"/>
      <c r="AR145" s="562"/>
      <c r="AS145" s="562"/>
    </row>
    <row r="146" spans="1:45" ht="16" thickTop="1" x14ac:dyDescent="0.2">
      <c r="A146" s="541">
        <v>5</v>
      </c>
      <c r="B146" s="544" t="s">
        <v>2292</v>
      </c>
      <c r="C146" s="544"/>
      <c r="D146" s="544"/>
      <c r="E146" s="544"/>
      <c r="F146" s="544"/>
      <c r="G146" s="539" t="str">
        <f>IF(COUNTIF(G148:G152,"P")&gt;0,"P","")</f>
        <v/>
      </c>
      <c r="H146" s="545" t="s">
        <v>3758</v>
      </c>
      <c r="I146" s="107" t="s">
        <v>2293</v>
      </c>
      <c r="J146" s="60"/>
      <c r="K146" s="60"/>
      <c r="L146" s="775" t="s">
        <v>2294</v>
      </c>
      <c r="M146" s="678"/>
      <c r="N146" s="981">
        <f>'Ch5'!O147</f>
        <v>0</v>
      </c>
      <c r="O146" s="981">
        <f>IF((M148*W148+M149*W149+M150*W150+M152*W152)&gt;=6,(M148*W148+M149*W149+M150*W150+M152*W152),0)</f>
        <v>0</v>
      </c>
      <c r="P146" s="562"/>
      <c r="Q146" s="562"/>
      <c r="R146" s="562"/>
      <c r="S146" s="562"/>
      <c r="T146" s="562"/>
      <c r="U146" s="562"/>
      <c r="V146" s="562"/>
      <c r="W146" s="562"/>
      <c r="X146" s="802"/>
      <c r="Y146" s="975" t="str">
        <f>IF(LEN('Ch5'!X147)=0,"None",'Ch5'!X147)</f>
        <v>None</v>
      </c>
      <c r="Z146" s="976"/>
      <c r="AA146" s="562"/>
      <c r="AB146" s="562"/>
      <c r="AC146" s="562"/>
      <c r="AD146" s="562"/>
      <c r="AE146" s="562"/>
      <c r="AF146" s="562"/>
      <c r="AG146" s="562"/>
      <c r="AH146" s="562"/>
      <c r="AI146" s="562"/>
      <c r="AJ146" s="562"/>
      <c r="AK146" s="562"/>
      <c r="AL146" s="562"/>
      <c r="AM146" s="562"/>
      <c r="AN146" s="562"/>
      <c r="AO146" s="562"/>
      <c r="AP146" s="562"/>
      <c r="AQ146" s="562"/>
      <c r="AR146" s="190" t="str">
        <f>SUBSTITUTE(SUBSTITUTE(SUBSTITUTE("vnt"&amp;$B146&amp;$C146&amp;$D146&amp;$E146&amp;$F146,".","_"),"(","_"),")","")</f>
        <v>vnt503_6</v>
      </c>
      <c r="AS146" s="190">
        <f>X146</f>
        <v>0</v>
      </c>
    </row>
    <row r="147" spans="1:45" x14ac:dyDescent="0.2">
      <c r="A147" s="541">
        <v>5</v>
      </c>
      <c r="B147" s="544" t="s">
        <v>2292</v>
      </c>
      <c r="C147" s="544"/>
      <c r="D147" s="544"/>
      <c r="E147" s="544"/>
      <c r="F147" s="544"/>
      <c r="G147" s="543" t="str">
        <f t="shared" ref="G147" si="38">G146</f>
        <v/>
      </c>
      <c r="H147" s="545" t="s">
        <v>3758</v>
      </c>
      <c r="I147" s="60"/>
      <c r="J147" s="60"/>
      <c r="K147" s="60"/>
      <c r="L147" s="775"/>
      <c r="M147" s="678"/>
      <c r="N147" s="887"/>
      <c r="O147" s="887"/>
      <c r="P147" s="562"/>
      <c r="Q147" s="562"/>
      <c r="R147" s="562"/>
      <c r="S147" s="562"/>
      <c r="T147" s="562"/>
      <c r="U147" s="562"/>
      <c r="V147" s="562"/>
      <c r="W147" s="562"/>
      <c r="X147" s="798"/>
      <c r="Y147" s="977"/>
      <c r="Z147" s="978"/>
      <c r="AA147" s="562"/>
      <c r="AB147" s="562"/>
      <c r="AC147" s="562"/>
      <c r="AD147" s="562"/>
      <c r="AE147" s="562"/>
      <c r="AF147" s="562"/>
      <c r="AG147" s="562"/>
      <c r="AH147" s="562"/>
      <c r="AI147" s="562"/>
      <c r="AJ147" s="562"/>
      <c r="AK147" s="562"/>
      <c r="AL147" s="562"/>
      <c r="AM147" s="562"/>
      <c r="AN147" s="562"/>
      <c r="AO147" s="562"/>
      <c r="AP147" s="562"/>
      <c r="AQ147" s="562"/>
      <c r="AR147" s="562"/>
      <c r="AS147" s="562"/>
    </row>
    <row r="148" spans="1:45" x14ac:dyDescent="0.2">
      <c r="A148" s="541">
        <v>5</v>
      </c>
      <c r="B148" s="544" t="s">
        <v>2292</v>
      </c>
      <c r="C148" s="544"/>
      <c r="D148" s="544"/>
      <c r="E148" s="544" t="s">
        <v>2181</v>
      </c>
      <c r="F148" s="544"/>
      <c r="G148" s="543" t="str">
        <f>IF(N148&gt;0,"P","")</f>
        <v/>
      </c>
      <c r="H148" s="545" t="s">
        <v>3758</v>
      </c>
      <c r="I148" s="60"/>
      <c r="J148" s="125" t="s">
        <v>2181</v>
      </c>
      <c r="K148" s="128"/>
      <c r="L148" s="126" t="s">
        <v>2295</v>
      </c>
      <c r="M148" s="679">
        <v>3</v>
      </c>
      <c r="N148" s="669"/>
      <c r="O148" s="669"/>
      <c r="P148" s="562" t="b">
        <v>0</v>
      </c>
      <c r="Q148" s="562" t="b">
        <v>1</v>
      </c>
      <c r="R148" s="562" t="b">
        <v>0</v>
      </c>
      <c r="S148" s="562" t="b">
        <v>1</v>
      </c>
      <c r="T148" s="562" t="b">
        <v>0</v>
      </c>
      <c r="U148" s="562"/>
      <c r="V148" s="562"/>
      <c r="W148" s="18"/>
      <c r="X148" s="798"/>
      <c r="Y148" s="977"/>
      <c r="Z148" s="978"/>
      <c r="AA148" s="562"/>
      <c r="AB148" s="562"/>
      <c r="AC148" s="562"/>
      <c r="AD148" s="562"/>
      <c r="AE148" s="562"/>
      <c r="AF148" s="562"/>
      <c r="AG148" s="562"/>
      <c r="AH148" s="562"/>
      <c r="AI148" s="562"/>
      <c r="AJ148" s="562"/>
      <c r="AK148" s="562"/>
      <c r="AL148" s="190" t="str">
        <f t="shared" ref="AL148:AL150" si="39">SUBSTITUTE(SUBSTITUTE(SUBSTITUTE("vpa"&amp;$B148&amp;$C148&amp;$D148&amp;$E148&amp;$F148,".","_"),"(","_"),")","")</f>
        <v>vpa503_6_1</v>
      </c>
      <c r="AM148" s="190">
        <f>M148</f>
        <v>3</v>
      </c>
      <c r="AN148" s="190" t="str">
        <f t="shared" ref="AN148:AN150" si="40">SUBSTITUTE(SUBSTITUTE(SUBSTITUTE("vpc"&amp;$B148&amp;$C148&amp;$D148&amp;$E148&amp;$F148,".","_"),"(","_"),")","")</f>
        <v>vpc503_6_1</v>
      </c>
      <c r="AO148" s="190">
        <f>O148</f>
        <v>0</v>
      </c>
      <c r="AP148" s="190" t="str">
        <f t="shared" ref="AP148:AP150" si="41">SUBSTITUTE(SUBSTITUTE(SUBSTITUTE("vch"&amp;$B148&amp;$C148&amp;$D148&amp;$E148&amp;$F148,".","_"),"(","_"),")","")</f>
        <v>vch503_6_1</v>
      </c>
      <c r="AQ148" s="190">
        <f>W148</f>
        <v>0</v>
      </c>
      <c r="AR148" s="562"/>
      <c r="AS148" s="562"/>
    </row>
    <row r="149" spans="1:45" x14ac:dyDescent="0.2">
      <c r="A149" s="541">
        <v>5</v>
      </c>
      <c r="B149" s="544" t="s">
        <v>2292</v>
      </c>
      <c r="C149" s="544"/>
      <c r="D149" s="544"/>
      <c r="E149" s="544" t="s">
        <v>2183</v>
      </c>
      <c r="F149" s="544"/>
      <c r="G149" s="543" t="str">
        <f>IF(N149&gt;0,"P","")</f>
        <v/>
      </c>
      <c r="H149" s="545" t="s">
        <v>3758</v>
      </c>
      <c r="I149" s="60"/>
      <c r="J149" s="125" t="s">
        <v>2183</v>
      </c>
      <c r="K149" s="128"/>
      <c r="L149" s="126" t="s">
        <v>2296</v>
      </c>
      <c r="M149" s="679">
        <v>3</v>
      </c>
      <c r="N149" s="669"/>
      <c r="O149" s="669"/>
      <c r="P149" s="562" t="b">
        <v>0</v>
      </c>
      <c r="Q149" s="562" t="b">
        <v>1</v>
      </c>
      <c r="R149" s="562" t="b">
        <v>0</v>
      </c>
      <c r="S149" s="562" t="b">
        <v>1</v>
      </c>
      <c r="T149" s="562" t="b">
        <v>0</v>
      </c>
      <c r="U149" s="562"/>
      <c r="V149" s="562"/>
      <c r="W149" s="18"/>
      <c r="X149" s="798"/>
      <c r="Y149" s="977"/>
      <c r="Z149" s="978"/>
      <c r="AA149" s="562"/>
      <c r="AB149" s="562"/>
      <c r="AC149" s="562"/>
      <c r="AD149" s="562"/>
      <c r="AE149" s="562"/>
      <c r="AF149" s="562"/>
      <c r="AG149" s="562"/>
      <c r="AH149" s="562"/>
      <c r="AI149" s="562"/>
      <c r="AJ149" s="562"/>
      <c r="AK149" s="562"/>
      <c r="AL149" s="190" t="str">
        <f t="shared" si="39"/>
        <v>vpa503_6_2</v>
      </c>
      <c r="AM149" s="190">
        <f>M149</f>
        <v>3</v>
      </c>
      <c r="AN149" s="190" t="str">
        <f t="shared" si="40"/>
        <v>vpc503_6_2</v>
      </c>
      <c r="AO149" s="190">
        <f>O149</f>
        <v>0</v>
      </c>
      <c r="AP149" s="190" t="str">
        <f t="shared" si="41"/>
        <v>vch503_6_2</v>
      </c>
      <c r="AQ149" s="190">
        <f>W149</f>
        <v>0</v>
      </c>
      <c r="AR149" s="562"/>
      <c r="AS149" s="562"/>
    </row>
    <row r="150" spans="1:45" x14ac:dyDescent="0.2">
      <c r="A150" s="541">
        <v>5</v>
      </c>
      <c r="B150" s="544" t="s">
        <v>2292</v>
      </c>
      <c r="C150" s="544"/>
      <c r="D150" s="544"/>
      <c r="E150" s="544" t="s">
        <v>2185</v>
      </c>
      <c r="F150" s="544"/>
      <c r="G150" s="543" t="str">
        <f>IF(N150&gt;0,"P","")</f>
        <v/>
      </c>
      <c r="H150" s="545" t="s">
        <v>3758</v>
      </c>
      <c r="I150" s="60"/>
      <c r="J150" s="61" t="s">
        <v>2185</v>
      </c>
      <c r="K150" s="71"/>
      <c r="L150" s="791" t="s">
        <v>2297</v>
      </c>
      <c r="M150" s="992">
        <v>3</v>
      </c>
      <c r="N150" s="668"/>
      <c r="O150" s="668"/>
      <c r="P150" s="562" t="b">
        <v>0</v>
      </c>
      <c r="Q150" s="562" t="b">
        <v>1</v>
      </c>
      <c r="R150" s="562" t="b">
        <v>0</v>
      </c>
      <c r="S150" s="562" t="b">
        <v>1</v>
      </c>
      <c r="T150" s="562" t="b">
        <v>0</v>
      </c>
      <c r="U150" s="562"/>
      <c r="V150" s="562"/>
      <c r="W150" s="18"/>
      <c r="X150" s="798"/>
      <c r="Y150" s="977"/>
      <c r="Z150" s="978"/>
      <c r="AA150" s="562"/>
      <c r="AB150" s="562"/>
      <c r="AC150" s="562"/>
      <c r="AD150" s="562"/>
      <c r="AE150" s="562"/>
      <c r="AF150" s="562"/>
      <c r="AG150" s="562"/>
      <c r="AH150" s="562"/>
      <c r="AI150" s="562"/>
      <c r="AJ150" s="562"/>
      <c r="AK150" s="562"/>
      <c r="AL150" s="190" t="str">
        <f t="shared" si="39"/>
        <v>vpa503_6_3</v>
      </c>
      <c r="AM150" s="190">
        <f>M150</f>
        <v>3</v>
      </c>
      <c r="AN150" s="190" t="str">
        <f t="shared" si="40"/>
        <v>vpc503_6_3</v>
      </c>
      <c r="AO150" s="190">
        <f>O150</f>
        <v>0</v>
      </c>
      <c r="AP150" s="190" t="str">
        <f t="shared" si="41"/>
        <v>vch503_6_3</v>
      </c>
      <c r="AQ150" s="190">
        <f>W150</f>
        <v>0</v>
      </c>
      <c r="AR150" s="562"/>
      <c r="AS150" s="562"/>
    </row>
    <row r="151" spans="1:45" x14ac:dyDescent="0.2">
      <c r="A151" s="541">
        <v>5</v>
      </c>
      <c r="B151" s="544" t="s">
        <v>2292</v>
      </c>
      <c r="C151" s="544"/>
      <c r="D151" s="544"/>
      <c r="E151" s="544" t="s">
        <v>2185</v>
      </c>
      <c r="F151" s="544"/>
      <c r="G151" s="543" t="str">
        <f>G150</f>
        <v/>
      </c>
      <c r="H151" s="545" t="s">
        <v>3758</v>
      </c>
      <c r="I151" s="60"/>
      <c r="J151" s="128"/>
      <c r="K151" s="128"/>
      <c r="L151" s="792"/>
      <c r="M151" s="995"/>
      <c r="N151" s="669"/>
      <c r="O151" s="669"/>
      <c r="P151" s="562"/>
      <c r="Q151" s="562"/>
      <c r="R151" s="562"/>
      <c r="S151" s="562"/>
      <c r="T151" s="562"/>
      <c r="U151" s="562"/>
      <c r="V151" s="562"/>
      <c r="W151" s="562"/>
      <c r="X151" s="798"/>
      <c r="Y151" s="977"/>
      <c r="Z151" s="978"/>
      <c r="AA151" s="562"/>
      <c r="AB151" s="562"/>
      <c r="AC151" s="562"/>
      <c r="AD151" s="562"/>
      <c r="AE151" s="562"/>
      <c r="AF151" s="562"/>
      <c r="AG151" s="562"/>
      <c r="AH151" s="562"/>
      <c r="AI151" s="562"/>
      <c r="AJ151" s="562"/>
      <c r="AK151" s="562"/>
      <c r="AL151" s="562"/>
      <c r="AM151" s="562"/>
      <c r="AN151" s="562"/>
      <c r="AO151" s="562"/>
      <c r="AP151" s="562"/>
      <c r="AQ151" s="562"/>
      <c r="AR151" s="562"/>
      <c r="AS151" s="562"/>
    </row>
    <row r="152" spans="1:45" ht="16" thickBot="1" x14ac:dyDescent="0.25">
      <c r="A152" s="541">
        <v>5</v>
      </c>
      <c r="B152" s="544" t="s">
        <v>2292</v>
      </c>
      <c r="C152" s="544"/>
      <c r="D152" s="544"/>
      <c r="E152" s="544" t="s">
        <v>2192</v>
      </c>
      <c r="F152" s="544"/>
      <c r="G152" s="543" t="str">
        <f>IF(N152&gt;0,"P","")</f>
        <v/>
      </c>
      <c r="H152" s="545" t="s">
        <v>3758</v>
      </c>
      <c r="I152" s="72"/>
      <c r="J152" s="66" t="s">
        <v>2192</v>
      </c>
      <c r="K152" s="72"/>
      <c r="L152" s="67" t="s">
        <v>2298</v>
      </c>
      <c r="M152" s="677">
        <v>3</v>
      </c>
      <c r="N152" s="674"/>
      <c r="O152" s="674"/>
      <c r="P152" s="562" t="b">
        <v>0</v>
      </c>
      <c r="Q152" s="562" t="b">
        <v>1</v>
      </c>
      <c r="R152" s="68" t="b">
        <v>0</v>
      </c>
      <c r="S152" s="68" t="b">
        <v>1</v>
      </c>
      <c r="T152" s="68" t="b">
        <v>0</v>
      </c>
      <c r="U152" s="68"/>
      <c r="V152" s="68"/>
      <c r="W152" s="137"/>
      <c r="X152" s="799"/>
      <c r="Y152" s="979"/>
      <c r="Z152" s="1007"/>
      <c r="AA152" s="562"/>
      <c r="AB152" s="562"/>
      <c r="AC152" s="562"/>
      <c r="AD152" s="562"/>
      <c r="AE152" s="562"/>
      <c r="AF152" s="562"/>
      <c r="AG152" s="562"/>
      <c r="AH152" s="562"/>
      <c r="AI152" s="562"/>
      <c r="AJ152" s="562"/>
      <c r="AK152" s="562"/>
      <c r="AL152" s="190" t="str">
        <f>SUBSTITUTE(SUBSTITUTE(SUBSTITUTE("vpa"&amp;$B152&amp;$C152&amp;$D152&amp;$E152&amp;$F152,".","_"),"(","_"),")","")</f>
        <v>vpa503_6_4</v>
      </c>
      <c r="AM152" s="190">
        <f>M152</f>
        <v>3</v>
      </c>
      <c r="AN152" s="190" t="str">
        <f>SUBSTITUTE(SUBSTITUTE(SUBSTITUTE("vpc"&amp;$B152&amp;$C152&amp;$D152&amp;$E152&amp;$F152,".","_"),"(","_"),")","")</f>
        <v>vpc503_6_4</v>
      </c>
      <c r="AO152" s="190">
        <f>O152</f>
        <v>0</v>
      </c>
      <c r="AP152" s="190" t="str">
        <f>SUBSTITUTE(SUBSTITUTE(SUBSTITUTE("vch"&amp;$B152&amp;$C152&amp;$D152&amp;$E152&amp;$F152,".","_"),"(","_"),")","")</f>
        <v>vch503_6_4</v>
      </c>
      <c r="AQ152" s="190">
        <f>W152</f>
        <v>0</v>
      </c>
      <c r="AR152" s="562"/>
      <c r="AS152" s="562"/>
    </row>
    <row r="153" spans="1:45" ht="16" thickTop="1" x14ac:dyDescent="0.2">
      <c r="A153" s="541">
        <v>5</v>
      </c>
      <c r="B153" s="544" t="s">
        <v>2299</v>
      </c>
      <c r="C153" s="544"/>
      <c r="D153" s="544"/>
      <c r="E153" s="544"/>
      <c r="F153" s="544"/>
      <c r="G153" s="539" t="str">
        <f>IF(COUNTIF(G155:G157,"P")&gt;0,"P","")</f>
        <v/>
      </c>
      <c r="H153" s="545" t="s">
        <v>3751</v>
      </c>
      <c r="I153" s="107" t="s">
        <v>2300</v>
      </c>
      <c r="J153" s="60"/>
      <c r="K153" s="60"/>
      <c r="L153" s="775" t="s">
        <v>2301</v>
      </c>
      <c r="M153" s="678"/>
      <c r="N153" s="648"/>
      <c r="O153" s="648"/>
      <c r="P153" s="562"/>
      <c r="Q153" s="562"/>
      <c r="R153" s="562"/>
      <c r="S153" s="562"/>
      <c r="T153" s="562"/>
      <c r="U153" s="562"/>
      <c r="V153" s="562"/>
      <c r="W153" s="136"/>
      <c r="X153" s="786"/>
      <c r="Y153" s="975" t="str">
        <f>IF(LEN('Ch5'!X154)=0,"None",'Ch5'!X154)</f>
        <v>None</v>
      </c>
      <c r="Z153" s="976"/>
      <c r="AA153" s="562"/>
      <c r="AB153" s="562"/>
      <c r="AC153" s="562"/>
      <c r="AD153" s="562"/>
      <c r="AE153" s="562"/>
      <c r="AF153" s="562"/>
      <c r="AG153" s="562"/>
      <c r="AH153" s="562"/>
      <c r="AI153" s="562"/>
      <c r="AJ153" s="562"/>
      <c r="AK153" s="562"/>
      <c r="AL153" s="562"/>
      <c r="AM153" s="562"/>
      <c r="AN153" s="562"/>
      <c r="AO153" s="562"/>
      <c r="AP153" s="562"/>
      <c r="AQ153" s="562"/>
      <c r="AR153" s="190" t="str">
        <f>SUBSTITUTE(SUBSTITUTE(SUBSTITUTE("vnt"&amp;$B153&amp;$C153&amp;$D153&amp;$E153&amp;$F153,".","_"),"(","_"),")","")</f>
        <v>vnt503_7</v>
      </c>
      <c r="AS153" s="190">
        <f>X153</f>
        <v>0</v>
      </c>
    </row>
    <row r="154" spans="1:45" x14ac:dyDescent="0.2">
      <c r="A154" s="541">
        <v>5</v>
      </c>
      <c r="B154" s="544" t="s">
        <v>2299</v>
      </c>
      <c r="C154" s="544"/>
      <c r="D154" s="544"/>
      <c r="E154" s="544"/>
      <c r="F154" s="544"/>
      <c r="G154" s="543" t="str">
        <f t="shared" ref="G154" si="42">G153</f>
        <v/>
      </c>
      <c r="H154" s="545" t="s">
        <v>3751</v>
      </c>
      <c r="I154" s="60"/>
      <c r="J154" s="60"/>
      <c r="K154" s="60"/>
      <c r="L154" s="775"/>
      <c r="M154" s="678"/>
      <c r="N154" s="648"/>
      <c r="O154" s="648"/>
      <c r="P154" s="562"/>
      <c r="Q154" s="562"/>
      <c r="R154" s="562"/>
      <c r="S154" s="562"/>
      <c r="T154" s="562"/>
      <c r="U154" s="562"/>
      <c r="V154" s="562"/>
      <c r="W154" s="562"/>
      <c r="X154" s="798"/>
      <c r="Y154" s="977"/>
      <c r="Z154" s="978"/>
      <c r="AA154" s="562"/>
      <c r="AB154" s="562"/>
      <c r="AC154" s="562"/>
      <c r="AD154" s="562"/>
      <c r="AE154" s="562"/>
      <c r="AF154" s="562"/>
      <c r="AG154" s="562"/>
      <c r="AH154" s="562"/>
      <c r="AI154" s="562"/>
      <c r="AJ154" s="562"/>
      <c r="AK154" s="562"/>
      <c r="AL154" s="562"/>
      <c r="AM154" s="562"/>
      <c r="AN154" s="562"/>
      <c r="AO154" s="562"/>
      <c r="AP154" s="562"/>
      <c r="AQ154" s="562"/>
      <c r="AR154" s="562"/>
      <c r="AS154" s="562"/>
    </row>
    <row r="155" spans="1:45" x14ac:dyDescent="0.2">
      <c r="A155" s="541">
        <v>5</v>
      </c>
      <c r="B155" s="544" t="s">
        <v>2299</v>
      </c>
      <c r="C155" s="544"/>
      <c r="D155" s="544"/>
      <c r="E155" s="544" t="s">
        <v>2181</v>
      </c>
      <c r="F155" s="544"/>
      <c r="G155" s="543" t="str">
        <f>IF(N155&gt;0,"P","")</f>
        <v/>
      </c>
      <c r="H155" s="545" t="s">
        <v>3751</v>
      </c>
      <c r="I155" s="60"/>
      <c r="J155" s="61" t="s">
        <v>2181</v>
      </c>
      <c r="K155" s="71"/>
      <c r="L155" s="791" t="s">
        <v>2302</v>
      </c>
      <c r="M155" s="992">
        <v>4</v>
      </c>
      <c r="N155" s="924">
        <f>'Ch5'!O156</f>
        <v>0</v>
      </c>
      <c r="O155" s="924">
        <f>M155*W155</f>
        <v>0</v>
      </c>
      <c r="P155" s="562" t="b">
        <v>1</v>
      </c>
      <c r="Q155" s="562" t="b">
        <v>1</v>
      </c>
      <c r="R155" s="562" t="b">
        <v>0</v>
      </c>
      <c r="S155" s="562" t="b">
        <v>1</v>
      </c>
      <c r="T155" s="562" t="b">
        <v>0</v>
      </c>
      <c r="U155" s="562"/>
      <c r="V155" s="562"/>
      <c r="W155" s="18"/>
      <c r="X155" s="798"/>
      <c r="Y155" s="977"/>
      <c r="Z155" s="978"/>
      <c r="AA155" s="562"/>
      <c r="AB155" s="562"/>
      <c r="AC155" s="562"/>
      <c r="AD155" s="562"/>
      <c r="AE155" s="562"/>
      <c r="AF155" s="562"/>
      <c r="AG155" s="562"/>
      <c r="AH155" s="562"/>
      <c r="AI155" s="562"/>
      <c r="AJ155" s="562"/>
      <c r="AK155" s="562"/>
      <c r="AL155" s="190" t="str">
        <f>SUBSTITUTE(SUBSTITUTE(SUBSTITUTE("vpa"&amp;$B155&amp;$C155&amp;$D155&amp;$E155&amp;$F155,".","_"),"(","_"),")","")</f>
        <v>vpa503_7_1</v>
      </c>
      <c r="AM155" s="190">
        <f>M155</f>
        <v>4</v>
      </c>
      <c r="AN155" s="190" t="str">
        <f>SUBSTITUTE(SUBSTITUTE(SUBSTITUTE("vpc"&amp;$B155&amp;$C155&amp;$D155&amp;$E155&amp;$F155,".","_"),"(","_"),")","")</f>
        <v>vpc503_7_1</v>
      </c>
      <c r="AO155" s="190">
        <f>O155</f>
        <v>0</v>
      </c>
      <c r="AP155" s="190" t="str">
        <f>SUBSTITUTE(SUBSTITUTE(SUBSTITUTE("vch"&amp;$B155&amp;$C155&amp;$D155&amp;$E155&amp;$F155,".","_"),"(","_"),")","")</f>
        <v>vch503_7_1</v>
      </c>
      <c r="AQ155" s="190">
        <f>W155</f>
        <v>0</v>
      </c>
      <c r="AR155" s="562"/>
      <c r="AS155" s="562"/>
    </row>
    <row r="156" spans="1:45" x14ac:dyDescent="0.2">
      <c r="A156" s="541">
        <v>5</v>
      </c>
      <c r="B156" s="544" t="s">
        <v>2299</v>
      </c>
      <c r="C156" s="544"/>
      <c r="D156" s="544"/>
      <c r="E156" s="544" t="s">
        <v>2181</v>
      </c>
      <c r="F156" s="544"/>
      <c r="G156" s="543" t="str">
        <f>G155</f>
        <v/>
      </c>
      <c r="H156" s="545" t="s">
        <v>3751</v>
      </c>
      <c r="I156" s="60"/>
      <c r="J156" s="125"/>
      <c r="K156" s="128"/>
      <c r="L156" s="792"/>
      <c r="M156" s="995"/>
      <c r="N156" s="942"/>
      <c r="O156" s="942"/>
      <c r="P156" s="562"/>
      <c r="Q156" s="562"/>
      <c r="R156" s="562"/>
      <c r="S156" s="562"/>
      <c r="T156" s="562"/>
      <c r="U156" s="562"/>
      <c r="V156" s="562"/>
      <c r="W156" s="562"/>
      <c r="X156" s="798"/>
      <c r="Y156" s="977"/>
      <c r="Z156" s="978"/>
      <c r="AA156" s="562"/>
      <c r="AB156" s="562"/>
      <c r="AC156" s="562"/>
      <c r="AD156" s="562"/>
      <c r="AE156" s="562"/>
      <c r="AF156" s="562"/>
      <c r="AG156" s="562"/>
      <c r="AH156" s="562"/>
      <c r="AI156" s="562"/>
      <c r="AJ156" s="562"/>
      <c r="AK156" s="562"/>
      <c r="AL156" s="562"/>
      <c r="AM156" s="562"/>
      <c r="AN156" s="562"/>
      <c r="AO156" s="562"/>
      <c r="AP156" s="562"/>
      <c r="AQ156" s="562"/>
      <c r="AR156" s="562"/>
      <c r="AS156" s="562"/>
    </row>
    <row r="157" spans="1:45" x14ac:dyDescent="0.2">
      <c r="A157" s="541">
        <v>5</v>
      </c>
      <c r="B157" s="544" t="s">
        <v>2299</v>
      </c>
      <c r="C157" s="544"/>
      <c r="D157" s="544"/>
      <c r="E157" s="544" t="s">
        <v>2183</v>
      </c>
      <c r="F157" s="544"/>
      <c r="G157" s="543" t="str">
        <f>IF(N157&gt;0,"P","")</f>
        <v/>
      </c>
      <c r="H157" s="545" t="s">
        <v>3751</v>
      </c>
      <c r="I157" s="71"/>
      <c r="J157" s="61" t="s">
        <v>2183</v>
      </c>
      <c r="K157" s="71"/>
      <c r="L157" s="791" t="s">
        <v>2303</v>
      </c>
      <c r="M157" s="992">
        <v>4</v>
      </c>
      <c r="N157" s="923">
        <f>'Ch5'!O158</f>
        <v>0</v>
      </c>
      <c r="O157" s="887">
        <f>M157*W157</f>
        <v>0</v>
      </c>
      <c r="P157" s="562" t="b">
        <v>1</v>
      </c>
      <c r="Q157" s="562" t="b">
        <v>1</v>
      </c>
      <c r="R157" s="64" t="b">
        <v>0</v>
      </c>
      <c r="S157" s="64" t="b">
        <v>1</v>
      </c>
      <c r="T157" s="64" t="b">
        <v>0</v>
      </c>
      <c r="U157" s="64"/>
      <c r="V157" s="64"/>
      <c r="W157" s="18"/>
      <c r="X157" s="798"/>
      <c r="Y157" s="977"/>
      <c r="Z157" s="978"/>
      <c r="AA157" s="562"/>
      <c r="AB157" s="562"/>
      <c r="AC157" s="562"/>
      <c r="AD157" s="562"/>
      <c r="AE157" s="562"/>
      <c r="AF157" s="562"/>
      <c r="AG157" s="562"/>
      <c r="AH157" s="562"/>
      <c r="AI157" s="562"/>
      <c r="AJ157" s="562"/>
      <c r="AK157" s="562"/>
      <c r="AL157" s="190" t="str">
        <f>SUBSTITUTE(SUBSTITUTE(SUBSTITUTE("vpa"&amp;$B157&amp;$C157&amp;$D157&amp;$E157&amp;$F157,".","_"),"(","_"),")","")</f>
        <v>vpa503_7_2</v>
      </c>
      <c r="AM157" s="190">
        <f>M157</f>
        <v>4</v>
      </c>
      <c r="AN157" s="190" t="str">
        <f>SUBSTITUTE(SUBSTITUTE(SUBSTITUTE("vpc"&amp;$B157&amp;$C157&amp;$D157&amp;$E157&amp;$F157,".","_"),"(","_"),")","")</f>
        <v>vpc503_7_2</v>
      </c>
      <c r="AO157" s="190">
        <f>O157</f>
        <v>0</v>
      </c>
      <c r="AP157" s="190" t="str">
        <f>SUBSTITUTE(SUBSTITUTE(SUBSTITUTE("vch"&amp;$B157&amp;$C157&amp;$D157&amp;$E157&amp;$F157,".","_"),"(","_"),")","")</f>
        <v>vch503_7_2</v>
      </c>
      <c r="AQ157" s="190">
        <f>W157</f>
        <v>0</v>
      </c>
      <c r="AR157" s="562"/>
      <c r="AS157" s="562"/>
    </row>
    <row r="158" spans="1:45" ht="16" thickBot="1" x14ac:dyDescent="0.25">
      <c r="A158" s="541">
        <v>5</v>
      </c>
      <c r="B158" s="544" t="s">
        <v>2299</v>
      </c>
      <c r="C158" s="544"/>
      <c r="D158" s="544"/>
      <c r="E158" s="544" t="s">
        <v>2183</v>
      </c>
      <c r="F158" s="544"/>
      <c r="G158" s="543" t="str">
        <f>G157</f>
        <v/>
      </c>
      <c r="H158" s="545" t="s">
        <v>3751</v>
      </c>
      <c r="I158" s="72"/>
      <c r="J158" s="72"/>
      <c r="K158" s="72"/>
      <c r="L158" s="818"/>
      <c r="M158" s="993"/>
      <c r="N158" s="982"/>
      <c r="O158" s="982"/>
      <c r="P158" s="68"/>
      <c r="Q158" s="68"/>
      <c r="R158" s="68"/>
      <c r="S158" s="68"/>
      <c r="T158" s="68"/>
      <c r="U158" s="68"/>
      <c r="V158" s="68"/>
      <c r="W158" s="68"/>
      <c r="X158" s="799"/>
      <c r="Y158" s="979"/>
      <c r="Z158" s="1007"/>
      <c r="AA158" s="562"/>
      <c r="AB158" s="562"/>
      <c r="AC158" s="562"/>
      <c r="AD158" s="562"/>
      <c r="AE158" s="562"/>
      <c r="AF158" s="562"/>
      <c r="AG158" s="562"/>
      <c r="AH158" s="562"/>
      <c r="AI158" s="562"/>
      <c r="AJ158" s="562"/>
      <c r="AK158" s="562"/>
      <c r="AL158" s="562"/>
      <c r="AM158" s="562"/>
      <c r="AN158" s="562"/>
      <c r="AO158" s="562"/>
      <c r="AP158" s="562"/>
      <c r="AQ158" s="562"/>
      <c r="AR158" s="562"/>
      <c r="AS158" s="562"/>
    </row>
    <row r="159" spans="1:45" ht="20" thickTop="1" x14ac:dyDescent="0.25">
      <c r="A159" s="541">
        <v>5</v>
      </c>
      <c r="B159" s="544" t="s">
        <v>2304</v>
      </c>
      <c r="C159" s="544"/>
      <c r="D159" s="544"/>
      <c r="E159" s="544"/>
      <c r="F159" s="544"/>
      <c r="G159" s="543" t="s">
        <v>3343</v>
      </c>
      <c r="H159" s="541" t="s">
        <v>3751</v>
      </c>
      <c r="I159" s="58" t="s">
        <v>2305</v>
      </c>
      <c r="J159" s="58"/>
      <c r="K159" s="58"/>
      <c r="L159" s="54"/>
      <c r="M159" s="44"/>
      <c r="N159" s="44"/>
      <c r="O159" s="44"/>
      <c r="P159" s="16"/>
      <c r="Q159" s="16"/>
      <c r="R159" s="16"/>
      <c r="S159" s="16"/>
      <c r="T159" s="16"/>
      <c r="U159" s="16"/>
      <c r="V159" s="16"/>
      <c r="W159" s="16"/>
      <c r="X159" s="16"/>
      <c r="Y159" s="16"/>
      <c r="Z159" s="453"/>
      <c r="AA159" s="562"/>
      <c r="AB159" s="562"/>
      <c r="AC159" s="562"/>
      <c r="AD159" s="562"/>
      <c r="AE159" s="562"/>
      <c r="AF159" s="562"/>
      <c r="AG159" s="562"/>
      <c r="AH159" s="562"/>
      <c r="AI159" s="562"/>
      <c r="AJ159" s="562"/>
      <c r="AK159" s="562"/>
      <c r="AL159" s="562"/>
      <c r="AM159" s="562"/>
      <c r="AN159" s="562"/>
      <c r="AO159" s="562"/>
      <c r="AP159" s="562"/>
      <c r="AQ159" s="562"/>
      <c r="AR159" s="562"/>
      <c r="AS159" s="562"/>
    </row>
    <row r="160" spans="1:45" x14ac:dyDescent="0.2">
      <c r="A160" s="541">
        <v>5</v>
      </c>
      <c r="B160" s="544" t="s">
        <v>2304</v>
      </c>
      <c r="C160" s="544"/>
      <c r="D160" s="544"/>
      <c r="E160" s="544"/>
      <c r="F160" s="544"/>
      <c r="G160" s="545"/>
      <c r="H160" s="545"/>
      <c r="I160" s="61" t="s">
        <v>2306</v>
      </c>
      <c r="J160" s="71"/>
      <c r="K160" s="71"/>
      <c r="L160" s="820" t="s">
        <v>2307</v>
      </c>
      <c r="M160" s="676"/>
      <c r="N160" s="668"/>
      <c r="O160" s="668"/>
      <c r="P160" s="64"/>
      <c r="Q160" s="64"/>
      <c r="R160" s="64"/>
      <c r="S160" s="64"/>
      <c r="T160" s="64"/>
      <c r="U160" s="64"/>
      <c r="V160" s="64"/>
      <c r="W160" s="64"/>
      <c r="X160" s="82"/>
      <c r="Y160" s="562"/>
      <c r="Z160" s="430"/>
      <c r="AA160" s="562"/>
      <c r="AB160" s="562"/>
      <c r="AC160" s="562"/>
      <c r="AD160" s="562"/>
      <c r="AE160" s="562"/>
      <c r="AF160" s="562"/>
      <c r="AG160" s="562"/>
      <c r="AH160" s="562"/>
      <c r="AI160" s="562"/>
      <c r="AJ160" s="562"/>
      <c r="AK160" s="562"/>
      <c r="AL160" s="562"/>
      <c r="AM160" s="562"/>
      <c r="AN160" s="562"/>
      <c r="AO160" s="562"/>
      <c r="AP160" s="562"/>
      <c r="AQ160" s="562"/>
      <c r="AR160" s="562"/>
      <c r="AS160" s="562"/>
    </row>
    <row r="161" spans="1:45" ht="16" thickBot="1" x14ac:dyDescent="0.25">
      <c r="A161" s="541">
        <v>5</v>
      </c>
      <c r="B161" s="544" t="s">
        <v>2304</v>
      </c>
      <c r="C161" s="544"/>
      <c r="D161" s="544"/>
      <c r="E161" s="544"/>
      <c r="F161" s="544"/>
      <c r="G161" s="545"/>
      <c r="H161" s="545"/>
      <c r="I161" s="72"/>
      <c r="J161" s="72"/>
      <c r="K161" s="72"/>
      <c r="L161" s="822"/>
      <c r="M161" s="677"/>
      <c r="N161" s="674"/>
      <c r="O161" s="674"/>
      <c r="P161" s="68"/>
      <c r="Q161" s="68"/>
      <c r="R161" s="68"/>
      <c r="S161" s="68"/>
      <c r="T161" s="68"/>
      <c r="U161" s="68"/>
      <c r="V161" s="68"/>
      <c r="W161" s="68"/>
      <c r="X161" s="81"/>
      <c r="Y161" s="191"/>
      <c r="Z161" s="454"/>
      <c r="AA161" s="562"/>
      <c r="AB161" s="562"/>
      <c r="AC161" s="562"/>
      <c r="AD161" s="562"/>
      <c r="AE161" s="562"/>
      <c r="AF161" s="562"/>
      <c r="AG161" s="562"/>
      <c r="AH161" s="562"/>
      <c r="AI161" s="562"/>
      <c r="AJ161" s="562"/>
      <c r="AK161" s="562"/>
      <c r="AL161" s="562"/>
      <c r="AM161" s="562"/>
      <c r="AN161" s="562"/>
      <c r="AO161" s="562"/>
      <c r="AP161" s="562"/>
      <c r="AQ161" s="562"/>
      <c r="AR161" s="562"/>
      <c r="AS161" s="562"/>
    </row>
    <row r="162" spans="1:45" ht="16" thickTop="1" x14ac:dyDescent="0.2">
      <c r="A162" s="541">
        <v>5</v>
      </c>
      <c r="B162" s="544" t="s">
        <v>2308</v>
      </c>
      <c r="C162" s="544"/>
      <c r="D162" s="544"/>
      <c r="E162" s="544"/>
      <c r="F162" s="544"/>
      <c r="G162" s="543" t="str">
        <f>IF(N162&gt;0,"P","")</f>
        <v/>
      </c>
      <c r="H162" s="545" t="s">
        <v>3751</v>
      </c>
      <c r="I162" s="83" t="s">
        <v>2309</v>
      </c>
      <c r="J162" s="76"/>
      <c r="K162" s="76"/>
      <c r="L162" s="819" t="s">
        <v>2310</v>
      </c>
      <c r="M162" s="991">
        <v>4</v>
      </c>
      <c r="N162" s="981">
        <f>'Ch5'!O163</f>
        <v>0</v>
      </c>
      <c r="O162" s="981">
        <f>M162*W162*S162</f>
        <v>0</v>
      </c>
      <c r="P162" s="562" t="b">
        <v>1</v>
      </c>
      <c r="Q162" s="562" t="b">
        <v>1</v>
      </c>
      <c r="R162" s="74" t="b">
        <v>0</v>
      </c>
      <c r="S162" s="74" t="b">
        <f>IF((O76+O78+O85)&gt;0,TRUE,FALSE)</f>
        <v>0</v>
      </c>
      <c r="T162" s="64" t="b">
        <f>IF(AND(NOT(S162),W162=TRUE),TRUE,FALSE)</f>
        <v>0</v>
      </c>
      <c r="U162" s="74"/>
      <c r="V162" s="74"/>
      <c r="W162" s="18"/>
      <c r="X162" s="802"/>
      <c r="Y162" s="975" t="str">
        <f>IF(LEN('Ch5'!X163)=0,"None",'Ch5'!X163)</f>
        <v>None</v>
      </c>
      <c r="Z162" s="976"/>
      <c r="AA162" s="562"/>
      <c r="AB162" s="562"/>
      <c r="AC162" s="562" t="b">
        <f>OR(AD162:AE162)</f>
        <v>0</v>
      </c>
      <c r="AD162" s="562" t="b">
        <f>T162</f>
        <v>0</v>
      </c>
      <c r="AE162" s="562"/>
      <c r="AF162" s="562"/>
      <c r="AG162" s="562"/>
      <c r="AH162" s="562"/>
      <c r="AI162" s="562"/>
      <c r="AJ162" s="562"/>
      <c r="AK162" s="562"/>
      <c r="AL162" s="190" t="str">
        <f>SUBSTITUTE(SUBSTITUTE(SUBSTITUTE("vpa"&amp;$B162&amp;$C162&amp;$D162&amp;$E162&amp;$F162,".","_"),"(","_"),")","")</f>
        <v>vpa504_1</v>
      </c>
      <c r="AM162" s="190">
        <f>M162</f>
        <v>4</v>
      </c>
      <c r="AN162" s="190" t="str">
        <f>SUBSTITUTE(SUBSTITUTE(SUBSTITUTE("vpc"&amp;$B162&amp;$C162&amp;$D162&amp;$E162&amp;$F162,".","_"),"(","_"),")","")</f>
        <v>vpc504_1</v>
      </c>
      <c r="AO162" s="190">
        <f>O162</f>
        <v>0</v>
      </c>
      <c r="AP162" s="190" t="str">
        <f>SUBSTITUTE(SUBSTITUTE(SUBSTITUTE("vch"&amp;$B162&amp;$C162&amp;$D162&amp;$E162&amp;$F162,".","_"),"(","_"),")","")</f>
        <v>vch504_1</v>
      </c>
      <c r="AQ162" s="190">
        <f>W162</f>
        <v>0</v>
      </c>
      <c r="AR162" s="190" t="str">
        <f>SUBSTITUTE(SUBSTITUTE(SUBSTITUTE("vnt"&amp;$B162&amp;$C162&amp;$D162&amp;$E162&amp;$F162,".","_"),"(","_"),")","")</f>
        <v>vnt504_1</v>
      </c>
      <c r="AS162" s="190">
        <f>X162</f>
        <v>0</v>
      </c>
    </row>
    <row r="163" spans="1:45" x14ac:dyDescent="0.2">
      <c r="A163" s="541">
        <v>5</v>
      </c>
      <c r="B163" s="544" t="s">
        <v>2308</v>
      </c>
      <c r="C163" s="544"/>
      <c r="D163" s="544"/>
      <c r="E163" s="544"/>
      <c r="F163" s="544"/>
      <c r="G163" s="543" t="str">
        <f t="shared" ref="G163:G166" si="43">G162</f>
        <v/>
      </c>
      <c r="H163" s="545" t="s">
        <v>3751</v>
      </c>
      <c r="I163" s="71"/>
      <c r="J163" s="71"/>
      <c r="K163" s="71"/>
      <c r="L163" s="820"/>
      <c r="M163" s="992"/>
      <c r="N163" s="924"/>
      <c r="O163" s="924"/>
      <c r="P163" s="64"/>
      <c r="Q163" s="64"/>
      <c r="R163" s="64"/>
      <c r="S163" s="64"/>
      <c r="T163" s="64"/>
      <c r="U163" s="64"/>
      <c r="V163" s="64"/>
      <c r="W163" s="64"/>
      <c r="X163" s="798"/>
      <c r="Y163" s="977"/>
      <c r="Z163" s="978"/>
      <c r="AA163" s="562"/>
      <c r="AB163" s="562"/>
      <c r="AC163" s="562"/>
      <c r="AD163" s="562"/>
      <c r="AE163" s="562"/>
      <c r="AF163" s="562"/>
      <c r="AG163" s="562"/>
      <c r="AH163" s="562"/>
      <c r="AI163" s="562"/>
      <c r="AJ163" s="562"/>
      <c r="AK163" s="562"/>
      <c r="AL163" s="562"/>
      <c r="AM163" s="562"/>
      <c r="AN163" s="562"/>
      <c r="AO163" s="562"/>
      <c r="AP163" s="562"/>
      <c r="AQ163" s="562"/>
      <c r="AR163" s="562"/>
      <c r="AS163" s="562"/>
    </row>
    <row r="164" spans="1:45" x14ac:dyDescent="0.2">
      <c r="A164" s="541">
        <v>5</v>
      </c>
      <c r="B164" s="544" t="s">
        <v>2308</v>
      </c>
      <c r="C164" s="544"/>
      <c r="D164" s="544"/>
      <c r="E164" s="544"/>
      <c r="F164" s="544"/>
      <c r="G164" s="543" t="str">
        <f t="shared" si="43"/>
        <v/>
      </c>
      <c r="H164" s="545" t="s">
        <v>3751</v>
      </c>
      <c r="I164" s="71"/>
      <c r="J164" s="71"/>
      <c r="K164" s="71"/>
      <c r="L164" s="820"/>
      <c r="M164" s="992"/>
      <c r="N164" s="924"/>
      <c r="O164" s="924"/>
      <c r="P164" s="64"/>
      <c r="Q164" s="64"/>
      <c r="R164" s="64"/>
      <c r="S164" s="64"/>
      <c r="T164" s="64"/>
      <c r="U164" s="64"/>
      <c r="V164" s="64"/>
      <c r="W164" s="64"/>
      <c r="X164" s="798"/>
      <c r="Y164" s="977"/>
      <c r="Z164" s="978"/>
      <c r="AA164" s="562"/>
      <c r="AB164" s="562"/>
      <c r="AC164" s="562"/>
      <c r="AD164" s="562"/>
      <c r="AE164" s="562"/>
      <c r="AF164" s="562"/>
      <c r="AG164" s="562"/>
      <c r="AH164" s="562"/>
      <c r="AI164" s="562"/>
      <c r="AJ164" s="562"/>
      <c r="AK164" s="562"/>
      <c r="AL164" s="562"/>
      <c r="AM164" s="562"/>
      <c r="AN164" s="562"/>
      <c r="AO164" s="562"/>
      <c r="AP164" s="562"/>
      <c r="AQ164" s="562"/>
      <c r="AR164" s="562"/>
      <c r="AS164" s="562"/>
    </row>
    <row r="165" spans="1:45" x14ac:dyDescent="0.2">
      <c r="A165" s="541">
        <v>5</v>
      </c>
      <c r="B165" s="544" t="s">
        <v>2308</v>
      </c>
      <c r="C165" s="544"/>
      <c r="D165" s="544"/>
      <c r="E165" s="544"/>
      <c r="F165" s="544"/>
      <c r="G165" s="543" t="str">
        <f t="shared" si="43"/>
        <v/>
      </c>
      <c r="H165" s="545" t="s">
        <v>3751</v>
      </c>
      <c r="I165" s="71"/>
      <c r="J165" s="71"/>
      <c r="K165" s="71"/>
      <c r="L165" s="820"/>
      <c r="M165" s="992"/>
      <c r="N165" s="924"/>
      <c r="O165" s="924"/>
      <c r="P165" s="64"/>
      <c r="Q165" s="64"/>
      <c r="R165" s="64"/>
      <c r="S165" s="64"/>
      <c r="T165" s="64"/>
      <c r="U165" s="64"/>
      <c r="V165" s="64"/>
      <c r="W165" s="64"/>
      <c r="X165" s="798"/>
      <c r="Y165" s="977"/>
      <c r="Z165" s="978"/>
      <c r="AA165" s="562"/>
      <c r="AB165" s="562"/>
      <c r="AC165" s="562"/>
      <c r="AD165" s="562"/>
      <c r="AE165" s="562"/>
      <c r="AF165" s="562"/>
      <c r="AG165" s="562"/>
      <c r="AH165" s="562"/>
      <c r="AI165" s="562"/>
      <c r="AJ165" s="562"/>
      <c r="AK165" s="562"/>
      <c r="AL165" s="562"/>
      <c r="AM165" s="562"/>
      <c r="AN165" s="562"/>
      <c r="AO165" s="562"/>
      <c r="AP165" s="562"/>
      <c r="AQ165" s="562"/>
      <c r="AR165" s="562"/>
      <c r="AS165" s="562"/>
    </row>
    <row r="166" spans="1:45" ht="16" thickBot="1" x14ac:dyDescent="0.25">
      <c r="A166" s="541">
        <v>5</v>
      </c>
      <c r="B166" s="544" t="s">
        <v>2308</v>
      </c>
      <c r="C166" s="544"/>
      <c r="D166" s="544"/>
      <c r="E166" s="544"/>
      <c r="F166" s="544"/>
      <c r="G166" s="543" t="str">
        <f t="shared" si="43"/>
        <v/>
      </c>
      <c r="H166" s="545" t="s">
        <v>3751</v>
      </c>
      <c r="I166" s="72"/>
      <c r="J166" s="72"/>
      <c r="K166" s="72"/>
      <c r="L166" s="449" t="s">
        <v>2311</v>
      </c>
      <c r="M166" s="993"/>
      <c r="N166" s="982"/>
      <c r="O166" s="982"/>
      <c r="P166" s="68"/>
      <c r="Q166" s="68"/>
      <c r="R166" s="68"/>
      <c r="S166" s="68"/>
      <c r="T166" s="68"/>
      <c r="U166" s="68"/>
      <c r="V166" s="68"/>
      <c r="W166" s="68"/>
      <c r="X166" s="799"/>
      <c r="Y166" s="979"/>
      <c r="Z166" s="1007"/>
      <c r="AA166" s="562"/>
      <c r="AB166" s="562"/>
      <c r="AC166" s="562"/>
      <c r="AD166" s="562"/>
      <c r="AE166" s="562"/>
      <c r="AF166" s="562"/>
      <c r="AG166" s="562"/>
      <c r="AH166" s="562"/>
      <c r="AI166" s="562"/>
      <c r="AJ166" s="562"/>
      <c r="AK166" s="562"/>
      <c r="AL166" s="562"/>
      <c r="AM166" s="562"/>
      <c r="AN166" s="562"/>
      <c r="AO166" s="562"/>
      <c r="AP166" s="562"/>
      <c r="AQ166" s="562"/>
      <c r="AR166" s="562"/>
      <c r="AS166" s="562"/>
    </row>
    <row r="167" spans="1:45" ht="16" thickTop="1" x14ac:dyDescent="0.2">
      <c r="A167" s="541">
        <v>5</v>
      </c>
      <c r="B167" s="544" t="s">
        <v>2312</v>
      </c>
      <c r="C167" s="544"/>
      <c r="D167" s="544"/>
      <c r="E167" s="544"/>
      <c r="F167" s="544"/>
      <c r="G167" s="539" t="str">
        <f>IF(COUNTIF(G169:G172,"P")&gt;0,"P","")</f>
        <v/>
      </c>
      <c r="H167" s="545" t="s">
        <v>3757</v>
      </c>
      <c r="I167" s="57" t="s">
        <v>2313</v>
      </c>
      <c r="J167" s="60"/>
      <c r="K167" s="60"/>
      <c r="L167" s="775" t="s">
        <v>2314</v>
      </c>
      <c r="M167" s="678"/>
      <c r="N167" s="648"/>
      <c r="O167" s="648"/>
      <c r="P167" s="562"/>
      <c r="Q167" s="562"/>
      <c r="R167" s="562"/>
      <c r="S167" s="562"/>
      <c r="T167" s="562"/>
      <c r="U167" s="562"/>
      <c r="V167" s="562"/>
      <c r="W167" s="562"/>
      <c r="X167" s="786"/>
      <c r="Y167" s="975" t="str">
        <f>IF(LEN('Ch5'!X168)=0,"None",'Ch5'!X168)</f>
        <v>None</v>
      </c>
      <c r="Z167" s="976"/>
      <c r="AA167" s="562"/>
      <c r="AB167" s="562"/>
      <c r="AC167" s="562"/>
      <c r="AD167" s="562"/>
      <c r="AE167" s="562"/>
      <c r="AF167" s="562"/>
      <c r="AG167" s="562"/>
      <c r="AH167" s="562"/>
      <c r="AI167" s="562"/>
      <c r="AJ167" s="562"/>
      <c r="AK167" s="562"/>
      <c r="AL167" s="562"/>
      <c r="AM167" s="562"/>
      <c r="AN167" s="562"/>
      <c r="AO167" s="562"/>
      <c r="AP167" s="562"/>
      <c r="AQ167" s="562"/>
      <c r="AR167" s="190" t="str">
        <f>SUBSTITUTE(SUBSTITUTE(SUBSTITUTE("vnt"&amp;$B167&amp;$C167&amp;$D167&amp;$E167&amp;$F167,".","_"),"(","_"),")","")</f>
        <v>vnt504_2</v>
      </c>
      <c r="AS167" s="190">
        <f>X167</f>
        <v>0</v>
      </c>
    </row>
    <row r="168" spans="1:45" x14ac:dyDescent="0.2">
      <c r="A168" s="541">
        <v>5</v>
      </c>
      <c r="B168" s="544" t="s">
        <v>2312</v>
      </c>
      <c r="C168" s="544"/>
      <c r="D168" s="544"/>
      <c r="E168" s="544"/>
      <c r="F168" s="544"/>
      <c r="G168" s="543" t="str">
        <f t="shared" ref="G168" si="44">G167</f>
        <v/>
      </c>
      <c r="H168" s="545" t="s">
        <v>3757</v>
      </c>
      <c r="I168" s="60"/>
      <c r="J168" s="60"/>
      <c r="K168" s="60"/>
      <c r="L168" s="775"/>
      <c r="M168" s="678"/>
      <c r="N168" s="648"/>
      <c r="O168" s="648"/>
      <c r="P168" s="562"/>
      <c r="Q168" s="562"/>
      <c r="R168" s="562"/>
      <c r="S168" s="562"/>
      <c r="T168" s="562"/>
      <c r="U168" s="562"/>
      <c r="V168" s="562"/>
      <c r="W168" s="562"/>
      <c r="X168" s="798"/>
      <c r="Y168" s="977"/>
      <c r="Z168" s="978"/>
      <c r="AA168" s="562"/>
      <c r="AB168" s="562"/>
      <c r="AC168" s="562"/>
      <c r="AD168" s="562"/>
      <c r="AE168" s="562"/>
      <c r="AF168" s="562"/>
      <c r="AG168" s="562"/>
      <c r="AH168" s="562"/>
      <c r="AI168" s="562"/>
      <c r="AJ168" s="562"/>
      <c r="AK168" s="562"/>
      <c r="AL168" s="562"/>
      <c r="AM168" s="562"/>
      <c r="AN168" s="562"/>
      <c r="AO168" s="562"/>
      <c r="AP168" s="562"/>
      <c r="AQ168" s="562"/>
      <c r="AR168" s="562"/>
      <c r="AS168" s="562"/>
    </row>
    <row r="169" spans="1:45" x14ac:dyDescent="0.2">
      <c r="A169" s="541">
        <v>5</v>
      </c>
      <c r="B169" s="544" t="s">
        <v>2312</v>
      </c>
      <c r="C169" s="544"/>
      <c r="D169" s="544"/>
      <c r="E169" s="544" t="s">
        <v>2181</v>
      </c>
      <c r="F169" s="544"/>
      <c r="G169" s="543" t="str">
        <f>IF(N169&gt;0,"P","")</f>
        <v/>
      </c>
      <c r="H169" s="545" t="s">
        <v>3757</v>
      </c>
      <c r="I169" s="60"/>
      <c r="J169" s="125" t="s">
        <v>2181</v>
      </c>
      <c r="K169" s="128"/>
      <c r="L169" s="126" t="s">
        <v>2315</v>
      </c>
      <c r="M169" s="679">
        <v>3</v>
      </c>
      <c r="N169" s="669">
        <f>'Ch5'!O170</f>
        <v>0</v>
      </c>
      <c r="O169" s="669">
        <f>M169*W169</f>
        <v>0</v>
      </c>
      <c r="P169" s="562" t="b">
        <v>1</v>
      </c>
      <c r="Q169" s="562" t="b">
        <v>0</v>
      </c>
      <c r="R169" s="562" t="b">
        <v>0</v>
      </c>
      <c r="S169" s="562" t="b">
        <v>1</v>
      </c>
      <c r="T169" s="562" t="b">
        <v>0</v>
      </c>
      <c r="U169" s="562"/>
      <c r="V169" s="562"/>
      <c r="W169" s="18"/>
      <c r="X169" s="798"/>
      <c r="Y169" s="977"/>
      <c r="Z169" s="978"/>
      <c r="AA169" s="562"/>
      <c r="AB169" s="562"/>
      <c r="AC169" s="562"/>
      <c r="AD169" s="562"/>
      <c r="AE169" s="562"/>
      <c r="AF169" s="562"/>
      <c r="AG169" s="562"/>
      <c r="AH169" s="562"/>
      <c r="AI169" s="562"/>
      <c r="AJ169" s="562"/>
      <c r="AK169" s="562"/>
      <c r="AL169" s="190" t="str">
        <f t="shared" ref="AL169:AL170" si="45">SUBSTITUTE(SUBSTITUTE(SUBSTITUTE("vpa"&amp;$B169&amp;$C169&amp;$D169&amp;$E169&amp;$F169,".","_"),"(","_"),")","")</f>
        <v>vpa504_2_1</v>
      </c>
      <c r="AM169" s="190">
        <f>M169</f>
        <v>3</v>
      </c>
      <c r="AN169" s="190" t="str">
        <f t="shared" ref="AN169:AN170" si="46">SUBSTITUTE(SUBSTITUTE(SUBSTITUTE("vpc"&amp;$B169&amp;$C169&amp;$D169&amp;$E169&amp;$F169,".","_"),"(","_"),")","")</f>
        <v>vpc504_2_1</v>
      </c>
      <c r="AO169" s="190">
        <f>O169</f>
        <v>0</v>
      </c>
      <c r="AP169" s="190" t="str">
        <f t="shared" ref="AP169:AP170" si="47">SUBSTITUTE(SUBSTITUTE(SUBSTITUTE("vch"&amp;$B169&amp;$C169&amp;$D169&amp;$E169&amp;$F169,".","_"),"(","_"),")","")</f>
        <v>vch504_2_1</v>
      </c>
      <c r="AQ169" s="190">
        <f>W169</f>
        <v>0</v>
      </c>
      <c r="AR169" s="562"/>
      <c r="AS169" s="562"/>
    </row>
    <row r="170" spans="1:45" x14ac:dyDescent="0.2">
      <c r="A170" s="541">
        <v>5</v>
      </c>
      <c r="B170" s="544" t="s">
        <v>2312</v>
      </c>
      <c r="C170" s="544"/>
      <c r="D170" s="544"/>
      <c r="E170" s="544" t="s">
        <v>2183</v>
      </c>
      <c r="F170" s="544"/>
      <c r="G170" s="543" t="str">
        <f>IF(N170&gt;0,"P","")</f>
        <v/>
      </c>
      <c r="H170" s="545" t="s">
        <v>3757</v>
      </c>
      <c r="I170" s="60"/>
      <c r="J170" s="61" t="s">
        <v>2183</v>
      </c>
      <c r="K170" s="71"/>
      <c r="L170" s="791" t="s">
        <v>2316</v>
      </c>
      <c r="M170" s="992">
        <v>5</v>
      </c>
      <c r="N170" s="923">
        <f>'Ch5'!O171</f>
        <v>0</v>
      </c>
      <c r="O170" s="924">
        <f>M170*W170</f>
        <v>0</v>
      </c>
      <c r="P170" s="562" t="b">
        <v>1</v>
      </c>
      <c r="Q170" s="562" t="b">
        <v>0</v>
      </c>
      <c r="R170" s="562" t="b">
        <v>0</v>
      </c>
      <c r="S170" s="562" t="b">
        <v>1</v>
      </c>
      <c r="T170" s="562" t="b">
        <v>0</v>
      </c>
      <c r="U170" s="562"/>
      <c r="V170" s="562"/>
      <c r="W170" s="18"/>
      <c r="X170" s="798"/>
      <c r="Y170" s="977"/>
      <c r="Z170" s="978"/>
      <c r="AA170" s="562"/>
      <c r="AB170" s="562"/>
      <c r="AC170" s="562"/>
      <c r="AD170" s="562"/>
      <c r="AE170" s="562"/>
      <c r="AF170" s="562"/>
      <c r="AG170" s="562"/>
      <c r="AH170" s="562"/>
      <c r="AI170" s="562"/>
      <c r="AJ170" s="562"/>
      <c r="AK170" s="562"/>
      <c r="AL170" s="190" t="str">
        <f t="shared" si="45"/>
        <v>vpa504_2_2</v>
      </c>
      <c r="AM170" s="190">
        <f>M170</f>
        <v>5</v>
      </c>
      <c r="AN170" s="190" t="str">
        <f t="shared" si="46"/>
        <v>vpc504_2_2</v>
      </c>
      <c r="AO170" s="190">
        <f>O170</f>
        <v>0</v>
      </c>
      <c r="AP170" s="190" t="str">
        <f t="shared" si="47"/>
        <v>vch504_2_2</v>
      </c>
      <c r="AQ170" s="190">
        <f>W170</f>
        <v>0</v>
      </c>
      <c r="AR170" s="562"/>
      <c r="AS170" s="562"/>
    </row>
    <row r="171" spans="1:45" x14ac:dyDescent="0.2">
      <c r="A171" s="541">
        <v>5</v>
      </c>
      <c r="B171" s="544" t="s">
        <v>2312</v>
      </c>
      <c r="C171" s="544"/>
      <c r="D171" s="544"/>
      <c r="E171" s="544" t="s">
        <v>2183</v>
      </c>
      <c r="F171" s="544"/>
      <c r="G171" s="543" t="str">
        <f>G170</f>
        <v/>
      </c>
      <c r="H171" s="545" t="s">
        <v>3757</v>
      </c>
      <c r="I171" s="60"/>
      <c r="J171" s="125"/>
      <c r="K171" s="128"/>
      <c r="L171" s="792"/>
      <c r="M171" s="995"/>
      <c r="N171" s="942"/>
      <c r="O171" s="942"/>
      <c r="P171" s="562"/>
      <c r="Q171" s="562"/>
      <c r="R171" s="562"/>
      <c r="S171" s="562"/>
      <c r="T171" s="562"/>
      <c r="U171" s="562"/>
      <c r="V171" s="562"/>
      <c r="W171" s="562"/>
      <c r="X171" s="798"/>
      <c r="Y171" s="977"/>
      <c r="Z171" s="978"/>
      <c r="AA171" s="562"/>
      <c r="AB171" s="562"/>
      <c r="AC171" s="562"/>
      <c r="AD171" s="562"/>
      <c r="AE171" s="562"/>
      <c r="AF171" s="562"/>
      <c r="AG171" s="562"/>
      <c r="AH171" s="562"/>
      <c r="AI171" s="562"/>
      <c r="AJ171" s="562"/>
      <c r="AK171" s="562"/>
      <c r="AL171" s="562"/>
      <c r="AM171" s="562"/>
      <c r="AN171" s="562"/>
      <c r="AO171" s="562"/>
      <c r="AP171" s="562"/>
      <c r="AQ171" s="562"/>
      <c r="AR171" s="562"/>
      <c r="AS171" s="562"/>
    </row>
    <row r="172" spans="1:45" x14ac:dyDescent="0.2">
      <c r="A172" s="541">
        <v>5</v>
      </c>
      <c r="B172" s="544" t="s">
        <v>2312</v>
      </c>
      <c r="C172" s="544"/>
      <c r="D172" s="544"/>
      <c r="E172" s="544" t="s">
        <v>2185</v>
      </c>
      <c r="F172" s="544"/>
      <c r="G172" s="543" t="str">
        <f>IF(N172&gt;0,"P","")</f>
        <v/>
      </c>
      <c r="H172" s="545" t="s">
        <v>3757</v>
      </c>
      <c r="I172" s="71"/>
      <c r="J172" s="61" t="s">
        <v>2185</v>
      </c>
      <c r="K172" s="71"/>
      <c r="L172" s="791" t="s">
        <v>2317</v>
      </c>
      <c r="M172" s="992">
        <v>4</v>
      </c>
      <c r="N172" s="923">
        <f>'Ch5'!O173</f>
        <v>0</v>
      </c>
      <c r="O172" s="887">
        <f>M172*W172</f>
        <v>0</v>
      </c>
      <c r="P172" s="562" t="b">
        <v>1</v>
      </c>
      <c r="Q172" s="562" t="b">
        <v>0</v>
      </c>
      <c r="R172" s="64" t="b">
        <v>0</v>
      </c>
      <c r="S172" s="64" t="b">
        <v>1</v>
      </c>
      <c r="T172" s="64" t="b">
        <v>0</v>
      </c>
      <c r="U172" s="64"/>
      <c r="V172" s="64"/>
      <c r="W172" s="18"/>
      <c r="X172" s="798"/>
      <c r="Y172" s="977"/>
      <c r="Z172" s="978"/>
      <c r="AA172" s="562"/>
      <c r="AB172" s="562"/>
      <c r="AC172" s="562"/>
      <c r="AD172" s="562"/>
      <c r="AE172" s="562"/>
      <c r="AF172" s="562"/>
      <c r="AG172" s="562"/>
      <c r="AH172" s="562"/>
      <c r="AI172" s="562"/>
      <c r="AJ172" s="562"/>
      <c r="AK172" s="562"/>
      <c r="AL172" s="190" t="str">
        <f>SUBSTITUTE(SUBSTITUTE(SUBSTITUTE("vpa"&amp;$B172&amp;$C172&amp;$D172&amp;$E172&amp;$F172,".","_"),"(","_"),")","")</f>
        <v>vpa504_2_3</v>
      </c>
      <c r="AM172" s="190">
        <f>M172</f>
        <v>4</v>
      </c>
      <c r="AN172" s="190" t="str">
        <f>SUBSTITUTE(SUBSTITUTE(SUBSTITUTE("vpc"&amp;$B172&amp;$C172&amp;$D172&amp;$E172&amp;$F172,".","_"),"(","_"),")","")</f>
        <v>vpc504_2_3</v>
      </c>
      <c r="AO172" s="190">
        <f>O172</f>
        <v>0</v>
      </c>
      <c r="AP172" s="190" t="str">
        <f>SUBSTITUTE(SUBSTITUTE(SUBSTITUTE("vch"&amp;$B172&amp;$C172&amp;$D172&amp;$E172&amp;$F172,".","_"),"(","_"),")","")</f>
        <v>vch504_2_3</v>
      </c>
      <c r="AQ172" s="190">
        <f>W172</f>
        <v>0</v>
      </c>
      <c r="AR172" s="562"/>
      <c r="AS172" s="562"/>
    </row>
    <row r="173" spans="1:45" ht="16" thickBot="1" x14ac:dyDescent="0.25">
      <c r="A173" s="541">
        <v>5</v>
      </c>
      <c r="B173" s="544" t="s">
        <v>2312</v>
      </c>
      <c r="C173" s="544"/>
      <c r="D173" s="544"/>
      <c r="E173" s="544" t="s">
        <v>2185</v>
      </c>
      <c r="F173" s="544"/>
      <c r="G173" s="543" t="str">
        <f>G172</f>
        <v/>
      </c>
      <c r="H173" s="545" t="s">
        <v>3757</v>
      </c>
      <c r="I173" s="72"/>
      <c r="J173" s="72"/>
      <c r="K173" s="72"/>
      <c r="L173" s="818"/>
      <c r="M173" s="993"/>
      <c r="N173" s="982"/>
      <c r="O173" s="982"/>
      <c r="P173" s="68"/>
      <c r="Q173" s="68"/>
      <c r="R173" s="68"/>
      <c r="S173" s="68"/>
      <c r="T173" s="68"/>
      <c r="U173" s="68"/>
      <c r="V173" s="68"/>
      <c r="W173" s="68"/>
      <c r="X173" s="799"/>
      <c r="Y173" s="979"/>
      <c r="Z173" s="1007"/>
      <c r="AA173" s="562"/>
      <c r="AB173" s="562"/>
      <c r="AC173" s="562"/>
      <c r="AD173" s="562"/>
      <c r="AE173" s="562"/>
      <c r="AF173" s="562"/>
      <c r="AG173" s="562"/>
      <c r="AH173" s="562"/>
      <c r="AI173" s="562"/>
      <c r="AJ173" s="562"/>
      <c r="AK173" s="562"/>
      <c r="AL173" s="562"/>
      <c r="AM173" s="562"/>
      <c r="AN173" s="562"/>
      <c r="AO173" s="562"/>
      <c r="AP173" s="562"/>
      <c r="AQ173" s="562"/>
      <c r="AR173" s="562"/>
      <c r="AS173" s="562"/>
    </row>
    <row r="174" spans="1:45" ht="16" thickTop="1" x14ac:dyDescent="0.2">
      <c r="A174" s="541">
        <v>5</v>
      </c>
      <c r="B174" s="544" t="s">
        <v>2318</v>
      </c>
      <c r="C174" s="544"/>
      <c r="D174" s="544"/>
      <c r="E174" s="544"/>
      <c r="F174" s="544"/>
      <c r="G174" s="539" t="str">
        <f>IF(COUNTIF(G177:G199,"P")&gt;0,"P","")</f>
        <v/>
      </c>
      <c r="H174" s="545" t="s">
        <v>3751</v>
      </c>
      <c r="I174" s="57" t="s">
        <v>2319</v>
      </c>
      <c r="J174" s="60"/>
      <c r="K174" s="60"/>
      <c r="L174" s="775" t="s">
        <v>2320</v>
      </c>
      <c r="M174" s="678"/>
      <c r="N174" s="648"/>
      <c r="O174" s="648"/>
      <c r="P174" s="562"/>
      <c r="Q174" s="562"/>
      <c r="R174" s="562"/>
      <c r="S174" s="562"/>
      <c r="T174" s="562"/>
      <c r="U174" s="562"/>
      <c r="V174" s="562"/>
      <c r="W174" s="562"/>
      <c r="X174" s="786"/>
      <c r="Y174" s="975" t="str">
        <f>IF(LEN('Ch5'!X175)=0,"None",'Ch5'!X175)</f>
        <v>None</v>
      </c>
      <c r="Z174" s="976"/>
      <c r="AA174" s="562"/>
      <c r="AB174" s="562"/>
      <c r="AC174" s="562"/>
      <c r="AD174" s="562"/>
      <c r="AE174" s="562"/>
      <c r="AF174" s="562"/>
      <c r="AG174" s="562"/>
      <c r="AH174" s="562"/>
      <c r="AI174" s="562"/>
      <c r="AJ174" s="562"/>
      <c r="AK174" s="562"/>
      <c r="AL174" s="562"/>
      <c r="AM174" s="562"/>
      <c r="AN174" s="562"/>
      <c r="AO174" s="562"/>
      <c r="AP174" s="562"/>
      <c r="AQ174" s="562"/>
      <c r="AR174" s="190" t="str">
        <f>SUBSTITUTE(SUBSTITUTE(SUBSTITUTE("vnt"&amp;$B174&amp;$C174&amp;$D174&amp;$E174&amp;$F174,".","_"),"(","_"),")","")</f>
        <v>vnt504_3</v>
      </c>
      <c r="AS174" s="190">
        <f>X174</f>
        <v>0</v>
      </c>
    </row>
    <row r="175" spans="1:45" x14ac:dyDescent="0.2">
      <c r="A175" s="541">
        <v>5</v>
      </c>
      <c r="B175" s="544" t="s">
        <v>2318</v>
      </c>
      <c r="C175" s="544"/>
      <c r="D175" s="544"/>
      <c r="E175" s="544"/>
      <c r="F175" s="544"/>
      <c r="G175" s="543" t="str">
        <f t="shared" ref="G175:G176" si="48">G174</f>
        <v/>
      </c>
      <c r="H175" s="545" t="s">
        <v>3751</v>
      </c>
      <c r="I175" s="60"/>
      <c r="J175" s="60"/>
      <c r="K175" s="60"/>
      <c r="L175" s="775"/>
      <c r="M175" s="678"/>
      <c r="N175" s="648"/>
      <c r="O175" s="648"/>
      <c r="P175" s="562"/>
      <c r="Q175" s="562"/>
      <c r="R175" s="562"/>
      <c r="S175" s="562"/>
      <c r="T175" s="562"/>
      <c r="U175" s="562"/>
      <c r="V175" s="562"/>
      <c r="W175" s="562"/>
      <c r="X175" s="787"/>
      <c r="Y175" s="980"/>
      <c r="Z175" s="983"/>
      <c r="AA175" s="562"/>
      <c r="AB175" s="562"/>
      <c r="AC175" s="562"/>
      <c r="AD175" s="562"/>
      <c r="AE175" s="562"/>
      <c r="AF175" s="562"/>
      <c r="AG175" s="562"/>
      <c r="AH175" s="562"/>
      <c r="AI175" s="562"/>
      <c r="AJ175" s="562"/>
      <c r="AK175" s="562"/>
      <c r="AL175" s="562"/>
      <c r="AM175" s="562"/>
      <c r="AN175" s="562"/>
      <c r="AO175" s="562"/>
      <c r="AP175" s="562"/>
      <c r="AQ175" s="562"/>
      <c r="AR175" s="562"/>
      <c r="AS175" s="562"/>
    </row>
    <row r="176" spans="1:45" x14ac:dyDescent="0.2">
      <c r="A176" s="541">
        <v>5</v>
      </c>
      <c r="B176" s="544" t="s">
        <v>2318</v>
      </c>
      <c r="C176" s="544"/>
      <c r="D176" s="544"/>
      <c r="E176" s="544"/>
      <c r="F176" s="544"/>
      <c r="G176" s="543" t="str">
        <f t="shared" si="48"/>
        <v/>
      </c>
      <c r="H176" s="545" t="s">
        <v>3751</v>
      </c>
      <c r="I176" s="60"/>
      <c r="J176" s="60"/>
      <c r="K176" s="60"/>
      <c r="L176" s="775"/>
      <c r="M176" s="678"/>
      <c r="N176" s="648"/>
      <c r="O176" s="648"/>
      <c r="P176" s="562"/>
      <c r="Q176" s="562"/>
      <c r="R176" s="562"/>
      <c r="S176" s="562"/>
      <c r="T176" s="562"/>
      <c r="U176" s="562"/>
      <c r="V176" s="562"/>
      <c r="W176" s="562"/>
      <c r="X176" s="787"/>
      <c r="Y176" s="980"/>
      <c r="Z176" s="983"/>
      <c r="AA176" s="562"/>
      <c r="AB176" s="562"/>
      <c r="AC176" s="562"/>
      <c r="AD176" s="562"/>
      <c r="AE176" s="562"/>
      <c r="AF176" s="562"/>
      <c r="AG176" s="562"/>
      <c r="AH176" s="562"/>
      <c r="AI176" s="562"/>
      <c r="AJ176" s="562"/>
      <c r="AK176" s="562"/>
      <c r="AL176" s="562"/>
      <c r="AM176" s="562"/>
      <c r="AN176" s="562"/>
      <c r="AO176" s="562"/>
      <c r="AP176" s="562"/>
      <c r="AQ176" s="562"/>
      <c r="AR176" s="562"/>
      <c r="AS176" s="562"/>
    </row>
    <row r="177" spans="1:45" x14ac:dyDescent="0.2">
      <c r="A177" s="541">
        <v>5</v>
      </c>
      <c r="B177" s="544" t="s">
        <v>2318</v>
      </c>
      <c r="C177" s="544"/>
      <c r="D177" s="544"/>
      <c r="E177" s="544" t="s">
        <v>2181</v>
      </c>
      <c r="F177" s="544"/>
      <c r="G177" s="543" t="str">
        <f>IF(N177&gt;0,"P","")</f>
        <v/>
      </c>
      <c r="H177" s="545" t="s">
        <v>3757</v>
      </c>
      <c r="I177" s="60"/>
      <c r="J177" s="61" t="s">
        <v>2181</v>
      </c>
      <c r="K177" s="71"/>
      <c r="L177" s="791" t="s">
        <v>2321</v>
      </c>
      <c r="M177" s="992">
        <v>5</v>
      </c>
      <c r="N177" s="924">
        <f>'Ch5'!O178</f>
        <v>0</v>
      </c>
      <c r="O177" s="924">
        <f>M177*W177</f>
        <v>0</v>
      </c>
      <c r="P177" s="562" t="b">
        <v>1</v>
      </c>
      <c r="Q177" s="562" t="b">
        <v>0</v>
      </c>
      <c r="R177" s="562" t="b">
        <v>0</v>
      </c>
      <c r="S177" s="562" t="b">
        <v>1</v>
      </c>
      <c r="T177" s="562" t="b">
        <v>0</v>
      </c>
      <c r="U177" s="562"/>
      <c r="V177" s="562"/>
      <c r="W177" s="18"/>
      <c r="X177" s="787"/>
      <c r="Y177" s="980" t="str">
        <f>IF(LEN('Ch5'!X178)=0,"None",'Ch5'!X178)</f>
        <v>None</v>
      </c>
      <c r="Z177" s="983"/>
      <c r="AA177" s="562">
        <f>'Photo Review'!H177</f>
        <v>0</v>
      </c>
      <c r="AB177" s="562"/>
      <c r="AC177" s="562"/>
      <c r="AD177" s="562"/>
      <c r="AE177" s="562"/>
      <c r="AF177" s="562"/>
      <c r="AG177" s="562"/>
      <c r="AH177" s="562"/>
      <c r="AI177" s="562"/>
      <c r="AJ177" s="562"/>
      <c r="AK177" s="562"/>
      <c r="AL177" s="190" t="str">
        <f>SUBSTITUTE(SUBSTITUTE(SUBSTITUTE("vpa"&amp;$B177&amp;$C177&amp;$D177&amp;$E177&amp;$F177,".","_"),"(","_"),")","")</f>
        <v>vpa504_3_1</v>
      </c>
      <c r="AM177" s="190">
        <f>M177</f>
        <v>5</v>
      </c>
      <c r="AN177" s="190" t="str">
        <f>SUBSTITUTE(SUBSTITUTE(SUBSTITUTE("vpc"&amp;$B177&amp;$C177&amp;$D177&amp;$E177&amp;$F177,".","_"),"(","_"),")","")</f>
        <v>vpc504_3_1</v>
      </c>
      <c r="AO177" s="190">
        <f>O177</f>
        <v>0</v>
      </c>
      <c r="AP177" s="190" t="str">
        <f>SUBSTITUTE(SUBSTITUTE(SUBSTITUTE("vch"&amp;$B177&amp;$C177&amp;$D177&amp;$E177&amp;$F177,".","_"),"(","_"),")","")</f>
        <v>vch504_3_1</v>
      </c>
      <c r="AQ177" s="190">
        <f>W177</f>
        <v>0</v>
      </c>
      <c r="AR177" s="190" t="str">
        <f>SUBSTITUTE(SUBSTITUTE(SUBSTITUTE("vnt"&amp;$B177&amp;$C177&amp;$D177&amp;$E177&amp;$F177,".","_"),"(","_"),")","")</f>
        <v>vnt504_3_1</v>
      </c>
      <c r="AS177" s="190">
        <f>X177</f>
        <v>0</v>
      </c>
    </row>
    <row r="178" spans="1:45" x14ac:dyDescent="0.2">
      <c r="A178" s="541">
        <v>5</v>
      </c>
      <c r="B178" s="544" t="s">
        <v>2318</v>
      </c>
      <c r="C178" s="544"/>
      <c r="D178" s="544"/>
      <c r="E178" s="544" t="s">
        <v>2181</v>
      </c>
      <c r="F178" s="544"/>
      <c r="G178" s="543" t="str">
        <f>G177</f>
        <v/>
      </c>
      <c r="H178" s="545" t="s">
        <v>3757</v>
      </c>
      <c r="I178" s="60"/>
      <c r="J178" s="125"/>
      <c r="K178" s="128"/>
      <c r="L178" s="792"/>
      <c r="M178" s="995"/>
      <c r="N178" s="942"/>
      <c r="O178" s="942"/>
      <c r="P178" s="562"/>
      <c r="Q178" s="562"/>
      <c r="R178" s="562"/>
      <c r="S178" s="562"/>
      <c r="T178" s="562"/>
      <c r="U178" s="562"/>
      <c r="V178" s="562"/>
      <c r="W178" s="562"/>
      <c r="X178" s="787"/>
      <c r="Y178" s="980"/>
      <c r="Z178" s="983"/>
      <c r="AA178" s="562"/>
      <c r="AB178" s="562"/>
      <c r="AC178" s="562"/>
      <c r="AD178" s="562"/>
      <c r="AE178" s="562"/>
      <c r="AF178" s="562"/>
      <c r="AG178" s="562"/>
      <c r="AH178" s="562"/>
      <c r="AI178" s="562"/>
      <c r="AJ178" s="562"/>
      <c r="AK178" s="562"/>
      <c r="AL178" s="562"/>
      <c r="AM178" s="562"/>
      <c r="AN178" s="562"/>
      <c r="AO178" s="562"/>
      <c r="AP178" s="562"/>
      <c r="AQ178" s="562"/>
      <c r="AR178" s="562"/>
      <c r="AS178" s="562"/>
    </row>
    <row r="179" spans="1:45" ht="16" x14ac:dyDescent="0.2">
      <c r="A179" s="541">
        <v>5</v>
      </c>
      <c r="B179" s="544" t="s">
        <v>2318</v>
      </c>
      <c r="C179" s="544"/>
      <c r="D179" s="544"/>
      <c r="E179" s="544" t="s">
        <v>2183</v>
      </c>
      <c r="F179" s="544"/>
      <c r="G179" s="543" t="str">
        <f>IF(N179&gt;0,"P","")</f>
        <v/>
      </c>
      <c r="H179" s="545" t="s">
        <v>3757</v>
      </c>
      <c r="I179" s="60"/>
      <c r="J179" s="125" t="s">
        <v>2183</v>
      </c>
      <c r="K179" s="128"/>
      <c r="L179" s="126" t="s">
        <v>2322</v>
      </c>
      <c r="M179" s="679">
        <v>5</v>
      </c>
      <c r="N179" s="669">
        <f>'Ch5'!O180</f>
        <v>0</v>
      </c>
      <c r="O179" s="669">
        <f>M179*W179</f>
        <v>0</v>
      </c>
      <c r="P179" s="562" t="b">
        <v>1</v>
      </c>
      <c r="Q179" s="562" t="b">
        <v>0</v>
      </c>
      <c r="R179" s="562" t="b">
        <v>0</v>
      </c>
      <c r="S179" s="562" t="b">
        <v>1</v>
      </c>
      <c r="T179" s="562" t="b">
        <v>0</v>
      </c>
      <c r="U179" s="562"/>
      <c r="V179" s="562"/>
      <c r="W179" s="18"/>
      <c r="X179" s="563"/>
      <c r="Y179" s="578" t="str">
        <f>IF(LEN('Ch5'!X180)=0,"None",'Ch5'!X180)</f>
        <v>None</v>
      </c>
      <c r="Z179" s="579"/>
      <c r="AA179" s="562">
        <f>'Photo Review'!H179</f>
        <v>0</v>
      </c>
      <c r="AB179" s="562"/>
      <c r="AC179" s="562"/>
      <c r="AD179" s="562"/>
      <c r="AE179" s="562"/>
      <c r="AF179" s="562"/>
      <c r="AG179" s="562"/>
      <c r="AH179" s="562"/>
      <c r="AI179" s="562"/>
      <c r="AJ179" s="562"/>
      <c r="AK179" s="562"/>
      <c r="AL179" s="190" t="str">
        <f t="shared" ref="AL179:AL180" si="49">SUBSTITUTE(SUBSTITUTE(SUBSTITUTE("vpa"&amp;$B179&amp;$C179&amp;$D179&amp;$E179&amp;$F179,".","_"),"(","_"),")","")</f>
        <v>vpa504_3_2</v>
      </c>
      <c r="AM179" s="190">
        <f>M179</f>
        <v>5</v>
      </c>
      <c r="AN179" s="190" t="str">
        <f t="shared" ref="AN179:AN180" si="50">SUBSTITUTE(SUBSTITUTE(SUBSTITUTE("vpc"&amp;$B179&amp;$C179&amp;$D179&amp;$E179&amp;$F179,".","_"),"(","_"),")","")</f>
        <v>vpc504_3_2</v>
      </c>
      <c r="AO179" s="190">
        <f>O179</f>
        <v>0</v>
      </c>
      <c r="AP179" s="190" t="str">
        <f t="shared" ref="AP179:AP180" si="51">SUBSTITUTE(SUBSTITUTE(SUBSTITUTE("vch"&amp;$B179&amp;$C179&amp;$D179&amp;$E179&amp;$F179,".","_"),"(","_"),")","")</f>
        <v>vch504_3_2</v>
      </c>
      <c r="AQ179" s="190">
        <f>W179</f>
        <v>0</v>
      </c>
      <c r="AR179" s="190" t="str">
        <f t="shared" ref="AR179:AR180" si="52">SUBSTITUTE(SUBSTITUTE(SUBSTITUTE("vnt"&amp;$B179&amp;$C179&amp;$D179&amp;$E179&amp;$F179,".","_"),"(","_"),")","")</f>
        <v>vnt504_3_2</v>
      </c>
      <c r="AS179" s="190">
        <f>X179</f>
        <v>0</v>
      </c>
    </row>
    <row r="180" spans="1:45" x14ac:dyDescent="0.2">
      <c r="A180" s="541">
        <v>5</v>
      </c>
      <c r="B180" s="544" t="s">
        <v>2318</v>
      </c>
      <c r="C180" s="544"/>
      <c r="D180" s="544"/>
      <c r="E180" s="544" t="s">
        <v>2185</v>
      </c>
      <c r="F180" s="544"/>
      <c r="G180" s="543" t="str">
        <f>IF(N180&gt;0,"P","")</f>
        <v/>
      </c>
      <c r="H180" s="545" t="s">
        <v>3757</v>
      </c>
      <c r="I180" s="60"/>
      <c r="J180" s="61" t="s">
        <v>2185</v>
      </c>
      <c r="K180" s="71"/>
      <c r="L180" s="791" t="s">
        <v>2323</v>
      </c>
      <c r="M180" s="992">
        <v>5</v>
      </c>
      <c r="N180" s="923">
        <f>'Ch5'!O181</f>
        <v>0</v>
      </c>
      <c r="O180" s="924">
        <f>M180*W180</f>
        <v>0</v>
      </c>
      <c r="P180" s="562" t="b">
        <v>1</v>
      </c>
      <c r="Q180" s="562" t="b">
        <v>0</v>
      </c>
      <c r="R180" s="562" t="b">
        <v>0</v>
      </c>
      <c r="S180" s="562" t="b">
        <v>1</v>
      </c>
      <c r="T180" s="562" t="b">
        <v>0</v>
      </c>
      <c r="U180" s="562"/>
      <c r="V180" s="562"/>
      <c r="W180" s="18"/>
      <c r="X180" s="787"/>
      <c r="Y180" s="980" t="str">
        <f>IF(LEN('Ch5'!X181)=0,"None",'Ch5'!X181)</f>
        <v>None</v>
      </c>
      <c r="Z180" s="983"/>
      <c r="AA180" s="562">
        <f>'Photo Review'!H180</f>
        <v>0</v>
      </c>
      <c r="AB180" s="562"/>
      <c r="AC180" s="562"/>
      <c r="AD180" s="562"/>
      <c r="AE180" s="562"/>
      <c r="AF180" s="562"/>
      <c r="AG180" s="562"/>
      <c r="AH180" s="562"/>
      <c r="AI180" s="562"/>
      <c r="AJ180" s="562"/>
      <c r="AK180" s="562"/>
      <c r="AL180" s="190" t="str">
        <f t="shared" si="49"/>
        <v>vpa504_3_3</v>
      </c>
      <c r="AM180" s="190">
        <f>M180</f>
        <v>5</v>
      </c>
      <c r="AN180" s="190" t="str">
        <f t="shared" si="50"/>
        <v>vpc504_3_3</v>
      </c>
      <c r="AO180" s="190">
        <f>O180</f>
        <v>0</v>
      </c>
      <c r="AP180" s="190" t="str">
        <f t="shared" si="51"/>
        <v>vch504_3_3</v>
      </c>
      <c r="AQ180" s="190">
        <f>W180</f>
        <v>0</v>
      </c>
      <c r="AR180" s="190" t="str">
        <f t="shared" si="52"/>
        <v>vnt504_3_3</v>
      </c>
      <c r="AS180" s="190">
        <f>X180</f>
        <v>0</v>
      </c>
    </row>
    <row r="181" spans="1:45" x14ac:dyDescent="0.2">
      <c r="A181" s="541">
        <v>5</v>
      </c>
      <c r="B181" s="544" t="s">
        <v>2318</v>
      </c>
      <c r="C181" s="544"/>
      <c r="D181" s="544"/>
      <c r="E181" s="544" t="s">
        <v>2185</v>
      </c>
      <c r="F181" s="544"/>
      <c r="G181" s="543" t="str">
        <f>G180</f>
        <v/>
      </c>
      <c r="H181" s="545" t="s">
        <v>3757</v>
      </c>
      <c r="I181" s="60"/>
      <c r="J181" s="128"/>
      <c r="K181" s="128"/>
      <c r="L181" s="792"/>
      <c r="M181" s="995"/>
      <c r="N181" s="942"/>
      <c r="O181" s="942"/>
      <c r="P181" s="562"/>
      <c r="Q181" s="562"/>
      <c r="R181" s="562"/>
      <c r="S181" s="562"/>
      <c r="T181" s="562"/>
      <c r="U181" s="562"/>
      <c r="V181" s="562"/>
      <c r="W181" s="562"/>
      <c r="X181" s="787"/>
      <c r="Y181" s="980"/>
      <c r="Z181" s="983"/>
      <c r="AA181" s="562"/>
      <c r="AB181" s="562"/>
      <c r="AC181" s="562"/>
      <c r="AD181" s="562"/>
      <c r="AE181" s="562"/>
      <c r="AF181" s="562"/>
      <c r="AG181" s="562"/>
      <c r="AH181" s="562"/>
      <c r="AI181" s="562"/>
      <c r="AJ181" s="562"/>
      <c r="AK181" s="562"/>
      <c r="AL181" s="562"/>
      <c r="AM181" s="562"/>
      <c r="AN181" s="562"/>
      <c r="AO181" s="562"/>
      <c r="AP181" s="562"/>
      <c r="AQ181" s="562"/>
      <c r="AR181" s="562"/>
      <c r="AS181" s="562"/>
    </row>
    <row r="182" spans="1:45" x14ac:dyDescent="0.2">
      <c r="A182" s="541">
        <v>5</v>
      </c>
      <c r="B182" s="544" t="s">
        <v>2318</v>
      </c>
      <c r="C182" s="544"/>
      <c r="D182" s="544"/>
      <c r="E182" s="544" t="s">
        <v>2192</v>
      </c>
      <c r="F182" s="544"/>
      <c r="G182" s="543" t="str">
        <f>IF(N182&gt;0,"P","")</f>
        <v/>
      </c>
      <c r="H182" s="545" t="s">
        <v>3757</v>
      </c>
      <c r="I182" s="60"/>
      <c r="J182" s="61" t="s">
        <v>2192</v>
      </c>
      <c r="K182" s="71"/>
      <c r="L182" s="791" t="s">
        <v>2324</v>
      </c>
      <c r="M182" s="992">
        <v>5</v>
      </c>
      <c r="N182" s="923">
        <f>'Ch5'!O183</f>
        <v>0</v>
      </c>
      <c r="O182" s="924">
        <f>M182*W182</f>
        <v>0</v>
      </c>
      <c r="P182" s="562" t="b">
        <v>1</v>
      </c>
      <c r="Q182" s="562" t="b">
        <v>0</v>
      </c>
      <c r="R182" s="562" t="b">
        <v>0</v>
      </c>
      <c r="S182" s="562" t="b">
        <v>1</v>
      </c>
      <c r="T182" s="562" t="b">
        <v>0</v>
      </c>
      <c r="U182" s="562"/>
      <c r="V182" s="562"/>
      <c r="W182" s="18"/>
      <c r="X182" s="787"/>
      <c r="Y182" s="980" t="str">
        <f>IF(LEN('Ch5'!X183)=0,"None",'Ch5'!X183)</f>
        <v>None</v>
      </c>
      <c r="Z182" s="983"/>
      <c r="AA182" s="562"/>
      <c r="AB182" s="562"/>
      <c r="AC182" s="562"/>
      <c r="AD182" s="562"/>
      <c r="AE182" s="562"/>
      <c r="AF182" s="562"/>
      <c r="AG182" s="562"/>
      <c r="AH182" s="562"/>
      <c r="AI182" s="562"/>
      <c r="AJ182" s="562"/>
      <c r="AK182" s="562"/>
      <c r="AL182" s="190" t="str">
        <f>SUBSTITUTE(SUBSTITUTE(SUBSTITUTE("vpa"&amp;$B182&amp;$C182&amp;$D182&amp;$E182&amp;$F182,".","_"),"(","_"),")","")</f>
        <v>vpa504_3_4</v>
      </c>
      <c r="AM182" s="190">
        <f>M182</f>
        <v>5</v>
      </c>
      <c r="AN182" s="190" t="str">
        <f>SUBSTITUTE(SUBSTITUTE(SUBSTITUTE("vpc"&amp;$B182&amp;$C182&amp;$D182&amp;$E182&amp;$F182,".","_"),"(","_"),")","")</f>
        <v>vpc504_3_4</v>
      </c>
      <c r="AO182" s="190">
        <f>O182</f>
        <v>0</v>
      </c>
      <c r="AP182" s="190" t="str">
        <f>SUBSTITUTE(SUBSTITUTE(SUBSTITUTE("vch"&amp;$B182&amp;$C182&amp;$D182&amp;$E182&amp;$F182,".","_"),"(","_"),")","")</f>
        <v>vch504_3_4</v>
      </c>
      <c r="AQ182" s="190">
        <f>W182</f>
        <v>0</v>
      </c>
      <c r="AR182" s="190" t="str">
        <f>SUBSTITUTE(SUBSTITUTE(SUBSTITUTE("vnt"&amp;$B182&amp;$C182&amp;$D182&amp;$E182&amp;$F182,".","_"),"(","_"),")","")</f>
        <v>vnt504_3_4</v>
      </c>
      <c r="AS182" s="190">
        <f>X182</f>
        <v>0</v>
      </c>
    </row>
    <row r="183" spans="1:45" x14ac:dyDescent="0.2">
      <c r="A183" s="541">
        <v>5</v>
      </c>
      <c r="B183" s="544" t="s">
        <v>2318</v>
      </c>
      <c r="C183" s="544"/>
      <c r="D183" s="544"/>
      <c r="E183" s="544" t="s">
        <v>2192</v>
      </c>
      <c r="F183" s="544"/>
      <c r="G183" s="543" t="str">
        <f>G182</f>
        <v/>
      </c>
      <c r="H183" s="545" t="s">
        <v>3757</v>
      </c>
      <c r="I183" s="60"/>
      <c r="J183" s="128"/>
      <c r="K183" s="128"/>
      <c r="L183" s="792"/>
      <c r="M183" s="995"/>
      <c r="N183" s="942"/>
      <c r="O183" s="942"/>
      <c r="P183" s="562"/>
      <c r="Q183" s="562"/>
      <c r="R183" s="562"/>
      <c r="S183" s="562"/>
      <c r="T183" s="562"/>
      <c r="U183" s="562"/>
      <c r="V183" s="562"/>
      <c r="W183" s="562"/>
      <c r="X183" s="787"/>
      <c r="Y183" s="980"/>
      <c r="Z183" s="983"/>
      <c r="AA183" s="562"/>
      <c r="AB183" s="562"/>
      <c r="AC183" s="562"/>
      <c r="AD183" s="562"/>
      <c r="AE183" s="562"/>
      <c r="AF183" s="562"/>
      <c r="AG183" s="562"/>
      <c r="AH183" s="562"/>
      <c r="AI183" s="562"/>
      <c r="AJ183" s="562"/>
      <c r="AK183" s="562"/>
      <c r="AL183" s="562"/>
      <c r="AM183" s="562"/>
      <c r="AN183" s="562"/>
      <c r="AO183" s="562"/>
      <c r="AP183" s="562"/>
      <c r="AQ183" s="562"/>
      <c r="AR183" s="562"/>
      <c r="AS183" s="562"/>
    </row>
    <row r="184" spans="1:45" x14ac:dyDescent="0.2">
      <c r="A184" s="541">
        <v>5</v>
      </c>
      <c r="B184" s="544" t="s">
        <v>2318</v>
      </c>
      <c r="C184" s="544"/>
      <c r="D184" s="544"/>
      <c r="E184" s="544" t="s">
        <v>2194</v>
      </c>
      <c r="F184" s="544"/>
      <c r="G184" s="543" t="str">
        <f>IF(N184&gt;0,"P","")</f>
        <v/>
      </c>
      <c r="H184" s="545" t="s">
        <v>3757</v>
      </c>
      <c r="I184" s="60"/>
      <c r="J184" s="61" t="s">
        <v>2194</v>
      </c>
      <c r="K184" s="71"/>
      <c r="L184" s="791" t="s">
        <v>2325</v>
      </c>
      <c r="M184" s="992">
        <v>4</v>
      </c>
      <c r="N184" s="923">
        <f>'Ch5'!O185</f>
        <v>0</v>
      </c>
      <c r="O184" s="924">
        <f>M184*W184</f>
        <v>0</v>
      </c>
      <c r="P184" s="562" t="b">
        <v>1</v>
      </c>
      <c r="Q184" s="562" t="b">
        <v>0</v>
      </c>
      <c r="R184" s="562" t="b">
        <v>0</v>
      </c>
      <c r="S184" s="562" t="b">
        <v>1</v>
      </c>
      <c r="T184" s="562" t="b">
        <v>0</v>
      </c>
      <c r="U184" s="562"/>
      <c r="V184" s="562"/>
      <c r="W184" s="18"/>
      <c r="X184" s="787"/>
      <c r="Y184" s="980" t="str">
        <f>IF(LEN('Ch5'!X185)=0,"None",'Ch5'!X185)</f>
        <v>None</v>
      </c>
      <c r="Z184" s="983"/>
      <c r="AA184" s="562"/>
      <c r="AB184" s="562"/>
      <c r="AC184" s="562"/>
      <c r="AD184" s="562"/>
      <c r="AE184" s="562"/>
      <c r="AF184" s="562"/>
      <c r="AG184" s="562"/>
      <c r="AH184" s="562"/>
      <c r="AI184" s="562"/>
      <c r="AJ184" s="562"/>
      <c r="AK184" s="562"/>
      <c r="AL184" s="190" t="str">
        <f>SUBSTITUTE(SUBSTITUTE(SUBSTITUTE("vpa"&amp;$B184&amp;$C184&amp;$D184&amp;$E184&amp;$F184,".","_"),"(","_"),")","")</f>
        <v>vpa504_3_5</v>
      </c>
      <c r="AM184" s="190">
        <f>M184</f>
        <v>4</v>
      </c>
      <c r="AN184" s="190" t="str">
        <f>SUBSTITUTE(SUBSTITUTE(SUBSTITUTE("vpc"&amp;$B184&amp;$C184&amp;$D184&amp;$E184&amp;$F184,".","_"),"(","_"),")","")</f>
        <v>vpc504_3_5</v>
      </c>
      <c r="AO184" s="190">
        <f>O184</f>
        <v>0</v>
      </c>
      <c r="AP184" s="190" t="str">
        <f>SUBSTITUTE(SUBSTITUTE(SUBSTITUTE("vch"&amp;$B184&amp;$C184&amp;$D184&amp;$E184&amp;$F184,".","_"),"(","_"),")","")</f>
        <v>vch504_3_5</v>
      </c>
      <c r="AQ184" s="190">
        <f>W184</f>
        <v>0</v>
      </c>
      <c r="AR184" s="190" t="str">
        <f>SUBSTITUTE(SUBSTITUTE(SUBSTITUTE("vnt"&amp;$B184&amp;$C184&amp;$D184&amp;$E184&amp;$F184,".","_"),"(","_"),")","")</f>
        <v>vnt504_3_5</v>
      </c>
      <c r="AS184" s="190">
        <f>X184</f>
        <v>0</v>
      </c>
    </row>
    <row r="185" spans="1:45" x14ac:dyDescent="0.2">
      <c r="A185" s="541">
        <v>5</v>
      </c>
      <c r="B185" s="544" t="s">
        <v>2318</v>
      </c>
      <c r="C185" s="544"/>
      <c r="D185" s="544"/>
      <c r="E185" s="544" t="s">
        <v>2194</v>
      </c>
      <c r="F185" s="544"/>
      <c r="G185" s="543" t="str">
        <f t="shared" ref="G185:G187" si="53">G184</f>
        <v/>
      </c>
      <c r="H185" s="545" t="s">
        <v>3757</v>
      </c>
      <c r="I185" s="60"/>
      <c r="J185" s="71"/>
      <c r="K185" s="71"/>
      <c r="L185" s="791"/>
      <c r="M185" s="992"/>
      <c r="N185" s="924"/>
      <c r="O185" s="924"/>
      <c r="P185" s="562"/>
      <c r="Q185" s="562"/>
      <c r="R185" s="562"/>
      <c r="S185" s="562"/>
      <c r="T185" s="562"/>
      <c r="U185" s="562"/>
      <c r="V185" s="562"/>
      <c r="W185" s="562"/>
      <c r="X185" s="787"/>
      <c r="Y185" s="980"/>
      <c r="Z185" s="983"/>
      <c r="AA185" s="562"/>
      <c r="AB185" s="562"/>
      <c r="AC185" s="562"/>
      <c r="AD185" s="562"/>
      <c r="AE185" s="562"/>
      <c r="AF185" s="562"/>
      <c r="AG185" s="562"/>
      <c r="AH185" s="562"/>
      <c r="AI185" s="562"/>
      <c r="AJ185" s="562"/>
      <c r="AK185" s="562"/>
      <c r="AL185" s="562"/>
      <c r="AM185" s="562"/>
      <c r="AN185" s="562"/>
      <c r="AO185" s="562"/>
      <c r="AP185" s="562"/>
      <c r="AQ185" s="562"/>
      <c r="AR185" s="562"/>
      <c r="AS185" s="562"/>
    </row>
    <row r="186" spans="1:45" x14ac:dyDescent="0.2">
      <c r="A186" s="541">
        <v>5</v>
      </c>
      <c r="B186" s="544" t="s">
        <v>2318</v>
      </c>
      <c r="C186" s="544"/>
      <c r="D186" s="544"/>
      <c r="E186" s="544" t="s">
        <v>2194</v>
      </c>
      <c r="F186" s="544"/>
      <c r="G186" s="543" t="str">
        <f t="shared" si="53"/>
        <v/>
      </c>
      <c r="H186" s="545" t="s">
        <v>3757</v>
      </c>
      <c r="I186" s="60"/>
      <c r="J186" s="71"/>
      <c r="K186" s="71"/>
      <c r="L186" s="791"/>
      <c r="M186" s="992"/>
      <c r="N186" s="924"/>
      <c r="O186" s="924"/>
      <c r="P186" s="562"/>
      <c r="Q186" s="562"/>
      <c r="R186" s="562"/>
      <c r="S186" s="562"/>
      <c r="T186" s="562"/>
      <c r="U186" s="562"/>
      <c r="V186" s="562"/>
      <c r="W186" s="562"/>
      <c r="X186" s="787"/>
      <c r="Y186" s="980"/>
      <c r="Z186" s="983"/>
      <c r="AA186" s="562"/>
      <c r="AB186" s="562"/>
      <c r="AC186" s="562"/>
      <c r="AD186" s="562"/>
      <c r="AE186" s="562"/>
      <c r="AF186" s="562"/>
      <c r="AG186" s="562"/>
      <c r="AH186" s="562"/>
      <c r="AI186" s="562"/>
      <c r="AJ186" s="562"/>
      <c r="AK186" s="562"/>
      <c r="AL186" s="562"/>
      <c r="AM186" s="562"/>
      <c r="AN186" s="562"/>
      <c r="AO186" s="562"/>
      <c r="AP186" s="562"/>
      <c r="AQ186" s="562"/>
      <c r="AR186" s="562"/>
      <c r="AS186" s="562"/>
    </row>
    <row r="187" spans="1:45" x14ac:dyDescent="0.2">
      <c r="A187" s="541">
        <v>5</v>
      </c>
      <c r="B187" s="544" t="s">
        <v>2318</v>
      </c>
      <c r="C187" s="544"/>
      <c r="D187" s="544"/>
      <c r="E187" s="544" t="s">
        <v>2194</v>
      </c>
      <c r="F187" s="544"/>
      <c r="G187" s="543" t="str">
        <f t="shared" si="53"/>
        <v/>
      </c>
      <c r="H187" s="545" t="s">
        <v>3757</v>
      </c>
      <c r="I187" s="60"/>
      <c r="J187" s="128"/>
      <c r="K187" s="128"/>
      <c r="L187" s="792"/>
      <c r="M187" s="995"/>
      <c r="N187" s="942"/>
      <c r="O187" s="942"/>
      <c r="P187" s="562"/>
      <c r="Q187" s="562"/>
      <c r="R187" s="562"/>
      <c r="S187" s="562"/>
      <c r="T187" s="562"/>
      <c r="U187" s="562"/>
      <c r="V187" s="562"/>
      <c r="W187" s="562"/>
      <c r="X187" s="787"/>
      <c r="Y187" s="980"/>
      <c r="Z187" s="983"/>
      <c r="AA187" s="562"/>
      <c r="AB187" s="562"/>
      <c r="AC187" s="562"/>
      <c r="AD187" s="562"/>
      <c r="AE187" s="562"/>
      <c r="AF187" s="562"/>
      <c r="AG187" s="562"/>
      <c r="AH187" s="562"/>
      <c r="AI187" s="562"/>
      <c r="AJ187" s="562"/>
      <c r="AK187" s="562"/>
      <c r="AL187" s="562"/>
      <c r="AM187" s="562"/>
      <c r="AN187" s="562"/>
      <c r="AO187" s="562"/>
      <c r="AP187" s="562"/>
      <c r="AQ187" s="562"/>
      <c r="AR187" s="562"/>
      <c r="AS187" s="562"/>
    </row>
    <row r="188" spans="1:45" x14ac:dyDescent="0.2">
      <c r="A188" s="541">
        <v>5</v>
      </c>
      <c r="B188" s="544" t="s">
        <v>2318</v>
      </c>
      <c r="C188" s="544"/>
      <c r="D188" s="544"/>
      <c r="E188" s="544" t="s">
        <v>2221</v>
      </c>
      <c r="F188" s="544"/>
      <c r="G188" s="543" t="str">
        <f>IF(N188&gt;0,"P","")</f>
        <v/>
      </c>
      <c r="H188" s="545" t="s">
        <v>3757</v>
      </c>
      <c r="I188" s="60"/>
      <c r="J188" s="61" t="s">
        <v>2221</v>
      </c>
      <c r="K188" s="71"/>
      <c r="L188" s="791" t="s">
        <v>2326</v>
      </c>
      <c r="M188" s="992">
        <v>3</v>
      </c>
      <c r="N188" s="923">
        <f>'Ch5'!O189</f>
        <v>0</v>
      </c>
      <c r="O188" s="924">
        <f>M188*W188</f>
        <v>0</v>
      </c>
      <c r="P188" s="562" t="b">
        <v>1</v>
      </c>
      <c r="Q188" s="562" t="b">
        <v>0</v>
      </c>
      <c r="R188" s="562" t="b">
        <v>0</v>
      </c>
      <c r="S188" s="562" t="b">
        <v>1</v>
      </c>
      <c r="T188" s="562" t="b">
        <v>0</v>
      </c>
      <c r="U188" s="562"/>
      <c r="V188" s="562"/>
      <c r="W188" s="18"/>
      <c r="X188" s="787"/>
      <c r="Y188" s="980" t="str">
        <f>IF(LEN('Ch5'!X189)=0,"None",'Ch5'!X189)</f>
        <v>None</v>
      </c>
      <c r="Z188" s="983"/>
      <c r="AA188" s="562"/>
      <c r="AB188" s="562"/>
      <c r="AC188" s="562"/>
      <c r="AD188" s="562"/>
      <c r="AE188" s="562"/>
      <c r="AF188" s="562"/>
      <c r="AG188" s="562"/>
      <c r="AH188" s="562"/>
      <c r="AI188" s="562"/>
      <c r="AJ188" s="562"/>
      <c r="AK188" s="562"/>
      <c r="AL188" s="190" t="str">
        <f>SUBSTITUTE(SUBSTITUTE(SUBSTITUTE("vpa"&amp;$B188&amp;$C188&amp;$D188&amp;$E188&amp;$F188,".","_"),"(","_"),")","")</f>
        <v>vpa504_3_6</v>
      </c>
      <c r="AM188" s="190">
        <f>M188</f>
        <v>3</v>
      </c>
      <c r="AN188" s="190" t="str">
        <f>SUBSTITUTE(SUBSTITUTE(SUBSTITUTE("vpc"&amp;$B188&amp;$C188&amp;$D188&amp;$E188&amp;$F188,".","_"),"(","_"),")","")</f>
        <v>vpc504_3_6</v>
      </c>
      <c r="AO188" s="190">
        <f>O188</f>
        <v>0</v>
      </c>
      <c r="AP188" s="190" t="str">
        <f>SUBSTITUTE(SUBSTITUTE(SUBSTITUTE("vch"&amp;$B188&amp;$C188&amp;$D188&amp;$E188&amp;$F188,".","_"),"(","_"),")","")</f>
        <v>vch504_3_6</v>
      </c>
      <c r="AQ188" s="190">
        <f>W188</f>
        <v>0</v>
      </c>
      <c r="AR188" s="190" t="str">
        <f>SUBSTITUTE(SUBSTITUTE(SUBSTITUTE("vnt"&amp;$B188&amp;$C188&amp;$D188&amp;$E188&amp;$F188,".","_"),"(","_"),")","")</f>
        <v>vnt504_3_6</v>
      </c>
      <c r="AS188" s="190">
        <f>X188</f>
        <v>0</v>
      </c>
    </row>
    <row r="189" spans="1:45" x14ac:dyDescent="0.2">
      <c r="A189" s="541">
        <v>5</v>
      </c>
      <c r="B189" s="544" t="s">
        <v>2318</v>
      </c>
      <c r="C189" s="544"/>
      <c r="D189" s="544"/>
      <c r="E189" s="544" t="s">
        <v>2221</v>
      </c>
      <c r="F189" s="544"/>
      <c r="G189" s="543" t="str">
        <f t="shared" ref="G189:G190" si="54">G188</f>
        <v/>
      </c>
      <c r="H189" s="545" t="s">
        <v>3757</v>
      </c>
      <c r="I189" s="60"/>
      <c r="J189" s="71"/>
      <c r="K189" s="71"/>
      <c r="L189" s="791"/>
      <c r="M189" s="992"/>
      <c r="N189" s="924"/>
      <c r="O189" s="924"/>
      <c r="P189" s="562"/>
      <c r="Q189" s="562"/>
      <c r="R189" s="562"/>
      <c r="S189" s="562"/>
      <c r="T189" s="562"/>
      <c r="U189" s="562"/>
      <c r="V189" s="562"/>
      <c r="W189" s="562"/>
      <c r="X189" s="787"/>
      <c r="Y189" s="980"/>
      <c r="Z189" s="983"/>
      <c r="AA189" s="562"/>
      <c r="AB189" s="562"/>
      <c r="AC189" s="562"/>
      <c r="AD189" s="562"/>
      <c r="AE189" s="562"/>
      <c r="AF189" s="562"/>
      <c r="AG189" s="562"/>
      <c r="AH189" s="562"/>
      <c r="AI189" s="562"/>
      <c r="AJ189" s="562"/>
      <c r="AK189" s="562"/>
      <c r="AL189" s="562"/>
      <c r="AM189" s="562"/>
      <c r="AN189" s="562"/>
      <c r="AO189" s="562"/>
      <c r="AP189" s="562"/>
      <c r="AQ189" s="562"/>
      <c r="AR189" s="562"/>
      <c r="AS189" s="562"/>
    </row>
    <row r="190" spans="1:45" x14ac:dyDescent="0.2">
      <c r="A190" s="541">
        <v>5</v>
      </c>
      <c r="B190" s="544" t="s">
        <v>2318</v>
      </c>
      <c r="C190" s="544"/>
      <c r="D190" s="544"/>
      <c r="E190" s="544" t="s">
        <v>2221</v>
      </c>
      <c r="F190" s="544"/>
      <c r="G190" s="543" t="str">
        <f t="shared" si="54"/>
        <v/>
      </c>
      <c r="H190" s="545" t="s">
        <v>3757</v>
      </c>
      <c r="I190" s="60"/>
      <c r="J190" s="128"/>
      <c r="K190" s="128"/>
      <c r="L190" s="792"/>
      <c r="M190" s="995"/>
      <c r="N190" s="942"/>
      <c r="O190" s="942"/>
      <c r="P190" s="562"/>
      <c r="Q190" s="562"/>
      <c r="R190" s="562"/>
      <c r="S190" s="562"/>
      <c r="T190" s="562"/>
      <c r="U190" s="562"/>
      <c r="V190" s="562"/>
      <c r="W190" s="562"/>
      <c r="X190" s="787"/>
      <c r="Y190" s="980"/>
      <c r="Z190" s="983"/>
      <c r="AA190" s="562"/>
      <c r="AB190" s="562"/>
      <c r="AC190" s="562"/>
      <c r="AD190" s="562"/>
      <c r="AE190" s="562"/>
      <c r="AF190" s="562"/>
      <c r="AG190" s="562"/>
      <c r="AH190" s="562"/>
      <c r="AI190" s="562"/>
      <c r="AJ190" s="562"/>
      <c r="AK190" s="562"/>
      <c r="AL190" s="562"/>
      <c r="AM190" s="562"/>
      <c r="AN190" s="562"/>
      <c r="AO190" s="562"/>
      <c r="AP190" s="562"/>
      <c r="AQ190" s="562"/>
      <c r="AR190" s="562"/>
      <c r="AS190" s="562"/>
    </row>
    <row r="191" spans="1:45" ht="16" x14ac:dyDescent="0.2">
      <c r="A191" s="541">
        <v>5</v>
      </c>
      <c r="B191" s="544" t="s">
        <v>2318</v>
      </c>
      <c r="C191" s="544"/>
      <c r="D191" s="544"/>
      <c r="E191" s="544" t="s">
        <v>2223</v>
      </c>
      <c r="F191" s="544"/>
      <c r="G191" s="543" t="str">
        <f>IF(N191&gt;0,"P","")</f>
        <v/>
      </c>
      <c r="H191" s="545" t="s">
        <v>3751</v>
      </c>
      <c r="I191" s="60"/>
      <c r="J191" s="125" t="s">
        <v>2223</v>
      </c>
      <c r="K191" s="128"/>
      <c r="L191" s="126" t="s">
        <v>2327</v>
      </c>
      <c r="M191" s="679">
        <v>3</v>
      </c>
      <c r="N191" s="669">
        <f>'Ch5'!O192</f>
        <v>0</v>
      </c>
      <c r="O191" s="669">
        <f>M191*W191</f>
        <v>0</v>
      </c>
      <c r="P191" s="562" t="b">
        <v>1</v>
      </c>
      <c r="Q191" s="562" t="b">
        <v>1</v>
      </c>
      <c r="R191" s="562" t="b">
        <v>0</v>
      </c>
      <c r="S191" s="562" t="b">
        <v>1</v>
      </c>
      <c r="T191" s="562" t="b">
        <v>0</v>
      </c>
      <c r="U191" s="562"/>
      <c r="V191" s="562"/>
      <c r="W191" s="18"/>
      <c r="X191" s="563"/>
      <c r="Y191" s="578" t="str">
        <f>IF(LEN('Ch5'!X192)=0,"None",'Ch5'!X192)</f>
        <v>None</v>
      </c>
      <c r="Z191" s="579"/>
      <c r="AA191" s="562"/>
      <c r="AB191" s="562"/>
      <c r="AC191" s="562"/>
      <c r="AD191" s="562"/>
      <c r="AE191" s="562"/>
      <c r="AF191" s="562"/>
      <c r="AG191" s="562"/>
      <c r="AH191" s="562"/>
      <c r="AI191" s="562"/>
      <c r="AJ191" s="562"/>
      <c r="AK191" s="562"/>
      <c r="AL191" s="190" t="str">
        <f>SUBSTITUTE(SUBSTITUTE(SUBSTITUTE("vpa"&amp;$B191&amp;$C191&amp;$D191&amp;$E191&amp;$F191,".","_"),"(","_"),")","")</f>
        <v>vpa504_3_7</v>
      </c>
      <c r="AM191" s="190">
        <f>M191</f>
        <v>3</v>
      </c>
      <c r="AN191" s="190" t="str">
        <f t="shared" ref="AN191:AN192" si="55">SUBSTITUTE(SUBSTITUTE(SUBSTITUTE("vpc"&amp;$B191&amp;$C191&amp;$D191&amp;$E191&amp;$F191,".","_"),"(","_"),")","")</f>
        <v>vpc504_3_7</v>
      </c>
      <c r="AO191" s="190">
        <f>O191</f>
        <v>0</v>
      </c>
      <c r="AP191" s="190" t="str">
        <f>SUBSTITUTE(SUBSTITUTE(SUBSTITUTE("vch"&amp;$B191&amp;$C191&amp;$D191&amp;$E191&amp;$F191,".","_"),"(","_"),")","")</f>
        <v>vch504_3_7</v>
      </c>
      <c r="AQ191" s="190">
        <f>W191</f>
        <v>0</v>
      </c>
      <c r="AR191" s="190" t="str">
        <f t="shared" ref="AR191:AR192" si="56">SUBSTITUTE(SUBSTITUTE(SUBSTITUTE("vnt"&amp;$B191&amp;$C191&amp;$D191&amp;$E191&amp;$F191,".","_"),"(","_"),")","")</f>
        <v>vnt504_3_7</v>
      </c>
      <c r="AS191" s="190">
        <f>X191</f>
        <v>0</v>
      </c>
    </row>
    <row r="192" spans="1:45" x14ac:dyDescent="0.2">
      <c r="A192" s="541">
        <v>5</v>
      </c>
      <c r="B192" s="544" t="s">
        <v>2318</v>
      </c>
      <c r="C192" s="544"/>
      <c r="D192" s="544"/>
      <c r="E192" s="544" t="s">
        <v>2282</v>
      </c>
      <c r="F192" s="544"/>
      <c r="G192" s="543" t="str">
        <f>IF(N192&gt;0,"P","")</f>
        <v/>
      </c>
      <c r="H192" s="545" t="s">
        <v>3751</v>
      </c>
      <c r="I192" s="60"/>
      <c r="J192" s="61" t="s">
        <v>2282</v>
      </c>
      <c r="K192" s="71"/>
      <c r="L192" s="605" t="s">
        <v>2328</v>
      </c>
      <c r="M192" s="992">
        <v>5</v>
      </c>
      <c r="N192" s="923">
        <f>'Ch5'!O193</f>
        <v>0</v>
      </c>
      <c r="O192" s="924">
        <f>M192*MIN(1,(W193+W194+W195+W196+W197+W198))</f>
        <v>0</v>
      </c>
      <c r="P192" s="562"/>
      <c r="Q192" s="562"/>
      <c r="R192" s="562"/>
      <c r="S192" s="562"/>
      <c r="T192" s="562"/>
      <c r="U192" s="562"/>
      <c r="V192" s="562"/>
      <c r="W192" s="562"/>
      <c r="X192" s="787"/>
      <c r="Y192" s="980" t="str">
        <f>IF(LEN('Ch5'!X193)=0,"None",'Ch5'!X193)</f>
        <v>None</v>
      </c>
      <c r="Z192" s="983"/>
      <c r="AA192" s="562"/>
      <c r="AB192" s="562"/>
      <c r="AC192" s="562" t="b">
        <f>OR(AD192:AE192)</f>
        <v>0</v>
      </c>
      <c r="AD192" s="562" t="b">
        <v>0</v>
      </c>
      <c r="AE192" s="562" t="b">
        <f>AND(W192=TRUE,LEN(X192)=0)</f>
        <v>0</v>
      </c>
      <c r="AF192" s="562" t="b">
        <f>AND(AE192,NOT(Q192))</f>
        <v>0</v>
      </c>
      <c r="AG192" s="562"/>
      <c r="AH192" s="562"/>
      <c r="AI192" s="562"/>
      <c r="AJ192" s="562"/>
      <c r="AK192" s="562"/>
      <c r="AL192" s="190" t="str">
        <f>SUBSTITUTE(SUBSTITUTE(SUBSTITUTE("vpa"&amp;$B192&amp;$C192&amp;$D192&amp;$E192&amp;$F192,".","_"),"(","_"),")","")</f>
        <v>vpa504_3_8</v>
      </c>
      <c r="AM192" s="190">
        <f>M192</f>
        <v>5</v>
      </c>
      <c r="AN192" s="190" t="str">
        <f t="shared" si="55"/>
        <v>vpc504_3_8</v>
      </c>
      <c r="AO192" s="190">
        <f>O192</f>
        <v>0</v>
      </c>
      <c r="AP192" s="190"/>
      <c r="AQ192" s="190"/>
      <c r="AR192" s="190" t="str">
        <f t="shared" si="56"/>
        <v>vnt504_3_8</v>
      </c>
      <c r="AS192" s="190">
        <f>X192</f>
        <v>0</v>
      </c>
    </row>
    <row r="193" spans="1:45" x14ac:dyDescent="0.2">
      <c r="A193" s="541">
        <v>5</v>
      </c>
      <c r="B193" s="544" t="s">
        <v>2318</v>
      </c>
      <c r="C193" s="544"/>
      <c r="D193" s="544"/>
      <c r="E193" s="544" t="s">
        <v>2282</v>
      </c>
      <c r="F193" s="544" t="s">
        <v>2329</v>
      </c>
      <c r="G193" s="543" t="str">
        <f t="shared" ref="G193:G199" si="57">G192</f>
        <v/>
      </c>
      <c r="H193" s="545" t="s">
        <v>3751</v>
      </c>
      <c r="I193" s="60"/>
      <c r="J193" s="71"/>
      <c r="K193" s="71"/>
      <c r="L193" s="605" t="s">
        <v>2330</v>
      </c>
      <c r="M193" s="992"/>
      <c r="N193" s="924"/>
      <c r="O193" s="924"/>
      <c r="P193" s="562" t="b">
        <v>1</v>
      </c>
      <c r="Q193" s="562" t="b">
        <v>1</v>
      </c>
      <c r="R193" s="562" t="b">
        <v>0</v>
      </c>
      <c r="S193" s="562" t="b">
        <v>1</v>
      </c>
      <c r="T193" s="562" t="b">
        <v>0</v>
      </c>
      <c r="U193" s="562"/>
      <c r="V193" s="562"/>
      <c r="W193" s="18"/>
      <c r="X193" s="787"/>
      <c r="Y193" s="980"/>
      <c r="Z193" s="983"/>
      <c r="AA193" s="562"/>
      <c r="AB193" s="562"/>
      <c r="AC193" s="562"/>
      <c r="AD193" s="562"/>
      <c r="AE193" s="562"/>
      <c r="AF193" s="562"/>
      <c r="AG193" s="562"/>
      <c r="AH193" s="562"/>
      <c r="AI193" s="562"/>
      <c r="AJ193" s="562"/>
      <c r="AK193" s="562"/>
      <c r="AL193" s="562"/>
      <c r="AM193" s="562"/>
      <c r="AN193" s="562"/>
      <c r="AO193" s="562"/>
      <c r="AP193" s="190" t="str">
        <f t="shared" ref="AP193:AP198" si="58">SUBSTITUTE(SUBSTITUTE(SUBSTITUTE("vch"&amp;$B193&amp;$C193&amp;$D193&amp;$E193&amp;$F193,".","_"),"(","_"),")","")</f>
        <v>vch504_3_8a</v>
      </c>
      <c r="AQ193" s="190">
        <f t="shared" ref="AQ193:AQ198" si="59">W193</f>
        <v>0</v>
      </c>
      <c r="AR193" s="562"/>
      <c r="AS193" s="562"/>
    </row>
    <row r="194" spans="1:45" x14ac:dyDescent="0.2">
      <c r="A194" s="541">
        <v>5</v>
      </c>
      <c r="B194" s="544" t="s">
        <v>2318</v>
      </c>
      <c r="C194" s="544"/>
      <c r="D194" s="544"/>
      <c r="E194" s="544" t="s">
        <v>2282</v>
      </c>
      <c r="F194" s="544" t="s">
        <v>2331</v>
      </c>
      <c r="G194" s="543" t="str">
        <f t="shared" si="57"/>
        <v/>
      </c>
      <c r="H194" s="545" t="s">
        <v>3751</v>
      </c>
      <c r="I194" s="60"/>
      <c r="J194" s="71"/>
      <c r="K194" s="71"/>
      <c r="L194" s="605" t="s">
        <v>2332</v>
      </c>
      <c r="M194" s="992"/>
      <c r="N194" s="924"/>
      <c r="O194" s="924"/>
      <c r="P194" s="562" t="b">
        <v>1</v>
      </c>
      <c r="Q194" s="562" t="b">
        <v>1</v>
      </c>
      <c r="R194" s="562" t="b">
        <v>0</v>
      </c>
      <c r="S194" s="562" t="b">
        <v>1</v>
      </c>
      <c r="T194" s="562" t="b">
        <v>0</v>
      </c>
      <c r="U194" s="562"/>
      <c r="V194" s="562"/>
      <c r="W194" s="18"/>
      <c r="X194" s="787"/>
      <c r="Y194" s="980"/>
      <c r="Z194" s="983"/>
      <c r="AA194" s="562"/>
      <c r="AB194" s="562"/>
      <c r="AC194" s="562"/>
      <c r="AD194" s="562"/>
      <c r="AE194" s="562"/>
      <c r="AF194" s="562"/>
      <c r="AG194" s="562"/>
      <c r="AH194" s="562"/>
      <c r="AI194" s="562"/>
      <c r="AJ194" s="562"/>
      <c r="AK194" s="562"/>
      <c r="AL194" s="562"/>
      <c r="AM194" s="562"/>
      <c r="AN194" s="562"/>
      <c r="AO194" s="562"/>
      <c r="AP194" s="190" t="str">
        <f t="shared" si="58"/>
        <v>vch504_3_8b</v>
      </c>
      <c r="AQ194" s="190">
        <f t="shared" si="59"/>
        <v>0</v>
      </c>
      <c r="AR194" s="562"/>
      <c r="AS194" s="562"/>
    </row>
    <row r="195" spans="1:45" x14ac:dyDescent="0.2">
      <c r="A195" s="541">
        <v>5</v>
      </c>
      <c r="B195" s="544" t="s">
        <v>2318</v>
      </c>
      <c r="C195" s="544"/>
      <c r="D195" s="544"/>
      <c r="E195" s="544" t="s">
        <v>2282</v>
      </c>
      <c r="F195" s="544" t="s">
        <v>2333</v>
      </c>
      <c r="G195" s="543" t="str">
        <f t="shared" si="57"/>
        <v/>
      </c>
      <c r="H195" s="545" t="s">
        <v>3751</v>
      </c>
      <c r="I195" s="60"/>
      <c r="J195" s="71"/>
      <c r="K195" s="71"/>
      <c r="L195" s="605" t="s">
        <v>2334</v>
      </c>
      <c r="M195" s="992"/>
      <c r="N195" s="924"/>
      <c r="O195" s="924"/>
      <c r="P195" s="562" t="b">
        <v>1</v>
      </c>
      <c r="Q195" s="562" t="b">
        <v>1</v>
      </c>
      <c r="R195" s="562" t="b">
        <v>0</v>
      </c>
      <c r="S195" s="562" t="b">
        <v>1</v>
      </c>
      <c r="T195" s="562" t="b">
        <v>0</v>
      </c>
      <c r="U195" s="562"/>
      <c r="V195" s="562"/>
      <c r="W195" s="18"/>
      <c r="X195" s="787"/>
      <c r="Y195" s="980"/>
      <c r="Z195" s="983"/>
      <c r="AA195" s="562"/>
      <c r="AB195" s="562"/>
      <c r="AC195" s="562"/>
      <c r="AD195" s="562"/>
      <c r="AE195" s="562"/>
      <c r="AF195" s="562"/>
      <c r="AG195" s="562"/>
      <c r="AH195" s="562"/>
      <c r="AI195" s="562"/>
      <c r="AJ195" s="562"/>
      <c r="AK195" s="562"/>
      <c r="AL195" s="562"/>
      <c r="AM195" s="562"/>
      <c r="AN195" s="562"/>
      <c r="AO195" s="562"/>
      <c r="AP195" s="190" t="str">
        <f t="shared" si="58"/>
        <v>vch504_3_8c</v>
      </c>
      <c r="AQ195" s="190">
        <f t="shared" si="59"/>
        <v>0</v>
      </c>
      <c r="AR195" s="562"/>
      <c r="AS195" s="562"/>
    </row>
    <row r="196" spans="1:45" x14ac:dyDescent="0.2">
      <c r="A196" s="541">
        <v>5</v>
      </c>
      <c r="B196" s="544" t="s">
        <v>2318</v>
      </c>
      <c r="C196" s="544"/>
      <c r="D196" s="544"/>
      <c r="E196" s="544" t="s">
        <v>2282</v>
      </c>
      <c r="F196" s="544" t="s">
        <v>2335</v>
      </c>
      <c r="G196" s="543" t="str">
        <f t="shared" si="57"/>
        <v/>
      </c>
      <c r="H196" s="545" t="s">
        <v>3751</v>
      </c>
      <c r="I196" s="60"/>
      <c r="J196" s="71"/>
      <c r="K196" s="71"/>
      <c r="L196" s="605" t="s">
        <v>2336</v>
      </c>
      <c r="M196" s="992"/>
      <c r="N196" s="924"/>
      <c r="O196" s="924"/>
      <c r="P196" s="562" t="b">
        <v>1</v>
      </c>
      <c r="Q196" s="562" t="b">
        <v>1</v>
      </c>
      <c r="R196" s="562" t="b">
        <v>0</v>
      </c>
      <c r="S196" s="562" t="b">
        <v>1</v>
      </c>
      <c r="T196" s="562" t="b">
        <v>0</v>
      </c>
      <c r="U196" s="562"/>
      <c r="V196" s="562"/>
      <c r="W196" s="18"/>
      <c r="X196" s="787"/>
      <c r="Y196" s="980"/>
      <c r="Z196" s="983"/>
      <c r="AA196" s="562"/>
      <c r="AB196" s="562"/>
      <c r="AC196" s="562"/>
      <c r="AD196" s="562"/>
      <c r="AE196" s="562"/>
      <c r="AF196" s="562"/>
      <c r="AG196" s="562"/>
      <c r="AH196" s="562"/>
      <c r="AI196" s="562"/>
      <c r="AJ196" s="562"/>
      <c r="AK196" s="562"/>
      <c r="AL196" s="562"/>
      <c r="AM196" s="562"/>
      <c r="AN196" s="562"/>
      <c r="AO196" s="562"/>
      <c r="AP196" s="190" t="str">
        <f t="shared" si="58"/>
        <v>vch504_3_8d</v>
      </c>
      <c r="AQ196" s="190">
        <f t="shared" si="59"/>
        <v>0</v>
      </c>
      <c r="AR196" s="562"/>
      <c r="AS196" s="562"/>
    </row>
    <row r="197" spans="1:45" x14ac:dyDescent="0.2">
      <c r="A197" s="541">
        <v>5</v>
      </c>
      <c r="B197" s="544" t="s">
        <v>2318</v>
      </c>
      <c r="C197" s="544"/>
      <c r="D197" s="544"/>
      <c r="E197" s="544" t="s">
        <v>2282</v>
      </c>
      <c r="F197" s="544" t="s">
        <v>2337</v>
      </c>
      <c r="G197" s="543" t="str">
        <f t="shared" si="57"/>
        <v/>
      </c>
      <c r="H197" s="545" t="s">
        <v>3751</v>
      </c>
      <c r="I197" s="60"/>
      <c r="J197" s="71"/>
      <c r="K197" s="71"/>
      <c r="L197" s="605" t="s">
        <v>2338</v>
      </c>
      <c r="M197" s="992"/>
      <c r="N197" s="924"/>
      <c r="O197" s="924"/>
      <c r="P197" s="562" t="b">
        <v>1</v>
      </c>
      <c r="Q197" s="562" t="b">
        <v>1</v>
      </c>
      <c r="R197" s="562" t="b">
        <v>0</v>
      </c>
      <c r="S197" s="562" t="b">
        <v>1</v>
      </c>
      <c r="T197" s="562" t="b">
        <v>0</v>
      </c>
      <c r="U197" s="562"/>
      <c r="V197" s="562"/>
      <c r="W197" s="18"/>
      <c r="X197" s="787"/>
      <c r="Y197" s="980"/>
      <c r="Z197" s="983"/>
      <c r="AA197" s="562"/>
      <c r="AB197" s="562"/>
      <c r="AC197" s="562"/>
      <c r="AD197" s="562"/>
      <c r="AE197" s="562"/>
      <c r="AF197" s="562"/>
      <c r="AG197" s="562"/>
      <c r="AH197" s="562"/>
      <c r="AI197" s="562"/>
      <c r="AJ197" s="562"/>
      <c r="AK197" s="562"/>
      <c r="AL197" s="562"/>
      <c r="AM197" s="562"/>
      <c r="AN197" s="562"/>
      <c r="AO197" s="562"/>
      <c r="AP197" s="190" t="str">
        <f t="shared" si="58"/>
        <v>vch504_3_8e</v>
      </c>
      <c r="AQ197" s="190">
        <f t="shared" si="59"/>
        <v>0</v>
      </c>
      <c r="AR197" s="562"/>
      <c r="AS197" s="562"/>
    </row>
    <row r="198" spans="1:45" x14ac:dyDescent="0.2">
      <c r="A198" s="541">
        <v>5</v>
      </c>
      <c r="B198" s="544" t="s">
        <v>2318</v>
      </c>
      <c r="C198" s="544"/>
      <c r="D198" s="544"/>
      <c r="E198" s="544" t="s">
        <v>2282</v>
      </c>
      <c r="F198" s="544" t="s">
        <v>2339</v>
      </c>
      <c r="G198" s="543" t="str">
        <f t="shared" si="57"/>
        <v/>
      </c>
      <c r="H198" s="545" t="s">
        <v>3751</v>
      </c>
      <c r="I198" s="60"/>
      <c r="J198" s="71"/>
      <c r="K198" s="71"/>
      <c r="L198" s="605" t="s">
        <v>2340</v>
      </c>
      <c r="M198" s="992"/>
      <c r="N198" s="924"/>
      <c r="O198" s="924"/>
      <c r="P198" s="562" t="b">
        <v>1</v>
      </c>
      <c r="Q198" s="562" t="b">
        <v>1</v>
      </c>
      <c r="R198" s="562" t="b">
        <v>0</v>
      </c>
      <c r="S198" s="562" t="b">
        <v>1</v>
      </c>
      <c r="T198" s="562" t="b">
        <v>0</v>
      </c>
      <c r="U198" s="562"/>
      <c r="V198" s="562"/>
      <c r="W198" s="18"/>
      <c r="X198" s="787"/>
      <c r="Y198" s="980"/>
      <c r="Z198" s="983"/>
      <c r="AA198" s="562"/>
      <c r="AB198" s="562"/>
      <c r="AC198" s="562" t="b">
        <f>OR(AD198:AE198)</f>
        <v>0</v>
      </c>
      <c r="AD198" s="562" t="b">
        <f>T198</f>
        <v>0</v>
      </c>
      <c r="AE198" s="562" t="b">
        <f>AND(W198=TRUE,LEN(X192)=0)</f>
        <v>0</v>
      </c>
      <c r="AF198" s="562" t="b">
        <f>AND(AE198,NOT(Q198))</f>
        <v>0</v>
      </c>
      <c r="AG198" s="562"/>
      <c r="AH198" s="562"/>
      <c r="AI198" s="562"/>
      <c r="AJ198" s="562"/>
      <c r="AK198" s="562"/>
      <c r="AL198" s="562"/>
      <c r="AM198" s="562"/>
      <c r="AN198" s="562"/>
      <c r="AO198" s="562"/>
      <c r="AP198" s="190" t="str">
        <f t="shared" si="58"/>
        <v>vch504_3_8f</v>
      </c>
      <c r="AQ198" s="190">
        <f t="shared" si="59"/>
        <v>0</v>
      </c>
      <c r="AR198" s="562"/>
      <c r="AS198" s="562"/>
    </row>
    <row r="199" spans="1:45" x14ac:dyDescent="0.2">
      <c r="A199" s="541">
        <v>5</v>
      </c>
      <c r="B199" s="544" t="s">
        <v>2318</v>
      </c>
      <c r="C199" s="544"/>
      <c r="D199" s="544"/>
      <c r="E199" s="544" t="s">
        <v>2282</v>
      </c>
      <c r="F199" s="544"/>
      <c r="G199" s="543" t="str">
        <f t="shared" si="57"/>
        <v/>
      </c>
      <c r="H199" s="545" t="s">
        <v>3751</v>
      </c>
      <c r="I199" s="60"/>
      <c r="J199" s="128"/>
      <c r="K199" s="128"/>
      <c r="L199" s="571" t="s">
        <v>2341</v>
      </c>
      <c r="M199" s="995"/>
      <c r="N199" s="942"/>
      <c r="O199" s="942"/>
      <c r="P199" s="562"/>
      <c r="Q199" s="562"/>
      <c r="R199" s="562"/>
      <c r="S199" s="562"/>
      <c r="T199" s="562"/>
      <c r="U199" s="562"/>
      <c r="V199" s="562"/>
      <c r="W199" s="562"/>
      <c r="X199" s="787"/>
      <c r="Y199" s="980"/>
      <c r="Z199" s="983"/>
      <c r="AA199" s="562"/>
      <c r="AB199" s="562"/>
      <c r="AC199" s="562"/>
      <c r="AD199" s="562"/>
      <c r="AE199" s="562"/>
      <c r="AF199" s="562"/>
      <c r="AG199" s="562"/>
      <c r="AH199" s="562"/>
      <c r="AI199" s="562"/>
      <c r="AJ199" s="562"/>
      <c r="AK199" s="562"/>
      <c r="AL199" s="562"/>
      <c r="AM199" s="562"/>
      <c r="AN199" s="562"/>
      <c r="AO199" s="562"/>
      <c r="AP199" s="562"/>
      <c r="AQ199" s="562"/>
      <c r="AR199" s="562"/>
      <c r="AS199" s="562"/>
    </row>
    <row r="200" spans="1:45" ht="19" x14ac:dyDescent="0.25">
      <c r="A200" s="541">
        <v>5</v>
      </c>
      <c r="B200" s="544" t="s">
        <v>2342</v>
      </c>
      <c r="C200" s="544"/>
      <c r="D200" s="544"/>
      <c r="E200" s="544"/>
      <c r="F200" s="544"/>
      <c r="G200" s="543" t="s">
        <v>3343</v>
      </c>
      <c r="H200" s="541" t="s">
        <v>3751</v>
      </c>
      <c r="I200" s="45" t="s">
        <v>2343</v>
      </c>
      <c r="J200" s="45"/>
      <c r="K200" s="45"/>
      <c r="L200" s="54"/>
      <c r="M200" s="44"/>
      <c r="N200" s="44"/>
      <c r="O200" s="44"/>
      <c r="P200" s="16"/>
      <c r="Q200" s="16"/>
      <c r="R200" s="16"/>
      <c r="S200" s="16"/>
      <c r="T200" s="16"/>
      <c r="U200" s="16"/>
      <c r="V200" s="16"/>
      <c r="W200" s="16"/>
      <c r="X200" s="16"/>
      <c r="Y200" s="16"/>
      <c r="Z200" s="453"/>
      <c r="AA200" s="562"/>
      <c r="AB200" s="562"/>
      <c r="AC200" s="562"/>
      <c r="AD200" s="562"/>
      <c r="AE200" s="562"/>
      <c r="AF200" s="562"/>
      <c r="AG200" s="562"/>
      <c r="AH200" s="562"/>
      <c r="AI200" s="562"/>
      <c r="AJ200" s="562"/>
      <c r="AK200" s="562"/>
      <c r="AL200" s="562"/>
      <c r="AM200" s="562"/>
      <c r="AN200" s="562"/>
      <c r="AO200" s="562"/>
      <c r="AP200" s="562"/>
      <c r="AQ200" s="562"/>
      <c r="AR200" s="562"/>
      <c r="AS200" s="562"/>
    </row>
    <row r="201" spans="1:45" x14ac:dyDescent="0.2">
      <c r="A201" s="541">
        <v>5</v>
      </c>
      <c r="B201" s="544" t="s">
        <v>2344</v>
      </c>
      <c r="C201" s="544"/>
      <c r="D201" s="544"/>
      <c r="E201" s="544"/>
      <c r="F201" s="544"/>
      <c r="G201" s="545"/>
      <c r="H201" s="545"/>
      <c r="I201" s="61" t="s">
        <v>2345</v>
      </c>
      <c r="J201" s="71"/>
      <c r="K201" s="71"/>
      <c r="L201" s="820" t="s">
        <v>2346</v>
      </c>
      <c r="M201" s="676"/>
      <c r="N201" s="668"/>
      <c r="O201" s="668"/>
      <c r="P201" s="64"/>
      <c r="Q201" s="64"/>
      <c r="R201" s="64"/>
      <c r="S201" s="64"/>
      <c r="T201" s="64"/>
      <c r="U201" s="64"/>
      <c r="V201" s="64"/>
      <c r="W201" s="64"/>
      <c r="X201" s="82"/>
      <c r="Y201" s="562"/>
      <c r="Z201" s="430"/>
      <c r="AA201" s="562"/>
      <c r="AB201" s="562"/>
      <c r="AC201" s="562"/>
      <c r="AD201" s="562"/>
      <c r="AE201" s="562"/>
      <c r="AF201" s="562"/>
      <c r="AG201" s="562"/>
      <c r="AH201" s="562"/>
      <c r="AI201" s="562"/>
      <c r="AJ201" s="562"/>
      <c r="AK201" s="562"/>
      <c r="AL201" s="562"/>
      <c r="AM201" s="562"/>
      <c r="AN201" s="562"/>
      <c r="AO201" s="562"/>
      <c r="AP201" s="562"/>
      <c r="AQ201" s="562"/>
      <c r="AR201" s="562"/>
      <c r="AS201" s="562"/>
    </row>
    <row r="202" spans="1:45" x14ac:dyDescent="0.2">
      <c r="A202" s="541">
        <v>5</v>
      </c>
      <c r="B202" s="544" t="s">
        <v>2344</v>
      </c>
      <c r="C202" s="544"/>
      <c r="D202" s="544"/>
      <c r="E202" s="544"/>
      <c r="F202" s="544"/>
      <c r="G202" s="545"/>
      <c r="H202" s="545"/>
      <c r="I202" s="71"/>
      <c r="J202" s="71"/>
      <c r="K202" s="71"/>
      <c r="L202" s="820"/>
      <c r="M202" s="676"/>
      <c r="N202" s="668"/>
      <c r="O202" s="668"/>
      <c r="P202" s="64"/>
      <c r="Q202" s="64"/>
      <c r="R202" s="64"/>
      <c r="S202" s="64"/>
      <c r="T202" s="64"/>
      <c r="U202" s="64"/>
      <c r="V202" s="64"/>
      <c r="W202" s="64"/>
      <c r="X202" s="82"/>
      <c r="Y202" s="562"/>
      <c r="Z202" s="430"/>
      <c r="AA202" s="562"/>
      <c r="AB202" s="562"/>
      <c r="AC202" s="562"/>
      <c r="AD202" s="562"/>
      <c r="AE202" s="562"/>
      <c r="AF202" s="562"/>
      <c r="AG202" s="562"/>
      <c r="AH202" s="562"/>
      <c r="AI202" s="562"/>
      <c r="AJ202" s="562"/>
      <c r="AK202" s="562"/>
      <c r="AL202" s="562"/>
      <c r="AM202" s="562"/>
      <c r="AN202" s="562"/>
      <c r="AO202" s="562"/>
      <c r="AP202" s="562"/>
      <c r="AQ202" s="562"/>
      <c r="AR202" s="562"/>
      <c r="AS202" s="562"/>
    </row>
    <row r="203" spans="1:45" ht="16" thickBot="1" x14ac:dyDescent="0.25">
      <c r="A203" s="541">
        <v>5</v>
      </c>
      <c r="B203" s="544" t="s">
        <v>2344</v>
      </c>
      <c r="C203" s="544"/>
      <c r="D203" s="544"/>
      <c r="E203" s="544"/>
      <c r="F203" s="544"/>
      <c r="G203" s="545"/>
      <c r="H203" s="545"/>
      <c r="I203" s="72"/>
      <c r="J203" s="72"/>
      <c r="K203" s="72"/>
      <c r="L203" s="822"/>
      <c r="M203" s="677"/>
      <c r="N203" s="674"/>
      <c r="O203" s="674"/>
      <c r="P203" s="68"/>
      <c r="Q203" s="68"/>
      <c r="R203" s="68"/>
      <c r="S203" s="68"/>
      <c r="T203" s="68"/>
      <c r="U203" s="68"/>
      <c r="V203" s="68"/>
      <c r="W203" s="68"/>
      <c r="X203" s="81"/>
      <c r="Y203" s="191"/>
      <c r="Z203" s="454"/>
      <c r="AA203" s="562"/>
      <c r="AB203" s="562"/>
      <c r="AC203" s="562"/>
      <c r="AD203" s="562"/>
      <c r="AE203" s="562"/>
      <c r="AF203" s="562"/>
      <c r="AG203" s="562"/>
      <c r="AH203" s="562"/>
      <c r="AI203" s="562"/>
      <c r="AJ203" s="562"/>
      <c r="AK203" s="562"/>
      <c r="AL203" s="562"/>
      <c r="AM203" s="562"/>
      <c r="AN203" s="562"/>
      <c r="AO203" s="562"/>
      <c r="AP203" s="562"/>
      <c r="AQ203" s="562"/>
      <c r="AR203" s="562"/>
      <c r="AS203" s="562"/>
    </row>
    <row r="204" spans="1:45" ht="16" thickTop="1" x14ac:dyDescent="0.2">
      <c r="A204" s="541">
        <v>5</v>
      </c>
      <c r="B204" s="544" t="s">
        <v>2347</v>
      </c>
      <c r="C204" s="544"/>
      <c r="D204" s="544"/>
      <c r="E204" s="544"/>
      <c r="F204" s="544"/>
      <c r="G204" s="539" t="str">
        <f ca="1">IF(COUNTIF(G206:G213,"P")&gt;0,"P","")</f>
        <v/>
      </c>
      <c r="H204" s="545" t="s">
        <v>3758</v>
      </c>
      <c r="I204" s="57" t="s">
        <v>2348</v>
      </c>
      <c r="J204" s="60"/>
      <c r="K204" s="60"/>
      <c r="L204" s="775" t="s">
        <v>2349</v>
      </c>
      <c r="M204" s="678"/>
      <c r="N204" s="648"/>
      <c r="O204" s="648"/>
      <c r="P204" s="562"/>
      <c r="Q204" s="562"/>
      <c r="R204" s="562"/>
      <c r="S204" s="562"/>
      <c r="T204" s="562"/>
      <c r="U204" s="562"/>
      <c r="V204" s="562"/>
      <c r="W204" s="562"/>
      <c r="X204" s="562"/>
      <c r="Y204" s="562"/>
      <c r="Z204" s="430"/>
      <c r="AA204" s="562"/>
      <c r="AB204" s="562"/>
      <c r="AC204" s="562"/>
      <c r="AD204" s="562"/>
      <c r="AE204" s="562"/>
      <c r="AF204" s="562"/>
      <c r="AG204" s="562"/>
      <c r="AH204" s="562"/>
      <c r="AI204" s="562"/>
      <c r="AJ204" s="562"/>
      <c r="AK204" s="562"/>
      <c r="AL204" s="562"/>
      <c r="AM204" s="562"/>
      <c r="AN204" s="562"/>
      <c r="AO204" s="562"/>
      <c r="AP204" s="562"/>
      <c r="AQ204" s="562"/>
      <c r="AR204" s="190"/>
      <c r="AS204" s="190"/>
    </row>
    <row r="205" spans="1:45" x14ac:dyDescent="0.2">
      <c r="A205" s="541">
        <v>5</v>
      </c>
      <c r="B205" s="544" t="s">
        <v>2347</v>
      </c>
      <c r="C205" s="544"/>
      <c r="D205" s="544"/>
      <c r="E205" s="544"/>
      <c r="F205" s="544"/>
      <c r="G205" s="543" t="str">
        <f t="shared" ref="G205" ca="1" si="60">G204</f>
        <v/>
      </c>
      <c r="H205" s="545" t="s">
        <v>3758</v>
      </c>
      <c r="I205" s="60"/>
      <c r="J205" s="60"/>
      <c r="K205" s="60"/>
      <c r="L205" s="775"/>
      <c r="M205" s="678"/>
      <c r="N205" s="648"/>
      <c r="O205" s="648"/>
      <c r="P205" s="562"/>
      <c r="Q205" s="562"/>
      <c r="R205" s="562"/>
      <c r="S205" s="562"/>
      <c r="T205" s="562"/>
      <c r="U205" s="562"/>
      <c r="V205" s="562"/>
      <c r="W205" s="562"/>
      <c r="X205" s="562"/>
      <c r="Y205" s="562"/>
      <c r="Z205" s="430"/>
      <c r="AA205" s="562"/>
      <c r="AB205" s="562"/>
      <c r="AC205" s="562"/>
      <c r="AD205" s="562"/>
      <c r="AE205" s="562"/>
      <c r="AF205" s="562"/>
      <c r="AG205" s="562"/>
      <c r="AH205" s="562"/>
      <c r="AI205" s="562"/>
      <c r="AJ205" s="562"/>
      <c r="AK205" s="562"/>
      <c r="AL205" s="562"/>
      <c r="AM205" s="562"/>
      <c r="AN205" s="562"/>
      <c r="AO205" s="562"/>
      <c r="AP205" s="562"/>
      <c r="AQ205" s="562"/>
      <c r="AR205" s="562"/>
      <c r="AS205" s="562"/>
    </row>
    <row r="206" spans="1:45" x14ac:dyDescent="0.2">
      <c r="A206" s="541">
        <v>5</v>
      </c>
      <c r="B206" s="544" t="s">
        <v>2347</v>
      </c>
      <c r="C206" s="544"/>
      <c r="D206" s="544"/>
      <c r="E206" s="544" t="s">
        <v>2181</v>
      </c>
      <c r="F206" s="544"/>
      <c r="G206" s="543" t="str">
        <f>IF(N206&gt;0,"P","")</f>
        <v/>
      </c>
      <c r="H206" s="545" t="s">
        <v>3758</v>
      </c>
      <c r="I206" s="60"/>
      <c r="J206" s="61" t="s">
        <v>2181</v>
      </c>
      <c r="K206" s="71"/>
      <c r="L206" s="791" t="s">
        <v>2350</v>
      </c>
      <c r="M206" s="992">
        <v>5</v>
      </c>
      <c r="N206" s="924">
        <f>'Ch5'!O207</f>
        <v>0</v>
      </c>
      <c r="O206" s="924">
        <f>M206*S206*W206</f>
        <v>0</v>
      </c>
      <c r="P206" s="562" t="b">
        <v>0</v>
      </c>
      <c r="Q206" s="562" t="b">
        <v>1</v>
      </c>
      <c r="R206" s="562" t="b">
        <v>0</v>
      </c>
      <c r="S206" s="562" t="b">
        <v>1</v>
      </c>
      <c r="T206" s="562" t="b">
        <v>0</v>
      </c>
      <c r="U206" s="562"/>
      <c r="V206" s="562"/>
      <c r="W206" s="18"/>
      <c r="X206" s="825"/>
      <c r="Y206" s="969" t="str">
        <f>IF(LEN('Ch5'!X207)=0,"None",'Ch5'!X207)</f>
        <v>None</v>
      </c>
      <c r="Z206" s="972"/>
      <c r="AA206" s="562">
        <f>'Photo Review'!H206</f>
        <v>0</v>
      </c>
      <c r="AB206" s="562"/>
      <c r="AC206" s="562"/>
      <c r="AD206" s="562"/>
      <c r="AE206" s="562"/>
      <c r="AF206" s="562"/>
      <c r="AG206" s="562"/>
      <c r="AH206" s="562"/>
      <c r="AI206" s="562"/>
      <c r="AJ206" s="562"/>
      <c r="AK206" s="562"/>
      <c r="AL206" s="190" t="str">
        <f>SUBSTITUTE(SUBSTITUTE(SUBSTITUTE("vpa"&amp;$B206&amp;$C206&amp;$D206&amp;$E206&amp;$F206,".","_"),"(","_"),")","")</f>
        <v>vpa505_1_1</v>
      </c>
      <c r="AM206" s="190">
        <f>M206</f>
        <v>5</v>
      </c>
      <c r="AN206" s="190" t="str">
        <f>SUBSTITUTE(SUBSTITUTE(SUBSTITUTE("vpc"&amp;$B206&amp;$C206&amp;$D206&amp;$E206&amp;$F206,".","_"),"(","_"),")","")</f>
        <v>vpc505_1_1</v>
      </c>
      <c r="AO206" s="190">
        <f>O206</f>
        <v>0</v>
      </c>
      <c r="AP206" s="190" t="str">
        <f>SUBSTITUTE(SUBSTITUTE(SUBSTITUTE("vch"&amp;$B206&amp;$C206&amp;$D206&amp;$E206&amp;$F206,".","_"),"(","_"),")","")</f>
        <v>vch505_1_1</v>
      </c>
      <c r="AQ206" s="190">
        <f>W206</f>
        <v>0</v>
      </c>
      <c r="AR206" s="190" t="str">
        <f>SUBSTITUTE(SUBSTITUTE(SUBSTITUTE("vnt"&amp;$B206&amp;$C206&amp;$D206&amp;$E206&amp;$F206,".","_"),"(","_"),")","")</f>
        <v>vnt505_1_1</v>
      </c>
      <c r="AS206" s="190">
        <f>X206</f>
        <v>0</v>
      </c>
    </row>
    <row r="207" spans="1:45" x14ac:dyDescent="0.2">
      <c r="A207" s="541">
        <v>5</v>
      </c>
      <c r="B207" s="544" t="s">
        <v>2347</v>
      </c>
      <c r="C207" s="544"/>
      <c r="D207" s="544"/>
      <c r="E207" s="544" t="s">
        <v>2181</v>
      </c>
      <c r="F207" s="544"/>
      <c r="G207" s="543" t="str">
        <f>G206</f>
        <v/>
      </c>
      <c r="H207" s="545" t="s">
        <v>3758</v>
      </c>
      <c r="I207" s="60"/>
      <c r="J207" s="125"/>
      <c r="K207" s="128"/>
      <c r="L207" s="792"/>
      <c r="M207" s="995"/>
      <c r="N207" s="942"/>
      <c r="O207" s="942"/>
      <c r="P207" s="562"/>
      <c r="Q207" s="562"/>
      <c r="R207" s="562"/>
      <c r="S207" s="562"/>
      <c r="T207" s="562"/>
      <c r="U207" s="562"/>
      <c r="V207" s="562"/>
      <c r="W207" s="562"/>
      <c r="X207" s="786"/>
      <c r="Y207" s="975"/>
      <c r="Z207" s="976"/>
      <c r="AA207" s="562"/>
      <c r="AB207" s="562"/>
      <c r="AC207" s="562"/>
      <c r="AD207" s="562"/>
      <c r="AE207" s="562"/>
      <c r="AF207" s="562"/>
      <c r="AG207" s="562"/>
      <c r="AH207" s="562"/>
      <c r="AI207" s="562"/>
      <c r="AJ207" s="562"/>
      <c r="AK207" s="562"/>
      <c r="AL207" s="562"/>
      <c r="AM207" s="562"/>
      <c r="AN207" s="562"/>
      <c r="AO207" s="562"/>
      <c r="AP207" s="562"/>
      <c r="AQ207" s="562"/>
      <c r="AR207" s="562"/>
      <c r="AS207" s="562"/>
    </row>
    <row r="208" spans="1:45" ht="16" x14ac:dyDescent="0.2">
      <c r="A208" s="541">
        <v>5</v>
      </c>
      <c r="B208" s="544" t="s">
        <v>2347</v>
      </c>
      <c r="C208" s="544"/>
      <c r="D208" s="544"/>
      <c r="E208" s="544" t="s">
        <v>2183</v>
      </c>
      <c r="F208" s="544"/>
      <c r="G208" s="543" t="str">
        <f ca="1">IF(N208&gt;0,"P","")</f>
        <v/>
      </c>
      <c r="H208" s="545" t="s">
        <v>3758</v>
      </c>
      <c r="I208" s="60"/>
      <c r="J208" s="125" t="s">
        <v>2183</v>
      </c>
      <c r="K208" s="128"/>
      <c r="L208" s="126" t="s">
        <v>2351</v>
      </c>
      <c r="M208" s="679">
        <v>5</v>
      </c>
      <c r="N208" s="669">
        <f ca="1">'Ch5'!O209</f>
        <v>0</v>
      </c>
      <c r="O208" s="669">
        <f ca="1">M208*S208*W208</f>
        <v>0</v>
      </c>
      <c r="P208" s="562" t="b">
        <v>0</v>
      </c>
      <c r="Q208" s="562" t="b">
        <v>1</v>
      </c>
      <c r="R208" s="562" t="b">
        <v>0</v>
      </c>
      <c r="S208" s="562" t="b">
        <f ca="1">IF($AY$18=INDEX(INDIRECT("ddSingleOrMulti"),2),TRUE,FALSE)</f>
        <v>0</v>
      </c>
      <c r="T208" s="64" t="b">
        <f ca="1">IF(AND(NOT(S208),W208=TRUE),TRUE,FALSE)</f>
        <v>0</v>
      </c>
      <c r="U208" s="562"/>
      <c r="V208" s="562"/>
      <c r="W208" s="18"/>
      <c r="X208" s="564"/>
      <c r="Y208" s="578" t="str">
        <f>IF(LEN('Ch5'!X209)=0,"None",'Ch5'!X209)</f>
        <v>None</v>
      </c>
      <c r="Z208" s="579"/>
      <c r="AA208" s="562"/>
      <c r="AB208" s="562"/>
      <c r="AC208" s="562" t="b">
        <f ca="1">OR(AD208:AE208)</f>
        <v>0</v>
      </c>
      <c r="AD208" s="562" t="b">
        <f ca="1">T208</f>
        <v>0</v>
      </c>
      <c r="AE208" s="562"/>
      <c r="AF208" s="562"/>
      <c r="AG208" s="562"/>
      <c r="AH208" s="562"/>
      <c r="AI208" s="562"/>
      <c r="AJ208" s="562"/>
      <c r="AK208" s="562"/>
      <c r="AL208" s="190" t="str">
        <f>SUBSTITUTE(SUBSTITUTE(SUBSTITUTE("vpa"&amp;$B208&amp;$C208&amp;$D208&amp;$E208&amp;$F208,".","_"),"(","_"),")","")</f>
        <v>vpa505_1_2</v>
      </c>
      <c r="AM208" s="190">
        <f>M208</f>
        <v>5</v>
      </c>
      <c r="AN208" s="190" t="str">
        <f t="shared" ref="AN208:AN209" si="61">SUBSTITUTE(SUBSTITUTE(SUBSTITUTE("vpc"&amp;$B208&amp;$C208&amp;$D208&amp;$E208&amp;$F208,".","_"),"(","_"),")","")</f>
        <v>vpc505_1_2</v>
      </c>
      <c r="AO208" s="190">
        <f ca="1">O208</f>
        <v>0</v>
      </c>
      <c r="AP208" s="190" t="str">
        <f t="shared" ref="AP208:AP209" si="62">SUBSTITUTE(SUBSTITUTE(SUBSTITUTE("vch"&amp;$B208&amp;$C208&amp;$D208&amp;$E208&amp;$F208,".","_"),"(","_"),")","")</f>
        <v>vch505_1_2</v>
      </c>
      <c r="AQ208" s="190">
        <f>W208</f>
        <v>0</v>
      </c>
      <c r="AR208" s="190" t="str">
        <f t="shared" ref="AR208:AR209" si="63">SUBSTITUTE(SUBSTITUTE(SUBSTITUTE("vnt"&amp;$B208&amp;$C208&amp;$D208&amp;$E208&amp;$F208,".","_"),"(","_"),")","")</f>
        <v>vnt505_1_2</v>
      </c>
      <c r="AS208" s="190">
        <f>X208</f>
        <v>0</v>
      </c>
    </row>
    <row r="209" spans="1:45" x14ac:dyDescent="0.2">
      <c r="A209" s="541">
        <v>5</v>
      </c>
      <c r="B209" s="544" t="s">
        <v>2347</v>
      </c>
      <c r="C209" s="544"/>
      <c r="D209" s="544"/>
      <c r="E209" s="544" t="s">
        <v>2185</v>
      </c>
      <c r="F209" s="544"/>
      <c r="G209" s="543" t="str">
        <f ca="1">IF(N209&gt;0,"P","")</f>
        <v/>
      </c>
      <c r="H209" s="545" t="s">
        <v>3758</v>
      </c>
      <c r="I209" s="60"/>
      <c r="J209" s="57" t="s">
        <v>2185</v>
      </c>
      <c r="K209" s="60"/>
      <c r="L209" s="53" t="s">
        <v>2352</v>
      </c>
      <c r="M209" s="678"/>
      <c r="N209" s="648">
        <f ca="1">'Ch5'!O210</f>
        <v>0</v>
      </c>
      <c r="O209" s="648">
        <f ca="1">S209*IFERROR(INDEX({4,5,6},MATCH(W209,INDIRECT(U209),0)),0)</f>
        <v>0</v>
      </c>
      <c r="P209" s="562" t="b">
        <v>0</v>
      </c>
      <c r="Q209" s="562" t="b">
        <v>1</v>
      </c>
      <c r="R209" s="562" t="b">
        <v>0</v>
      </c>
      <c r="S209" s="562" t="b">
        <v>1</v>
      </c>
      <c r="T209" s="562" t="b">
        <v>0</v>
      </c>
      <c r="U209" s="562" t="str">
        <f>SUBSTITUTE(SUBSTITUTE(SUBSTITUTE("dd"&amp;B209&amp;C209&amp;D209&amp;E209&amp;F209,".","_"),"(","_"),")","")</f>
        <v>dd505_1_3</v>
      </c>
      <c r="V209" s="562"/>
      <c r="W209" s="6"/>
      <c r="X209" s="825"/>
      <c r="Y209" s="969" t="str">
        <f>IF(LEN('Ch5'!X210)=0,"None",'Ch5'!X210)</f>
        <v>None</v>
      </c>
      <c r="Z209" s="972"/>
      <c r="AA209" s="562"/>
      <c r="AB209" s="562"/>
      <c r="AC209" s="562"/>
      <c r="AD209" s="562"/>
      <c r="AE209" s="562"/>
      <c r="AF209" s="562"/>
      <c r="AG209" s="562"/>
      <c r="AH209" s="562"/>
      <c r="AI209" s="562"/>
      <c r="AJ209" s="562"/>
      <c r="AK209" s="562"/>
      <c r="AL209" s="562"/>
      <c r="AM209" s="562"/>
      <c r="AN209" s="190" t="str">
        <f t="shared" si="61"/>
        <v>vpc505_1_3</v>
      </c>
      <c r="AO209" s="190">
        <f ca="1">O209</f>
        <v>0</v>
      </c>
      <c r="AP209" s="190" t="str">
        <f t="shared" si="62"/>
        <v>vch505_1_3</v>
      </c>
      <c r="AQ209" s="190">
        <f>W209</f>
        <v>0</v>
      </c>
      <c r="AR209" s="190" t="str">
        <f t="shared" si="63"/>
        <v>vnt505_1_3</v>
      </c>
      <c r="AS209" s="190">
        <f>X209</f>
        <v>0</v>
      </c>
    </row>
    <row r="210" spans="1:45" x14ac:dyDescent="0.2">
      <c r="A210" s="541">
        <v>5</v>
      </c>
      <c r="B210" s="544" t="s">
        <v>2347</v>
      </c>
      <c r="C210" s="544"/>
      <c r="D210" s="544"/>
      <c r="E210" s="544" t="s">
        <v>2185</v>
      </c>
      <c r="F210" s="548" t="s">
        <v>2196</v>
      </c>
      <c r="G210" s="543" t="str">
        <f t="shared" ref="G210:G212" ca="1" si="64">G209</f>
        <v/>
      </c>
      <c r="H210" s="541" t="s">
        <v>3758</v>
      </c>
      <c r="I210" s="56"/>
      <c r="J210" s="60"/>
      <c r="K210" s="57" t="s">
        <v>2196</v>
      </c>
      <c r="L210" s="53" t="s">
        <v>2353</v>
      </c>
      <c r="M210" s="678">
        <v>4</v>
      </c>
      <c r="N210" s="648"/>
      <c r="O210" s="648"/>
      <c r="P210" s="562"/>
      <c r="Q210" s="562"/>
      <c r="R210" s="562" t="b">
        <v>0</v>
      </c>
      <c r="S210" s="562" t="b">
        <v>1</v>
      </c>
      <c r="T210" s="562" t="b">
        <v>0</v>
      </c>
      <c r="U210" s="562"/>
      <c r="V210" s="562"/>
      <c r="W210" s="562"/>
      <c r="X210" s="797"/>
      <c r="Y210" s="970"/>
      <c r="Z210" s="973"/>
      <c r="AA210" s="562"/>
      <c r="AB210" s="562"/>
      <c r="AC210" s="562"/>
      <c r="AD210" s="562"/>
      <c r="AE210" s="562"/>
      <c r="AF210" s="562"/>
      <c r="AG210" s="562"/>
      <c r="AH210" s="562"/>
      <c r="AI210" s="562"/>
      <c r="AJ210" s="562"/>
      <c r="AK210" s="562"/>
      <c r="AL210" s="190" t="str">
        <f t="shared" ref="AL210:AL212" si="65">SUBSTITUTE(SUBSTITUTE(SUBSTITUTE("vpa"&amp;$B210&amp;$C210&amp;$D210&amp;$E210&amp;$F210,".","_"),"(","_"),")","")</f>
        <v>vpa505_1_3_a</v>
      </c>
      <c r="AM210" s="190">
        <f>M210</f>
        <v>4</v>
      </c>
      <c r="AN210" s="562"/>
      <c r="AO210" s="562"/>
      <c r="AP210" s="562"/>
      <c r="AQ210" s="562"/>
      <c r="AR210" s="562"/>
      <c r="AS210" s="562"/>
    </row>
    <row r="211" spans="1:45" x14ac:dyDescent="0.2">
      <c r="A211" s="541">
        <v>5</v>
      </c>
      <c r="B211" s="544" t="s">
        <v>2347</v>
      </c>
      <c r="C211" s="544"/>
      <c r="D211" s="544"/>
      <c r="E211" s="544" t="s">
        <v>2185</v>
      </c>
      <c r="F211" s="548" t="s">
        <v>2198</v>
      </c>
      <c r="G211" s="543" t="str">
        <f t="shared" ca="1" si="64"/>
        <v/>
      </c>
      <c r="H211" s="541" t="s">
        <v>3758</v>
      </c>
      <c r="I211" s="56"/>
      <c r="J211" s="60"/>
      <c r="K211" s="57" t="s">
        <v>2198</v>
      </c>
      <c r="L211" s="53" t="s">
        <v>2354</v>
      </c>
      <c r="M211" s="678">
        <v>5</v>
      </c>
      <c r="N211" s="648"/>
      <c r="O211" s="648"/>
      <c r="P211" s="562"/>
      <c r="Q211" s="562"/>
      <c r="R211" s="562" t="b">
        <v>0</v>
      </c>
      <c r="S211" s="562" t="b">
        <v>1</v>
      </c>
      <c r="T211" s="562" t="b">
        <v>0</v>
      </c>
      <c r="U211" s="562"/>
      <c r="V211" s="562"/>
      <c r="W211" s="562"/>
      <c r="X211" s="797"/>
      <c r="Y211" s="970"/>
      <c r="Z211" s="973"/>
      <c r="AA211" s="562"/>
      <c r="AB211" s="562"/>
      <c r="AC211" s="562"/>
      <c r="AD211" s="562"/>
      <c r="AE211" s="562"/>
      <c r="AF211" s="562"/>
      <c r="AG211" s="562"/>
      <c r="AH211" s="562"/>
      <c r="AI211" s="562"/>
      <c r="AJ211" s="562"/>
      <c r="AK211" s="562"/>
      <c r="AL211" s="190" t="str">
        <f t="shared" si="65"/>
        <v>vpa505_1_3_b</v>
      </c>
      <c r="AM211" s="190">
        <f>M211</f>
        <v>5</v>
      </c>
      <c r="AN211" s="562"/>
      <c r="AO211" s="562"/>
      <c r="AP211" s="562"/>
      <c r="AQ211" s="562"/>
      <c r="AR211" s="562"/>
      <c r="AS211" s="562"/>
    </row>
    <row r="212" spans="1:45" x14ac:dyDescent="0.2">
      <c r="A212" s="541">
        <v>5</v>
      </c>
      <c r="B212" s="544" t="s">
        <v>2347</v>
      </c>
      <c r="C212" s="544"/>
      <c r="D212" s="544"/>
      <c r="E212" s="544" t="s">
        <v>2185</v>
      </c>
      <c r="F212" s="548" t="s">
        <v>2200</v>
      </c>
      <c r="G212" s="543" t="str">
        <f t="shared" ca="1" si="64"/>
        <v/>
      </c>
      <c r="H212" s="541" t="s">
        <v>3758</v>
      </c>
      <c r="I212" s="56"/>
      <c r="J212" s="128"/>
      <c r="K212" s="130" t="s">
        <v>2200</v>
      </c>
      <c r="L212" s="126" t="s">
        <v>2235</v>
      </c>
      <c r="M212" s="679">
        <v>6</v>
      </c>
      <c r="N212" s="669"/>
      <c r="O212" s="669"/>
      <c r="P212" s="562"/>
      <c r="Q212" s="562"/>
      <c r="R212" s="562" t="b">
        <v>0</v>
      </c>
      <c r="S212" s="562" t="b">
        <v>1</v>
      </c>
      <c r="T212" s="562" t="b">
        <v>0</v>
      </c>
      <c r="U212" s="562"/>
      <c r="V212" s="562"/>
      <c r="W212" s="562"/>
      <c r="X212" s="786"/>
      <c r="Y212" s="975"/>
      <c r="Z212" s="976"/>
      <c r="AA212" s="562"/>
      <c r="AB212" s="562"/>
      <c r="AC212" s="562"/>
      <c r="AD212" s="562"/>
      <c r="AE212" s="562"/>
      <c r="AF212" s="562"/>
      <c r="AG212" s="562"/>
      <c r="AH212" s="562"/>
      <c r="AI212" s="562"/>
      <c r="AJ212" s="562"/>
      <c r="AK212" s="562"/>
      <c r="AL212" s="190" t="str">
        <f t="shared" si="65"/>
        <v>vpa505_1_3_c</v>
      </c>
      <c r="AM212" s="190">
        <f>M212</f>
        <v>6</v>
      </c>
      <c r="AN212" s="562"/>
      <c r="AO212" s="562"/>
      <c r="AP212" s="562"/>
      <c r="AQ212" s="562"/>
      <c r="AR212" s="562"/>
      <c r="AS212" s="562"/>
    </row>
    <row r="213" spans="1:45" x14ac:dyDescent="0.2">
      <c r="A213" s="541">
        <v>5</v>
      </c>
      <c r="B213" s="544" t="s">
        <v>2347</v>
      </c>
      <c r="C213" s="544"/>
      <c r="D213" s="544"/>
      <c r="E213" s="544" t="s">
        <v>2192</v>
      </c>
      <c r="F213" s="544"/>
      <c r="G213" s="543" t="str">
        <f ca="1">IF(N213&gt;0,"P","")</f>
        <v/>
      </c>
      <c r="H213" s="545" t="s">
        <v>3758</v>
      </c>
      <c r="I213" s="60"/>
      <c r="J213" s="57" t="s">
        <v>2192</v>
      </c>
      <c r="K213" s="60"/>
      <c r="L213" s="817" t="s">
        <v>2355</v>
      </c>
      <c r="M213" s="678"/>
      <c r="N213" s="923">
        <f ca="1">'Ch5'!O214</f>
        <v>0</v>
      </c>
      <c r="O213" s="887">
        <f ca="1">S213*IFERROR(INDEX({1,2,3},MATCH(W213,INDIRECT(U213),0)),0)</f>
        <v>0</v>
      </c>
      <c r="P213" s="562" t="b">
        <v>0</v>
      </c>
      <c r="Q213" s="562" t="b">
        <v>1</v>
      </c>
      <c r="R213" s="562" t="b">
        <v>0</v>
      </c>
      <c r="S213" s="562" t="b">
        <v>1</v>
      </c>
      <c r="T213" s="562" t="b">
        <v>0</v>
      </c>
      <c r="U213" s="562" t="str">
        <f>SUBSTITUTE(SUBSTITUTE(SUBSTITUTE("dd"&amp;B213&amp;C213&amp;D213&amp;E213&amp;F213,".","_"),"(","_"),")","")</f>
        <v>dd505_1_4</v>
      </c>
      <c r="V213" s="562"/>
      <c r="W213" s="6"/>
      <c r="X213" s="825"/>
      <c r="Y213" s="969" t="str">
        <f>IF(LEN('Ch5'!X214)=0,"None",'Ch5'!X214)</f>
        <v>None</v>
      </c>
      <c r="Z213" s="972"/>
      <c r="AA213" s="562"/>
      <c r="AB213" s="562"/>
      <c r="AC213" s="562"/>
      <c r="AD213" s="562"/>
      <c r="AE213" s="562"/>
      <c r="AF213" s="562"/>
      <c r="AG213" s="562"/>
      <c r="AH213" s="562"/>
      <c r="AI213" s="562"/>
      <c r="AJ213" s="562"/>
      <c r="AK213" s="562"/>
      <c r="AL213" s="562"/>
      <c r="AM213" s="562"/>
      <c r="AN213" s="190" t="str">
        <f>SUBSTITUTE(SUBSTITUTE(SUBSTITUTE("vpc"&amp;$B213&amp;$C213&amp;$D213&amp;$E213&amp;$F213,".","_"),"(","_"),")","")</f>
        <v>vpc505_1_4</v>
      </c>
      <c r="AO213" s="190">
        <f ca="1">O213</f>
        <v>0</v>
      </c>
      <c r="AP213" s="190" t="str">
        <f>SUBSTITUTE(SUBSTITUTE(SUBSTITUTE("vch"&amp;$B213&amp;$C213&amp;$D213&amp;$E213&amp;$F213,".","_"),"(","_"),")","")</f>
        <v>vch505_1_4</v>
      </c>
      <c r="AQ213" s="190">
        <f>W213</f>
        <v>0</v>
      </c>
      <c r="AR213" s="190" t="str">
        <f>SUBSTITUTE(SUBSTITUTE(SUBSTITUTE("vnt"&amp;$B213&amp;$C213&amp;$D213&amp;$E213&amp;$F213,".","_"),"(","_"),")","")</f>
        <v>vnt505_1_4</v>
      </c>
      <c r="AS213" s="190">
        <f>X213</f>
        <v>0</v>
      </c>
    </row>
    <row r="214" spans="1:45" x14ac:dyDescent="0.2">
      <c r="A214" s="541">
        <v>5</v>
      </c>
      <c r="B214" s="544" t="s">
        <v>2347</v>
      </c>
      <c r="C214" s="544"/>
      <c r="D214" s="544"/>
      <c r="E214" s="544" t="s">
        <v>2192</v>
      </c>
      <c r="F214" s="544"/>
      <c r="G214" s="543" t="str">
        <f t="shared" ref="G214:G217" ca="1" si="66">G213</f>
        <v/>
      </c>
      <c r="H214" s="545" t="s">
        <v>3758</v>
      </c>
      <c r="I214" s="60"/>
      <c r="J214" s="60"/>
      <c r="K214" s="60"/>
      <c r="L214" s="817"/>
      <c r="M214" s="678"/>
      <c r="N214" s="887"/>
      <c r="O214" s="887"/>
      <c r="P214" s="562"/>
      <c r="Q214" s="562"/>
      <c r="R214" s="562"/>
      <c r="S214" s="562"/>
      <c r="T214" s="562"/>
      <c r="U214" s="562"/>
      <c r="V214" s="562"/>
      <c r="W214" s="562"/>
      <c r="X214" s="797"/>
      <c r="Y214" s="970"/>
      <c r="Z214" s="973"/>
      <c r="AA214" s="562"/>
      <c r="AB214" s="562"/>
      <c r="AC214" s="562"/>
      <c r="AD214" s="562"/>
      <c r="AE214" s="562"/>
      <c r="AF214" s="562"/>
      <c r="AG214" s="562"/>
      <c r="AH214" s="562"/>
      <c r="AI214" s="562"/>
      <c r="AJ214" s="562"/>
      <c r="AK214" s="562"/>
      <c r="AL214" s="562"/>
      <c r="AM214" s="562"/>
      <c r="AN214" s="562"/>
      <c r="AO214" s="562"/>
      <c r="AP214" s="562"/>
      <c r="AQ214" s="562"/>
      <c r="AR214" s="562"/>
      <c r="AS214" s="562"/>
    </row>
    <row r="215" spans="1:45" x14ac:dyDescent="0.2">
      <c r="A215" s="541">
        <v>5</v>
      </c>
      <c r="B215" s="544" t="s">
        <v>2347</v>
      </c>
      <c r="C215" s="544"/>
      <c r="D215" s="544"/>
      <c r="E215" s="544" t="s">
        <v>2192</v>
      </c>
      <c r="F215" s="548" t="s">
        <v>2196</v>
      </c>
      <c r="G215" s="543" t="str">
        <f t="shared" ca="1" si="66"/>
        <v/>
      </c>
      <c r="H215" s="541" t="s">
        <v>3758</v>
      </c>
      <c r="I215" s="56"/>
      <c r="J215" s="60"/>
      <c r="K215" s="57" t="s">
        <v>2196</v>
      </c>
      <c r="L215" s="53" t="s">
        <v>2356</v>
      </c>
      <c r="M215" s="678">
        <v>1</v>
      </c>
      <c r="N215" s="648"/>
      <c r="O215" s="648"/>
      <c r="P215" s="562"/>
      <c r="Q215" s="562"/>
      <c r="R215" s="562" t="b">
        <v>0</v>
      </c>
      <c r="S215" s="562" t="b">
        <v>1</v>
      </c>
      <c r="T215" s="562" t="b">
        <v>0</v>
      </c>
      <c r="U215" s="562"/>
      <c r="V215" s="562"/>
      <c r="W215" s="562"/>
      <c r="X215" s="797"/>
      <c r="Y215" s="970"/>
      <c r="Z215" s="973"/>
      <c r="AA215" s="562"/>
      <c r="AB215" s="562"/>
      <c r="AC215" s="562"/>
      <c r="AD215" s="562"/>
      <c r="AE215" s="562"/>
      <c r="AF215" s="562"/>
      <c r="AG215" s="562"/>
      <c r="AH215" s="562"/>
      <c r="AI215" s="562"/>
      <c r="AJ215" s="562"/>
      <c r="AK215" s="562"/>
      <c r="AL215" s="190" t="str">
        <f t="shared" ref="AL215:AL217" si="67">SUBSTITUTE(SUBSTITUTE(SUBSTITUTE("vpa"&amp;$B215&amp;$C215&amp;$D215&amp;$E215&amp;$F215,".","_"),"(","_"),")","")</f>
        <v>vpa505_1_4_a</v>
      </c>
      <c r="AM215" s="190">
        <f>M215</f>
        <v>1</v>
      </c>
      <c r="AN215" s="562"/>
      <c r="AO215" s="562"/>
      <c r="AP215" s="562"/>
      <c r="AQ215" s="562"/>
      <c r="AR215" s="562"/>
      <c r="AS215" s="562"/>
    </row>
    <row r="216" spans="1:45" x14ac:dyDescent="0.2">
      <c r="A216" s="541">
        <v>5</v>
      </c>
      <c r="B216" s="544" t="s">
        <v>2347</v>
      </c>
      <c r="C216" s="544"/>
      <c r="D216" s="544"/>
      <c r="E216" s="544" t="s">
        <v>2192</v>
      </c>
      <c r="F216" s="548" t="s">
        <v>2198</v>
      </c>
      <c r="G216" s="543" t="str">
        <f t="shared" ca="1" si="66"/>
        <v/>
      </c>
      <c r="H216" s="541" t="s">
        <v>3758</v>
      </c>
      <c r="I216" s="56"/>
      <c r="J216" s="60"/>
      <c r="K216" s="57" t="s">
        <v>2198</v>
      </c>
      <c r="L216" s="53" t="s">
        <v>2234</v>
      </c>
      <c r="M216" s="678">
        <v>2</v>
      </c>
      <c r="N216" s="648"/>
      <c r="O216" s="648"/>
      <c r="P216" s="562"/>
      <c r="Q216" s="562"/>
      <c r="R216" s="562" t="b">
        <v>0</v>
      </c>
      <c r="S216" s="562" t="b">
        <v>1</v>
      </c>
      <c r="T216" s="562" t="b">
        <v>0</v>
      </c>
      <c r="U216" s="562"/>
      <c r="V216" s="562"/>
      <c r="W216" s="562"/>
      <c r="X216" s="797"/>
      <c r="Y216" s="970"/>
      <c r="Z216" s="973"/>
      <c r="AA216" s="562"/>
      <c r="AB216" s="562"/>
      <c r="AC216" s="562"/>
      <c r="AD216" s="562"/>
      <c r="AE216" s="562"/>
      <c r="AF216" s="562"/>
      <c r="AG216" s="562"/>
      <c r="AH216" s="562"/>
      <c r="AI216" s="562"/>
      <c r="AJ216" s="562"/>
      <c r="AK216" s="562"/>
      <c r="AL216" s="190" t="str">
        <f t="shared" si="67"/>
        <v>vpa505_1_4_b</v>
      </c>
      <c r="AM216" s="190">
        <f>M216</f>
        <v>2</v>
      </c>
      <c r="AN216" s="562"/>
      <c r="AO216" s="562"/>
      <c r="AP216" s="562"/>
      <c r="AQ216" s="562"/>
      <c r="AR216" s="562"/>
      <c r="AS216" s="562"/>
    </row>
    <row r="217" spans="1:45" ht="16" thickBot="1" x14ac:dyDescent="0.25">
      <c r="A217" s="541">
        <v>5</v>
      </c>
      <c r="B217" s="544" t="s">
        <v>2347</v>
      </c>
      <c r="C217" s="544"/>
      <c r="D217" s="544"/>
      <c r="E217" s="544" t="s">
        <v>2192</v>
      </c>
      <c r="F217" s="548" t="s">
        <v>2200</v>
      </c>
      <c r="G217" s="543" t="str">
        <f t="shared" ca="1" si="66"/>
        <v/>
      </c>
      <c r="H217" s="541" t="s">
        <v>3758</v>
      </c>
      <c r="I217" s="84"/>
      <c r="J217" s="72"/>
      <c r="K217" s="80" t="s">
        <v>2200</v>
      </c>
      <c r="L217" s="67" t="s">
        <v>2235</v>
      </c>
      <c r="M217" s="677">
        <v>3</v>
      </c>
      <c r="N217" s="674"/>
      <c r="O217" s="674"/>
      <c r="P217" s="68"/>
      <c r="Q217" s="68"/>
      <c r="R217" s="68" t="b">
        <v>0</v>
      </c>
      <c r="S217" s="68" t="b">
        <v>1</v>
      </c>
      <c r="T217" s="68" t="b">
        <v>0</v>
      </c>
      <c r="U217" s="68"/>
      <c r="V217" s="68"/>
      <c r="W217" s="68"/>
      <c r="X217" s="826"/>
      <c r="Y217" s="971"/>
      <c r="Z217" s="974"/>
      <c r="AA217" s="562"/>
      <c r="AB217" s="562"/>
      <c r="AC217" s="562"/>
      <c r="AD217" s="562"/>
      <c r="AE217" s="562"/>
      <c r="AF217" s="562"/>
      <c r="AG217" s="562"/>
      <c r="AH217" s="562"/>
      <c r="AI217" s="562"/>
      <c r="AJ217" s="562"/>
      <c r="AK217" s="562"/>
      <c r="AL217" s="190" t="str">
        <f t="shared" si="67"/>
        <v>vpa505_1_4_c</v>
      </c>
      <c r="AM217" s="190">
        <f>M217</f>
        <v>3</v>
      </c>
      <c r="AN217" s="562"/>
      <c r="AO217" s="562"/>
      <c r="AP217" s="562"/>
      <c r="AQ217" s="562"/>
      <c r="AR217" s="562"/>
      <c r="AS217" s="562"/>
    </row>
    <row r="218" spans="1:45" ht="16" thickTop="1" x14ac:dyDescent="0.2">
      <c r="A218" s="541">
        <v>5</v>
      </c>
      <c r="B218" s="544" t="s">
        <v>2357</v>
      </c>
      <c r="C218" s="544"/>
      <c r="D218" s="544"/>
      <c r="E218" s="544"/>
      <c r="F218" s="544"/>
      <c r="G218" s="539" t="str">
        <f>IF(COUNTIF(G219:G229,"P")&gt;0,"P","")</f>
        <v/>
      </c>
      <c r="H218" s="545" t="s">
        <v>3758</v>
      </c>
      <c r="I218" s="57" t="s">
        <v>2358</v>
      </c>
      <c r="J218" s="60"/>
      <c r="K218" s="60"/>
      <c r="L218" s="55" t="s">
        <v>2359</v>
      </c>
      <c r="M218" s="678"/>
      <c r="N218" s="648"/>
      <c r="O218" s="648"/>
      <c r="P218" s="562"/>
      <c r="Q218" s="562"/>
      <c r="R218" s="562"/>
      <c r="S218" s="562"/>
      <c r="T218" s="562"/>
      <c r="U218" s="562"/>
      <c r="V218" s="562"/>
      <c r="W218" s="562"/>
      <c r="X218" s="562"/>
      <c r="Y218" s="562"/>
      <c r="Z218" s="430"/>
      <c r="AA218" s="562"/>
      <c r="AB218" s="562"/>
      <c r="AC218" s="562"/>
      <c r="AD218" s="562"/>
      <c r="AE218" s="562"/>
      <c r="AF218" s="562"/>
      <c r="AG218" s="562"/>
      <c r="AH218" s="562"/>
      <c r="AI218" s="562"/>
      <c r="AJ218" s="562"/>
      <c r="AK218" s="562"/>
      <c r="AL218" s="562"/>
      <c r="AM218" s="562"/>
      <c r="AN218" s="562"/>
      <c r="AO218" s="562"/>
      <c r="AP218" s="562"/>
      <c r="AQ218" s="562"/>
      <c r="AR218" s="190"/>
      <c r="AS218" s="190"/>
    </row>
    <row r="219" spans="1:45" x14ac:dyDescent="0.2">
      <c r="A219" s="541">
        <v>5</v>
      </c>
      <c r="B219" s="544" t="s">
        <v>2357</v>
      </c>
      <c r="C219" s="544"/>
      <c r="D219" s="544"/>
      <c r="E219" s="544" t="s">
        <v>2181</v>
      </c>
      <c r="F219" s="544"/>
      <c r="G219" s="543" t="str">
        <f>IF(N219&gt;0,"P","")</f>
        <v/>
      </c>
      <c r="H219" s="545" t="s">
        <v>3758</v>
      </c>
      <c r="I219" s="60"/>
      <c r="J219" s="57" t="s">
        <v>2181</v>
      </c>
      <c r="K219" s="60"/>
      <c r="L219" s="817" t="s">
        <v>2360</v>
      </c>
      <c r="M219" s="994">
        <v>5</v>
      </c>
      <c r="N219" s="887">
        <f>'Ch5'!O220</f>
        <v>0</v>
      </c>
      <c r="O219" s="887">
        <f>M219*MIN(1,W221+W224+W228)</f>
        <v>0</v>
      </c>
      <c r="P219" s="562"/>
      <c r="Q219" s="562"/>
      <c r="R219" s="562" t="b">
        <v>0</v>
      </c>
      <c r="S219" s="562" t="b">
        <v>1</v>
      </c>
      <c r="T219" s="562" t="b">
        <v>0</v>
      </c>
      <c r="U219" s="562"/>
      <c r="V219" s="562"/>
      <c r="W219" s="562"/>
      <c r="X219" s="825"/>
      <c r="Y219" s="969" t="str">
        <f>IF(LEN('Ch5'!X220)=0,"None",'Ch5'!X220)</f>
        <v>None</v>
      </c>
      <c r="Z219" s="972"/>
      <c r="AA219" s="562"/>
      <c r="AB219" s="562"/>
      <c r="AC219" s="562"/>
      <c r="AD219" s="562"/>
      <c r="AE219" s="562"/>
      <c r="AF219" s="562"/>
      <c r="AG219" s="562"/>
      <c r="AH219" s="562"/>
      <c r="AI219" s="562"/>
      <c r="AJ219" s="562"/>
      <c r="AK219" s="562"/>
      <c r="AL219" s="190" t="str">
        <f>SUBSTITUTE(SUBSTITUTE(SUBSTITUTE("vpa"&amp;$B219&amp;$C219&amp;$D219&amp;$E219&amp;$F219,".","_"),"(","_"),")","")</f>
        <v>vpa505_2_1</v>
      </c>
      <c r="AM219" s="190">
        <f>M219</f>
        <v>5</v>
      </c>
      <c r="AN219" s="190" t="str">
        <f>SUBSTITUTE(SUBSTITUTE(SUBSTITUTE("vpc"&amp;$B219&amp;$C219&amp;$D219&amp;$E219&amp;$F219,".","_"),"(","_"),")","")</f>
        <v>vpc505_2_1</v>
      </c>
      <c r="AO219" s="190">
        <f>O219</f>
        <v>0</v>
      </c>
      <c r="AP219" s="562"/>
      <c r="AQ219" s="562"/>
      <c r="AR219" s="190" t="str">
        <f>SUBSTITUTE(SUBSTITUTE(SUBSTITUTE("vnt"&amp;$B219&amp;$C219&amp;$D219&amp;$E219&amp;$F219,".","_"),"(","_"),")","")</f>
        <v>vnt505_2_1</v>
      </c>
      <c r="AS219" s="190">
        <f>X219</f>
        <v>0</v>
      </c>
    </row>
    <row r="220" spans="1:45" x14ac:dyDescent="0.2">
      <c r="A220" s="541">
        <v>5</v>
      </c>
      <c r="B220" s="544" t="s">
        <v>2357</v>
      </c>
      <c r="C220" s="544"/>
      <c r="D220" s="544"/>
      <c r="E220" s="544" t="s">
        <v>2181</v>
      </c>
      <c r="F220" s="544"/>
      <c r="G220" s="543" t="str">
        <f t="shared" ref="G220:G228" si="68">G219</f>
        <v/>
      </c>
      <c r="H220" s="545" t="s">
        <v>3758</v>
      </c>
      <c r="I220" s="60"/>
      <c r="J220" s="60"/>
      <c r="K220" s="60"/>
      <c r="L220" s="817"/>
      <c r="M220" s="994"/>
      <c r="N220" s="887"/>
      <c r="O220" s="887"/>
      <c r="P220" s="562"/>
      <c r="Q220" s="562"/>
      <c r="R220" s="562"/>
      <c r="S220" s="562"/>
      <c r="T220" s="562"/>
      <c r="U220" s="562"/>
      <c r="V220" s="562"/>
      <c r="W220" s="562"/>
      <c r="X220" s="797"/>
      <c r="Y220" s="970"/>
      <c r="Z220" s="973"/>
      <c r="AA220" s="562"/>
      <c r="AB220" s="562"/>
      <c r="AC220" s="562"/>
      <c r="AD220" s="562"/>
      <c r="AE220" s="562"/>
      <c r="AF220" s="562"/>
      <c r="AG220" s="562"/>
      <c r="AH220" s="562"/>
      <c r="AI220" s="562"/>
      <c r="AJ220" s="562"/>
      <c r="AK220" s="562"/>
      <c r="AL220" s="562"/>
      <c r="AM220" s="562"/>
      <c r="AN220" s="562"/>
      <c r="AO220" s="562"/>
      <c r="AP220" s="562"/>
      <c r="AQ220" s="562"/>
      <c r="AR220" s="562"/>
      <c r="AS220" s="562"/>
    </row>
    <row r="221" spans="1:45" x14ac:dyDescent="0.2">
      <c r="A221" s="541">
        <v>5</v>
      </c>
      <c r="B221" s="544" t="s">
        <v>2357</v>
      </c>
      <c r="C221" s="544"/>
      <c r="D221" s="544"/>
      <c r="E221" s="544" t="s">
        <v>2181</v>
      </c>
      <c r="F221" s="548" t="s">
        <v>2196</v>
      </c>
      <c r="G221" s="543" t="str">
        <f t="shared" si="68"/>
        <v/>
      </c>
      <c r="H221" s="541" t="s">
        <v>3758</v>
      </c>
      <c r="I221" s="56"/>
      <c r="J221" s="60"/>
      <c r="K221" s="57" t="s">
        <v>2196</v>
      </c>
      <c r="L221" s="817" t="s">
        <v>2361</v>
      </c>
      <c r="M221" s="678"/>
      <c r="N221" s="648"/>
      <c r="O221" s="648"/>
      <c r="P221" s="562" t="b">
        <v>0</v>
      </c>
      <c r="Q221" s="562" t="b">
        <v>1</v>
      </c>
      <c r="R221" s="562" t="b">
        <v>0</v>
      </c>
      <c r="S221" s="562" t="b">
        <v>1</v>
      </c>
      <c r="T221" s="562" t="b">
        <v>0</v>
      </c>
      <c r="U221" s="562"/>
      <c r="V221" s="562"/>
      <c r="W221" s="18"/>
      <c r="X221" s="797"/>
      <c r="Y221" s="970"/>
      <c r="Z221" s="973"/>
      <c r="AA221" s="562">
        <f>'Photo Review'!H221</f>
        <v>0</v>
      </c>
      <c r="AB221" s="562"/>
      <c r="AC221" s="562"/>
      <c r="AD221" s="562"/>
      <c r="AE221" s="562"/>
      <c r="AF221" s="562"/>
      <c r="AG221" s="562"/>
      <c r="AH221" s="562"/>
      <c r="AI221" s="562"/>
      <c r="AJ221" s="562"/>
      <c r="AK221" s="562"/>
      <c r="AL221" s="562"/>
      <c r="AM221" s="562"/>
      <c r="AN221" s="562"/>
      <c r="AO221" s="562"/>
      <c r="AP221" s="190" t="str">
        <f>SUBSTITUTE(SUBSTITUTE(SUBSTITUTE("vch"&amp;$B221&amp;$C221&amp;$D221&amp;$E221&amp;$F221,".","_"),"(","_"),")","")</f>
        <v>vch505_2_1_a</v>
      </c>
      <c r="AQ221" s="190">
        <f>W221</f>
        <v>0</v>
      </c>
      <c r="AR221" s="562"/>
      <c r="AS221" s="562"/>
    </row>
    <row r="222" spans="1:45" x14ac:dyDescent="0.2">
      <c r="A222" s="541">
        <v>5</v>
      </c>
      <c r="B222" s="544" t="s">
        <v>2357</v>
      </c>
      <c r="C222" s="544"/>
      <c r="D222" s="544"/>
      <c r="E222" s="544" t="s">
        <v>2181</v>
      </c>
      <c r="F222" s="548" t="s">
        <v>2196</v>
      </c>
      <c r="G222" s="543" t="str">
        <f t="shared" si="68"/>
        <v/>
      </c>
      <c r="H222" s="541" t="s">
        <v>3758</v>
      </c>
      <c r="I222" s="56"/>
      <c r="J222" s="60"/>
      <c r="K222" s="60"/>
      <c r="L222" s="817"/>
      <c r="M222" s="678"/>
      <c r="N222" s="648"/>
      <c r="O222" s="648"/>
      <c r="P222" s="562"/>
      <c r="Q222" s="562"/>
      <c r="R222" s="562"/>
      <c r="S222" s="562"/>
      <c r="T222" s="562"/>
      <c r="U222" s="562"/>
      <c r="V222" s="562"/>
      <c r="W222" s="562"/>
      <c r="X222" s="797"/>
      <c r="Y222" s="970"/>
      <c r="Z222" s="973"/>
      <c r="AA222" s="562"/>
      <c r="AB222" s="562"/>
      <c r="AC222" s="562"/>
      <c r="AD222" s="562"/>
      <c r="AE222" s="562"/>
      <c r="AF222" s="562"/>
      <c r="AG222" s="562"/>
      <c r="AH222" s="562"/>
      <c r="AI222" s="562"/>
      <c r="AJ222" s="562"/>
      <c r="AK222" s="562"/>
      <c r="AL222" s="562"/>
      <c r="AM222" s="562"/>
      <c r="AN222" s="562"/>
      <c r="AO222" s="562"/>
      <c r="AP222" s="562"/>
      <c r="AQ222" s="562"/>
      <c r="AR222" s="562"/>
      <c r="AS222" s="562"/>
    </row>
    <row r="223" spans="1:45" x14ac:dyDescent="0.2">
      <c r="A223" s="541">
        <v>5</v>
      </c>
      <c r="B223" s="544" t="s">
        <v>2357</v>
      </c>
      <c r="C223" s="544"/>
      <c r="D223" s="544"/>
      <c r="E223" s="544" t="s">
        <v>2181</v>
      </c>
      <c r="F223" s="548" t="s">
        <v>2196</v>
      </c>
      <c r="G223" s="543" t="str">
        <f t="shared" si="68"/>
        <v/>
      </c>
      <c r="H223" s="541" t="s">
        <v>3758</v>
      </c>
      <c r="I223" s="56"/>
      <c r="J223" s="60"/>
      <c r="K223" s="60"/>
      <c r="L223" s="817"/>
      <c r="M223" s="678"/>
      <c r="N223" s="648"/>
      <c r="O223" s="648"/>
      <c r="P223" s="562"/>
      <c r="Q223" s="562"/>
      <c r="R223" s="562"/>
      <c r="S223" s="562"/>
      <c r="T223" s="562"/>
      <c r="U223" s="562"/>
      <c r="V223" s="562"/>
      <c r="W223" s="562"/>
      <c r="X223" s="797"/>
      <c r="Y223" s="970"/>
      <c r="Z223" s="973"/>
      <c r="AA223" s="562"/>
      <c r="AB223" s="562"/>
      <c r="AC223" s="562"/>
      <c r="AD223" s="562"/>
      <c r="AE223" s="562"/>
      <c r="AF223" s="562"/>
      <c r="AG223" s="562"/>
      <c r="AH223" s="562"/>
      <c r="AI223" s="562"/>
      <c r="AJ223" s="562"/>
      <c r="AK223" s="562"/>
      <c r="AL223" s="562"/>
      <c r="AM223" s="562"/>
      <c r="AN223" s="562"/>
      <c r="AO223" s="562"/>
      <c r="AP223" s="562"/>
      <c r="AQ223" s="562"/>
      <c r="AR223" s="562"/>
      <c r="AS223" s="562"/>
    </row>
    <row r="224" spans="1:45" x14ac:dyDescent="0.2">
      <c r="A224" s="541">
        <v>5</v>
      </c>
      <c r="B224" s="544" t="s">
        <v>2357</v>
      </c>
      <c r="C224" s="544"/>
      <c r="D224" s="544"/>
      <c r="E224" s="544" t="s">
        <v>2181</v>
      </c>
      <c r="F224" s="548" t="s">
        <v>2198</v>
      </c>
      <c r="G224" s="543" t="str">
        <f t="shared" si="68"/>
        <v/>
      </c>
      <c r="H224" s="541" t="s">
        <v>3758</v>
      </c>
      <c r="I224" s="56"/>
      <c r="J224" s="60"/>
      <c r="K224" s="57" t="s">
        <v>2198</v>
      </c>
      <c r="L224" s="817" t="s">
        <v>2362</v>
      </c>
      <c r="M224" s="678"/>
      <c r="N224" s="648"/>
      <c r="O224" s="648"/>
      <c r="P224" s="562" t="b">
        <v>0</v>
      </c>
      <c r="Q224" s="562" t="b">
        <v>1</v>
      </c>
      <c r="R224" s="562" t="b">
        <v>0</v>
      </c>
      <c r="S224" s="562" t="b">
        <v>1</v>
      </c>
      <c r="T224" s="562" t="b">
        <v>0</v>
      </c>
      <c r="U224" s="562"/>
      <c r="V224" s="562"/>
      <c r="W224" s="18"/>
      <c r="X224" s="797"/>
      <c r="Y224" s="970"/>
      <c r="Z224" s="973"/>
      <c r="AA224" s="562">
        <f>'Photo Review'!H224</f>
        <v>0</v>
      </c>
      <c r="AB224" s="562"/>
      <c r="AC224" s="562"/>
      <c r="AD224" s="562"/>
      <c r="AE224" s="562"/>
      <c r="AF224" s="562"/>
      <c r="AG224" s="562"/>
      <c r="AH224" s="562"/>
      <c r="AI224" s="562"/>
      <c r="AJ224" s="562"/>
      <c r="AK224" s="562"/>
      <c r="AL224" s="562"/>
      <c r="AM224" s="562"/>
      <c r="AN224" s="562"/>
      <c r="AO224" s="562"/>
      <c r="AP224" s="190" t="str">
        <f>SUBSTITUTE(SUBSTITUTE(SUBSTITUTE("vch"&amp;$B224&amp;$C224&amp;$D224&amp;$E224&amp;$F224,".","_"),"(","_"),")","")</f>
        <v>vch505_2_1_b</v>
      </c>
      <c r="AQ224" s="190">
        <f>W224</f>
        <v>0</v>
      </c>
      <c r="AR224" s="562"/>
      <c r="AS224" s="562"/>
    </row>
    <row r="225" spans="1:45" x14ac:dyDescent="0.2">
      <c r="A225" s="541">
        <v>5</v>
      </c>
      <c r="B225" s="544" t="s">
        <v>2357</v>
      </c>
      <c r="C225" s="544"/>
      <c r="D225" s="544"/>
      <c r="E225" s="544" t="s">
        <v>2181</v>
      </c>
      <c r="F225" s="548" t="s">
        <v>2198</v>
      </c>
      <c r="G225" s="543" t="str">
        <f t="shared" si="68"/>
        <v/>
      </c>
      <c r="H225" s="541" t="s">
        <v>3758</v>
      </c>
      <c r="I225" s="56"/>
      <c r="J225" s="60"/>
      <c r="K225" s="60"/>
      <c r="L225" s="817"/>
      <c r="M225" s="678"/>
      <c r="N225" s="648"/>
      <c r="O225" s="648"/>
      <c r="P225" s="562"/>
      <c r="Q225" s="562"/>
      <c r="R225" s="562"/>
      <c r="S225" s="562"/>
      <c r="T225" s="562"/>
      <c r="U225" s="562"/>
      <c r="V225" s="562"/>
      <c r="W225" s="562"/>
      <c r="X225" s="797"/>
      <c r="Y225" s="970"/>
      <c r="Z225" s="973"/>
      <c r="AA225" s="562"/>
      <c r="AB225" s="562"/>
      <c r="AC225" s="562"/>
      <c r="AD225" s="562"/>
      <c r="AE225" s="562"/>
      <c r="AF225" s="562"/>
      <c r="AG225" s="562"/>
      <c r="AH225" s="562"/>
      <c r="AI225" s="562"/>
      <c r="AJ225" s="562"/>
      <c r="AK225" s="562"/>
      <c r="AL225" s="562"/>
      <c r="AM225" s="562"/>
      <c r="AN225" s="562"/>
      <c r="AO225" s="562"/>
      <c r="AP225" s="562"/>
      <c r="AQ225" s="562"/>
      <c r="AR225" s="562"/>
      <c r="AS225" s="562"/>
    </row>
    <row r="226" spans="1:45" x14ac:dyDescent="0.2">
      <c r="A226" s="541">
        <v>5</v>
      </c>
      <c r="B226" s="544" t="s">
        <v>2357</v>
      </c>
      <c r="C226" s="544"/>
      <c r="D226" s="544"/>
      <c r="E226" s="544" t="s">
        <v>2181</v>
      </c>
      <c r="F226" s="548" t="s">
        <v>2198</v>
      </c>
      <c r="G226" s="543" t="str">
        <f t="shared" si="68"/>
        <v/>
      </c>
      <c r="H226" s="541" t="s">
        <v>3758</v>
      </c>
      <c r="I226" s="56"/>
      <c r="J226" s="60"/>
      <c r="K226" s="60"/>
      <c r="L226" s="817"/>
      <c r="M226" s="678"/>
      <c r="N226" s="648"/>
      <c r="O226" s="648"/>
      <c r="P226" s="562"/>
      <c r="Q226" s="562"/>
      <c r="R226" s="562"/>
      <c r="S226" s="562"/>
      <c r="T226" s="562"/>
      <c r="U226" s="562"/>
      <c r="V226" s="562"/>
      <c r="W226" s="562"/>
      <c r="X226" s="797"/>
      <c r="Y226" s="970"/>
      <c r="Z226" s="973"/>
      <c r="AA226" s="562"/>
      <c r="AB226" s="562"/>
      <c r="AC226" s="562"/>
      <c r="AD226" s="562"/>
      <c r="AE226" s="562"/>
      <c r="AF226" s="562"/>
      <c r="AG226" s="562"/>
      <c r="AH226" s="562"/>
      <c r="AI226" s="562"/>
      <c r="AJ226" s="562"/>
      <c r="AK226" s="562"/>
      <c r="AL226" s="562"/>
      <c r="AM226" s="562"/>
      <c r="AN226" s="562"/>
      <c r="AO226" s="562"/>
      <c r="AP226" s="562"/>
      <c r="AQ226" s="562"/>
      <c r="AR226" s="562"/>
      <c r="AS226" s="562"/>
    </row>
    <row r="227" spans="1:45" x14ac:dyDescent="0.2">
      <c r="A227" s="541">
        <v>5</v>
      </c>
      <c r="B227" s="544" t="s">
        <v>2357</v>
      </c>
      <c r="C227" s="544"/>
      <c r="D227" s="544"/>
      <c r="E227" s="544" t="s">
        <v>2181</v>
      </c>
      <c r="F227" s="548" t="s">
        <v>2198</v>
      </c>
      <c r="G227" s="543" t="str">
        <f t="shared" si="68"/>
        <v/>
      </c>
      <c r="H227" s="541" t="s">
        <v>3758</v>
      </c>
      <c r="I227" s="56"/>
      <c r="J227" s="60"/>
      <c r="K227" s="60"/>
      <c r="L227" s="817"/>
      <c r="M227" s="678"/>
      <c r="N227" s="648"/>
      <c r="O227" s="648"/>
      <c r="P227" s="562"/>
      <c r="Q227" s="562"/>
      <c r="R227" s="562"/>
      <c r="S227" s="562"/>
      <c r="T227" s="562"/>
      <c r="U227" s="562"/>
      <c r="V227" s="562"/>
      <c r="W227" s="562"/>
      <c r="X227" s="797"/>
      <c r="Y227" s="970"/>
      <c r="Z227" s="973"/>
      <c r="AA227" s="562"/>
      <c r="AB227" s="562"/>
      <c r="AC227" s="562"/>
      <c r="AD227" s="562"/>
      <c r="AE227" s="562"/>
      <c r="AF227" s="562"/>
      <c r="AG227" s="562"/>
      <c r="AH227" s="562"/>
      <c r="AI227" s="562"/>
      <c r="AJ227" s="562"/>
      <c r="AK227" s="562"/>
      <c r="AL227" s="562"/>
      <c r="AM227" s="562"/>
      <c r="AN227" s="562"/>
      <c r="AO227" s="562"/>
      <c r="AP227" s="562"/>
      <c r="AQ227" s="562"/>
      <c r="AR227" s="562"/>
      <c r="AS227" s="562"/>
    </row>
    <row r="228" spans="1:45" x14ac:dyDescent="0.2">
      <c r="A228" s="541">
        <v>5</v>
      </c>
      <c r="B228" s="544" t="s">
        <v>2357</v>
      </c>
      <c r="C228" s="544"/>
      <c r="D228" s="544"/>
      <c r="E228" s="544" t="s">
        <v>2181</v>
      </c>
      <c r="F228" s="548" t="s">
        <v>2200</v>
      </c>
      <c r="G228" s="543" t="str">
        <f t="shared" si="68"/>
        <v/>
      </c>
      <c r="H228" s="541" t="s">
        <v>3758</v>
      </c>
      <c r="I228" s="56"/>
      <c r="J228" s="128"/>
      <c r="K228" s="130" t="s">
        <v>2200</v>
      </c>
      <c r="L228" s="126" t="s">
        <v>2363</v>
      </c>
      <c r="M228" s="679"/>
      <c r="N228" s="669"/>
      <c r="O228" s="669"/>
      <c r="P228" s="562" t="b">
        <v>0</v>
      </c>
      <c r="Q228" s="562" t="b">
        <v>1</v>
      </c>
      <c r="R228" s="562" t="b">
        <v>0</v>
      </c>
      <c r="S228" s="562" t="b">
        <v>1</v>
      </c>
      <c r="T228" s="562" t="b">
        <v>0</v>
      </c>
      <c r="U228" s="562"/>
      <c r="V228" s="562"/>
      <c r="W228" s="18"/>
      <c r="X228" s="786"/>
      <c r="Y228" s="975"/>
      <c r="Z228" s="976"/>
      <c r="AA228" s="562"/>
      <c r="AB228" s="562"/>
      <c r="AC228" s="562"/>
      <c r="AD228" s="562"/>
      <c r="AE228" s="562"/>
      <c r="AF228" s="562"/>
      <c r="AG228" s="562"/>
      <c r="AH228" s="562"/>
      <c r="AI228" s="562"/>
      <c r="AJ228" s="562"/>
      <c r="AK228" s="562"/>
      <c r="AL228" s="562"/>
      <c r="AM228" s="562"/>
      <c r="AN228" s="562"/>
      <c r="AO228" s="562"/>
      <c r="AP228" s="190" t="str">
        <f t="shared" ref="AP228:AP229" si="69">SUBSTITUTE(SUBSTITUTE(SUBSTITUTE("vch"&amp;$B228&amp;$C228&amp;$D228&amp;$E228&amp;$F228,".","_"),"(","_"),")","")</f>
        <v>vch505_2_1_c</v>
      </c>
      <c r="AQ228" s="190">
        <f>W228</f>
        <v>0</v>
      </c>
      <c r="AR228" s="562"/>
      <c r="AS228" s="562"/>
    </row>
    <row r="229" spans="1:45" x14ac:dyDescent="0.2">
      <c r="A229" s="541">
        <v>5</v>
      </c>
      <c r="B229" s="544" t="s">
        <v>2357</v>
      </c>
      <c r="C229" s="544"/>
      <c r="D229" s="544"/>
      <c r="E229" s="544" t="s">
        <v>2183</v>
      </c>
      <c r="F229" s="544"/>
      <c r="G229" s="543" t="str">
        <f>IF(N229&gt;0,"P","")</f>
        <v/>
      </c>
      <c r="H229" s="545" t="s">
        <v>3758</v>
      </c>
      <c r="I229" s="71"/>
      <c r="J229" s="61" t="s">
        <v>2183</v>
      </c>
      <c r="K229" s="71"/>
      <c r="L229" s="791" t="s">
        <v>2364</v>
      </c>
      <c r="M229" s="992">
        <v>5</v>
      </c>
      <c r="N229" s="923">
        <f>'Ch5'!O230</f>
        <v>0</v>
      </c>
      <c r="O229" s="924">
        <f>M229*W229</f>
        <v>0</v>
      </c>
      <c r="P229" s="562" t="b">
        <v>0</v>
      </c>
      <c r="Q229" s="562" t="b">
        <v>1</v>
      </c>
      <c r="R229" s="64" t="b">
        <v>0</v>
      </c>
      <c r="S229" s="64" t="b">
        <v>1</v>
      </c>
      <c r="T229" s="64" t="b">
        <v>0</v>
      </c>
      <c r="U229" s="64"/>
      <c r="V229" s="64"/>
      <c r="W229" s="18"/>
      <c r="X229" s="825"/>
      <c r="Y229" s="969" t="str">
        <f>IF(LEN('Ch5'!X230)=0,"None",'Ch5'!X230)</f>
        <v>None</v>
      </c>
      <c r="Z229" s="972"/>
      <c r="AA229" s="562">
        <f>'Photo Review'!H229</f>
        <v>0</v>
      </c>
      <c r="AB229" s="562"/>
      <c r="AC229" s="562"/>
      <c r="AD229" s="562"/>
      <c r="AE229" s="562"/>
      <c r="AF229" s="562"/>
      <c r="AG229" s="562"/>
      <c r="AH229" s="562"/>
      <c r="AI229" s="562"/>
      <c r="AJ229" s="562"/>
      <c r="AK229" s="562"/>
      <c r="AL229" s="190" t="str">
        <f>SUBSTITUTE(SUBSTITUTE(SUBSTITUTE("vpa"&amp;$B229&amp;$C229&amp;$D229&amp;$E229&amp;$F229,".","_"),"(","_"),")","")</f>
        <v>vpa505_2_2</v>
      </c>
      <c r="AM229" s="190">
        <f>M229</f>
        <v>5</v>
      </c>
      <c r="AN229" s="190" t="str">
        <f>SUBSTITUTE(SUBSTITUTE(SUBSTITUTE("vpc"&amp;$B229&amp;$C229&amp;$D229&amp;$E229&amp;$F229,".","_"),"(","_"),")","")</f>
        <v>vpc505_2_2</v>
      </c>
      <c r="AO229" s="190">
        <f>O229</f>
        <v>0</v>
      </c>
      <c r="AP229" s="190" t="str">
        <f t="shared" si="69"/>
        <v>vch505_2_2</v>
      </c>
      <c r="AQ229" s="190">
        <f>W229</f>
        <v>0</v>
      </c>
      <c r="AR229" s="190" t="str">
        <f>SUBSTITUTE(SUBSTITUTE(SUBSTITUTE("vnt"&amp;$B229&amp;$C229&amp;$D229&amp;$E229&amp;$F229,".","_"),"(","_"),")","")</f>
        <v>vnt505_2_2</v>
      </c>
      <c r="AS229" s="190">
        <f>X229</f>
        <v>0</v>
      </c>
    </row>
    <row r="230" spans="1:45" x14ac:dyDescent="0.2">
      <c r="A230" s="541">
        <v>5</v>
      </c>
      <c r="B230" s="544" t="s">
        <v>2357</v>
      </c>
      <c r="C230" s="544"/>
      <c r="D230" s="544"/>
      <c r="E230" s="544" t="s">
        <v>2183</v>
      </c>
      <c r="F230" s="544"/>
      <c r="G230" s="543" t="str">
        <f t="shared" ref="G230:G231" si="70">G229</f>
        <v/>
      </c>
      <c r="H230" s="545" t="s">
        <v>3758</v>
      </c>
      <c r="I230" s="71"/>
      <c r="J230" s="71"/>
      <c r="K230" s="71"/>
      <c r="L230" s="791"/>
      <c r="M230" s="992"/>
      <c r="N230" s="924"/>
      <c r="O230" s="924"/>
      <c r="P230" s="64"/>
      <c r="Q230" s="64"/>
      <c r="R230" s="64"/>
      <c r="S230" s="64"/>
      <c r="T230" s="64"/>
      <c r="U230" s="64"/>
      <c r="V230" s="64"/>
      <c r="W230" s="64"/>
      <c r="X230" s="797"/>
      <c r="Y230" s="970"/>
      <c r="Z230" s="973"/>
      <c r="AA230" s="562"/>
      <c r="AB230" s="562"/>
      <c r="AC230" s="562"/>
      <c r="AD230" s="562"/>
      <c r="AE230" s="562"/>
      <c r="AF230" s="562"/>
      <c r="AG230" s="562"/>
      <c r="AH230" s="562"/>
      <c r="AI230" s="562"/>
      <c r="AJ230" s="562"/>
      <c r="AK230" s="562"/>
      <c r="AL230" s="562"/>
      <c r="AM230" s="562"/>
      <c r="AN230" s="562"/>
      <c r="AO230" s="562"/>
      <c r="AP230" s="562"/>
      <c r="AQ230" s="562"/>
      <c r="AR230" s="562"/>
      <c r="AS230" s="562"/>
    </row>
    <row r="231" spans="1:45" ht="16" thickBot="1" x14ac:dyDescent="0.25">
      <c r="A231" s="541">
        <v>5</v>
      </c>
      <c r="B231" s="544" t="s">
        <v>2357</v>
      </c>
      <c r="C231" s="544"/>
      <c r="D231" s="544"/>
      <c r="E231" s="544" t="s">
        <v>2183</v>
      </c>
      <c r="F231" s="544"/>
      <c r="G231" s="543" t="str">
        <f t="shared" si="70"/>
        <v/>
      </c>
      <c r="H231" s="545" t="s">
        <v>3758</v>
      </c>
      <c r="I231" s="72"/>
      <c r="J231" s="72"/>
      <c r="K231" s="72"/>
      <c r="L231" s="818"/>
      <c r="M231" s="993"/>
      <c r="N231" s="982"/>
      <c r="O231" s="982"/>
      <c r="P231" s="68"/>
      <c r="Q231" s="68"/>
      <c r="R231" s="68"/>
      <c r="S231" s="68"/>
      <c r="T231" s="68"/>
      <c r="U231" s="68"/>
      <c r="V231" s="68"/>
      <c r="W231" s="68"/>
      <c r="X231" s="826"/>
      <c r="Y231" s="971"/>
      <c r="Z231" s="974"/>
      <c r="AA231" s="562"/>
      <c r="AB231" s="562"/>
      <c r="AC231" s="562"/>
      <c r="AD231" s="562"/>
      <c r="AE231" s="562"/>
      <c r="AF231" s="562"/>
      <c r="AG231" s="562"/>
      <c r="AH231" s="562"/>
      <c r="AI231" s="562"/>
      <c r="AJ231" s="562"/>
      <c r="AK231" s="562"/>
      <c r="AL231" s="562"/>
      <c r="AM231" s="562"/>
      <c r="AN231" s="562"/>
      <c r="AO231" s="562"/>
      <c r="AP231" s="562"/>
      <c r="AQ231" s="562"/>
      <c r="AR231" s="562"/>
      <c r="AS231" s="562"/>
    </row>
    <row r="232" spans="1:45" ht="16" thickTop="1" x14ac:dyDescent="0.2">
      <c r="A232" s="541">
        <v>5</v>
      </c>
      <c r="B232" s="544" t="s">
        <v>2365</v>
      </c>
      <c r="C232" s="544"/>
      <c r="D232" s="544"/>
      <c r="E232" s="544"/>
      <c r="F232" s="544"/>
      <c r="G232" s="543" t="str">
        <f ca="1">IF(N232&gt;0,"P","")</f>
        <v/>
      </c>
      <c r="H232" s="545" t="s">
        <v>3751</v>
      </c>
      <c r="I232" s="57" t="s">
        <v>2366</v>
      </c>
      <c r="J232" s="60"/>
      <c r="K232" s="60"/>
      <c r="L232" s="55" t="s">
        <v>2367</v>
      </c>
      <c r="M232" s="678"/>
      <c r="N232" s="648">
        <f ca="1">'Ch5'!O233</f>
        <v>0</v>
      </c>
      <c r="O232" s="648">
        <f ca="1">S232*IFERROR(INDEX({4,5,6,7,8},MATCH(W232,INDIRECT(U232),0)),0)</f>
        <v>0</v>
      </c>
      <c r="P232" s="562" t="b">
        <v>1</v>
      </c>
      <c r="Q232" s="562" t="b">
        <v>1</v>
      </c>
      <c r="R232" s="562" t="b">
        <v>0</v>
      </c>
      <c r="S232" s="562" t="b">
        <v>1</v>
      </c>
      <c r="T232" s="562" t="b">
        <v>0</v>
      </c>
      <c r="U232" s="562" t="str">
        <f>SUBSTITUTE(SUBSTITUTE(SUBSTITUTE("dd"&amp;B232&amp;C232&amp;D232&amp;E232&amp;F232,".","_"),"(","_"),")","")</f>
        <v>dd505_3</v>
      </c>
      <c r="V232" s="562"/>
      <c r="W232" s="6"/>
      <c r="X232" s="802"/>
      <c r="Y232" s="975" t="str">
        <f>IF(LEN('Ch5'!X233)=0,"None",'Ch5'!X233)</f>
        <v>None</v>
      </c>
      <c r="Z232" s="976"/>
      <c r="AA232" s="562">
        <f>'Photo Review'!H232</f>
        <v>0</v>
      </c>
      <c r="AB232" s="562"/>
      <c r="AC232" s="562"/>
      <c r="AD232" s="562"/>
      <c r="AE232" s="562"/>
      <c r="AF232" s="562"/>
      <c r="AG232" s="562"/>
      <c r="AH232" s="562"/>
      <c r="AI232" s="562"/>
      <c r="AJ232" s="562"/>
      <c r="AK232" s="562"/>
      <c r="AL232" s="562"/>
      <c r="AM232" s="562"/>
      <c r="AN232" s="190" t="str">
        <f>SUBSTITUTE(SUBSTITUTE(SUBSTITUTE("vpc"&amp;$B232&amp;$C232&amp;$D232&amp;$E232&amp;$F232,".","_"),"(","_"),")","")</f>
        <v>vpc505_3</v>
      </c>
      <c r="AO232" s="190">
        <f ca="1">O232</f>
        <v>0</v>
      </c>
      <c r="AP232" s="190" t="str">
        <f>SUBSTITUTE(SUBSTITUTE(SUBSTITUTE("vch"&amp;$B232&amp;$C232&amp;$D232&amp;$E232&amp;$F232,".","_"),"(","_"),")","")</f>
        <v>vch505_3</v>
      </c>
      <c r="AQ232" s="190">
        <f>W232</f>
        <v>0</v>
      </c>
      <c r="AR232" s="190" t="str">
        <f>SUBSTITUTE(SUBSTITUTE(SUBSTITUTE("vnt"&amp;$B232&amp;$C232&amp;$D232&amp;$E232&amp;$F232,".","_"),"(","_"),")","")</f>
        <v>vnt505_3</v>
      </c>
      <c r="AS232" s="190">
        <f>X232</f>
        <v>0</v>
      </c>
    </row>
    <row r="233" spans="1:45" ht="16" x14ac:dyDescent="0.2">
      <c r="A233" s="541">
        <v>5</v>
      </c>
      <c r="B233" s="544" t="s">
        <v>2365</v>
      </c>
      <c r="C233" s="544"/>
      <c r="D233" s="544"/>
      <c r="E233" s="544" t="s">
        <v>2181</v>
      </c>
      <c r="F233" s="544"/>
      <c r="G233" s="543" t="str">
        <f t="shared" ref="G233:G237" ca="1" si="71">G232</f>
        <v/>
      </c>
      <c r="H233" s="545" t="s">
        <v>3751</v>
      </c>
      <c r="I233" s="60"/>
      <c r="J233" s="125" t="s">
        <v>2181</v>
      </c>
      <c r="K233" s="128"/>
      <c r="L233" s="126" t="s">
        <v>2368</v>
      </c>
      <c r="M233" s="679">
        <v>4</v>
      </c>
      <c r="N233" s="648"/>
      <c r="O233" s="648"/>
      <c r="P233" s="562"/>
      <c r="Q233" s="562"/>
      <c r="R233" s="562"/>
      <c r="S233" s="562"/>
      <c r="T233" s="562"/>
      <c r="U233" s="562"/>
      <c r="V233" s="562"/>
      <c r="W233" s="562"/>
      <c r="X233" s="798"/>
      <c r="Y233" s="977"/>
      <c r="Z233" s="978"/>
      <c r="AA233" s="562"/>
      <c r="AB233" s="562"/>
      <c r="AC233" s="562"/>
      <c r="AD233" s="562"/>
      <c r="AE233" s="562"/>
      <c r="AF233" s="562"/>
      <c r="AG233" s="562"/>
      <c r="AH233" s="562"/>
      <c r="AI233" s="562"/>
      <c r="AJ233" s="562"/>
      <c r="AK233" s="562"/>
      <c r="AL233" s="190" t="str">
        <f t="shared" ref="AL233:AL239" si="72">SUBSTITUTE(SUBSTITUTE(SUBSTITUTE("vpa"&amp;$B233&amp;$C233&amp;$D233&amp;$E233&amp;$F233,".","_"),"(","_"),")","")</f>
        <v>vpa505_3_1</v>
      </c>
      <c r="AM233" s="190">
        <f t="shared" ref="AM233:AM239" si="73">M233</f>
        <v>4</v>
      </c>
      <c r="AN233" s="562"/>
      <c r="AO233" s="562"/>
      <c r="AP233" s="562"/>
      <c r="AQ233" s="562"/>
      <c r="AR233" s="562"/>
      <c r="AS233" s="562"/>
    </row>
    <row r="234" spans="1:45" ht="16" x14ac:dyDescent="0.2">
      <c r="A234" s="541">
        <v>5</v>
      </c>
      <c r="B234" s="544" t="s">
        <v>2365</v>
      </c>
      <c r="C234" s="544"/>
      <c r="D234" s="544"/>
      <c r="E234" s="544" t="s">
        <v>2183</v>
      </c>
      <c r="F234" s="544"/>
      <c r="G234" s="543" t="str">
        <f t="shared" ca="1" si="71"/>
        <v/>
      </c>
      <c r="H234" s="545" t="s">
        <v>3751</v>
      </c>
      <c r="I234" s="60"/>
      <c r="J234" s="125" t="s">
        <v>2183</v>
      </c>
      <c r="K234" s="128"/>
      <c r="L234" s="126" t="s">
        <v>2369</v>
      </c>
      <c r="M234" s="679">
        <v>5</v>
      </c>
      <c r="N234" s="648"/>
      <c r="O234" s="648"/>
      <c r="P234" s="562"/>
      <c r="Q234" s="562"/>
      <c r="R234" s="562"/>
      <c r="S234" s="562"/>
      <c r="T234" s="562"/>
      <c r="U234" s="562"/>
      <c r="V234" s="562"/>
      <c r="W234" s="562"/>
      <c r="X234" s="798"/>
      <c r="Y234" s="977"/>
      <c r="Z234" s="978"/>
      <c r="AA234" s="562"/>
      <c r="AB234" s="562"/>
      <c r="AC234" s="562"/>
      <c r="AD234" s="562"/>
      <c r="AE234" s="562"/>
      <c r="AF234" s="562"/>
      <c r="AG234" s="562"/>
      <c r="AH234" s="562"/>
      <c r="AI234" s="562"/>
      <c r="AJ234" s="562"/>
      <c r="AK234" s="562"/>
      <c r="AL234" s="190" t="str">
        <f t="shared" si="72"/>
        <v>vpa505_3_2</v>
      </c>
      <c r="AM234" s="190">
        <f t="shared" si="73"/>
        <v>5</v>
      </c>
      <c r="AN234" s="562"/>
      <c r="AO234" s="562"/>
      <c r="AP234" s="562"/>
      <c r="AQ234" s="562"/>
      <c r="AR234" s="562"/>
      <c r="AS234" s="562"/>
    </row>
    <row r="235" spans="1:45" ht="16" x14ac:dyDescent="0.2">
      <c r="A235" s="541">
        <v>5</v>
      </c>
      <c r="B235" s="544" t="s">
        <v>2365</v>
      </c>
      <c r="C235" s="544"/>
      <c r="D235" s="544"/>
      <c r="E235" s="544" t="s">
        <v>2185</v>
      </c>
      <c r="F235" s="544"/>
      <c r="G235" s="543" t="str">
        <f t="shared" ca="1" si="71"/>
        <v/>
      </c>
      <c r="H235" s="545" t="s">
        <v>3751</v>
      </c>
      <c r="I235" s="60"/>
      <c r="J235" s="125" t="s">
        <v>2185</v>
      </c>
      <c r="K235" s="128"/>
      <c r="L235" s="126" t="s">
        <v>2370</v>
      </c>
      <c r="M235" s="679">
        <v>6</v>
      </c>
      <c r="N235" s="648"/>
      <c r="O235" s="648"/>
      <c r="P235" s="562"/>
      <c r="Q235" s="562"/>
      <c r="R235" s="562"/>
      <c r="S235" s="562"/>
      <c r="T235" s="562"/>
      <c r="U235" s="562"/>
      <c r="V235" s="562"/>
      <c r="W235" s="562"/>
      <c r="X235" s="798"/>
      <c r="Y235" s="977"/>
      <c r="Z235" s="978"/>
      <c r="AA235" s="562"/>
      <c r="AB235" s="562"/>
      <c r="AC235" s="562"/>
      <c r="AD235" s="562"/>
      <c r="AE235" s="562"/>
      <c r="AF235" s="562"/>
      <c r="AG235" s="562"/>
      <c r="AH235" s="562"/>
      <c r="AI235" s="562"/>
      <c r="AJ235" s="562"/>
      <c r="AK235" s="562"/>
      <c r="AL235" s="190" t="str">
        <f t="shared" si="72"/>
        <v>vpa505_3_3</v>
      </c>
      <c r="AM235" s="190">
        <f t="shared" si="73"/>
        <v>6</v>
      </c>
      <c r="AN235" s="562"/>
      <c r="AO235" s="562"/>
      <c r="AP235" s="562"/>
      <c r="AQ235" s="562"/>
      <c r="AR235" s="562"/>
      <c r="AS235" s="562"/>
    </row>
    <row r="236" spans="1:45" ht="16" x14ac:dyDescent="0.2">
      <c r="A236" s="541">
        <v>5</v>
      </c>
      <c r="B236" s="544" t="s">
        <v>2365</v>
      </c>
      <c r="C236" s="544"/>
      <c r="D236" s="544"/>
      <c r="E236" s="544" t="s">
        <v>2192</v>
      </c>
      <c r="F236" s="544"/>
      <c r="G236" s="543" t="str">
        <f t="shared" ca="1" si="71"/>
        <v/>
      </c>
      <c r="H236" s="545" t="s">
        <v>3751</v>
      </c>
      <c r="I236" s="60"/>
      <c r="J236" s="125" t="s">
        <v>2192</v>
      </c>
      <c r="K236" s="128"/>
      <c r="L236" s="126" t="s">
        <v>2371</v>
      </c>
      <c r="M236" s="679">
        <v>7</v>
      </c>
      <c r="N236" s="648"/>
      <c r="O236" s="648"/>
      <c r="P236" s="562"/>
      <c r="Q236" s="562"/>
      <c r="R236" s="562"/>
      <c r="S236" s="562"/>
      <c r="T236" s="562"/>
      <c r="U236" s="562"/>
      <c r="V236" s="562"/>
      <c r="W236" s="562"/>
      <c r="X236" s="798"/>
      <c r="Y236" s="977"/>
      <c r="Z236" s="978"/>
      <c r="AA236" s="562"/>
      <c r="AB236" s="562"/>
      <c r="AC236" s="562"/>
      <c r="AD236" s="562"/>
      <c r="AE236" s="562"/>
      <c r="AF236" s="562"/>
      <c r="AG236" s="562"/>
      <c r="AH236" s="562"/>
      <c r="AI236" s="562"/>
      <c r="AJ236" s="562"/>
      <c r="AK236" s="562"/>
      <c r="AL236" s="190" t="str">
        <f t="shared" si="72"/>
        <v>vpa505_3_4</v>
      </c>
      <c r="AM236" s="190">
        <f t="shared" si="73"/>
        <v>7</v>
      </c>
      <c r="AN236" s="562"/>
      <c r="AO236" s="562"/>
      <c r="AP236" s="562"/>
      <c r="AQ236" s="562"/>
      <c r="AR236" s="562"/>
      <c r="AS236" s="562"/>
    </row>
    <row r="237" spans="1:45" ht="17" thickBot="1" x14ac:dyDescent="0.25">
      <c r="A237" s="541">
        <v>5</v>
      </c>
      <c r="B237" s="544" t="s">
        <v>2365</v>
      </c>
      <c r="C237" s="544"/>
      <c r="D237" s="544"/>
      <c r="E237" s="544" t="s">
        <v>2194</v>
      </c>
      <c r="F237" s="544"/>
      <c r="G237" s="543" t="str">
        <f t="shared" ca="1" si="71"/>
        <v/>
      </c>
      <c r="H237" s="545" t="s">
        <v>3751</v>
      </c>
      <c r="I237" s="72"/>
      <c r="J237" s="66" t="s">
        <v>2194</v>
      </c>
      <c r="K237" s="72"/>
      <c r="L237" s="67" t="s">
        <v>2372</v>
      </c>
      <c r="M237" s="677">
        <v>8</v>
      </c>
      <c r="N237" s="674"/>
      <c r="O237" s="674"/>
      <c r="P237" s="68"/>
      <c r="Q237" s="68"/>
      <c r="R237" s="68"/>
      <c r="S237" s="68"/>
      <c r="T237" s="68"/>
      <c r="U237" s="68"/>
      <c r="V237" s="68"/>
      <c r="W237" s="68"/>
      <c r="X237" s="799"/>
      <c r="Y237" s="979"/>
      <c r="Z237" s="1007"/>
      <c r="AA237" s="562"/>
      <c r="AB237" s="562"/>
      <c r="AC237" s="562"/>
      <c r="AD237" s="562"/>
      <c r="AE237" s="562"/>
      <c r="AF237" s="562"/>
      <c r="AG237" s="562"/>
      <c r="AH237" s="562"/>
      <c r="AI237" s="562"/>
      <c r="AJ237" s="562"/>
      <c r="AK237" s="562"/>
      <c r="AL237" s="190" t="str">
        <f t="shared" si="72"/>
        <v>vpa505_3_5</v>
      </c>
      <c r="AM237" s="190">
        <f t="shared" si="73"/>
        <v>8</v>
      </c>
      <c r="AN237" s="562"/>
      <c r="AO237" s="562"/>
      <c r="AP237" s="562"/>
      <c r="AQ237" s="562"/>
      <c r="AR237" s="562"/>
      <c r="AS237" s="562"/>
    </row>
    <row r="238" spans="1:45" ht="18" thickTop="1" thickBot="1" x14ac:dyDescent="0.25">
      <c r="A238" s="541">
        <v>5</v>
      </c>
      <c r="B238" s="544" t="s">
        <v>2373</v>
      </c>
      <c r="C238" s="544"/>
      <c r="D238" s="544"/>
      <c r="E238" s="544"/>
      <c r="F238" s="544"/>
      <c r="G238" s="543" t="str">
        <f ca="1">IF(N238&gt;0,"P","")</f>
        <v/>
      </c>
      <c r="H238" s="545" t="s">
        <v>3751</v>
      </c>
      <c r="I238" s="85" t="s">
        <v>2374</v>
      </c>
      <c r="J238" s="86"/>
      <c r="K238" s="86"/>
      <c r="L238" s="87" t="s">
        <v>2375</v>
      </c>
      <c r="M238" s="88">
        <v>8</v>
      </c>
      <c r="N238" s="90">
        <f ca="1">'Ch5'!O239</f>
        <v>0</v>
      </c>
      <c r="O238" s="90">
        <f ca="1">M238*S238*W238</f>
        <v>0</v>
      </c>
      <c r="P238" s="89" t="b">
        <v>1</v>
      </c>
      <c r="Q238" s="89" t="b">
        <v>1</v>
      </c>
      <c r="R238" s="89" t="b">
        <v>0</v>
      </c>
      <c r="S238" s="562" t="b">
        <f ca="1">IF($AY$18=INDEX(INDIRECT("ddSingleOrMulti"),2),TRUE,FALSE)</f>
        <v>0</v>
      </c>
      <c r="T238" s="64" t="b">
        <f ca="1">IF(AND(NOT(S238),W238=TRUE),TRUE,FALSE)</f>
        <v>0</v>
      </c>
      <c r="U238" s="89"/>
      <c r="V238" s="89"/>
      <c r="W238" s="92"/>
      <c r="X238" s="97"/>
      <c r="Y238" s="574" t="str">
        <f>IF(LEN('Ch5'!X239)=0,"None",'Ch5'!X239)</f>
        <v>None</v>
      </c>
      <c r="Z238" s="575"/>
      <c r="AA238" s="562"/>
      <c r="AB238" s="562"/>
      <c r="AC238" s="562" t="b">
        <f ca="1">OR(AD238:AE238)</f>
        <v>0</v>
      </c>
      <c r="AD238" s="562" t="b">
        <f ca="1">T238</f>
        <v>0</v>
      </c>
      <c r="AE238" s="562"/>
      <c r="AF238" s="562"/>
      <c r="AG238" s="562"/>
      <c r="AH238" s="562"/>
      <c r="AI238" s="562"/>
      <c r="AJ238" s="562"/>
      <c r="AK238" s="562"/>
      <c r="AL238" s="190" t="str">
        <f t="shared" si="72"/>
        <v>vpa505_4</v>
      </c>
      <c r="AM238" s="190">
        <f t="shared" si="73"/>
        <v>8</v>
      </c>
      <c r="AN238" s="190" t="str">
        <f t="shared" ref="AN238:AN239" si="74">SUBSTITUTE(SUBSTITUTE(SUBSTITUTE("vpc"&amp;$B238&amp;$C238&amp;$D238&amp;$E238&amp;$F238,".","_"),"(","_"),")","")</f>
        <v>vpc505_4</v>
      </c>
      <c r="AO238" s="190">
        <f ca="1">O238</f>
        <v>0</v>
      </c>
      <c r="AP238" s="190" t="str">
        <f t="shared" ref="AP238:AP239" si="75">SUBSTITUTE(SUBSTITUTE(SUBSTITUTE("vch"&amp;$B238&amp;$C238&amp;$D238&amp;$E238&amp;$F238,".","_"),"(","_"),")","")</f>
        <v>vch505_4</v>
      </c>
      <c r="AQ238" s="190">
        <f>W238</f>
        <v>0</v>
      </c>
      <c r="AR238" s="190" t="str">
        <f t="shared" ref="AR238:AR239" si="76">SUBSTITUTE(SUBSTITUTE(SUBSTITUTE("vnt"&amp;$B238&amp;$C238&amp;$D238&amp;$E238&amp;$F238,".","_"),"(","_"),")","")</f>
        <v>vnt505_4</v>
      </c>
      <c r="AS238" s="190">
        <f>X238</f>
        <v>0</v>
      </c>
    </row>
    <row r="239" spans="1:45" ht="16" thickTop="1" x14ac:dyDescent="0.2">
      <c r="A239" s="541">
        <v>5</v>
      </c>
      <c r="B239" s="544" t="s">
        <v>2376</v>
      </c>
      <c r="C239" s="544"/>
      <c r="D239" s="544"/>
      <c r="E239" s="544"/>
      <c r="F239" s="544"/>
      <c r="G239" s="543" t="str">
        <f>IF(N239&gt;0,"P","")</f>
        <v/>
      </c>
      <c r="H239" s="545" t="s">
        <v>3751</v>
      </c>
      <c r="I239" s="83" t="s">
        <v>2377</v>
      </c>
      <c r="J239" s="76"/>
      <c r="K239" s="76"/>
      <c r="L239" s="819" t="s">
        <v>2378</v>
      </c>
      <c r="M239" s="991">
        <v>3</v>
      </c>
      <c r="N239" s="981">
        <f>'Ch5'!O240</f>
        <v>0</v>
      </c>
      <c r="O239" s="981">
        <f>M239*S239*W239</f>
        <v>0</v>
      </c>
      <c r="P239" s="562" t="b">
        <v>1</v>
      </c>
      <c r="Q239" s="562" t="b">
        <v>1</v>
      </c>
      <c r="R239" s="74" t="b">
        <v>0</v>
      </c>
      <c r="S239" s="74" t="b">
        <v>1</v>
      </c>
      <c r="T239" s="74" t="b">
        <v>0</v>
      </c>
      <c r="U239" s="74"/>
      <c r="V239" s="74"/>
      <c r="W239" s="91"/>
      <c r="X239" s="802"/>
      <c r="Y239" s="975" t="str">
        <f>IF(LEN('Ch5'!X240)=0,"None",'Ch5'!X240)</f>
        <v>None</v>
      </c>
      <c r="Z239" s="976"/>
      <c r="AA239" s="562"/>
      <c r="AB239" s="562"/>
      <c r="AC239" s="562"/>
      <c r="AD239" s="562"/>
      <c r="AE239" s="562"/>
      <c r="AF239" s="562"/>
      <c r="AG239" s="562"/>
      <c r="AH239" s="562"/>
      <c r="AI239" s="562"/>
      <c r="AJ239" s="562"/>
      <c r="AK239" s="562"/>
      <c r="AL239" s="190" t="str">
        <f t="shared" si="72"/>
        <v>vpa505_5</v>
      </c>
      <c r="AM239" s="190">
        <f t="shared" si="73"/>
        <v>3</v>
      </c>
      <c r="AN239" s="190" t="str">
        <f t="shared" si="74"/>
        <v>vpc505_5</v>
      </c>
      <c r="AO239" s="190">
        <f>O239</f>
        <v>0</v>
      </c>
      <c r="AP239" s="190" t="str">
        <f t="shared" si="75"/>
        <v>vch505_5</v>
      </c>
      <c r="AQ239" s="190">
        <f>W239</f>
        <v>0</v>
      </c>
      <c r="AR239" s="190" t="str">
        <f t="shared" si="76"/>
        <v>vnt505_5</v>
      </c>
      <c r="AS239" s="190">
        <f>X239</f>
        <v>0</v>
      </c>
    </row>
    <row r="240" spans="1:45" s="498" customFormat="1" x14ac:dyDescent="0.2">
      <c r="A240" s="541">
        <v>5</v>
      </c>
      <c r="B240" s="544" t="s">
        <v>2376</v>
      </c>
      <c r="C240" s="544"/>
      <c r="D240" s="544"/>
      <c r="E240" s="544"/>
      <c r="F240" s="544"/>
      <c r="G240" s="543" t="str">
        <f ca="1">G238</f>
        <v/>
      </c>
      <c r="H240" s="545" t="s">
        <v>3751</v>
      </c>
      <c r="I240" s="61"/>
      <c r="J240" s="71"/>
      <c r="K240" s="71"/>
      <c r="L240" s="820"/>
      <c r="M240" s="992"/>
      <c r="N240" s="924"/>
      <c r="O240" s="924"/>
      <c r="P240" s="562"/>
      <c r="Q240" s="562"/>
      <c r="R240" s="64"/>
      <c r="S240" s="64"/>
      <c r="T240" s="64"/>
      <c r="U240" s="64"/>
      <c r="V240" s="64"/>
      <c r="W240" s="562"/>
      <c r="X240" s="797"/>
      <c r="Y240" s="970"/>
      <c r="Z240" s="973"/>
      <c r="AA240" s="562"/>
      <c r="AB240" s="562"/>
      <c r="AC240" s="562"/>
      <c r="AD240" s="562"/>
      <c r="AE240" s="562"/>
      <c r="AF240" s="562"/>
      <c r="AG240" s="562"/>
      <c r="AH240" s="562"/>
      <c r="AI240" s="562"/>
      <c r="AJ240" s="562"/>
      <c r="AK240" s="562"/>
      <c r="AL240" s="190"/>
      <c r="AM240" s="190"/>
      <c r="AN240" s="190"/>
      <c r="AO240" s="190"/>
      <c r="AP240" s="190"/>
      <c r="AQ240" s="190"/>
      <c r="AR240" s="190"/>
      <c r="AS240" s="190"/>
    </row>
    <row r="241" spans="1:62" ht="16" thickBot="1" x14ac:dyDescent="0.25">
      <c r="A241" s="541">
        <v>5</v>
      </c>
      <c r="B241" s="544" t="s">
        <v>2376</v>
      </c>
      <c r="C241" s="544"/>
      <c r="D241" s="544"/>
      <c r="E241" s="544"/>
      <c r="F241" s="544"/>
      <c r="G241" s="543" t="str">
        <f>G239</f>
        <v/>
      </c>
      <c r="H241" s="545" t="s">
        <v>3751</v>
      </c>
      <c r="I241" s="72"/>
      <c r="J241" s="72"/>
      <c r="K241" s="72"/>
      <c r="L241" s="822"/>
      <c r="M241" s="993"/>
      <c r="N241" s="982"/>
      <c r="O241" s="982"/>
      <c r="P241" s="68"/>
      <c r="Q241" s="68"/>
      <c r="R241" s="68"/>
      <c r="S241" s="68"/>
      <c r="T241" s="68"/>
      <c r="U241" s="68"/>
      <c r="V241" s="68"/>
      <c r="W241" s="68"/>
      <c r="X241" s="799"/>
      <c r="Y241" s="979"/>
      <c r="Z241" s="1007"/>
      <c r="AA241" s="562"/>
      <c r="AB241" s="562"/>
      <c r="AC241" s="562"/>
      <c r="AD241" s="562"/>
      <c r="AE241" s="562"/>
      <c r="AF241" s="562"/>
      <c r="AG241" s="562"/>
      <c r="AH241" s="562"/>
      <c r="AI241" s="562"/>
      <c r="AJ241" s="562"/>
      <c r="AK241" s="562"/>
      <c r="AL241" s="562"/>
      <c r="AM241" s="562"/>
      <c r="AN241" s="562"/>
      <c r="AO241" s="562"/>
      <c r="AP241" s="562"/>
      <c r="AQ241" s="562"/>
      <c r="AR241" s="562"/>
      <c r="AS241" s="562"/>
      <c r="AT241" s="562"/>
      <c r="AU241" s="562"/>
      <c r="AV241" s="562"/>
      <c r="AW241" s="562"/>
      <c r="AX241" s="562"/>
      <c r="AY241" s="562"/>
      <c r="AZ241" s="562"/>
      <c r="BA241" s="562"/>
      <c r="BB241" s="562"/>
      <c r="BC241" s="562"/>
      <c r="BD241" s="562"/>
      <c r="BE241" s="562"/>
      <c r="BF241" s="562"/>
      <c r="BG241" s="562"/>
      <c r="BH241" s="562"/>
      <c r="BI241" s="562"/>
      <c r="BJ241" s="562"/>
    </row>
    <row r="242" spans="1:62" ht="16" thickTop="1" x14ac:dyDescent="0.2">
      <c r="A242" s="541">
        <v>5</v>
      </c>
      <c r="B242" s="544" t="s">
        <v>2379</v>
      </c>
      <c r="C242" s="544"/>
      <c r="D242" s="544"/>
      <c r="E242" s="544"/>
      <c r="F242" s="544"/>
      <c r="G242" s="543" t="str">
        <f ca="1">IF(N242&gt;0,"P","")</f>
        <v/>
      </c>
      <c r="H242" s="545" t="s">
        <v>3758</v>
      </c>
      <c r="I242" s="83" t="s">
        <v>2380</v>
      </c>
      <c r="J242" s="76"/>
      <c r="K242" s="76"/>
      <c r="L242" s="819" t="s">
        <v>2381</v>
      </c>
      <c r="M242" s="991">
        <v>4</v>
      </c>
      <c r="N242" s="981">
        <f ca="1">'Ch5'!O243</f>
        <v>0</v>
      </c>
      <c r="O242" s="981">
        <f ca="1">M242*S242*W242</f>
        <v>0</v>
      </c>
      <c r="P242" s="562" t="b">
        <v>0</v>
      </c>
      <c r="Q242" s="562" t="b">
        <v>1</v>
      </c>
      <c r="R242" s="74" t="b">
        <v>0</v>
      </c>
      <c r="S242" s="562" t="b">
        <f ca="1">IF($AY$18=INDEX(INDIRECT("ddSingleOrMulti"),2),TRUE,FALSE)</f>
        <v>0</v>
      </c>
      <c r="T242" s="64" t="b">
        <f ca="1">IF(AND(NOT(S242),W242=TRUE),TRUE,FALSE)</f>
        <v>0</v>
      </c>
      <c r="U242" s="74"/>
      <c r="V242" s="74"/>
      <c r="W242" s="18"/>
      <c r="X242" s="802"/>
      <c r="Y242" s="975" t="str">
        <f>IF(LEN('Ch5'!X243)=0,"None",'Ch5'!X243)</f>
        <v>None</v>
      </c>
      <c r="Z242" s="976"/>
      <c r="AA242" s="562"/>
      <c r="AB242" s="562"/>
      <c r="AC242" s="562" t="b">
        <f ca="1">OR(AD242:AE242)</f>
        <v>0</v>
      </c>
      <c r="AD242" s="562" t="b">
        <f ca="1">T242</f>
        <v>0</v>
      </c>
      <c r="AE242" s="562"/>
      <c r="AF242" s="562"/>
      <c r="AG242" s="562"/>
      <c r="AH242" s="562"/>
      <c r="AI242" s="562"/>
      <c r="AJ242" s="562"/>
      <c r="AK242" s="562"/>
      <c r="AL242" s="190" t="str">
        <f>SUBSTITUTE(SUBSTITUTE(SUBSTITUTE("vpa"&amp;$B242&amp;$C242&amp;$D242&amp;$E242&amp;$F242,".","_"),"(","_"),")","")</f>
        <v>vpa505_6</v>
      </c>
      <c r="AM242" s="190">
        <f>M242</f>
        <v>4</v>
      </c>
      <c r="AN242" s="190" t="str">
        <f>SUBSTITUTE(SUBSTITUTE(SUBSTITUTE("vpc"&amp;$B242&amp;$C242&amp;$D242&amp;$E242&amp;$F242,".","_"),"(","_"),")","")</f>
        <v>vpc505_6</v>
      </c>
      <c r="AO242" s="190">
        <f ca="1">O242</f>
        <v>0</v>
      </c>
      <c r="AP242" s="190" t="str">
        <f>SUBSTITUTE(SUBSTITUTE(SUBSTITUTE("vch"&amp;$B242&amp;$C242&amp;$D242&amp;$E242&amp;$F242,".","_"),"(","_"),")","")</f>
        <v>vch505_6</v>
      </c>
      <c r="AQ242" s="190">
        <f>W242</f>
        <v>0</v>
      </c>
      <c r="AR242" s="190" t="str">
        <f>SUBSTITUTE(SUBSTITUTE(SUBSTITUTE("vnt"&amp;$B242&amp;$C242&amp;$D242&amp;$E242&amp;$F242,".","_"),"(","_"),")","")</f>
        <v>vnt505_6</v>
      </c>
      <c r="AS242" s="190">
        <f>X242</f>
        <v>0</v>
      </c>
      <c r="AT242" s="562"/>
      <c r="AU242" s="562"/>
      <c r="AV242" s="562"/>
      <c r="AW242" s="562"/>
      <c r="AX242" s="562"/>
      <c r="AY242" s="562"/>
      <c r="AZ242" s="562"/>
      <c r="BA242" s="562"/>
      <c r="BB242" s="562"/>
      <c r="BC242" s="562"/>
      <c r="BD242" s="562"/>
      <c r="BE242" s="562"/>
      <c r="BF242" s="562"/>
      <c r="BG242" s="562"/>
      <c r="BH242" s="562"/>
      <c r="BI242" s="562"/>
      <c r="BJ242" s="562"/>
    </row>
    <row r="243" spans="1:62" x14ac:dyDescent="0.2">
      <c r="A243" s="541">
        <v>5</v>
      </c>
      <c r="B243" s="544" t="s">
        <v>2379</v>
      </c>
      <c r="C243" s="544"/>
      <c r="D243" s="544"/>
      <c r="E243" s="544"/>
      <c r="F243" s="544"/>
      <c r="G243" s="543" t="str">
        <f t="shared" ref="G243:G247" ca="1" si="77">G242</f>
        <v/>
      </c>
      <c r="H243" s="545" t="s">
        <v>3758</v>
      </c>
      <c r="I243" s="71"/>
      <c r="J243" s="71"/>
      <c r="K243" s="71"/>
      <c r="L243" s="820"/>
      <c r="M243" s="992"/>
      <c r="N243" s="924"/>
      <c r="O243" s="924"/>
      <c r="P243" s="64"/>
      <c r="Q243" s="64"/>
      <c r="R243" s="64"/>
      <c r="S243" s="64"/>
      <c r="T243" s="64"/>
      <c r="U243" s="64"/>
      <c r="V243" s="64"/>
      <c r="W243" s="64"/>
      <c r="X243" s="798"/>
      <c r="Y243" s="980"/>
      <c r="Z243" s="983"/>
      <c r="AA243" s="562"/>
      <c r="AB243" s="562"/>
      <c r="AC243" s="562"/>
      <c r="AD243" s="562"/>
      <c r="AE243" s="562"/>
      <c r="AF243" s="562"/>
      <c r="AG243" s="562"/>
      <c r="AH243" s="562"/>
      <c r="AI243" s="562"/>
      <c r="AJ243" s="562"/>
      <c r="AK243" s="562"/>
      <c r="AL243" s="562"/>
      <c r="AM243" s="562"/>
      <c r="AN243" s="562"/>
      <c r="AO243" s="562"/>
      <c r="AP243" s="562"/>
      <c r="AQ243" s="562"/>
      <c r="AR243" s="562"/>
      <c r="AS243" s="562"/>
      <c r="AT243" s="562"/>
      <c r="AU243" s="562"/>
      <c r="AV243" s="562"/>
      <c r="AW243" s="562"/>
      <c r="AX243" s="562"/>
      <c r="AY243" s="562"/>
      <c r="AZ243" s="562"/>
      <c r="BA243" s="562"/>
      <c r="BB243" s="562"/>
      <c r="BC243" s="562"/>
      <c r="BD243" s="562"/>
      <c r="BE243" s="562"/>
      <c r="BF243" s="562"/>
      <c r="BG243" s="562"/>
      <c r="BH243" s="562"/>
      <c r="BI243" s="562"/>
      <c r="BJ243" s="562"/>
    </row>
    <row r="244" spans="1:62" x14ac:dyDescent="0.2">
      <c r="A244" s="541">
        <v>5</v>
      </c>
      <c r="B244" s="544" t="s">
        <v>2379</v>
      </c>
      <c r="C244" s="544"/>
      <c r="D244" s="544"/>
      <c r="E244" s="544"/>
      <c r="F244" s="544"/>
      <c r="G244" s="543" t="str">
        <f t="shared" ca="1" si="77"/>
        <v/>
      </c>
      <c r="H244" s="545" t="s">
        <v>3758</v>
      </c>
      <c r="I244" s="71"/>
      <c r="J244" s="71"/>
      <c r="K244" s="71"/>
      <c r="L244" s="820"/>
      <c r="M244" s="992"/>
      <c r="N244" s="924"/>
      <c r="O244" s="924"/>
      <c r="P244" s="64"/>
      <c r="Q244" s="64"/>
      <c r="R244" s="64"/>
      <c r="S244" s="64"/>
      <c r="T244" s="64"/>
      <c r="U244" s="64"/>
      <c r="V244" s="64"/>
      <c r="W244" s="64"/>
      <c r="X244" s="798"/>
      <c r="Y244" s="980"/>
      <c r="Z244" s="983"/>
      <c r="AA244" s="562"/>
      <c r="AB244" s="562"/>
      <c r="AC244" s="562"/>
      <c r="AD244" s="562"/>
      <c r="AE244" s="562"/>
      <c r="AF244" s="562"/>
      <c r="AG244" s="562"/>
      <c r="AH244" s="562"/>
      <c r="AI244" s="562"/>
      <c r="AJ244" s="562"/>
      <c r="AK244" s="562"/>
      <c r="AL244" s="562"/>
      <c r="AM244" s="562"/>
      <c r="AN244" s="562"/>
      <c r="AO244" s="562"/>
      <c r="AP244" s="562"/>
      <c r="AQ244" s="562"/>
      <c r="AR244" s="562"/>
      <c r="AS244" s="562"/>
      <c r="AT244" s="562"/>
      <c r="AU244" s="562"/>
      <c r="AV244" s="562"/>
      <c r="AW244" s="562"/>
      <c r="AX244" s="562"/>
      <c r="AY244" s="562"/>
      <c r="AZ244" s="562"/>
      <c r="BA244" s="562"/>
      <c r="BB244" s="562"/>
      <c r="BC244" s="562"/>
      <c r="BD244" s="562"/>
      <c r="BE244" s="562"/>
      <c r="BF244" s="562"/>
      <c r="BG244" s="562"/>
      <c r="BH244" s="562"/>
      <c r="BI244" s="562"/>
      <c r="BJ244" s="562"/>
    </row>
    <row r="245" spans="1:62" x14ac:dyDescent="0.2">
      <c r="A245" s="541">
        <v>5</v>
      </c>
      <c r="B245" s="544" t="s">
        <v>2379</v>
      </c>
      <c r="C245" s="544"/>
      <c r="D245" s="544"/>
      <c r="E245" s="544"/>
      <c r="F245" s="544"/>
      <c r="G245" s="543" t="str">
        <f t="shared" ca="1" si="77"/>
        <v/>
      </c>
      <c r="H245" s="545" t="s">
        <v>3758</v>
      </c>
      <c r="I245" s="71"/>
      <c r="J245" s="71"/>
      <c r="K245" s="71"/>
      <c r="L245" s="820"/>
      <c r="M245" s="992"/>
      <c r="N245" s="924"/>
      <c r="O245" s="924"/>
      <c r="P245" s="64"/>
      <c r="Q245" s="64"/>
      <c r="R245" s="64"/>
      <c r="S245" s="64"/>
      <c r="T245" s="64"/>
      <c r="U245" s="64"/>
      <c r="V245" s="64"/>
      <c r="W245" s="64"/>
      <c r="X245" s="798"/>
      <c r="Y245" s="980"/>
      <c r="Z245" s="983"/>
      <c r="AA245" s="562"/>
      <c r="AB245" s="562"/>
      <c r="AC245" s="562"/>
      <c r="AD245" s="562"/>
      <c r="AE245" s="562"/>
      <c r="AF245" s="562"/>
      <c r="AG245" s="562"/>
      <c r="AH245" s="562"/>
      <c r="AI245" s="562"/>
      <c r="AJ245" s="562"/>
      <c r="AK245" s="562"/>
      <c r="AL245" s="562"/>
      <c r="AM245" s="562"/>
      <c r="AN245" s="562"/>
      <c r="AO245" s="562"/>
      <c r="AP245" s="562"/>
      <c r="AQ245" s="562"/>
      <c r="AR245" s="562"/>
      <c r="AS245" s="562"/>
      <c r="AT245" s="562"/>
      <c r="AU245" s="562"/>
      <c r="AV245" s="562"/>
      <c r="AW245" s="562"/>
      <c r="AX245" s="562"/>
      <c r="AY245" s="562"/>
      <c r="AZ245" s="562"/>
      <c r="BA245" s="562"/>
      <c r="BB245" s="562"/>
      <c r="BC245" s="562"/>
      <c r="BD245" s="562"/>
      <c r="BE245" s="562"/>
      <c r="BF245" s="562"/>
      <c r="BG245" s="562"/>
      <c r="BH245" s="562"/>
      <c r="BI245" s="562"/>
      <c r="BJ245" s="562"/>
    </row>
    <row r="246" spans="1:62" x14ac:dyDescent="0.2">
      <c r="A246" s="541">
        <v>5</v>
      </c>
      <c r="B246" s="544" t="s">
        <v>2379</v>
      </c>
      <c r="C246" s="544"/>
      <c r="D246" s="544"/>
      <c r="E246" s="544"/>
      <c r="F246" s="544"/>
      <c r="G246" s="543" t="str">
        <f t="shared" ca="1" si="77"/>
        <v/>
      </c>
      <c r="H246" s="545" t="s">
        <v>3758</v>
      </c>
      <c r="I246" s="71"/>
      <c r="J246" s="71"/>
      <c r="K246" s="71"/>
      <c r="L246" s="820"/>
      <c r="M246" s="992"/>
      <c r="N246" s="924"/>
      <c r="O246" s="924"/>
      <c r="P246" s="64"/>
      <c r="Q246" s="64"/>
      <c r="R246" s="64"/>
      <c r="S246" s="64"/>
      <c r="T246" s="64"/>
      <c r="U246" s="64"/>
      <c r="V246" s="64"/>
      <c r="W246" s="64"/>
      <c r="X246" s="798"/>
      <c r="Y246" s="980"/>
      <c r="Z246" s="983"/>
      <c r="AA246" s="562"/>
      <c r="AB246" s="562"/>
      <c r="AC246" s="562"/>
      <c r="AD246" s="562"/>
      <c r="AE246" s="562"/>
      <c r="AF246" s="562"/>
      <c r="AG246" s="562"/>
      <c r="AH246" s="562"/>
      <c r="AI246" s="562"/>
      <c r="AJ246" s="562"/>
      <c r="AK246" s="562"/>
      <c r="AL246" s="562"/>
      <c r="AM246" s="562"/>
      <c r="AN246" s="562"/>
      <c r="AO246" s="562"/>
      <c r="AP246" s="562"/>
      <c r="AQ246" s="562"/>
      <c r="AR246" s="562"/>
      <c r="AS246" s="562"/>
      <c r="AT246" s="562"/>
      <c r="AU246" s="562"/>
      <c r="AV246" s="562"/>
      <c r="AW246" s="562"/>
      <c r="AX246" s="562"/>
      <c r="AY246" s="562"/>
      <c r="AZ246" s="562"/>
      <c r="BA246" s="562"/>
      <c r="BB246" s="562"/>
      <c r="BC246" s="562"/>
      <c r="BD246" s="562"/>
      <c r="BE246" s="562"/>
      <c r="BF246" s="562"/>
      <c r="BG246" s="562"/>
      <c r="BH246" s="562"/>
      <c r="BI246" s="562"/>
      <c r="BJ246" s="562"/>
    </row>
    <row r="247" spans="1:62" ht="16" thickBot="1" x14ac:dyDescent="0.25">
      <c r="A247" s="541">
        <v>5</v>
      </c>
      <c r="B247" s="544" t="s">
        <v>2379</v>
      </c>
      <c r="C247" s="544"/>
      <c r="D247" s="544"/>
      <c r="E247" s="544"/>
      <c r="F247" s="544"/>
      <c r="G247" s="543" t="str">
        <f t="shared" ca="1" si="77"/>
        <v/>
      </c>
      <c r="H247" s="545" t="s">
        <v>3758</v>
      </c>
      <c r="I247" s="72"/>
      <c r="J247" s="72"/>
      <c r="K247" s="72"/>
      <c r="L247" s="822"/>
      <c r="M247" s="993"/>
      <c r="N247" s="982"/>
      <c r="O247" s="982"/>
      <c r="P247" s="68"/>
      <c r="Q247" s="68"/>
      <c r="R247" s="68"/>
      <c r="S247" s="68"/>
      <c r="T247" s="68"/>
      <c r="U247" s="68"/>
      <c r="V247" s="68"/>
      <c r="W247" s="68"/>
      <c r="X247" s="799"/>
      <c r="Y247" s="980"/>
      <c r="Z247" s="983"/>
      <c r="AA247" s="562"/>
      <c r="AB247" s="562"/>
      <c r="AC247" s="562"/>
      <c r="AD247" s="562"/>
      <c r="AE247" s="562"/>
      <c r="AF247" s="562"/>
      <c r="AG247" s="562"/>
      <c r="AH247" s="562"/>
      <c r="AI247" s="562"/>
      <c r="AJ247" s="562"/>
      <c r="AK247" s="562"/>
      <c r="AL247" s="562"/>
      <c r="AM247" s="562"/>
      <c r="AN247" s="562"/>
      <c r="AO247" s="562"/>
      <c r="AP247" s="562"/>
      <c r="AQ247" s="562"/>
      <c r="AR247" s="562"/>
      <c r="AS247" s="562"/>
      <c r="AT247" s="562"/>
      <c r="AU247" s="562"/>
      <c r="AV247" s="562"/>
      <c r="AW247" s="562"/>
      <c r="AX247" s="562"/>
      <c r="AY247" s="562"/>
      <c r="AZ247" s="562"/>
      <c r="BA247" s="562"/>
      <c r="BB247" s="562"/>
      <c r="BC247" s="562"/>
      <c r="BD247" s="562"/>
      <c r="BE247" s="562"/>
      <c r="BF247" s="562"/>
      <c r="BG247" s="562"/>
      <c r="BH247" s="562"/>
      <c r="BI247" s="562"/>
      <c r="BJ247" s="562"/>
    </row>
    <row r="248" spans="1:62" ht="20" thickTop="1" x14ac:dyDescent="0.25">
      <c r="A248" s="541">
        <v>6</v>
      </c>
      <c r="B248" s="549" t="s">
        <v>3759</v>
      </c>
      <c r="C248" s="541"/>
      <c r="D248" s="541"/>
      <c r="E248" s="541"/>
      <c r="F248" s="541"/>
      <c r="G248" s="543" t="s">
        <v>3343</v>
      </c>
      <c r="H248" s="541" t="s">
        <v>3751</v>
      </c>
      <c r="I248" s="15" t="s">
        <v>2390</v>
      </c>
      <c r="J248" s="15"/>
      <c r="K248" s="15"/>
      <c r="L248" s="16"/>
      <c r="M248" s="17"/>
      <c r="N248" s="17"/>
      <c r="O248" s="17"/>
      <c r="P248" s="562" t="s">
        <v>48</v>
      </c>
      <c r="Q248" s="562" t="s">
        <v>48</v>
      </c>
      <c r="R248" s="562" t="s">
        <v>48</v>
      </c>
      <c r="S248" s="562" t="s">
        <v>48</v>
      </c>
      <c r="T248" s="562" t="s">
        <v>48</v>
      </c>
      <c r="U248" s="562" t="s">
        <v>48</v>
      </c>
      <c r="V248" s="562" t="s">
        <v>48</v>
      </c>
      <c r="W248" s="16"/>
      <c r="X248" s="16"/>
      <c r="Y248" s="16"/>
      <c r="Z248" s="453"/>
      <c r="AA248" s="562"/>
      <c r="AB248" s="562"/>
      <c r="AC248" s="562"/>
      <c r="AD248" s="562"/>
      <c r="AE248" s="562"/>
      <c r="AF248" s="562"/>
      <c r="AG248" s="562"/>
      <c r="AH248" s="562"/>
      <c r="AI248" s="562"/>
      <c r="AJ248" s="562"/>
      <c r="AK248" s="562"/>
      <c r="AL248" s="562"/>
      <c r="AM248" s="562"/>
      <c r="AN248" s="562"/>
      <c r="AO248" s="562"/>
      <c r="AP248" s="562"/>
      <c r="AQ248" s="562"/>
      <c r="AR248" s="562"/>
      <c r="AS248" s="562"/>
      <c r="AT248" s="562"/>
      <c r="AU248" s="562"/>
      <c r="AV248" s="562"/>
      <c r="AW248" s="562"/>
      <c r="AX248" s="562"/>
      <c r="AY248" s="562"/>
      <c r="AZ248" s="562"/>
      <c r="BA248" s="562"/>
      <c r="BB248" s="562"/>
      <c r="BC248" s="562"/>
      <c r="BD248" s="562"/>
      <c r="BE248" s="562"/>
      <c r="BF248" s="562"/>
      <c r="BG248" s="562"/>
      <c r="BH248" s="562"/>
      <c r="BI248" s="562"/>
      <c r="BJ248" s="562"/>
    </row>
    <row r="249" spans="1:62" x14ac:dyDescent="0.2">
      <c r="A249" s="541">
        <v>6</v>
      </c>
      <c r="B249" s="549" t="s">
        <v>2391</v>
      </c>
      <c r="C249" s="544"/>
      <c r="D249" s="544"/>
      <c r="E249" s="544"/>
      <c r="F249" s="544"/>
      <c r="G249" s="545"/>
      <c r="H249" s="545"/>
      <c r="I249" s="49" t="s">
        <v>2392</v>
      </c>
      <c r="J249" s="20"/>
      <c r="K249" s="57"/>
      <c r="L249" s="775" t="s">
        <v>2393</v>
      </c>
      <c r="M249" s="616"/>
      <c r="N249" s="648"/>
      <c r="O249" s="648"/>
      <c r="P249" s="562"/>
      <c r="Q249" s="562"/>
      <c r="R249" s="562"/>
      <c r="S249" s="562"/>
      <c r="T249" s="562"/>
      <c r="U249" s="562"/>
      <c r="V249" s="562"/>
      <c r="W249" s="562"/>
      <c r="X249" s="562"/>
      <c r="Y249" s="562"/>
      <c r="Z249" s="430"/>
      <c r="AA249" s="562"/>
      <c r="AB249" s="562"/>
      <c r="AC249" s="562"/>
      <c r="AD249" s="562"/>
      <c r="AE249" s="562"/>
      <c r="AF249" s="562"/>
      <c r="AG249" s="562"/>
      <c r="AH249" s="562"/>
      <c r="AI249" s="562"/>
      <c r="AJ249" s="562"/>
      <c r="AK249" s="562"/>
      <c r="AL249" s="562"/>
      <c r="AM249" s="562"/>
      <c r="AN249" s="562"/>
      <c r="AO249" s="562"/>
      <c r="AP249" s="562"/>
      <c r="AQ249" s="562"/>
      <c r="AR249" s="562"/>
      <c r="AS249" s="562"/>
      <c r="AT249" s="562"/>
      <c r="AU249" s="562"/>
      <c r="AV249" s="562"/>
      <c r="AW249" s="562"/>
      <c r="AX249" s="562"/>
      <c r="AY249" s="562"/>
      <c r="AZ249" s="562"/>
      <c r="BA249" s="562"/>
      <c r="BB249" s="562"/>
      <c r="BC249" s="562"/>
      <c r="BD249" s="562"/>
      <c r="BE249" s="562"/>
      <c r="BF249" s="562"/>
      <c r="BG249" s="562"/>
      <c r="BH249" s="562"/>
      <c r="BI249" s="562"/>
      <c r="BJ249" s="562"/>
    </row>
    <row r="250" spans="1:62" x14ac:dyDescent="0.2">
      <c r="A250" s="541">
        <v>6</v>
      </c>
      <c r="B250" s="549" t="s">
        <v>2391</v>
      </c>
      <c r="C250" s="544"/>
      <c r="D250" s="544"/>
      <c r="E250" s="544"/>
      <c r="F250" s="544"/>
      <c r="G250" s="541"/>
      <c r="H250" s="541"/>
      <c r="I250" s="40"/>
      <c r="J250" s="3"/>
      <c r="K250" s="53"/>
      <c r="L250" s="775"/>
      <c r="M250" s="616"/>
      <c r="N250" s="648"/>
      <c r="O250" s="648"/>
      <c r="P250" s="562"/>
      <c r="Q250" s="562"/>
      <c r="R250" s="562"/>
      <c r="S250" s="562"/>
      <c r="T250" s="562"/>
      <c r="U250" s="562"/>
      <c r="V250" s="562"/>
      <c r="W250" s="562"/>
      <c r="X250" s="562"/>
      <c r="Y250" s="562"/>
      <c r="Z250" s="430"/>
      <c r="AA250" s="562"/>
      <c r="AB250" s="562"/>
      <c r="AC250" s="562"/>
      <c r="AD250" s="562"/>
      <c r="AE250" s="562"/>
      <c r="AF250" s="562"/>
      <c r="AG250" s="562"/>
      <c r="AH250" s="562"/>
      <c r="AI250" s="562"/>
      <c r="AJ250" s="562"/>
      <c r="AK250" s="562"/>
      <c r="AL250" s="562"/>
      <c r="AM250" s="562"/>
      <c r="AN250" s="562"/>
      <c r="AO250" s="562"/>
      <c r="AP250" s="562"/>
      <c r="AQ250" s="562"/>
      <c r="AR250" s="562"/>
      <c r="AS250" s="562"/>
      <c r="AT250" s="562"/>
      <c r="AU250" s="562"/>
      <c r="AV250" s="562"/>
      <c r="AW250" s="562"/>
      <c r="AX250" s="594" t="str">
        <f>'Overview (Verification)'!A8</f>
        <v>Builder Name:</v>
      </c>
      <c r="AY250" s="562" t="str">
        <f>IF(LEN('Overview (Verification)'!P8)=0,0,'Overview (Verification)'!P8)</f>
        <v>AAA Green Builders</v>
      </c>
      <c r="AZ250" s="562"/>
      <c r="BA250" s="562"/>
      <c r="BB250" s="562"/>
      <c r="BC250" s="562"/>
      <c r="BD250" s="562"/>
      <c r="BE250" s="562"/>
      <c r="BF250" s="562"/>
      <c r="BG250" s="562"/>
      <c r="BH250" s="562"/>
      <c r="BI250" s="562"/>
      <c r="BJ250" s="562"/>
    </row>
    <row r="251" spans="1:62" s="498" customFormat="1" x14ac:dyDescent="0.2">
      <c r="A251" s="541">
        <v>6</v>
      </c>
      <c r="B251" s="549" t="s">
        <v>2391</v>
      </c>
      <c r="C251" s="544"/>
      <c r="D251" s="544"/>
      <c r="E251" s="544"/>
      <c r="F251" s="544"/>
      <c r="G251" s="541"/>
      <c r="H251" s="541"/>
      <c r="I251" s="40"/>
      <c r="J251" s="3"/>
      <c r="K251" s="53"/>
      <c r="L251" s="775"/>
      <c r="M251" s="616"/>
      <c r="N251" s="648"/>
      <c r="O251" s="648"/>
      <c r="P251" s="562"/>
      <c r="Q251" s="562"/>
      <c r="R251" s="562"/>
      <c r="S251" s="562"/>
      <c r="T251" s="562"/>
      <c r="U251" s="562"/>
      <c r="V251" s="562"/>
      <c r="W251" s="562"/>
      <c r="X251" s="562"/>
      <c r="Y251" s="562"/>
      <c r="Z251" s="430"/>
      <c r="AA251" s="562"/>
      <c r="AB251" s="562"/>
      <c r="AC251" s="562"/>
      <c r="AD251" s="562"/>
      <c r="AE251" s="562"/>
      <c r="AF251" s="562"/>
      <c r="AG251" s="562"/>
      <c r="AH251" s="562"/>
      <c r="AI251" s="562"/>
      <c r="AJ251" s="562"/>
      <c r="AK251" s="562"/>
      <c r="AL251" s="562"/>
      <c r="AM251" s="562"/>
      <c r="AN251" s="562"/>
      <c r="AO251" s="562"/>
      <c r="AP251" s="562"/>
      <c r="AQ251" s="562"/>
      <c r="AR251" s="562"/>
      <c r="AS251" s="562"/>
      <c r="AT251" s="562"/>
      <c r="AU251" s="562"/>
      <c r="AV251" s="562"/>
      <c r="AW251" s="562"/>
      <c r="AX251" s="594"/>
      <c r="AY251" s="562"/>
      <c r="AZ251" s="562"/>
      <c r="BA251" s="562"/>
      <c r="BB251" s="562"/>
      <c r="BC251" s="562"/>
      <c r="BD251" s="562"/>
      <c r="BE251" s="562"/>
      <c r="BF251" s="562"/>
      <c r="BG251" s="562"/>
      <c r="BH251" s="562"/>
      <c r="BI251" s="562"/>
      <c r="BJ251" s="562"/>
    </row>
    <row r="252" spans="1:62" ht="16" thickBot="1" x14ac:dyDescent="0.25">
      <c r="A252" s="541">
        <v>6</v>
      </c>
      <c r="B252" s="549" t="s">
        <v>2391</v>
      </c>
      <c r="C252" s="544"/>
      <c r="D252" s="544"/>
      <c r="E252" s="544"/>
      <c r="F252" s="544"/>
      <c r="G252" s="541"/>
      <c r="H252" s="541"/>
      <c r="I252" s="40"/>
      <c r="J252" s="3"/>
      <c r="K252" s="53"/>
      <c r="L252" s="775"/>
      <c r="M252" s="616"/>
      <c r="N252" s="648"/>
      <c r="O252" s="648"/>
      <c r="P252" s="562"/>
      <c r="Q252" s="562"/>
      <c r="R252" s="562"/>
      <c r="S252" s="562"/>
      <c r="T252" s="562"/>
      <c r="U252" s="562"/>
      <c r="V252" s="562"/>
      <c r="W252" s="562"/>
      <c r="X252" s="562"/>
      <c r="Y252" s="68"/>
      <c r="Z252" s="455"/>
      <c r="AA252" s="562"/>
      <c r="AB252" s="562"/>
      <c r="AC252" s="562"/>
      <c r="AD252" s="562"/>
      <c r="AE252" s="562"/>
      <c r="AF252" s="562"/>
      <c r="AG252" s="562"/>
      <c r="AH252" s="562"/>
      <c r="AI252" s="562"/>
      <c r="AJ252" s="562"/>
      <c r="AK252" s="562"/>
      <c r="AL252" s="562"/>
      <c r="AM252" s="562"/>
      <c r="AN252" s="562"/>
      <c r="AO252" s="562"/>
      <c r="AP252" s="562"/>
      <c r="AQ252" s="562"/>
      <c r="AR252" s="562"/>
      <c r="AS252" s="562"/>
      <c r="AT252" s="562"/>
      <c r="AU252" s="562"/>
      <c r="AV252" s="562"/>
      <c r="AW252" s="562"/>
      <c r="AX252" s="594" t="str">
        <f>'Overview (Verification)'!A9</f>
        <v>Physical Address of Home:</v>
      </c>
      <c r="AY252" s="562" t="str">
        <f>IF(LEN('Overview (Verification)'!P9)=0,0,'Overview (Verification)'!P9)</f>
        <v>6666 Oak St.</v>
      </c>
      <c r="AZ252" s="562"/>
      <c r="BA252" s="562"/>
      <c r="BB252" s="562"/>
      <c r="BC252" s="562"/>
      <c r="BD252" s="562"/>
      <c r="BE252" s="562"/>
      <c r="BF252" s="562"/>
      <c r="BG252" s="562"/>
      <c r="BH252" s="562"/>
      <c r="BI252" s="562"/>
      <c r="BJ252" s="562"/>
    </row>
    <row r="253" spans="1:62" ht="16" thickTop="1" x14ac:dyDescent="0.2">
      <c r="A253" s="541">
        <v>6</v>
      </c>
      <c r="B253" s="549">
        <v>601.1</v>
      </c>
      <c r="C253" s="544"/>
      <c r="D253" s="544"/>
      <c r="E253" s="544"/>
      <c r="F253" s="544"/>
      <c r="G253" s="543" t="str">
        <f>IF(N253&gt;0,"P","")</f>
        <v/>
      </c>
      <c r="H253" s="541" t="s">
        <v>3757</v>
      </c>
      <c r="I253" s="131" t="s">
        <v>2394</v>
      </c>
      <c r="J253" s="132"/>
      <c r="K253" s="133"/>
      <c r="L253" s="819" t="s">
        <v>2395</v>
      </c>
      <c r="M253" s="625"/>
      <c r="N253" s="981">
        <f>'Ch6'!O14</f>
        <v>0</v>
      </c>
      <c r="O253" s="981">
        <f>IFERROR(INDEX({14,12,9,6,3,0},MATCH(AY263,{1,701,1001,1501,2001,2501,100000},1)),0)</f>
        <v>0</v>
      </c>
      <c r="P253" s="74"/>
      <c r="Q253" s="74"/>
      <c r="R253" s="74"/>
      <c r="S253" s="74"/>
      <c r="T253" s="74"/>
      <c r="U253" s="74"/>
      <c r="V253" s="74"/>
      <c r="W253" s="74"/>
      <c r="X253" s="802"/>
      <c r="Y253" s="975" t="str">
        <f>IF(LEN('Ch6'!X14)=0,"None",'Ch6'!X14)</f>
        <v>None</v>
      </c>
      <c r="Z253" s="976"/>
      <c r="AA253" s="562">
        <f>'Photo Review'!H253</f>
        <v>0</v>
      </c>
      <c r="AB253" s="562"/>
      <c r="AC253" s="562"/>
      <c r="AD253" s="562"/>
      <c r="AE253" s="562"/>
      <c r="AF253" s="562"/>
      <c r="AG253" s="562"/>
      <c r="AH253" s="562"/>
      <c r="AI253" s="562"/>
      <c r="AJ253" s="562"/>
      <c r="AK253" s="562"/>
      <c r="AL253" s="562"/>
      <c r="AM253" s="562"/>
      <c r="AN253" s="190" t="str">
        <f>SUBSTITUTE(SUBSTITUTE(SUBSTITUTE("vpc"&amp;$B253&amp;$C253&amp;$D253&amp;$E253&amp;$F253,".","_"),"(","_"),")","")</f>
        <v>vpc601,1</v>
      </c>
      <c r="AO253" s="190">
        <f>O253</f>
        <v>0</v>
      </c>
      <c r="AP253" s="562"/>
      <c r="AQ253" s="562"/>
      <c r="AR253" s="190" t="str">
        <f>SUBSTITUTE(SUBSTITUTE(SUBSTITUTE("vnt"&amp;$B253&amp;$C253&amp;$D253&amp;$E253&amp;$F253,".","_"),"(","_"),")","")</f>
        <v>vnt601,1</v>
      </c>
      <c r="AS253" s="190">
        <f>X253</f>
        <v>0</v>
      </c>
      <c r="AT253" s="562"/>
      <c r="AU253" s="562"/>
      <c r="AV253" s="562"/>
      <c r="AW253" s="562"/>
      <c r="AX253" s="594" t="str">
        <f>'Overview (Verification)'!A10</f>
        <v>Community/Lot #:</v>
      </c>
      <c r="AY253" s="562">
        <f>IF(LEN('Overview (Verification)'!P10)=0,0,'Overview (Verification)'!P10)</f>
        <v>0</v>
      </c>
      <c r="AZ253" s="562"/>
      <c r="BA253" s="562"/>
      <c r="BB253" s="562"/>
      <c r="BC253" s="562"/>
      <c r="BD253" s="562"/>
      <c r="BE253" s="562"/>
      <c r="BF253" s="562"/>
      <c r="BG253" s="562"/>
      <c r="BH253" s="562"/>
      <c r="BI253" s="562"/>
      <c r="BJ253" s="562"/>
    </row>
    <row r="254" spans="1:62" x14ac:dyDescent="0.2">
      <c r="A254" s="541">
        <v>6</v>
      </c>
      <c r="B254" s="549">
        <v>601.1</v>
      </c>
      <c r="C254" s="544"/>
      <c r="D254" s="544"/>
      <c r="E254" s="544"/>
      <c r="F254" s="544"/>
      <c r="G254" s="543" t="str">
        <f t="shared" ref="G254:G264" si="78">G253</f>
        <v/>
      </c>
      <c r="H254" s="541" t="s">
        <v>3757</v>
      </c>
      <c r="I254" s="99"/>
      <c r="J254" s="98"/>
      <c r="K254" s="65"/>
      <c r="L254" s="820"/>
      <c r="M254" s="610"/>
      <c r="N254" s="924"/>
      <c r="O254" s="924"/>
      <c r="P254" s="64"/>
      <c r="Q254" s="64"/>
      <c r="R254" s="64"/>
      <c r="S254" s="64"/>
      <c r="T254" s="64"/>
      <c r="U254" s="64"/>
      <c r="V254" s="64"/>
      <c r="W254" s="64"/>
      <c r="X254" s="798"/>
      <c r="Y254" s="977"/>
      <c r="Z254" s="978"/>
      <c r="AA254" s="562"/>
      <c r="AB254" s="562"/>
      <c r="AC254" s="562"/>
      <c r="AD254" s="562"/>
      <c r="AE254" s="562"/>
      <c r="AF254" s="562"/>
      <c r="AG254" s="562"/>
      <c r="AH254" s="562"/>
      <c r="AI254" s="562"/>
      <c r="AJ254" s="562"/>
      <c r="AK254" s="562"/>
      <c r="AL254" s="562"/>
      <c r="AM254" s="562"/>
      <c r="AN254" s="562"/>
      <c r="AO254" s="562"/>
      <c r="AP254" s="562"/>
      <c r="AQ254" s="562"/>
      <c r="AR254" s="562"/>
      <c r="AS254" s="562"/>
      <c r="AT254" s="562"/>
      <c r="AU254" s="562"/>
      <c r="AV254" s="562"/>
      <c r="AW254" s="562"/>
      <c r="AX254" s="594" t="str">
        <f>'Overview (Verification)'!A11</f>
        <v>City:</v>
      </c>
      <c r="AY254" s="562" t="str">
        <f>IF(LEN('Overview (Verification)'!P11)=0,0,'Overview (Verification)'!P11)</f>
        <v>Raleigh</v>
      </c>
      <c r="AZ254" s="562"/>
      <c r="BA254" s="562"/>
      <c r="BB254" s="562"/>
      <c r="BC254" s="562"/>
      <c r="BD254" s="562"/>
      <c r="BE254" s="562"/>
      <c r="BF254" s="562"/>
      <c r="BG254" s="562"/>
      <c r="BH254" s="562"/>
      <c r="BI254" s="562"/>
      <c r="BJ254" s="562"/>
    </row>
    <row r="255" spans="1:62" x14ac:dyDescent="0.2">
      <c r="A255" s="541">
        <v>6</v>
      </c>
      <c r="B255" s="549">
        <v>601.1</v>
      </c>
      <c r="C255" s="544"/>
      <c r="D255" s="544"/>
      <c r="E255" s="544"/>
      <c r="F255" s="544"/>
      <c r="G255" s="543" t="str">
        <f t="shared" si="78"/>
        <v/>
      </c>
      <c r="H255" s="541" t="s">
        <v>3757</v>
      </c>
      <c r="I255" s="99"/>
      <c r="J255" s="98"/>
      <c r="K255" s="65"/>
      <c r="L255" s="820"/>
      <c r="M255" s="610"/>
      <c r="N255" s="924"/>
      <c r="O255" s="924"/>
      <c r="P255" s="64"/>
      <c r="Q255" s="64"/>
      <c r="R255" s="64"/>
      <c r="S255" s="64"/>
      <c r="T255" s="64"/>
      <c r="U255" s="64"/>
      <c r="V255" s="64"/>
      <c r="W255" s="64"/>
      <c r="X255" s="798"/>
      <c r="Y255" s="977"/>
      <c r="Z255" s="978"/>
      <c r="AA255" s="562"/>
      <c r="AB255" s="562"/>
      <c r="AC255" s="562"/>
      <c r="AD255" s="562"/>
      <c r="AE255" s="562"/>
      <c r="AF255" s="562"/>
      <c r="AG255" s="562"/>
      <c r="AH255" s="562"/>
      <c r="AI255" s="562"/>
      <c r="AJ255" s="562"/>
      <c r="AK255" s="562"/>
      <c r="AL255" s="562"/>
      <c r="AM255" s="562"/>
      <c r="AN255" s="562"/>
      <c r="AO255" s="562"/>
      <c r="AP255" s="562"/>
      <c r="AQ255" s="562"/>
      <c r="AR255" s="562"/>
      <c r="AS255" s="562"/>
      <c r="AT255" s="562"/>
      <c r="AU255" s="562"/>
      <c r="AV255" s="562"/>
      <c r="AW255" s="562"/>
      <c r="AX255" s="594" t="str">
        <f>'Overview (Verification)'!A12</f>
        <v>State:</v>
      </c>
      <c r="AY255" s="562" t="str">
        <f>IF(LEN('Overview (Verification)'!P12)=0,0,'Overview (Verification)'!P12)</f>
        <v>North Carolina</v>
      </c>
      <c r="AZ255" s="562"/>
      <c r="BA255" s="562"/>
      <c r="BB255" s="562"/>
      <c r="BC255" s="562" t="str">
        <f>'Overview (Verification)'!T12</f>
        <v>State</v>
      </c>
      <c r="BD255" s="562" t="str">
        <f>'Overview (Verification)'!U12</f>
        <v>County</v>
      </c>
      <c r="BE255" s="562" t="str">
        <f>'Overview (Verification)'!V12</f>
        <v>Radon</v>
      </c>
      <c r="BF255" s="562" t="str">
        <f>'Overview (Verification)'!W12</f>
        <v>Climate</v>
      </c>
      <c r="BG255" s="562" t="str">
        <f>'Overview (Verification)'!X12</f>
        <v>Moist</v>
      </c>
      <c r="BH255" s="562" t="str">
        <f>'Overview (Verification)'!Y12</f>
        <v>WarmHumid</v>
      </c>
      <c r="BI255" s="562"/>
      <c r="BJ255" s="562"/>
    </row>
    <row r="256" spans="1:62" x14ac:dyDescent="0.2">
      <c r="A256" s="541">
        <v>6</v>
      </c>
      <c r="B256" s="549">
        <v>601.1</v>
      </c>
      <c r="C256" s="544"/>
      <c r="D256" s="544"/>
      <c r="E256" s="544"/>
      <c r="F256" s="544"/>
      <c r="G256" s="543" t="str">
        <f t="shared" si="78"/>
        <v/>
      </c>
      <c r="H256" s="541" t="s">
        <v>3757</v>
      </c>
      <c r="I256" s="99"/>
      <c r="J256" s="98"/>
      <c r="K256" s="65"/>
      <c r="L256" s="820"/>
      <c r="M256" s="610"/>
      <c r="N256" s="924"/>
      <c r="O256" s="924"/>
      <c r="P256" s="64"/>
      <c r="Q256" s="64"/>
      <c r="R256" s="64"/>
      <c r="S256" s="64"/>
      <c r="T256" s="64"/>
      <c r="U256" s="64"/>
      <c r="V256" s="64"/>
      <c r="W256" s="64"/>
      <c r="X256" s="798"/>
      <c r="Y256" s="977"/>
      <c r="Z256" s="978"/>
      <c r="AA256" s="562"/>
      <c r="AB256" s="562"/>
      <c r="AC256" s="562" t="b">
        <f>OR(AD256:AE256)</f>
        <v>0</v>
      </c>
      <c r="AD256" s="562"/>
      <c r="AE256" s="562" t="b">
        <v>0</v>
      </c>
      <c r="AF256" s="562" t="b">
        <f>AND(AE256,NOT(Q256))</f>
        <v>0</v>
      </c>
      <c r="AG256" s="562"/>
      <c r="AH256" s="562"/>
      <c r="AI256" s="562"/>
      <c r="AJ256" s="562"/>
      <c r="AK256" s="562"/>
      <c r="AL256" s="562"/>
      <c r="AM256" s="562"/>
      <c r="AN256" s="562"/>
      <c r="AO256" s="562"/>
      <c r="AP256" s="562"/>
      <c r="AQ256" s="562"/>
      <c r="AR256" s="562"/>
      <c r="AS256" s="562"/>
      <c r="AT256" s="562"/>
      <c r="AU256" s="562"/>
      <c r="AV256" s="562"/>
      <c r="AW256" s="562"/>
      <c r="AX256" s="594" t="str">
        <f>'Overview (Verification)'!A13</f>
        <v>County:</v>
      </c>
      <c r="AY256" s="562">
        <f>IF(LEN('Overview (Verification)'!P13)=0,0,'Overview (Verification)'!P13)</f>
        <v>0</v>
      </c>
      <c r="AZ256" s="562"/>
      <c r="BA256" s="562"/>
      <c r="BB256" s="562"/>
      <c r="BC256" s="562" t="str">
        <f>'Overview (Verification)'!T13</f>
        <v>North Carolina</v>
      </c>
      <c r="BD256" s="562" t="str">
        <f>'Overview (Verification)'!U13</f>
        <v/>
      </c>
      <c r="BE256" s="562" t="str">
        <f>'Overview (Verification)'!V13</f>
        <v>!!</v>
      </c>
      <c r="BF256" s="562" t="str">
        <f>'Overview (Verification)'!W13</f>
        <v>!!</v>
      </c>
      <c r="BG256" s="562" t="str">
        <f>'Overview (Verification)'!X13</f>
        <v>!!</v>
      </c>
      <c r="BH256" s="562" t="str">
        <f>'Overview (Verification)'!Y13</f>
        <v>!!</v>
      </c>
      <c r="BI256" s="562"/>
      <c r="BJ256" s="562"/>
    </row>
    <row r="257" spans="1:62" ht="16" x14ac:dyDescent="0.2">
      <c r="A257" s="541">
        <v>6</v>
      </c>
      <c r="B257" s="549">
        <v>601.1</v>
      </c>
      <c r="C257" s="544"/>
      <c r="D257" s="544"/>
      <c r="E257" s="544" t="s">
        <v>2181</v>
      </c>
      <c r="F257" s="544"/>
      <c r="G257" s="543" t="str">
        <f t="shared" si="78"/>
        <v/>
      </c>
      <c r="H257" s="541" t="s">
        <v>3757</v>
      </c>
      <c r="I257" s="99"/>
      <c r="J257" s="159" t="s">
        <v>2181</v>
      </c>
      <c r="K257" s="126"/>
      <c r="L257" s="160" t="s">
        <v>2396</v>
      </c>
      <c r="M257" s="611">
        <v>14</v>
      </c>
      <c r="N257" s="668"/>
      <c r="O257" s="668"/>
      <c r="P257" s="64"/>
      <c r="Q257" s="64"/>
      <c r="R257" s="64"/>
      <c r="S257" s="64"/>
      <c r="T257" s="64"/>
      <c r="U257" s="64"/>
      <c r="V257" s="64"/>
      <c r="W257" s="64"/>
      <c r="X257" s="798"/>
      <c r="Y257" s="977"/>
      <c r="Z257" s="978"/>
      <c r="AA257" s="562"/>
      <c r="AB257" s="562"/>
      <c r="AC257" s="562"/>
      <c r="AD257" s="562"/>
      <c r="AE257" s="562"/>
      <c r="AF257" s="562"/>
      <c r="AG257" s="562"/>
      <c r="AH257" s="562"/>
      <c r="AI257" s="562"/>
      <c r="AJ257" s="562"/>
      <c r="AK257" s="562"/>
      <c r="AL257" s="190" t="str">
        <f t="shared" ref="AL257:AL261" si="79">SUBSTITUTE(SUBSTITUTE(SUBSTITUTE("vpa"&amp;$B257&amp;$C257&amp;$D257&amp;$E257&amp;$F257,".","_"),"(","_"),")","")</f>
        <v>vpa601,1_1</v>
      </c>
      <c r="AM257" s="190">
        <f>M257</f>
        <v>14</v>
      </c>
      <c r="AN257" s="562"/>
      <c r="AO257" s="562"/>
      <c r="AP257" s="562"/>
      <c r="AQ257" s="562"/>
      <c r="AR257" s="562"/>
      <c r="AS257" s="562"/>
      <c r="AT257" s="562"/>
      <c r="AU257" s="562"/>
      <c r="AV257" s="562"/>
      <c r="AW257" s="562"/>
      <c r="AX257" s="594" t="str">
        <f>'Overview (Verification)'!A14</f>
        <v>Zip:</v>
      </c>
      <c r="AY257" s="562" t="str">
        <f>IF(LEN('Overview (Verification)'!P14)=0,0,'Overview (Verification)'!P14)</f>
        <v>99999</v>
      </c>
      <c r="AZ257" s="562"/>
      <c r="BA257" s="562"/>
      <c r="BB257" s="562"/>
      <c r="BC257" s="562"/>
      <c r="BD257" s="562"/>
      <c r="BE257" s="562"/>
      <c r="BF257" s="562"/>
      <c r="BG257" s="562"/>
      <c r="BH257" s="562"/>
      <c r="BI257" s="562"/>
      <c r="BJ257" s="562"/>
    </row>
    <row r="258" spans="1:62" ht="16" x14ac:dyDescent="0.2">
      <c r="A258" s="541">
        <v>6</v>
      </c>
      <c r="B258" s="549">
        <v>601.1</v>
      </c>
      <c r="C258" s="544"/>
      <c r="D258" s="544"/>
      <c r="E258" s="544" t="s">
        <v>2183</v>
      </c>
      <c r="F258" s="544"/>
      <c r="G258" s="543" t="str">
        <f t="shared" si="78"/>
        <v/>
      </c>
      <c r="H258" s="541" t="s">
        <v>3757</v>
      </c>
      <c r="I258" s="99"/>
      <c r="J258" s="161" t="s">
        <v>2183</v>
      </c>
      <c r="K258" s="162"/>
      <c r="L258" s="163" t="s">
        <v>2397</v>
      </c>
      <c r="M258" s="249">
        <v>12</v>
      </c>
      <c r="N258" s="668"/>
      <c r="O258" s="668"/>
      <c r="P258" s="64"/>
      <c r="Q258" s="64"/>
      <c r="R258" s="64"/>
      <c r="S258" s="64"/>
      <c r="T258" s="64"/>
      <c r="U258" s="64"/>
      <c r="V258" s="64"/>
      <c r="W258" s="64"/>
      <c r="X258" s="798"/>
      <c r="Y258" s="977"/>
      <c r="Z258" s="978"/>
      <c r="AA258" s="562"/>
      <c r="AB258" s="562"/>
      <c r="AC258" s="562"/>
      <c r="AD258" s="562"/>
      <c r="AE258" s="562"/>
      <c r="AF258" s="562"/>
      <c r="AG258" s="562"/>
      <c r="AH258" s="562"/>
      <c r="AI258" s="562"/>
      <c r="AJ258" s="562"/>
      <c r="AK258" s="562"/>
      <c r="AL258" s="190" t="str">
        <f t="shared" si="79"/>
        <v>vpa601,1_2</v>
      </c>
      <c r="AM258" s="190">
        <f>M258</f>
        <v>12</v>
      </c>
      <c r="AN258" s="562"/>
      <c r="AO258" s="562"/>
      <c r="AP258" s="562"/>
      <c r="AQ258" s="562"/>
      <c r="AR258" s="562"/>
      <c r="AS258" s="562"/>
      <c r="AT258" s="562"/>
      <c r="AU258" s="562"/>
      <c r="AV258" s="562"/>
      <c r="AW258" s="562"/>
      <c r="AX258" s="594"/>
      <c r="AY258" s="562"/>
      <c r="AZ258" s="562"/>
      <c r="BA258" s="562"/>
      <c r="BB258" s="562"/>
      <c r="BC258" s="562"/>
      <c r="BD258" s="562"/>
      <c r="BE258" s="562"/>
      <c r="BF258" s="562"/>
      <c r="BG258" s="562"/>
      <c r="BH258" s="562"/>
      <c r="BI258" s="562"/>
      <c r="BJ258" s="562"/>
    </row>
    <row r="259" spans="1:62" ht="16" x14ac:dyDescent="0.2">
      <c r="A259" s="541">
        <v>6</v>
      </c>
      <c r="B259" s="549">
        <v>601.1</v>
      </c>
      <c r="C259" s="544"/>
      <c r="D259" s="544"/>
      <c r="E259" s="544" t="s">
        <v>2185</v>
      </c>
      <c r="F259" s="544"/>
      <c r="G259" s="543" t="str">
        <f t="shared" si="78"/>
        <v/>
      </c>
      <c r="H259" s="541" t="s">
        <v>3757</v>
      </c>
      <c r="I259" s="99"/>
      <c r="J259" s="161" t="s">
        <v>2185</v>
      </c>
      <c r="K259" s="162"/>
      <c r="L259" s="163" t="s">
        <v>2398</v>
      </c>
      <c r="M259" s="249">
        <v>9</v>
      </c>
      <c r="N259" s="668"/>
      <c r="O259" s="668"/>
      <c r="P259" s="64"/>
      <c r="Q259" s="64"/>
      <c r="R259" s="64"/>
      <c r="S259" s="64"/>
      <c r="T259" s="64"/>
      <c r="U259" s="64"/>
      <c r="V259" s="64"/>
      <c r="W259" s="64"/>
      <c r="X259" s="798"/>
      <c r="Y259" s="977"/>
      <c r="Z259" s="978"/>
      <c r="AA259" s="562"/>
      <c r="AB259" s="562"/>
      <c r="AC259" s="562"/>
      <c r="AD259" s="562"/>
      <c r="AE259" s="562"/>
      <c r="AF259" s="562"/>
      <c r="AG259" s="562"/>
      <c r="AH259" s="562"/>
      <c r="AI259" s="562"/>
      <c r="AJ259" s="562"/>
      <c r="AK259" s="562"/>
      <c r="AL259" s="190" t="str">
        <f t="shared" si="79"/>
        <v>vpa601,1_3</v>
      </c>
      <c r="AM259" s="190">
        <f>M259</f>
        <v>9</v>
      </c>
      <c r="AN259" s="562"/>
      <c r="AO259" s="562"/>
      <c r="AP259" s="562"/>
      <c r="AQ259" s="562"/>
      <c r="AR259" s="562"/>
      <c r="AS259" s="562"/>
      <c r="AT259" s="562"/>
      <c r="AU259" s="562"/>
      <c r="AV259" s="562"/>
      <c r="AW259" s="562"/>
      <c r="AX259" s="594" t="str">
        <f>'Overview (Verification)'!A16</f>
        <v>Single-Family or Multifamily:</v>
      </c>
      <c r="AY259" s="562" t="str">
        <f>IF(LEN('Overview (Verification)'!P16)=0,0,'Overview (Verification)'!P16)</f>
        <v>Single-Family</v>
      </c>
      <c r="AZ259" s="562"/>
      <c r="BA259" s="562"/>
      <c r="BB259" s="562"/>
      <c r="BC259" s="562"/>
      <c r="BD259" s="562"/>
      <c r="BE259" s="562"/>
      <c r="BF259" s="562"/>
      <c r="BG259" s="562"/>
      <c r="BH259" s="562"/>
      <c r="BI259" s="562"/>
      <c r="BJ259" s="562"/>
    </row>
    <row r="260" spans="1:62" ht="16" x14ac:dyDescent="0.2">
      <c r="A260" s="541">
        <v>6</v>
      </c>
      <c r="B260" s="549">
        <v>601.1</v>
      </c>
      <c r="C260" s="544"/>
      <c r="D260" s="544"/>
      <c r="E260" s="544" t="s">
        <v>2192</v>
      </c>
      <c r="F260" s="544"/>
      <c r="G260" s="543" t="str">
        <f t="shared" si="78"/>
        <v/>
      </c>
      <c r="H260" s="541" t="s">
        <v>3757</v>
      </c>
      <c r="I260" s="99"/>
      <c r="J260" s="161" t="s">
        <v>2192</v>
      </c>
      <c r="K260" s="162"/>
      <c r="L260" s="163" t="s">
        <v>2399</v>
      </c>
      <c r="M260" s="249">
        <v>6</v>
      </c>
      <c r="N260" s="668"/>
      <c r="O260" s="668"/>
      <c r="P260" s="64"/>
      <c r="Q260" s="64"/>
      <c r="R260" s="64"/>
      <c r="S260" s="64"/>
      <c r="T260" s="64"/>
      <c r="U260" s="64"/>
      <c r="V260" s="64"/>
      <c r="W260" s="64"/>
      <c r="X260" s="798"/>
      <c r="Y260" s="977"/>
      <c r="Z260" s="978"/>
      <c r="AA260" s="562"/>
      <c r="AB260" s="562"/>
      <c r="AC260" s="562"/>
      <c r="AD260" s="562"/>
      <c r="AE260" s="562"/>
      <c r="AF260" s="562"/>
      <c r="AG260" s="562"/>
      <c r="AH260" s="562"/>
      <c r="AI260" s="562"/>
      <c r="AJ260" s="562"/>
      <c r="AK260" s="562"/>
      <c r="AL260" s="190" t="str">
        <f t="shared" si="79"/>
        <v>vpa601,1_4</v>
      </c>
      <c r="AM260" s="190">
        <f>M260</f>
        <v>6</v>
      </c>
      <c r="AN260" s="562"/>
      <c r="AO260" s="562"/>
      <c r="AP260" s="562"/>
      <c r="AQ260" s="562"/>
      <c r="AR260" s="562"/>
      <c r="AS260" s="562"/>
      <c r="AT260" s="562"/>
      <c r="AU260" s="562"/>
      <c r="AV260" s="562"/>
      <c r="AW260" s="562"/>
      <c r="AX260" s="594" t="str">
        <f>'Overview (Verification)'!A17</f>
        <v>Number of Units:</v>
      </c>
      <c r="AY260" s="562">
        <f>IF(LEN('Overview (Verification)'!P17)=0,0,'Overview (Verification)'!P17)</f>
        <v>0</v>
      </c>
      <c r="AZ260" s="562"/>
      <c r="BA260" s="562"/>
      <c r="BB260" s="562"/>
      <c r="BC260" s="562"/>
      <c r="BD260" s="562"/>
      <c r="BE260" s="562"/>
      <c r="BF260" s="562"/>
      <c r="BG260" s="562"/>
      <c r="BH260" s="562"/>
      <c r="BI260" s="562"/>
      <c r="BJ260" s="562"/>
    </row>
    <row r="261" spans="1:62" ht="16" x14ac:dyDescent="0.2">
      <c r="A261" s="541">
        <v>6</v>
      </c>
      <c r="B261" s="549">
        <v>601.1</v>
      </c>
      <c r="C261" s="544"/>
      <c r="D261" s="544"/>
      <c r="E261" s="544" t="s">
        <v>2194</v>
      </c>
      <c r="F261" s="544"/>
      <c r="G261" s="543" t="str">
        <f t="shared" si="78"/>
        <v/>
      </c>
      <c r="H261" s="541" t="s">
        <v>3757</v>
      </c>
      <c r="I261" s="99"/>
      <c r="J261" s="161" t="s">
        <v>2194</v>
      </c>
      <c r="K261" s="162"/>
      <c r="L261" s="163" t="s">
        <v>2400</v>
      </c>
      <c r="M261" s="249">
        <v>3</v>
      </c>
      <c r="N261" s="668"/>
      <c r="O261" s="668"/>
      <c r="P261" s="64"/>
      <c r="Q261" s="64"/>
      <c r="R261" s="64"/>
      <c r="S261" s="64"/>
      <c r="T261" s="64"/>
      <c r="U261" s="64"/>
      <c r="V261" s="64"/>
      <c r="W261" s="64"/>
      <c r="X261" s="798"/>
      <c r="Y261" s="977"/>
      <c r="Z261" s="978"/>
      <c r="AA261" s="562"/>
      <c r="AB261" s="562"/>
      <c r="AC261" s="562"/>
      <c r="AD261" s="562"/>
      <c r="AE261" s="562"/>
      <c r="AF261" s="562"/>
      <c r="AG261" s="562"/>
      <c r="AH261" s="562"/>
      <c r="AI261" s="562"/>
      <c r="AJ261" s="562"/>
      <c r="AK261" s="562"/>
      <c r="AL261" s="190" t="str">
        <f t="shared" si="79"/>
        <v>vpa601,1_5</v>
      </c>
      <c r="AM261" s="190">
        <f>M261</f>
        <v>3</v>
      </c>
      <c r="AN261" s="562"/>
      <c r="AO261" s="562"/>
      <c r="AP261" s="562"/>
      <c r="AQ261" s="562"/>
      <c r="AR261" s="562"/>
      <c r="AS261" s="562"/>
      <c r="AT261" s="562"/>
      <c r="AU261" s="562"/>
      <c r="AV261" s="562"/>
      <c r="AW261" s="562"/>
      <c r="AX261" s="594" t="str">
        <f>'Overview (Verification)'!A18</f>
        <v>Project Name:</v>
      </c>
      <c r="AY261" s="562">
        <f>IF(LEN('Overview (Verification)'!P18)=0,0,'Overview (Verification)'!P18)</f>
        <v>0</v>
      </c>
      <c r="AZ261" s="562"/>
      <c r="BA261" s="562"/>
      <c r="BB261" s="562"/>
      <c r="BC261" s="562"/>
      <c r="BD261" s="562"/>
      <c r="BE261" s="562"/>
      <c r="BF261" s="562"/>
      <c r="BG261" s="562"/>
      <c r="BH261" s="562"/>
      <c r="BI261" s="562"/>
      <c r="BJ261" s="562"/>
    </row>
    <row r="262" spans="1:62" ht="16" x14ac:dyDescent="0.2">
      <c r="A262" s="541">
        <v>6</v>
      </c>
      <c r="B262" s="549">
        <v>601.1</v>
      </c>
      <c r="C262" s="544"/>
      <c r="D262" s="544"/>
      <c r="E262" s="544" t="s">
        <v>2221</v>
      </c>
      <c r="F262" s="544"/>
      <c r="G262" s="543" t="str">
        <f t="shared" si="78"/>
        <v/>
      </c>
      <c r="H262" s="541" t="s">
        <v>3757</v>
      </c>
      <c r="I262" s="99"/>
      <c r="J262" s="134" t="s">
        <v>2221</v>
      </c>
      <c r="K262" s="65"/>
      <c r="L262" s="388" t="s">
        <v>2401</v>
      </c>
      <c r="M262" s="630" t="str">
        <f>IF(AY263&gt;4000,"Mandatory","N/A")</f>
        <v>N/A</v>
      </c>
      <c r="N262" s="668"/>
      <c r="O262" s="668"/>
      <c r="P262" s="64"/>
      <c r="Q262" s="64"/>
      <c r="R262" s="64"/>
      <c r="S262" s="64"/>
      <c r="T262" s="64"/>
      <c r="U262" s="64"/>
      <c r="V262" s="64"/>
      <c r="W262" s="64"/>
      <c r="X262" s="798"/>
      <c r="Y262" s="977"/>
      <c r="Z262" s="978"/>
      <c r="AA262" s="562"/>
      <c r="AB262" s="562"/>
      <c r="AC262" s="562"/>
      <c r="AD262" s="562"/>
      <c r="AE262" s="562"/>
      <c r="AF262" s="562"/>
      <c r="AG262" s="562"/>
      <c r="AH262" s="562"/>
      <c r="AI262" s="562"/>
      <c r="AJ262" s="562"/>
      <c r="AK262" s="562"/>
      <c r="AL262" s="562"/>
      <c r="AM262" s="562"/>
      <c r="AN262" s="562"/>
      <c r="AO262" s="562"/>
      <c r="AP262" s="562"/>
      <c r="AQ262" s="562"/>
      <c r="AR262" s="562"/>
      <c r="AS262" s="562"/>
      <c r="AT262" s="562"/>
      <c r="AU262" s="562"/>
      <c r="AV262" s="562"/>
      <c r="AW262" s="562"/>
      <c r="AX262" s="594"/>
      <c r="AY262" s="562"/>
      <c r="AZ262" s="562"/>
      <c r="BA262" s="562"/>
      <c r="BB262" s="562"/>
      <c r="BC262" s="562"/>
      <c r="BD262" s="562"/>
      <c r="BE262" s="562"/>
      <c r="BF262" s="562"/>
      <c r="BG262" s="562"/>
      <c r="BH262" s="562"/>
      <c r="BI262" s="562"/>
      <c r="BJ262" s="562"/>
    </row>
    <row r="263" spans="1:62" x14ac:dyDescent="0.2">
      <c r="A263" s="541">
        <v>6</v>
      </c>
      <c r="B263" s="549">
        <v>601.1</v>
      </c>
      <c r="C263" s="544"/>
      <c r="D263" s="544"/>
      <c r="E263" s="544" t="s">
        <v>2221</v>
      </c>
      <c r="F263" s="544"/>
      <c r="G263" s="543" t="str">
        <f t="shared" si="78"/>
        <v/>
      </c>
      <c r="H263" s="541" t="s">
        <v>3757</v>
      </c>
      <c r="I263" s="99"/>
      <c r="J263" s="98"/>
      <c r="K263" s="65"/>
      <c r="L263" s="820" t="s">
        <v>2402</v>
      </c>
      <c r="M263" s="135" t="s">
        <v>2403</v>
      </c>
      <c r="N263" s="668"/>
      <c r="O263" s="668"/>
      <c r="P263" s="64"/>
      <c r="Q263" s="64"/>
      <c r="R263" s="64"/>
      <c r="S263" s="64"/>
      <c r="T263" s="64"/>
      <c r="U263" s="64"/>
      <c r="V263" s="64"/>
      <c r="W263" s="64"/>
      <c r="X263" s="798"/>
      <c r="Y263" s="977"/>
      <c r="Z263" s="978"/>
      <c r="AA263" s="562"/>
      <c r="AB263" s="562"/>
      <c r="AC263" s="562"/>
      <c r="AD263" s="562"/>
      <c r="AE263" s="562"/>
      <c r="AF263" s="562"/>
      <c r="AG263" s="562"/>
      <c r="AH263" s="562"/>
      <c r="AI263" s="562"/>
      <c r="AJ263" s="562"/>
      <c r="AK263" s="562"/>
      <c r="AL263" s="562"/>
      <c r="AM263" s="562"/>
      <c r="AN263" s="562"/>
      <c r="AO263" s="562"/>
      <c r="AP263" s="562"/>
      <c r="AQ263" s="562"/>
      <c r="AR263" s="562"/>
      <c r="AS263" s="562"/>
      <c r="AT263" s="562"/>
      <c r="AU263" s="562"/>
      <c r="AV263" s="562"/>
      <c r="AW263" s="562"/>
      <c r="AX263" s="594" t="str">
        <f>'Overview (Verification)'!A21</f>
        <v>Above grade plane finished floor area:</v>
      </c>
      <c r="AY263" s="562">
        <f>IF(LEN('Overview (Verification)'!P21)=0,0,'Overview (Verification)'!P21)</f>
        <v>0</v>
      </c>
      <c r="AZ263" s="562"/>
      <c r="BA263" s="562"/>
      <c r="BB263" s="562"/>
      <c r="BC263" s="562"/>
      <c r="BD263" s="562"/>
      <c r="BE263" s="562"/>
      <c r="BF263" s="562"/>
      <c r="BG263" s="562"/>
      <c r="BH263" s="562"/>
      <c r="BI263" s="562"/>
      <c r="BJ263" s="562"/>
    </row>
    <row r="264" spans="1:62" x14ac:dyDescent="0.2">
      <c r="A264" s="541">
        <v>6</v>
      </c>
      <c r="B264" s="549">
        <v>601.1</v>
      </c>
      <c r="C264" s="544"/>
      <c r="D264" s="544"/>
      <c r="E264" s="544" t="s">
        <v>2221</v>
      </c>
      <c r="F264" s="544"/>
      <c r="G264" s="543" t="str">
        <f t="shared" si="78"/>
        <v/>
      </c>
      <c r="H264" s="541" t="s">
        <v>3757</v>
      </c>
      <c r="I264" s="99"/>
      <c r="J264" s="98"/>
      <c r="K264" s="65"/>
      <c r="L264" s="820"/>
      <c r="M264" s="135">
        <f>MAX(0,ROUNDDOWN((AY263-4000)/100,0))</f>
        <v>0</v>
      </c>
      <c r="N264" s="668"/>
      <c r="O264" s="668"/>
      <c r="P264" s="64"/>
      <c r="Q264" s="64"/>
      <c r="R264" s="64"/>
      <c r="S264" s="64"/>
      <c r="T264" s="64"/>
      <c r="U264" s="64"/>
      <c r="V264" s="64"/>
      <c r="W264" s="64"/>
      <c r="X264" s="798"/>
      <c r="Y264" s="977"/>
      <c r="Z264" s="978"/>
      <c r="AA264" s="562"/>
      <c r="AB264" s="562"/>
      <c r="AC264" s="562"/>
      <c r="AD264" s="562"/>
      <c r="AE264" s="562"/>
      <c r="AF264" s="562"/>
      <c r="AG264" s="562"/>
      <c r="AH264" s="562"/>
      <c r="AI264" s="562"/>
      <c r="AJ264" s="562"/>
      <c r="AK264" s="562"/>
      <c r="AL264" s="562"/>
      <c r="AM264" s="562"/>
      <c r="AN264" s="562"/>
      <c r="AO264" s="562"/>
      <c r="AP264" s="562"/>
      <c r="AQ264" s="562"/>
      <c r="AR264" s="562"/>
      <c r="AS264" s="562"/>
      <c r="AT264" s="562"/>
      <c r="AU264" s="562"/>
      <c r="AV264" s="562"/>
      <c r="AW264" s="562"/>
      <c r="AX264" s="594" t="str">
        <f>'Overview (Verification)'!A22</f>
        <v>Total conditioned floor area:</v>
      </c>
      <c r="AY264" s="562">
        <f>IF(LEN('Overview (Verification)'!P22)=0,0,'Overview (Verification)'!P22)</f>
        <v>0</v>
      </c>
      <c r="AZ264" s="562"/>
      <c r="BA264" s="562"/>
      <c r="BB264" s="562"/>
      <c r="BC264" s="562"/>
      <c r="BD264" s="562"/>
      <c r="BE264" s="562"/>
      <c r="BF264" s="562"/>
      <c r="BG264" s="562"/>
      <c r="BH264" s="562"/>
      <c r="BI264" s="562"/>
      <c r="BJ264" s="562"/>
    </row>
    <row r="265" spans="1:62" x14ac:dyDescent="0.2">
      <c r="A265" s="541">
        <v>6</v>
      </c>
      <c r="B265" s="549">
        <v>601.1</v>
      </c>
      <c r="C265" s="544"/>
      <c r="D265" s="544"/>
      <c r="E265" s="544" t="s">
        <v>2221</v>
      </c>
      <c r="F265" s="544"/>
      <c r="G265" s="545"/>
      <c r="H265" s="545"/>
      <c r="I265" s="99"/>
      <c r="J265" s="98"/>
      <c r="K265" s="562"/>
      <c r="L265" s="816" t="s">
        <v>2404</v>
      </c>
      <c r="M265" s="610"/>
      <c r="N265" s="668"/>
      <c r="O265" s="668"/>
      <c r="P265" s="64"/>
      <c r="Q265" s="64"/>
      <c r="R265" s="64"/>
      <c r="S265" s="64"/>
      <c r="T265" s="64"/>
      <c r="U265" s="64"/>
      <c r="V265" s="64"/>
      <c r="W265" s="64"/>
      <c r="X265" s="798"/>
      <c r="Y265" s="977"/>
      <c r="Z265" s="978"/>
      <c r="AA265" s="562"/>
      <c r="AB265" s="562"/>
      <c r="AC265" s="562"/>
      <c r="AD265" s="562"/>
      <c r="AE265" s="562"/>
      <c r="AF265" s="562"/>
      <c r="AG265" s="562"/>
      <c r="AH265" s="562"/>
      <c r="AI265" s="562"/>
      <c r="AJ265" s="562"/>
      <c r="AK265" s="562"/>
      <c r="AL265" s="562"/>
      <c r="AM265" s="562"/>
      <c r="AN265" s="562"/>
      <c r="AO265" s="562"/>
      <c r="AP265" s="562"/>
      <c r="AQ265" s="562"/>
      <c r="AR265" s="562"/>
      <c r="AS265" s="562"/>
      <c r="AT265" s="562"/>
      <c r="AU265" s="562"/>
      <c r="AV265" s="562"/>
      <c r="AW265" s="562"/>
      <c r="AX265" s="594"/>
      <c r="AY265" s="562"/>
      <c r="AZ265" s="562"/>
      <c r="BA265" s="562"/>
      <c r="BB265" s="562"/>
      <c r="BC265" s="562"/>
      <c r="BD265" s="562"/>
      <c r="BE265" s="562"/>
      <c r="BF265" s="562"/>
      <c r="BG265" s="562"/>
      <c r="BH265" s="562"/>
      <c r="BI265" s="562"/>
      <c r="BJ265" s="562"/>
    </row>
    <row r="266" spans="1:62" ht="16" thickBot="1" x14ac:dyDescent="0.25">
      <c r="A266" s="541">
        <v>6</v>
      </c>
      <c r="B266" s="549">
        <v>601.1</v>
      </c>
      <c r="C266" s="544"/>
      <c r="D266" s="544"/>
      <c r="E266" s="544" t="s">
        <v>2221</v>
      </c>
      <c r="F266" s="544"/>
      <c r="G266" s="545"/>
      <c r="H266" s="545"/>
      <c r="I266" s="99"/>
      <c r="J266" s="98"/>
      <c r="K266" s="287"/>
      <c r="L266" s="816"/>
      <c r="M266" s="610"/>
      <c r="N266" s="668"/>
      <c r="O266" s="668"/>
      <c r="P266" s="64"/>
      <c r="Q266" s="64"/>
      <c r="R266" s="64"/>
      <c r="S266" s="64"/>
      <c r="T266" s="64"/>
      <c r="U266" s="64"/>
      <c r="V266" s="64"/>
      <c r="W266" s="64"/>
      <c r="X266" s="825"/>
      <c r="Y266" s="979"/>
      <c r="Z266" s="1007"/>
      <c r="AA266" s="562"/>
      <c r="AB266" s="562"/>
      <c r="AC266" s="562"/>
      <c r="AD266" s="562"/>
      <c r="AE266" s="562"/>
      <c r="AF266" s="562"/>
      <c r="AG266" s="562"/>
      <c r="AH266" s="562"/>
      <c r="AI266" s="562"/>
      <c r="AJ266" s="562"/>
      <c r="AK266" s="562"/>
      <c r="AL266" s="562"/>
      <c r="AM266" s="562"/>
      <c r="AN266" s="562"/>
      <c r="AO266" s="562"/>
      <c r="AP266" s="562"/>
      <c r="AQ266" s="562"/>
      <c r="AR266" s="562"/>
      <c r="AS266" s="562"/>
      <c r="AT266" s="562"/>
      <c r="AU266" s="562"/>
      <c r="AV266" s="562"/>
      <c r="AW266" s="562"/>
      <c r="AX266" s="594" t="str">
        <f>'Overview (Verification)'!A25</f>
        <v xml:space="preserve">Project Description (optional): </v>
      </c>
      <c r="AY266" s="562" t="str">
        <f>IF(LEN('Overview (Verification)'!P25)=0,0,'Overview (Verification)'!P25)</f>
        <v>Test Description</v>
      </c>
      <c r="AZ266" s="562"/>
      <c r="BA266" s="562"/>
      <c r="BB266" s="562"/>
      <c r="BC266" s="562"/>
      <c r="BD266" s="562"/>
      <c r="BE266" s="562"/>
      <c r="BF266" s="562"/>
      <c r="BG266" s="562"/>
      <c r="BH266" s="562"/>
      <c r="BI266" s="562"/>
      <c r="BJ266" s="562"/>
    </row>
    <row r="267" spans="1:62" ht="16" thickTop="1" x14ac:dyDescent="0.2">
      <c r="A267" s="541">
        <v>6</v>
      </c>
      <c r="B267" s="549">
        <v>601.20000000000005</v>
      </c>
      <c r="C267" s="544"/>
      <c r="D267" s="544"/>
      <c r="E267" s="544"/>
      <c r="F267" s="544"/>
      <c r="G267" s="539" t="str">
        <f>IF(COUNTIF(G271:G277,"P")&gt;0,"P","")</f>
        <v/>
      </c>
      <c r="H267" s="541" t="s">
        <v>3757</v>
      </c>
      <c r="I267" s="131" t="s">
        <v>2405</v>
      </c>
      <c r="J267" s="132"/>
      <c r="K267" s="133"/>
      <c r="L267" s="819" t="s">
        <v>3760</v>
      </c>
      <c r="M267" s="625"/>
      <c r="N267" s="673"/>
      <c r="O267" s="673"/>
      <c r="P267" s="74"/>
      <c r="Q267" s="74"/>
      <c r="R267" s="74"/>
      <c r="S267" s="74"/>
      <c r="T267" s="74"/>
      <c r="U267" s="74"/>
      <c r="V267" s="74"/>
      <c r="W267" s="74"/>
      <c r="X267" s="136"/>
      <c r="Y267" s="562"/>
      <c r="Z267" s="430"/>
      <c r="AA267" s="562"/>
      <c r="AB267" s="562"/>
      <c r="AC267" s="562"/>
      <c r="AD267" s="562"/>
      <c r="AE267" s="562"/>
      <c r="AF267" s="562"/>
      <c r="AG267" s="562"/>
      <c r="AH267" s="562"/>
      <c r="AI267" s="562"/>
      <c r="AJ267" s="562"/>
      <c r="AK267" s="562"/>
      <c r="AL267" s="562"/>
      <c r="AM267" s="562"/>
      <c r="AN267" s="562"/>
      <c r="AO267" s="562"/>
      <c r="AP267" s="562"/>
      <c r="AQ267" s="562"/>
      <c r="AR267" s="562"/>
      <c r="AS267" s="562"/>
      <c r="AT267" s="562"/>
      <c r="AU267" s="562"/>
      <c r="AV267" s="562"/>
      <c r="AW267" s="562"/>
      <c r="AX267" s="562"/>
      <c r="AY267" s="562"/>
      <c r="AZ267" s="562"/>
      <c r="BA267" s="562"/>
      <c r="BB267" s="562"/>
      <c r="BC267" s="562"/>
      <c r="BD267" s="562"/>
      <c r="BE267" s="562"/>
      <c r="BF267" s="562"/>
      <c r="BG267" s="562"/>
      <c r="BH267" s="562"/>
      <c r="BI267" s="562"/>
      <c r="BJ267" s="562"/>
    </row>
    <row r="268" spans="1:62" x14ac:dyDescent="0.2">
      <c r="A268" s="541">
        <v>6</v>
      </c>
      <c r="B268" s="549">
        <v>601.20000000000005</v>
      </c>
      <c r="C268" s="544"/>
      <c r="D268" s="544"/>
      <c r="E268" s="544"/>
      <c r="F268" s="544"/>
      <c r="G268" s="543" t="str">
        <f t="shared" ref="G268:G270" si="80">G267</f>
        <v/>
      </c>
      <c r="H268" s="541" t="s">
        <v>3757</v>
      </c>
      <c r="I268" s="99"/>
      <c r="J268" s="98"/>
      <c r="K268" s="65"/>
      <c r="L268" s="820"/>
      <c r="M268" s="610"/>
      <c r="N268" s="668"/>
      <c r="O268" s="668"/>
      <c r="P268" s="64"/>
      <c r="Q268" s="64"/>
      <c r="R268" s="64"/>
      <c r="S268" s="64"/>
      <c r="T268" s="64"/>
      <c r="U268" s="64"/>
      <c r="V268" s="64"/>
      <c r="W268" s="64"/>
      <c r="X268" s="82"/>
      <c r="Y268" s="562"/>
      <c r="Z268" s="430"/>
      <c r="AA268" s="562"/>
      <c r="AB268" s="562"/>
      <c r="AC268" s="562"/>
      <c r="AD268" s="562"/>
      <c r="AE268" s="562"/>
      <c r="AF268" s="562"/>
      <c r="AG268" s="562"/>
      <c r="AH268" s="562"/>
      <c r="AI268" s="562"/>
      <c r="AJ268" s="562"/>
      <c r="AK268" s="562"/>
      <c r="AL268" s="562"/>
      <c r="AM268" s="562"/>
      <c r="AN268" s="562"/>
      <c r="AO268" s="562"/>
      <c r="AP268" s="562"/>
      <c r="AQ268" s="562"/>
      <c r="AR268" s="562"/>
      <c r="AS268" s="562"/>
      <c r="AT268" s="562"/>
      <c r="AU268" s="562"/>
      <c r="AV268" s="562"/>
      <c r="AW268" s="562"/>
      <c r="AX268" s="594" t="str">
        <f>'Overview (Verification)'!A27</f>
        <v>HERS Index (if available):</v>
      </c>
      <c r="AY268" s="562">
        <f>IF(LEN('Overview (Verification)'!P27)=0,0,'Overview (Verification)'!P27)</f>
        <v>0</v>
      </c>
      <c r="AZ268" s="562"/>
      <c r="BA268" s="562"/>
      <c r="BB268" s="562"/>
      <c r="BC268" s="562"/>
      <c r="BD268" s="562"/>
      <c r="BE268" s="562"/>
      <c r="BF268" s="562"/>
      <c r="BG268" s="562"/>
      <c r="BH268" s="562"/>
      <c r="BI268" s="562"/>
      <c r="BJ268" s="562"/>
    </row>
    <row r="269" spans="1:62" s="481" customFormat="1" x14ac:dyDescent="0.2">
      <c r="A269" s="541">
        <v>6</v>
      </c>
      <c r="B269" s="549">
        <v>601.20000000000005</v>
      </c>
      <c r="C269" s="544"/>
      <c r="D269" s="544"/>
      <c r="E269" s="544"/>
      <c r="F269" s="544"/>
      <c r="G269" s="543" t="str">
        <f t="shared" si="80"/>
        <v/>
      </c>
      <c r="H269" s="541" t="s">
        <v>3757</v>
      </c>
      <c r="I269" s="99"/>
      <c r="J269" s="98"/>
      <c r="K269" s="65"/>
      <c r="L269" s="846" t="s">
        <v>2407</v>
      </c>
      <c r="M269" s="610"/>
      <c r="N269" s="668"/>
      <c r="O269" s="668"/>
      <c r="P269" s="64"/>
      <c r="Q269" s="64"/>
      <c r="R269" s="64"/>
      <c r="S269" s="64"/>
      <c r="T269" s="64"/>
      <c r="U269" s="64"/>
      <c r="V269" s="64"/>
      <c r="W269" s="64"/>
      <c r="X269" s="82"/>
      <c r="Y269" s="562"/>
      <c r="Z269" s="430"/>
      <c r="AA269" s="562"/>
      <c r="AB269" s="562"/>
      <c r="AC269" s="562"/>
      <c r="AD269" s="562"/>
      <c r="AE269" s="562"/>
      <c r="AF269" s="562"/>
      <c r="AG269" s="562"/>
      <c r="AH269" s="562"/>
      <c r="AI269" s="562"/>
      <c r="AJ269" s="562"/>
      <c r="AK269" s="562"/>
      <c r="AL269" s="562"/>
      <c r="AM269" s="562"/>
      <c r="AN269" s="562"/>
      <c r="AO269" s="562"/>
      <c r="AP269" s="562"/>
      <c r="AQ269" s="562"/>
      <c r="AR269" s="562"/>
      <c r="AS269" s="562"/>
      <c r="AT269" s="562"/>
      <c r="AU269" s="562"/>
      <c r="AV269" s="562"/>
      <c r="AW269" s="562"/>
      <c r="AX269" s="594"/>
      <c r="AY269" s="562"/>
      <c r="AZ269" s="562"/>
      <c r="BA269" s="562"/>
      <c r="BB269" s="562"/>
      <c r="BC269" s="562"/>
      <c r="BD269" s="562"/>
      <c r="BE269" s="562"/>
      <c r="BF269" s="562"/>
      <c r="BG269" s="562"/>
      <c r="BH269" s="562"/>
      <c r="BI269" s="562"/>
      <c r="BJ269" s="562"/>
    </row>
    <row r="270" spans="1:62" s="481" customFormat="1" x14ac:dyDescent="0.2">
      <c r="A270" s="541">
        <v>6</v>
      </c>
      <c r="B270" s="549">
        <v>601.20000000000005</v>
      </c>
      <c r="C270" s="544"/>
      <c r="D270" s="544"/>
      <c r="E270" s="544"/>
      <c r="F270" s="544"/>
      <c r="G270" s="543" t="str">
        <f t="shared" si="80"/>
        <v/>
      </c>
      <c r="H270" s="541" t="s">
        <v>3757</v>
      </c>
      <c r="I270" s="99"/>
      <c r="J270" s="98"/>
      <c r="K270" s="65"/>
      <c r="L270" s="846"/>
      <c r="M270" s="610"/>
      <c r="N270" s="668"/>
      <c r="O270" s="668"/>
      <c r="P270" s="64"/>
      <c r="Q270" s="64"/>
      <c r="R270" s="64"/>
      <c r="S270" s="64"/>
      <c r="T270" s="64"/>
      <c r="U270" s="64"/>
      <c r="V270" s="64"/>
      <c r="W270" s="64"/>
      <c r="X270" s="82"/>
      <c r="Y270" s="562"/>
      <c r="Z270" s="430"/>
      <c r="AA270" s="562"/>
      <c r="AB270" s="562"/>
      <c r="AC270" s="562"/>
      <c r="AD270" s="562"/>
      <c r="AE270" s="562"/>
      <c r="AF270" s="562"/>
      <c r="AG270" s="562"/>
      <c r="AH270" s="562"/>
      <c r="AI270" s="562"/>
      <c r="AJ270" s="562"/>
      <c r="AK270" s="562"/>
      <c r="AL270" s="562"/>
      <c r="AM270" s="562"/>
      <c r="AN270" s="562"/>
      <c r="AO270" s="562"/>
      <c r="AP270" s="562"/>
      <c r="AQ270" s="562"/>
      <c r="AR270" s="562"/>
      <c r="AS270" s="562"/>
      <c r="AT270" s="562"/>
      <c r="AU270" s="562"/>
      <c r="AV270" s="562"/>
      <c r="AW270" s="562"/>
      <c r="AX270" s="594"/>
      <c r="AY270" s="562"/>
      <c r="AZ270" s="562"/>
      <c r="BA270" s="562"/>
      <c r="BB270" s="562"/>
      <c r="BC270" s="562"/>
      <c r="BD270" s="562"/>
      <c r="BE270" s="562"/>
      <c r="BF270" s="562"/>
      <c r="BG270" s="562"/>
      <c r="BH270" s="562"/>
      <c r="BI270" s="562"/>
      <c r="BJ270" s="562"/>
    </row>
    <row r="271" spans="1:62" x14ac:dyDescent="0.2">
      <c r="A271" s="541">
        <v>6</v>
      </c>
      <c r="B271" s="549">
        <v>601.20000000000005</v>
      </c>
      <c r="C271" s="544"/>
      <c r="D271" s="544"/>
      <c r="E271" s="544" t="s">
        <v>2181</v>
      </c>
      <c r="F271" s="544"/>
      <c r="G271" s="543" t="str">
        <f>IF(N271&gt;0,"P","")</f>
        <v/>
      </c>
      <c r="H271" s="541" t="s">
        <v>3757</v>
      </c>
      <c r="I271" s="40"/>
      <c r="J271" s="134" t="s">
        <v>2181</v>
      </c>
      <c r="K271" s="65"/>
      <c r="L271" s="791" t="s">
        <v>2408</v>
      </c>
      <c r="M271" s="800">
        <v>3</v>
      </c>
      <c r="N271" s="924">
        <f>'Ch6'!O32</f>
        <v>0</v>
      </c>
      <c r="O271" s="924">
        <f>M271*S271*W271</f>
        <v>0</v>
      </c>
      <c r="P271" s="562" t="b">
        <v>1</v>
      </c>
      <c r="Q271" s="562" t="b">
        <v>0</v>
      </c>
      <c r="R271" s="562" t="b">
        <v>0</v>
      </c>
      <c r="S271" s="562" t="b">
        <v>1</v>
      </c>
      <c r="T271" s="562" t="b">
        <v>0</v>
      </c>
      <c r="U271" s="562"/>
      <c r="V271" s="562"/>
      <c r="W271" s="18"/>
      <c r="X271" s="787"/>
      <c r="Y271" s="980" t="str">
        <f>IF(LEN('Ch6'!X32)=0,"None",'Ch6'!X32)</f>
        <v>None</v>
      </c>
      <c r="Z271" s="983"/>
      <c r="AA271" s="562"/>
      <c r="AB271" s="562"/>
      <c r="AC271" s="562"/>
      <c r="AD271" s="562"/>
      <c r="AE271" s="562"/>
      <c r="AF271" s="562"/>
      <c r="AG271" s="562"/>
      <c r="AH271" s="562"/>
      <c r="AI271" s="562"/>
      <c r="AJ271" s="562"/>
      <c r="AK271" s="562"/>
      <c r="AL271" s="190" t="str">
        <f>SUBSTITUTE(SUBSTITUTE(SUBSTITUTE("vpa"&amp;$B271&amp;$C271&amp;$D271&amp;$E271&amp;$F271,".","_"),"(","_"),")","")</f>
        <v>vpa601,2_1</v>
      </c>
      <c r="AM271" s="190">
        <f>M271</f>
        <v>3</v>
      </c>
      <c r="AN271" s="190" t="str">
        <f>SUBSTITUTE(SUBSTITUTE(SUBSTITUTE("vpc"&amp;$B271&amp;$C271&amp;$D271&amp;$E271&amp;$F271,".","_"),"(","_"),")","")</f>
        <v>vpc601,2_1</v>
      </c>
      <c r="AO271" s="190">
        <f>O271</f>
        <v>0</v>
      </c>
      <c r="AP271" s="190" t="str">
        <f>SUBSTITUTE(SUBSTITUTE(SUBSTITUTE("vch"&amp;$B271&amp;$C271&amp;$D271&amp;$E271&amp;$F271,".","_"),"(","_"),")","")</f>
        <v>vch601,2_1</v>
      </c>
      <c r="AQ271" s="190">
        <f>W271</f>
        <v>0</v>
      </c>
      <c r="AR271" s="190" t="str">
        <f>SUBSTITUTE(SUBSTITUTE(SUBSTITUTE("vnt"&amp;$B271&amp;$C271&amp;$D271&amp;$E271&amp;$F271,".","_"),"(","_"),")","")</f>
        <v>vnt601,2_1</v>
      </c>
      <c r="AS271" s="190">
        <f>X271</f>
        <v>0</v>
      </c>
      <c r="AT271" s="562"/>
      <c r="AU271" s="562"/>
      <c r="AV271" s="562"/>
      <c r="AW271" s="562"/>
      <c r="AX271" s="594" t="str">
        <f>'Overview (Verification)'!A28</f>
        <v>Foundation Type:</v>
      </c>
      <c r="AY271" s="562">
        <f>IF(LEN('Overview (Verification)'!P28)=0,0,'Overview (Verification)'!P28)</f>
        <v>0</v>
      </c>
      <c r="AZ271" s="1">
        <f>IFERROR(MATCH(AY271,ddFoundation,0),0)</f>
        <v>0</v>
      </c>
      <c r="BA271" s="562"/>
      <c r="BB271" s="562"/>
      <c r="BC271" s="562"/>
      <c r="BD271" s="562"/>
      <c r="BE271" s="562"/>
      <c r="BF271" s="562"/>
      <c r="BG271" s="562"/>
      <c r="BH271" s="562"/>
      <c r="BI271" s="562"/>
      <c r="BJ271" s="562"/>
    </row>
    <row r="272" spans="1:62" x14ac:dyDescent="0.2">
      <c r="A272" s="541">
        <v>6</v>
      </c>
      <c r="B272" s="549">
        <v>601.20000000000005</v>
      </c>
      <c r="C272" s="544"/>
      <c r="D272" s="544"/>
      <c r="E272" s="544" t="s">
        <v>2181</v>
      </c>
      <c r="F272" s="544"/>
      <c r="G272" s="543" t="str">
        <f t="shared" ref="G272:G273" si="81">G271</f>
        <v/>
      </c>
      <c r="H272" s="541" t="s">
        <v>3757</v>
      </c>
      <c r="I272" s="40"/>
      <c r="J272" s="98"/>
      <c r="K272" s="65"/>
      <c r="L272" s="791"/>
      <c r="M272" s="800"/>
      <c r="N272" s="924"/>
      <c r="O272" s="924"/>
      <c r="P272" s="562"/>
      <c r="Q272" s="562"/>
      <c r="R272" s="562"/>
      <c r="S272" s="562"/>
      <c r="T272" s="562"/>
      <c r="U272" s="562"/>
      <c r="V272" s="562"/>
      <c r="W272" s="562"/>
      <c r="X272" s="787"/>
      <c r="Y272" s="980"/>
      <c r="Z272" s="983"/>
      <c r="AA272" s="562"/>
      <c r="AB272" s="562"/>
      <c r="AC272" s="562"/>
      <c r="AD272" s="562"/>
      <c r="AE272" s="562"/>
      <c r="AF272" s="562"/>
      <c r="AG272" s="562"/>
      <c r="AH272" s="562"/>
      <c r="AI272" s="562"/>
      <c r="AJ272" s="562"/>
      <c r="AK272" s="562"/>
      <c r="AL272" s="562"/>
      <c r="AM272" s="562"/>
      <c r="AN272" s="562"/>
      <c r="AO272" s="562"/>
      <c r="AP272" s="562"/>
      <c r="AQ272" s="562"/>
      <c r="AR272" s="562"/>
      <c r="AS272" s="562"/>
      <c r="AT272" s="562"/>
      <c r="AU272" s="562"/>
      <c r="AV272" s="562"/>
      <c r="AW272" s="562"/>
      <c r="AX272" s="594" t="str">
        <f>'Overview (Verification)'!A30</f>
        <v>Type of Heating System (main system):</v>
      </c>
      <c r="AY272" s="562">
        <f>IF(LEN('Overview (Verification)'!P30)=0,0,'Overview (Verification)'!P30)</f>
        <v>0</v>
      </c>
      <c r="AZ272" s="562"/>
      <c r="BA272" s="562"/>
      <c r="BB272" s="562"/>
      <c r="BC272" s="562"/>
      <c r="BD272" s="562"/>
      <c r="BE272" s="562"/>
      <c r="BF272" s="562"/>
      <c r="BG272" s="562"/>
      <c r="BH272" s="562"/>
      <c r="BI272" s="562"/>
      <c r="BJ272" s="562"/>
    </row>
    <row r="273" spans="1:51" x14ac:dyDescent="0.2">
      <c r="A273" s="541">
        <v>6</v>
      </c>
      <c r="B273" s="549">
        <v>601.20000000000005</v>
      </c>
      <c r="C273" s="544"/>
      <c r="D273" s="544"/>
      <c r="E273" s="544" t="s">
        <v>2181</v>
      </c>
      <c r="F273" s="544"/>
      <c r="G273" s="543" t="str">
        <f t="shared" si="81"/>
        <v/>
      </c>
      <c r="H273" s="541" t="s">
        <v>3757</v>
      </c>
      <c r="I273" s="40"/>
      <c r="J273" s="165"/>
      <c r="K273" s="126"/>
      <c r="L273" s="792"/>
      <c r="M273" s="801"/>
      <c r="N273" s="942"/>
      <c r="O273" s="942"/>
      <c r="P273" s="562"/>
      <c r="Q273" s="562"/>
      <c r="R273" s="562"/>
      <c r="S273" s="562"/>
      <c r="T273" s="562"/>
      <c r="U273" s="562"/>
      <c r="V273" s="562"/>
      <c r="W273" s="562"/>
      <c r="X273" s="787"/>
      <c r="Y273" s="980"/>
      <c r="Z273" s="983"/>
      <c r="AA273" s="562"/>
      <c r="AB273" s="562"/>
      <c r="AC273" s="562"/>
      <c r="AD273" s="562"/>
      <c r="AE273" s="562"/>
      <c r="AF273" s="562"/>
      <c r="AG273" s="562"/>
      <c r="AH273" s="562"/>
      <c r="AI273" s="562"/>
      <c r="AJ273" s="562"/>
      <c r="AK273" s="562"/>
      <c r="AL273" s="562"/>
      <c r="AM273" s="562"/>
      <c r="AN273" s="562"/>
      <c r="AO273" s="562"/>
      <c r="AP273" s="562"/>
      <c r="AQ273" s="562"/>
      <c r="AR273" s="562"/>
      <c r="AS273" s="562"/>
      <c r="AT273" s="562"/>
      <c r="AU273" s="562"/>
      <c r="AV273" s="562"/>
      <c r="AW273" s="562"/>
      <c r="AX273" s="594" t="str">
        <f>'Overview (Verification)'!A31</f>
        <v>Type of Heating System (system 2):</v>
      </c>
      <c r="AY273" s="562">
        <f>IF(LEN('Overview (Verification)'!P31)=0,0,'Overview (Verification)'!P31)</f>
        <v>0</v>
      </c>
    </row>
    <row r="274" spans="1:51" x14ac:dyDescent="0.2">
      <c r="A274" s="541">
        <v>6</v>
      </c>
      <c r="B274" s="549">
        <v>601.20000000000005</v>
      </c>
      <c r="C274" s="544"/>
      <c r="D274" s="544"/>
      <c r="E274" s="544" t="s">
        <v>2183</v>
      </c>
      <c r="F274" s="544"/>
      <c r="G274" s="543" t="str">
        <f>IF(N274&gt;0,"P","")</f>
        <v/>
      </c>
      <c r="H274" s="541" t="s">
        <v>3757</v>
      </c>
      <c r="I274" s="40"/>
      <c r="J274" s="134" t="s">
        <v>2183</v>
      </c>
      <c r="K274" s="65"/>
      <c r="L274" s="791" t="s">
        <v>2409</v>
      </c>
      <c r="M274" s="800">
        <v>3</v>
      </c>
      <c r="N274" s="923">
        <f>'Ch6'!O35</f>
        <v>0</v>
      </c>
      <c r="O274" s="924">
        <f>M274*S274*W274</f>
        <v>0</v>
      </c>
      <c r="P274" s="562" t="b">
        <v>1</v>
      </c>
      <c r="Q274" s="562" t="b">
        <v>0</v>
      </c>
      <c r="R274" s="562" t="b">
        <v>0</v>
      </c>
      <c r="S274" s="562" t="b">
        <v>1</v>
      </c>
      <c r="T274" s="562" t="b">
        <v>0</v>
      </c>
      <c r="U274" s="562"/>
      <c r="V274" s="562"/>
      <c r="W274" s="18"/>
      <c r="X274" s="787"/>
      <c r="Y274" s="980" t="str">
        <f>IF(LEN('Ch6'!X35)=0,"None",'Ch6'!X35)</f>
        <v>None</v>
      </c>
      <c r="Z274" s="983"/>
      <c r="AA274" s="562"/>
      <c r="AB274" s="562"/>
      <c r="AC274" s="562"/>
      <c r="AD274" s="562"/>
      <c r="AE274" s="562"/>
      <c r="AF274" s="562"/>
      <c r="AG274" s="562"/>
      <c r="AH274" s="562"/>
      <c r="AI274" s="562"/>
      <c r="AJ274" s="562"/>
      <c r="AK274" s="562"/>
      <c r="AL274" s="190" t="str">
        <f>SUBSTITUTE(SUBSTITUTE(SUBSTITUTE("vpa"&amp;$B274&amp;$C274&amp;$D274&amp;$E274&amp;$F274,".","_"),"(","_"),")","")</f>
        <v>vpa601,2_2</v>
      </c>
      <c r="AM274" s="190">
        <f>M274</f>
        <v>3</v>
      </c>
      <c r="AN274" s="190" t="str">
        <f>SUBSTITUTE(SUBSTITUTE(SUBSTITUTE("vpc"&amp;$B274&amp;$C274&amp;$D274&amp;$E274&amp;$F274,".","_"),"(","_"),")","")</f>
        <v>vpc601,2_2</v>
      </c>
      <c r="AO274" s="190">
        <f>O274</f>
        <v>0</v>
      </c>
      <c r="AP274" s="190" t="str">
        <f>SUBSTITUTE(SUBSTITUTE(SUBSTITUTE("vch"&amp;$B274&amp;$C274&amp;$D274&amp;$E274&amp;$F274,".","_"),"(","_"),")","")</f>
        <v>vch601,2_2</v>
      </c>
      <c r="AQ274" s="190">
        <f>W274</f>
        <v>0</v>
      </c>
      <c r="AR274" s="190" t="str">
        <f>SUBSTITUTE(SUBSTITUTE(SUBSTITUTE("vnt"&amp;$B274&amp;$C274&amp;$D274&amp;$E274&amp;$F274,".","_"),"(","_"),")","")</f>
        <v>vnt601,2_2</v>
      </c>
      <c r="AS274" s="190">
        <f>X274</f>
        <v>0</v>
      </c>
      <c r="AT274" s="562"/>
      <c r="AU274" s="562"/>
      <c r="AV274" s="562"/>
      <c r="AW274" s="562"/>
      <c r="AX274" s="594" t="str">
        <f>'Overview (Verification)'!A32</f>
        <v>Type of Heating System (system 3):</v>
      </c>
      <c r="AY274" s="562">
        <f>IF(LEN('Overview (Verification)'!P32)=0,0,'Overview (Verification)'!P32)</f>
        <v>0</v>
      </c>
    </row>
    <row r="275" spans="1:51" x14ac:dyDescent="0.2">
      <c r="A275" s="541">
        <v>6</v>
      </c>
      <c r="B275" s="549">
        <v>601.20000000000005</v>
      </c>
      <c r="C275" s="544"/>
      <c r="D275" s="544"/>
      <c r="E275" s="544" t="s">
        <v>2183</v>
      </c>
      <c r="F275" s="544"/>
      <c r="G275" s="543" t="str">
        <f t="shared" ref="G275:G276" si="82">G274</f>
        <v/>
      </c>
      <c r="H275" s="541" t="s">
        <v>3757</v>
      </c>
      <c r="I275" s="40"/>
      <c r="J275" s="98"/>
      <c r="K275" s="65"/>
      <c r="L275" s="791"/>
      <c r="M275" s="800"/>
      <c r="N275" s="924"/>
      <c r="O275" s="924"/>
      <c r="P275" s="562"/>
      <c r="Q275" s="562"/>
      <c r="R275" s="562"/>
      <c r="S275" s="562"/>
      <c r="T275" s="562"/>
      <c r="U275" s="562"/>
      <c r="V275" s="562"/>
      <c r="W275" s="562"/>
      <c r="X275" s="787"/>
      <c r="Y275" s="980"/>
      <c r="Z275" s="983"/>
      <c r="AA275" s="562"/>
      <c r="AB275" s="562"/>
      <c r="AC275" s="562"/>
      <c r="AD275" s="562"/>
      <c r="AE275" s="562"/>
      <c r="AF275" s="562"/>
      <c r="AG275" s="562"/>
      <c r="AH275" s="562"/>
      <c r="AI275" s="562"/>
      <c r="AJ275" s="562"/>
      <c r="AK275" s="562"/>
      <c r="AL275" s="562"/>
      <c r="AM275" s="562"/>
      <c r="AN275" s="562"/>
      <c r="AO275" s="562"/>
      <c r="AP275" s="562"/>
      <c r="AQ275" s="562"/>
      <c r="AR275" s="562"/>
      <c r="AS275" s="562"/>
      <c r="AT275" s="562"/>
      <c r="AU275" s="562"/>
      <c r="AV275" s="562"/>
      <c r="AW275" s="562"/>
      <c r="AX275" s="594" t="str">
        <f>'Overview (Verification)'!A33</f>
        <v>Heating Fuel:</v>
      </c>
      <c r="AY275" s="562">
        <f>IF(LEN('Overview (Verification)'!P33)=0,0,'Overview (Verification)'!P33)</f>
        <v>0</v>
      </c>
    </row>
    <row r="276" spans="1:51" x14ac:dyDescent="0.2">
      <c r="A276" s="541">
        <v>6</v>
      </c>
      <c r="B276" s="549">
        <v>601.20000000000005</v>
      </c>
      <c r="C276" s="544"/>
      <c r="D276" s="544"/>
      <c r="E276" s="544" t="s">
        <v>2183</v>
      </c>
      <c r="F276" s="544"/>
      <c r="G276" s="543" t="str">
        <f t="shared" si="82"/>
        <v/>
      </c>
      <c r="H276" s="541" t="s">
        <v>3757</v>
      </c>
      <c r="I276" s="40"/>
      <c r="J276" s="165"/>
      <c r="K276" s="126"/>
      <c r="L276" s="792"/>
      <c r="M276" s="801"/>
      <c r="N276" s="942"/>
      <c r="O276" s="942"/>
      <c r="P276" s="562"/>
      <c r="Q276" s="562"/>
      <c r="R276" s="562"/>
      <c r="S276" s="562"/>
      <c r="T276" s="562"/>
      <c r="U276" s="562"/>
      <c r="V276" s="562"/>
      <c r="W276" s="562"/>
      <c r="X276" s="787"/>
      <c r="Y276" s="980"/>
      <c r="Z276" s="983"/>
      <c r="AA276" s="562"/>
      <c r="AB276" s="562"/>
      <c r="AC276" s="562"/>
      <c r="AD276" s="562"/>
      <c r="AE276" s="562"/>
      <c r="AF276" s="562"/>
      <c r="AG276" s="562"/>
      <c r="AH276" s="562"/>
      <c r="AI276" s="562"/>
      <c r="AJ276" s="562"/>
      <c r="AK276" s="562"/>
      <c r="AL276" s="562"/>
      <c r="AM276" s="562"/>
      <c r="AN276" s="562"/>
      <c r="AO276" s="562"/>
      <c r="AP276" s="562"/>
      <c r="AQ276" s="562"/>
      <c r="AR276" s="562"/>
      <c r="AS276" s="562"/>
      <c r="AT276" s="562"/>
      <c r="AU276" s="562"/>
      <c r="AV276" s="562"/>
      <c r="AW276" s="562"/>
      <c r="AX276" s="594" t="str">
        <f>'Overview (Verification)'!A44</f>
        <v>Renewable Energy:</v>
      </c>
      <c r="AY276" s="562">
        <f>IF(LEN('Overview (Verification)'!P44)=0,0,'Overview (Verification)'!P44)</f>
        <v>0</v>
      </c>
    </row>
    <row r="277" spans="1:51" ht="17" thickBot="1" x14ac:dyDescent="0.25">
      <c r="A277" s="541">
        <v>6</v>
      </c>
      <c r="B277" s="549">
        <v>601.20000000000005</v>
      </c>
      <c r="C277" s="544"/>
      <c r="D277" s="544"/>
      <c r="E277" s="544" t="s">
        <v>2185</v>
      </c>
      <c r="F277" s="544"/>
      <c r="G277" s="543" t="str">
        <f>IF(N277&gt;0,"P","")</f>
        <v/>
      </c>
      <c r="H277" s="541" t="s">
        <v>3757</v>
      </c>
      <c r="I277" s="40"/>
      <c r="J277" s="20" t="s">
        <v>2185</v>
      </c>
      <c r="K277" s="53"/>
      <c r="L277" s="53" t="s">
        <v>2410</v>
      </c>
      <c r="M277" s="616">
        <v>3</v>
      </c>
      <c r="N277" s="648">
        <f>'Ch6'!O38</f>
        <v>0</v>
      </c>
      <c r="O277" s="648">
        <f>M277*S277*W277</f>
        <v>0</v>
      </c>
      <c r="P277" s="562" t="b">
        <v>1</v>
      </c>
      <c r="Q277" s="562" t="b">
        <v>0</v>
      </c>
      <c r="R277" s="562" t="b">
        <v>0</v>
      </c>
      <c r="S277" s="562" t="b">
        <v>1</v>
      </c>
      <c r="T277" s="562" t="b">
        <v>0</v>
      </c>
      <c r="U277" s="562"/>
      <c r="V277" s="562"/>
      <c r="W277" s="18"/>
      <c r="X277" s="568"/>
      <c r="Y277" s="577" t="str">
        <f>IF(LEN('Ch6'!X38)=0,"None",'Ch6'!X38)</f>
        <v>None</v>
      </c>
      <c r="Z277" s="582"/>
      <c r="AA277" s="562"/>
      <c r="AB277" s="562"/>
      <c r="AC277" s="562"/>
      <c r="AD277" s="562"/>
      <c r="AE277" s="562"/>
      <c r="AF277" s="562"/>
      <c r="AG277" s="562"/>
      <c r="AH277" s="562"/>
      <c r="AI277" s="562"/>
      <c r="AJ277" s="562"/>
      <c r="AK277" s="562"/>
      <c r="AL277" s="190" t="str">
        <f>SUBSTITUTE(SUBSTITUTE(SUBSTITUTE("vpa"&amp;$B277&amp;$C277&amp;$D277&amp;$E277&amp;$F277,".","_"),"(","_"),")","")</f>
        <v>vpa601,2_3</v>
      </c>
      <c r="AM277" s="190">
        <f>M277</f>
        <v>3</v>
      </c>
      <c r="AN277" s="190" t="str">
        <f>SUBSTITUTE(SUBSTITUTE(SUBSTITUTE("vpc"&amp;$B277&amp;$C277&amp;$D277&amp;$E277&amp;$F277,".","_"),"(","_"),")","")</f>
        <v>vpc601,2_3</v>
      </c>
      <c r="AO277" s="190">
        <f>O277</f>
        <v>0</v>
      </c>
      <c r="AP277" s="190" t="str">
        <f>SUBSTITUTE(SUBSTITUTE(SUBSTITUTE("vch"&amp;$B277&amp;$C277&amp;$D277&amp;$E277&amp;$F277,".","_"),"(","_"),")","")</f>
        <v>vch601,2_3</v>
      </c>
      <c r="AQ277" s="190">
        <f>W277</f>
        <v>0</v>
      </c>
      <c r="AR277" s="190" t="str">
        <f>SUBSTITUTE(SUBSTITUTE(SUBSTITUTE("vnt"&amp;$B277&amp;$C277&amp;$D277&amp;$E277&amp;$F277,".","_"),"(","_"),")","")</f>
        <v>vnt601,2_3</v>
      </c>
      <c r="AS277" s="190">
        <f>X277</f>
        <v>0</v>
      </c>
      <c r="AT277" s="562"/>
      <c r="AU277" s="562"/>
      <c r="AV277" s="562"/>
      <c r="AW277" s="562"/>
      <c r="AX277" s="594" t="str">
        <f>'Overview (Verification)'!A45</f>
        <v>Thermal Envelope Insulation:</v>
      </c>
      <c r="AY277" s="562">
        <f>IF(LEN('Overview (Verification)'!P45)=0,0,'Overview (Verification)'!P45)</f>
        <v>0</v>
      </c>
    </row>
    <row r="278" spans="1:51" ht="16" thickTop="1" x14ac:dyDescent="0.2">
      <c r="A278" s="541">
        <v>6</v>
      </c>
      <c r="B278" s="549">
        <v>601.29999999999995</v>
      </c>
      <c r="C278" s="544"/>
      <c r="D278" s="544"/>
      <c r="E278" s="544"/>
      <c r="F278" s="544"/>
      <c r="G278" s="539" t="str">
        <f>IF(COUNTIF(G283:G287,"P")&gt;0,"P","")</f>
        <v/>
      </c>
      <c r="H278" s="541" t="s">
        <v>3757</v>
      </c>
      <c r="I278" s="131" t="s">
        <v>2411</v>
      </c>
      <c r="J278" s="132"/>
      <c r="K278" s="133"/>
      <c r="L278" s="819" t="s">
        <v>2412</v>
      </c>
      <c r="M278" s="625"/>
      <c r="N278" s="673"/>
      <c r="O278" s="673"/>
      <c r="P278" s="74"/>
      <c r="Q278" s="74"/>
      <c r="R278" s="74"/>
      <c r="S278" s="74"/>
      <c r="T278" s="74"/>
      <c r="U278" s="74"/>
      <c r="V278" s="74"/>
      <c r="W278" s="74"/>
      <c r="X278" s="136"/>
      <c r="Y278" s="562"/>
      <c r="Z278" s="430"/>
      <c r="AA278" s="562"/>
      <c r="AB278" s="562"/>
      <c r="AC278" s="562"/>
      <c r="AD278" s="562"/>
      <c r="AE278" s="562"/>
      <c r="AF278" s="562"/>
      <c r="AG278" s="562"/>
      <c r="AH278" s="562"/>
      <c r="AI278" s="562"/>
      <c r="AJ278" s="562"/>
      <c r="AK278" s="562"/>
      <c r="AL278" s="562"/>
      <c r="AM278" s="562"/>
      <c r="AN278" s="562"/>
      <c r="AO278" s="562"/>
      <c r="AP278" s="562"/>
      <c r="AQ278" s="562"/>
      <c r="AR278" s="562"/>
      <c r="AS278" s="562"/>
      <c r="AT278" s="562"/>
      <c r="AU278" s="562"/>
      <c r="AV278" s="562"/>
      <c r="AW278" s="562"/>
      <c r="AX278" s="594" t="str">
        <f>'Overview (Verification)'!A46</f>
        <v>Attic Type:</v>
      </c>
      <c r="AY278" s="562">
        <f>IF(LEN('Overview (Verification)'!P46)=0,0,'Overview (Verification)'!P46)</f>
        <v>0</v>
      </c>
    </row>
    <row r="279" spans="1:51" x14ac:dyDescent="0.2">
      <c r="A279" s="541">
        <v>6</v>
      </c>
      <c r="B279" s="549">
        <v>601.29999999999995</v>
      </c>
      <c r="C279" s="544"/>
      <c r="D279" s="544"/>
      <c r="E279" s="544"/>
      <c r="F279" s="544"/>
      <c r="G279" s="543" t="str">
        <f t="shared" ref="G279:G282" si="83">G278</f>
        <v/>
      </c>
      <c r="H279" s="541" t="s">
        <v>3757</v>
      </c>
      <c r="I279" s="99"/>
      <c r="J279" s="98"/>
      <c r="K279" s="65"/>
      <c r="L279" s="820"/>
      <c r="M279" s="610"/>
      <c r="N279" s="668"/>
      <c r="O279" s="668"/>
      <c r="P279" s="64"/>
      <c r="Q279" s="64"/>
      <c r="R279" s="64"/>
      <c r="S279" s="64"/>
      <c r="T279" s="64"/>
      <c r="U279" s="64"/>
      <c r="V279" s="64"/>
      <c r="W279" s="64"/>
      <c r="X279" s="82"/>
      <c r="Y279" s="562"/>
      <c r="Z279" s="430"/>
      <c r="AA279" s="562"/>
      <c r="AB279" s="562"/>
      <c r="AC279" s="562"/>
      <c r="AD279" s="562"/>
      <c r="AE279" s="562"/>
      <c r="AF279" s="562"/>
      <c r="AG279" s="562"/>
      <c r="AH279" s="562"/>
      <c r="AI279" s="562"/>
      <c r="AJ279" s="562"/>
      <c r="AK279" s="562"/>
      <c r="AL279" s="562"/>
      <c r="AM279" s="562"/>
      <c r="AN279" s="562"/>
      <c r="AO279" s="562"/>
      <c r="AP279" s="562"/>
      <c r="AQ279" s="562"/>
      <c r="AR279" s="562"/>
      <c r="AS279" s="562"/>
      <c r="AT279" s="562"/>
      <c r="AU279" s="562"/>
      <c r="AV279" s="562"/>
      <c r="AW279" s="562"/>
      <c r="AX279" s="594" t="str">
        <f>'Overview (Verification)'!A47</f>
        <v>Attached Garage:</v>
      </c>
      <c r="AY279" s="562">
        <f>IF(LEN('Overview (Verification)'!P47)=0,0,'Overview (Verification)'!P47)</f>
        <v>0</v>
      </c>
    </row>
    <row r="280" spans="1:51" x14ac:dyDescent="0.2">
      <c r="A280" s="541">
        <v>6</v>
      </c>
      <c r="B280" s="549">
        <v>601.29999999999995</v>
      </c>
      <c r="C280" s="544"/>
      <c r="D280" s="544"/>
      <c r="E280" s="544"/>
      <c r="F280" s="544"/>
      <c r="G280" s="543" t="str">
        <f t="shared" si="83"/>
        <v/>
      </c>
      <c r="H280" s="541" t="s">
        <v>3757</v>
      </c>
      <c r="I280" s="99"/>
      <c r="J280" s="98"/>
      <c r="K280" s="65"/>
      <c r="L280" s="820"/>
      <c r="M280" s="610"/>
      <c r="N280" s="668"/>
      <c r="O280" s="668"/>
      <c r="P280" s="64"/>
      <c r="Q280" s="64"/>
      <c r="R280" s="64"/>
      <c r="S280" s="64"/>
      <c r="T280" s="64"/>
      <c r="U280" s="64"/>
      <c r="V280" s="64"/>
      <c r="W280" s="64"/>
      <c r="X280" s="82"/>
      <c r="Y280" s="562"/>
      <c r="Z280" s="430"/>
      <c r="AA280" s="562"/>
      <c r="AB280" s="562"/>
      <c r="AC280" s="562"/>
      <c r="AD280" s="562"/>
      <c r="AE280" s="562"/>
      <c r="AF280" s="562"/>
      <c r="AG280" s="562"/>
      <c r="AH280" s="562"/>
      <c r="AI280" s="562"/>
      <c r="AJ280" s="562"/>
      <c r="AK280" s="562"/>
      <c r="AL280" s="562"/>
      <c r="AM280" s="562"/>
      <c r="AN280" s="562"/>
      <c r="AO280" s="562"/>
      <c r="AP280" s="562"/>
      <c r="AQ280" s="562"/>
      <c r="AR280" s="562"/>
      <c r="AS280" s="562"/>
      <c r="AT280" s="562"/>
      <c r="AU280" s="562"/>
      <c r="AV280" s="562"/>
      <c r="AW280" s="562"/>
      <c r="AX280" s="594" t="str">
        <f>'Overview (Verification)'!A48</f>
        <v>Recessed Lighting:</v>
      </c>
      <c r="AY280" s="562">
        <f>IF(LEN('Overview (Verification)'!P48)=0,0,'Overview (Verification)'!P48)</f>
        <v>0</v>
      </c>
    </row>
    <row r="281" spans="1:51" s="481" customFormat="1" x14ac:dyDescent="0.2">
      <c r="A281" s="541">
        <v>6</v>
      </c>
      <c r="B281" s="549">
        <v>601.29999999999995</v>
      </c>
      <c r="C281" s="544"/>
      <c r="D281" s="544"/>
      <c r="E281" s="544"/>
      <c r="F281" s="544"/>
      <c r="G281" s="543" t="str">
        <f t="shared" si="83"/>
        <v/>
      </c>
      <c r="H281" s="541" t="s">
        <v>3757</v>
      </c>
      <c r="I281" s="99"/>
      <c r="J281" s="98"/>
      <c r="K281" s="65"/>
      <c r="L281" s="846" t="s">
        <v>2413</v>
      </c>
      <c r="M281" s="610"/>
      <c r="N281" s="668"/>
      <c r="O281" s="668"/>
      <c r="P281" s="64"/>
      <c r="Q281" s="64"/>
      <c r="R281" s="64"/>
      <c r="S281" s="64"/>
      <c r="T281" s="64"/>
      <c r="U281" s="64"/>
      <c r="V281" s="64"/>
      <c r="W281" s="64"/>
      <c r="X281" s="82"/>
      <c r="Y281" s="562"/>
      <c r="Z281" s="430"/>
      <c r="AA281" s="562"/>
      <c r="AB281" s="562"/>
      <c r="AC281" s="562"/>
      <c r="AD281" s="562"/>
      <c r="AE281" s="562"/>
      <c r="AF281" s="562"/>
      <c r="AG281" s="562"/>
      <c r="AH281" s="562"/>
      <c r="AI281" s="562"/>
      <c r="AJ281" s="562"/>
      <c r="AK281" s="562"/>
      <c r="AL281" s="562"/>
      <c r="AM281" s="562"/>
      <c r="AN281" s="562"/>
      <c r="AO281" s="562"/>
      <c r="AP281" s="562"/>
      <c r="AQ281" s="562"/>
      <c r="AR281" s="562"/>
      <c r="AS281" s="562"/>
      <c r="AT281" s="562"/>
      <c r="AU281" s="562"/>
      <c r="AV281" s="562"/>
      <c r="AW281" s="562"/>
      <c r="AX281" s="594"/>
      <c r="AY281" s="562"/>
    </row>
    <row r="282" spans="1:51" s="481" customFormat="1" x14ac:dyDescent="0.2">
      <c r="A282" s="541">
        <v>6</v>
      </c>
      <c r="B282" s="549">
        <v>601.29999999999995</v>
      </c>
      <c r="C282" s="544"/>
      <c r="D282" s="544"/>
      <c r="E282" s="544"/>
      <c r="F282" s="544"/>
      <c r="G282" s="543" t="str">
        <f t="shared" si="83"/>
        <v/>
      </c>
      <c r="H282" s="541" t="s">
        <v>3757</v>
      </c>
      <c r="I282" s="99"/>
      <c r="J282" s="98"/>
      <c r="K282" s="65"/>
      <c r="L282" s="846"/>
      <c r="M282" s="610"/>
      <c r="N282" s="668"/>
      <c r="O282" s="668"/>
      <c r="P282" s="64"/>
      <c r="Q282" s="64"/>
      <c r="R282" s="64"/>
      <c r="S282" s="64"/>
      <c r="T282" s="64"/>
      <c r="U282" s="64"/>
      <c r="V282" s="64"/>
      <c r="W282" s="64"/>
      <c r="X282" s="82"/>
      <c r="Y282" s="562"/>
      <c r="Z282" s="430"/>
      <c r="AA282" s="562"/>
      <c r="AB282" s="562"/>
      <c r="AC282" s="562"/>
      <c r="AD282" s="562"/>
      <c r="AE282" s="562"/>
      <c r="AF282" s="562"/>
      <c r="AG282" s="562"/>
      <c r="AH282" s="562"/>
      <c r="AI282" s="562"/>
      <c r="AJ282" s="562"/>
      <c r="AK282" s="562"/>
      <c r="AL282" s="562"/>
      <c r="AM282" s="562"/>
      <c r="AN282" s="562"/>
      <c r="AO282" s="562"/>
      <c r="AP282" s="562"/>
      <c r="AQ282" s="562"/>
      <c r="AR282" s="562"/>
      <c r="AS282" s="562"/>
      <c r="AT282" s="562"/>
      <c r="AU282" s="562"/>
      <c r="AV282" s="562"/>
      <c r="AW282" s="562"/>
      <c r="AX282" s="594"/>
      <c r="AY282" s="562"/>
    </row>
    <row r="283" spans="1:51" ht="16" x14ac:dyDescent="0.2">
      <c r="A283" s="541">
        <v>6</v>
      </c>
      <c r="B283" s="549">
        <v>601.29999999999995</v>
      </c>
      <c r="C283" s="544"/>
      <c r="D283" s="544"/>
      <c r="E283" s="544" t="s">
        <v>2181</v>
      </c>
      <c r="F283" s="544"/>
      <c r="G283" s="543" t="str">
        <f t="shared" ref="G283:G288" si="84">IF(N283&gt;0,"P","")</f>
        <v/>
      </c>
      <c r="H283" s="541" t="s">
        <v>3757</v>
      </c>
      <c r="I283" s="40"/>
      <c r="J283" s="159" t="s">
        <v>2181</v>
      </c>
      <c r="K283" s="126"/>
      <c r="L283" s="126" t="s">
        <v>2414</v>
      </c>
      <c r="M283" s="611">
        <v>3</v>
      </c>
      <c r="N283" s="669">
        <f>'Ch6'!O44</f>
        <v>0</v>
      </c>
      <c r="O283" s="669">
        <f t="shared" ref="O283:O288" si="85">M283*S283*W283</f>
        <v>0</v>
      </c>
      <c r="P283" s="562" t="b">
        <v>1</v>
      </c>
      <c r="Q283" s="562" t="b">
        <v>0</v>
      </c>
      <c r="R283" s="562" t="b">
        <v>0</v>
      </c>
      <c r="S283" s="562" t="b">
        <v>1</v>
      </c>
      <c r="T283" s="562" t="b">
        <v>0</v>
      </c>
      <c r="U283" s="562"/>
      <c r="V283" s="562"/>
      <c r="W283" s="18"/>
      <c r="X283" s="563"/>
      <c r="Y283" s="578" t="str">
        <f>IF(LEN('Ch6'!X44)=0,"None",'Ch6'!X44)</f>
        <v>None</v>
      </c>
      <c r="Z283" s="579"/>
      <c r="AA283" s="562"/>
      <c r="AB283" s="562"/>
      <c r="AC283" s="562"/>
      <c r="AD283" s="562"/>
      <c r="AE283" s="562"/>
      <c r="AF283" s="562"/>
      <c r="AG283" s="562"/>
      <c r="AH283" s="562"/>
      <c r="AI283" s="562"/>
      <c r="AJ283" s="562"/>
      <c r="AK283" s="562"/>
      <c r="AL283" s="190" t="str">
        <f t="shared" ref="AL283:AL288" si="86">SUBSTITUTE(SUBSTITUTE(SUBSTITUTE("vpa"&amp;$B283&amp;$C283&amp;$D283&amp;$E283&amp;$F283,".","_"),"(","_"),")","")</f>
        <v>vpa601,3_1</v>
      </c>
      <c r="AM283" s="190">
        <f t="shared" ref="AM283:AM288" si="87">M283</f>
        <v>3</v>
      </c>
      <c r="AN283" s="190" t="str">
        <f t="shared" ref="AN283:AN288" si="88">SUBSTITUTE(SUBSTITUTE(SUBSTITUTE("vpc"&amp;$B283&amp;$C283&amp;$D283&amp;$E283&amp;$F283,".","_"),"(","_"),")","")</f>
        <v>vpc601,3_1</v>
      </c>
      <c r="AO283" s="190">
        <f t="shared" ref="AO283:AO288" si="89">O283</f>
        <v>0</v>
      </c>
      <c r="AP283" s="190" t="str">
        <f t="shared" ref="AP283:AP288" si="90">SUBSTITUTE(SUBSTITUTE(SUBSTITUTE("vch"&amp;$B283&amp;$C283&amp;$D283&amp;$E283&amp;$F283,".","_"),"(","_"),")","")</f>
        <v>vch601,3_1</v>
      </c>
      <c r="AQ283" s="190">
        <f t="shared" ref="AQ283:AQ288" si="91">W283</f>
        <v>0</v>
      </c>
      <c r="AR283" s="190" t="str">
        <f t="shared" ref="AR283:AR288" si="92">SUBSTITUTE(SUBSTITUTE(SUBSTITUTE("vnt"&amp;$B283&amp;$C283&amp;$D283&amp;$E283&amp;$F283,".","_"),"(","_"),")","")</f>
        <v>vnt601,3_1</v>
      </c>
      <c r="AS283" s="190">
        <f t="shared" ref="AS283:AS288" si="93">X283</f>
        <v>0</v>
      </c>
      <c r="AT283" s="562"/>
      <c r="AU283" s="562"/>
      <c r="AV283" s="562"/>
      <c r="AW283" s="562"/>
      <c r="AX283" s="594"/>
      <c r="AY283" s="562"/>
    </row>
    <row r="284" spans="1:51" ht="16" x14ac:dyDescent="0.2">
      <c r="A284" s="541">
        <v>6</v>
      </c>
      <c r="B284" s="549">
        <v>601.29999999999995</v>
      </c>
      <c r="C284" s="544"/>
      <c r="D284" s="544"/>
      <c r="E284" s="544" t="s">
        <v>2183</v>
      </c>
      <c r="F284" s="544"/>
      <c r="G284" s="543" t="str">
        <f t="shared" si="84"/>
        <v/>
      </c>
      <c r="H284" s="541" t="s">
        <v>3757</v>
      </c>
      <c r="I284" s="40"/>
      <c r="J284" s="161" t="s">
        <v>2183</v>
      </c>
      <c r="K284" s="162"/>
      <c r="L284" s="162" t="s">
        <v>2415</v>
      </c>
      <c r="M284" s="249">
        <v>3</v>
      </c>
      <c r="N284" s="600">
        <f>'Ch6'!O45</f>
        <v>0</v>
      </c>
      <c r="O284" s="600">
        <f t="shared" si="85"/>
        <v>0</v>
      </c>
      <c r="P284" s="562" t="b">
        <v>1</v>
      </c>
      <c r="Q284" s="562" t="b">
        <v>0</v>
      </c>
      <c r="R284" s="562" t="b">
        <v>0</v>
      </c>
      <c r="S284" s="562" t="b">
        <v>1</v>
      </c>
      <c r="T284" s="562" t="b">
        <v>0</v>
      </c>
      <c r="U284" s="562"/>
      <c r="V284" s="562"/>
      <c r="W284" s="18"/>
      <c r="X284" s="563"/>
      <c r="Y284" s="578" t="str">
        <f>IF(LEN('Ch6'!X45)=0,"None",'Ch6'!X45)</f>
        <v>None</v>
      </c>
      <c r="Z284" s="579"/>
      <c r="AA284" s="562"/>
      <c r="AB284" s="562"/>
      <c r="AC284" s="562"/>
      <c r="AD284" s="562"/>
      <c r="AE284" s="562"/>
      <c r="AF284" s="562"/>
      <c r="AG284" s="562"/>
      <c r="AH284" s="562"/>
      <c r="AI284" s="562"/>
      <c r="AJ284" s="562"/>
      <c r="AK284" s="562"/>
      <c r="AL284" s="190" t="str">
        <f t="shared" si="86"/>
        <v>vpa601,3_2</v>
      </c>
      <c r="AM284" s="190">
        <f t="shared" si="87"/>
        <v>3</v>
      </c>
      <c r="AN284" s="190" t="str">
        <f t="shared" si="88"/>
        <v>vpc601,3_2</v>
      </c>
      <c r="AO284" s="190">
        <f t="shared" si="89"/>
        <v>0</v>
      </c>
      <c r="AP284" s="190" t="str">
        <f t="shared" si="90"/>
        <v>vch601,3_2</v>
      </c>
      <c r="AQ284" s="190">
        <f t="shared" si="91"/>
        <v>0</v>
      </c>
      <c r="AR284" s="190" t="str">
        <f t="shared" si="92"/>
        <v>vnt601,3_2</v>
      </c>
      <c r="AS284" s="190">
        <f t="shared" si="93"/>
        <v>0</v>
      </c>
      <c r="AT284" s="562"/>
      <c r="AU284" s="562"/>
      <c r="AV284" s="562"/>
      <c r="AW284" s="562"/>
      <c r="AX284" s="594" t="str">
        <f>'Overview (Verification)'!A50</f>
        <v>Special Design Features:</v>
      </c>
      <c r="AY284" s="562"/>
    </row>
    <row r="285" spans="1:51" ht="16" x14ac:dyDescent="0.2">
      <c r="A285" s="541">
        <v>6</v>
      </c>
      <c r="B285" s="549">
        <v>601.29999999999995</v>
      </c>
      <c r="C285" s="544"/>
      <c r="D285" s="544"/>
      <c r="E285" s="544" t="s">
        <v>2185</v>
      </c>
      <c r="F285" s="544"/>
      <c r="G285" s="543" t="str">
        <f t="shared" si="84"/>
        <v/>
      </c>
      <c r="H285" s="541" t="s">
        <v>3757</v>
      </c>
      <c r="I285" s="40"/>
      <c r="J285" s="161" t="s">
        <v>2185</v>
      </c>
      <c r="K285" s="162"/>
      <c r="L285" s="162" t="s">
        <v>2416</v>
      </c>
      <c r="M285" s="249">
        <v>3</v>
      </c>
      <c r="N285" s="600">
        <f>'Ch6'!O46</f>
        <v>0</v>
      </c>
      <c r="O285" s="600">
        <f t="shared" si="85"/>
        <v>0</v>
      </c>
      <c r="P285" s="562" t="b">
        <v>1</v>
      </c>
      <c r="Q285" s="562" t="b">
        <v>0</v>
      </c>
      <c r="R285" s="562" t="b">
        <v>0</v>
      </c>
      <c r="S285" s="562" t="b">
        <v>1</v>
      </c>
      <c r="T285" s="562" t="b">
        <v>0</v>
      </c>
      <c r="U285" s="562"/>
      <c r="V285" s="562"/>
      <c r="W285" s="18"/>
      <c r="X285" s="563"/>
      <c r="Y285" s="578" t="str">
        <f>IF(LEN('Ch6'!X46)=0,"None",'Ch6'!X46)</f>
        <v>None</v>
      </c>
      <c r="Z285" s="579"/>
      <c r="AA285" s="562"/>
      <c r="AB285" s="562"/>
      <c r="AC285" s="562"/>
      <c r="AD285" s="562"/>
      <c r="AE285" s="562"/>
      <c r="AF285" s="562"/>
      <c r="AG285" s="562"/>
      <c r="AH285" s="562"/>
      <c r="AI285" s="562"/>
      <c r="AJ285" s="562"/>
      <c r="AK285" s="562"/>
      <c r="AL285" s="190" t="str">
        <f t="shared" si="86"/>
        <v>vpa601,3_3</v>
      </c>
      <c r="AM285" s="190">
        <f t="shared" si="87"/>
        <v>3</v>
      </c>
      <c r="AN285" s="190" t="str">
        <f t="shared" si="88"/>
        <v>vpc601,3_3</v>
      </c>
      <c r="AO285" s="190">
        <f t="shared" si="89"/>
        <v>0</v>
      </c>
      <c r="AP285" s="190" t="str">
        <f t="shared" si="90"/>
        <v>vch601,3_3</v>
      </c>
      <c r="AQ285" s="190">
        <f t="shared" si="91"/>
        <v>0</v>
      </c>
      <c r="AR285" s="190" t="str">
        <f t="shared" si="92"/>
        <v>vnt601,3_3</v>
      </c>
      <c r="AS285" s="190">
        <f t="shared" si="93"/>
        <v>0</v>
      </c>
      <c r="AT285" s="562"/>
      <c r="AU285" s="562"/>
      <c r="AV285" s="562"/>
      <c r="AW285" s="562"/>
      <c r="AX285" s="594" t="str">
        <f>'Overview (Verification)'!A51</f>
        <v>Passive Solar:</v>
      </c>
      <c r="AY285" s="562">
        <f>IF(LEN('Overview (Verification)'!P51)=0,0,'Overview (Verification)'!P51)</f>
        <v>0</v>
      </c>
    </row>
    <row r="286" spans="1:51" ht="16" x14ac:dyDescent="0.2">
      <c r="A286" s="541">
        <v>6</v>
      </c>
      <c r="B286" s="549">
        <v>601.29999999999995</v>
      </c>
      <c r="C286" s="544"/>
      <c r="D286" s="544"/>
      <c r="E286" s="544" t="s">
        <v>2192</v>
      </c>
      <c r="F286" s="544"/>
      <c r="G286" s="543" t="str">
        <f t="shared" si="84"/>
        <v/>
      </c>
      <c r="H286" s="541" t="s">
        <v>3757</v>
      </c>
      <c r="I286" s="40"/>
      <c r="J286" s="161" t="s">
        <v>2192</v>
      </c>
      <c r="K286" s="162"/>
      <c r="L286" s="162" t="s">
        <v>2417</v>
      </c>
      <c r="M286" s="249">
        <v>3</v>
      </c>
      <c r="N286" s="600">
        <f>'Ch6'!O47</f>
        <v>0</v>
      </c>
      <c r="O286" s="600">
        <f t="shared" si="85"/>
        <v>0</v>
      </c>
      <c r="P286" s="562" t="b">
        <v>1</v>
      </c>
      <c r="Q286" s="562" t="b">
        <v>0</v>
      </c>
      <c r="R286" s="562" t="b">
        <v>0</v>
      </c>
      <c r="S286" s="562" t="b">
        <v>1</v>
      </c>
      <c r="T286" s="562" t="b">
        <v>0</v>
      </c>
      <c r="U286" s="562"/>
      <c r="V286" s="562"/>
      <c r="W286" s="18"/>
      <c r="X286" s="563"/>
      <c r="Y286" s="578" t="str">
        <f>IF(LEN('Ch6'!X47)=0,"None",'Ch6'!X47)</f>
        <v>None</v>
      </c>
      <c r="Z286" s="579"/>
      <c r="AA286" s="562"/>
      <c r="AB286" s="562"/>
      <c r="AC286" s="562"/>
      <c r="AD286" s="562"/>
      <c r="AE286" s="562"/>
      <c r="AF286" s="562"/>
      <c r="AG286" s="562"/>
      <c r="AH286" s="562"/>
      <c r="AI286" s="562"/>
      <c r="AJ286" s="562"/>
      <c r="AK286" s="562"/>
      <c r="AL286" s="190" t="str">
        <f t="shared" si="86"/>
        <v>vpa601,3_4</v>
      </c>
      <c r="AM286" s="190">
        <f t="shared" si="87"/>
        <v>3</v>
      </c>
      <c r="AN286" s="190" t="str">
        <f t="shared" si="88"/>
        <v>vpc601,3_4</v>
      </c>
      <c r="AO286" s="190">
        <f t="shared" si="89"/>
        <v>0</v>
      </c>
      <c r="AP286" s="190" t="str">
        <f t="shared" si="90"/>
        <v>vch601,3_4</v>
      </c>
      <c r="AQ286" s="190">
        <f t="shared" si="91"/>
        <v>0</v>
      </c>
      <c r="AR286" s="190" t="str">
        <f t="shared" si="92"/>
        <v>vnt601,3_4</v>
      </c>
      <c r="AS286" s="190">
        <f t="shared" si="93"/>
        <v>0</v>
      </c>
      <c r="AT286" s="562"/>
      <c r="AU286" s="562"/>
      <c r="AV286" s="562"/>
      <c r="AW286" s="562"/>
      <c r="AX286" s="594" t="str">
        <f>'Overview (Verification)'!A52</f>
        <v>Mass Walls:</v>
      </c>
      <c r="AY286" s="562">
        <f>IF(LEN('Overview (Verification)'!P52)=0,0,'Overview (Verification)'!P52)</f>
        <v>0</v>
      </c>
    </row>
    <row r="287" spans="1:51" ht="17" thickBot="1" x14ac:dyDescent="0.25">
      <c r="A287" s="541">
        <v>6</v>
      </c>
      <c r="B287" s="549">
        <v>601.29999999999995</v>
      </c>
      <c r="C287" s="544"/>
      <c r="D287" s="544"/>
      <c r="E287" s="544" t="s">
        <v>2194</v>
      </c>
      <c r="F287" s="544"/>
      <c r="G287" s="543" t="str">
        <f t="shared" si="84"/>
        <v/>
      </c>
      <c r="H287" s="541" t="s">
        <v>3757</v>
      </c>
      <c r="I287" s="40"/>
      <c r="J287" s="20" t="s">
        <v>2194</v>
      </c>
      <c r="K287" s="53"/>
      <c r="L287" s="53" t="s">
        <v>2418</v>
      </c>
      <c r="M287" s="616">
        <v>1</v>
      </c>
      <c r="N287" s="648">
        <f>'Ch6'!O48</f>
        <v>0</v>
      </c>
      <c r="O287" s="648">
        <f t="shared" si="85"/>
        <v>0</v>
      </c>
      <c r="P287" s="562" t="b">
        <v>1</v>
      </c>
      <c r="Q287" s="562" t="b">
        <v>0</v>
      </c>
      <c r="R287" s="562" t="b">
        <v>0</v>
      </c>
      <c r="S287" s="562" t="b">
        <v>1</v>
      </c>
      <c r="T287" s="562" t="b">
        <v>0</v>
      </c>
      <c r="U287" s="562"/>
      <c r="V287" s="562"/>
      <c r="W287" s="69"/>
      <c r="X287" s="568"/>
      <c r="Y287" s="577" t="str">
        <f>IF(LEN('Ch6'!X48)=0,"None",'Ch6'!X48)</f>
        <v>None</v>
      </c>
      <c r="Z287" s="582"/>
      <c r="AA287" s="562"/>
      <c r="AB287" s="562"/>
      <c r="AC287" s="562"/>
      <c r="AD287" s="562"/>
      <c r="AE287" s="562"/>
      <c r="AF287" s="562"/>
      <c r="AG287" s="562"/>
      <c r="AH287" s="562"/>
      <c r="AI287" s="562"/>
      <c r="AJ287" s="562"/>
      <c r="AK287" s="562"/>
      <c r="AL287" s="190" t="str">
        <f t="shared" si="86"/>
        <v>vpa601,3_5</v>
      </c>
      <c r="AM287" s="190">
        <f t="shared" si="87"/>
        <v>1</v>
      </c>
      <c r="AN287" s="190" t="str">
        <f t="shared" si="88"/>
        <v>vpc601,3_5</v>
      </c>
      <c r="AO287" s="190">
        <f t="shared" si="89"/>
        <v>0</v>
      </c>
      <c r="AP287" s="190" t="str">
        <f t="shared" si="90"/>
        <v>vch601,3_5</v>
      </c>
      <c r="AQ287" s="190">
        <f t="shared" si="91"/>
        <v>0</v>
      </c>
      <c r="AR287" s="190" t="str">
        <f t="shared" si="92"/>
        <v>vnt601,3_5</v>
      </c>
      <c r="AS287" s="190">
        <f t="shared" si="93"/>
        <v>0</v>
      </c>
      <c r="AT287" s="562"/>
      <c r="AU287" s="562"/>
      <c r="AV287" s="562"/>
      <c r="AW287" s="562"/>
      <c r="AX287" s="594" t="str">
        <f>'Overview (Verification)'!A53</f>
        <v>Ductless:</v>
      </c>
      <c r="AY287" s="562">
        <f>IF(LEN('Overview (Verification)'!P53)=0,0,'Overview (Verification)'!P53)</f>
        <v>0</v>
      </c>
    </row>
    <row r="288" spans="1:51" ht="16" thickTop="1" x14ac:dyDescent="0.2">
      <c r="A288" s="541">
        <v>6</v>
      </c>
      <c r="B288" s="549">
        <v>601.4</v>
      </c>
      <c r="C288" s="544"/>
      <c r="D288" s="544"/>
      <c r="E288" s="544"/>
      <c r="F288" s="544"/>
      <c r="G288" s="543" t="str">
        <f t="shared" si="84"/>
        <v/>
      </c>
      <c r="H288" s="541" t="s">
        <v>3757</v>
      </c>
      <c r="I288" s="131" t="s">
        <v>2419</v>
      </c>
      <c r="J288" s="132"/>
      <c r="K288" s="133"/>
      <c r="L288" s="819" t="s">
        <v>2420</v>
      </c>
      <c r="M288" s="827">
        <v>4</v>
      </c>
      <c r="N288" s="981">
        <f>'Ch6'!O49</f>
        <v>0</v>
      </c>
      <c r="O288" s="981">
        <f t="shared" si="85"/>
        <v>0</v>
      </c>
      <c r="P288" s="562" t="b">
        <v>1</v>
      </c>
      <c r="Q288" s="562" t="b">
        <v>0</v>
      </c>
      <c r="R288" s="74" t="b">
        <v>0</v>
      </c>
      <c r="S288" s="74" t="b">
        <v>1</v>
      </c>
      <c r="T288" s="74" t="b">
        <v>0</v>
      </c>
      <c r="U288" s="74"/>
      <c r="V288" s="74"/>
      <c r="W288" s="91"/>
      <c r="X288" s="802"/>
      <c r="Y288" s="975" t="str">
        <f>IF(LEN('Ch6'!X49)=0,"None",'Ch6'!X49)</f>
        <v>None</v>
      </c>
      <c r="Z288" s="976"/>
      <c r="AA288" s="562"/>
      <c r="AB288" s="562"/>
      <c r="AC288" s="562"/>
      <c r="AD288" s="562"/>
      <c r="AE288" s="562"/>
      <c r="AF288" s="562"/>
      <c r="AG288" s="562"/>
      <c r="AH288" s="562"/>
      <c r="AI288" s="562"/>
      <c r="AJ288" s="562"/>
      <c r="AK288" s="562"/>
      <c r="AL288" s="190" t="str">
        <f t="shared" si="86"/>
        <v>vpa601,4</v>
      </c>
      <c r="AM288" s="190">
        <f t="shared" si="87"/>
        <v>4</v>
      </c>
      <c r="AN288" s="190" t="str">
        <f t="shared" si="88"/>
        <v>vpc601,4</v>
      </c>
      <c r="AO288" s="190">
        <f t="shared" si="89"/>
        <v>0</v>
      </c>
      <c r="AP288" s="190" t="str">
        <f t="shared" si="90"/>
        <v>vch601,4</v>
      </c>
      <c r="AQ288" s="190">
        <f t="shared" si="91"/>
        <v>0</v>
      </c>
      <c r="AR288" s="190" t="str">
        <f t="shared" si="92"/>
        <v>vnt601,4</v>
      </c>
      <c r="AS288" s="190">
        <f t="shared" si="93"/>
        <v>0</v>
      </c>
      <c r="AT288" s="562"/>
      <c r="AU288" s="562"/>
      <c r="AV288" s="562"/>
      <c r="AW288" s="562"/>
      <c r="AX288" s="594" t="str">
        <f>'Overview (Verification)'!A54</f>
        <v>Radiant/Hydronic:</v>
      </c>
      <c r="AY288" s="562">
        <f>IF(LEN('Overview (Verification)'!P54)=0,0,'Overview (Verification)'!P54)</f>
        <v>0</v>
      </c>
    </row>
    <row r="289" spans="1:51" x14ac:dyDescent="0.2">
      <c r="A289" s="541">
        <v>6</v>
      </c>
      <c r="B289" s="549">
        <v>601.4</v>
      </c>
      <c r="C289" s="544"/>
      <c r="D289" s="544"/>
      <c r="E289" s="544"/>
      <c r="F289" s="544"/>
      <c r="G289" s="543" t="str">
        <f t="shared" ref="G289:G290" si="94">G288</f>
        <v/>
      </c>
      <c r="H289" s="541" t="s">
        <v>3757</v>
      </c>
      <c r="I289" s="99"/>
      <c r="J289" s="98"/>
      <c r="K289" s="65"/>
      <c r="L289" s="820"/>
      <c r="M289" s="800"/>
      <c r="N289" s="924"/>
      <c r="O289" s="924"/>
      <c r="P289" s="64"/>
      <c r="Q289" s="64"/>
      <c r="R289" s="64"/>
      <c r="S289" s="64"/>
      <c r="T289" s="64"/>
      <c r="U289" s="64"/>
      <c r="V289" s="64"/>
      <c r="W289" s="64"/>
      <c r="X289" s="798"/>
      <c r="Y289" s="977"/>
      <c r="Z289" s="978"/>
      <c r="AA289" s="562"/>
      <c r="AB289" s="562"/>
      <c r="AC289" s="562"/>
      <c r="AD289" s="562"/>
      <c r="AE289" s="562"/>
      <c r="AF289" s="562"/>
      <c r="AG289" s="562"/>
      <c r="AH289" s="562"/>
      <c r="AI289" s="562"/>
      <c r="AJ289" s="562"/>
      <c r="AK289" s="562"/>
      <c r="AL289" s="562"/>
      <c r="AM289" s="562"/>
      <c r="AN289" s="562"/>
      <c r="AO289" s="562"/>
      <c r="AP289" s="562"/>
      <c r="AQ289" s="562"/>
      <c r="AR289" s="562"/>
      <c r="AS289" s="562"/>
      <c r="AT289" s="562"/>
      <c r="AU289" s="562"/>
      <c r="AV289" s="562"/>
      <c r="AW289" s="562"/>
      <c r="AX289" s="594" t="str">
        <f>'Overview (Verification)'!A55</f>
        <v>Tankless Water Heater:</v>
      </c>
      <c r="AY289" s="562">
        <f>IF(LEN('Overview (Verification)'!P55)=0,0,'Overview (Verification)'!P55)</f>
        <v>0</v>
      </c>
    </row>
    <row r="290" spans="1:51" ht="16" thickBot="1" x14ac:dyDescent="0.25">
      <c r="A290" s="541">
        <v>6</v>
      </c>
      <c r="B290" s="549">
        <v>601.4</v>
      </c>
      <c r="C290" s="544"/>
      <c r="D290" s="544"/>
      <c r="E290" s="544"/>
      <c r="F290" s="544"/>
      <c r="G290" s="543" t="str">
        <f t="shared" si="94"/>
        <v/>
      </c>
      <c r="H290" s="541" t="s">
        <v>3757</v>
      </c>
      <c r="I290" s="99"/>
      <c r="J290" s="98"/>
      <c r="K290" s="65"/>
      <c r="L290" s="820"/>
      <c r="M290" s="800"/>
      <c r="N290" s="982"/>
      <c r="O290" s="924"/>
      <c r="P290" s="64"/>
      <c r="Q290" s="64"/>
      <c r="R290" s="64"/>
      <c r="S290" s="64"/>
      <c r="T290" s="64"/>
      <c r="U290" s="64"/>
      <c r="V290" s="64"/>
      <c r="W290" s="64"/>
      <c r="X290" s="825"/>
      <c r="Y290" s="979"/>
      <c r="Z290" s="1007"/>
      <c r="AA290" s="562"/>
      <c r="AB290" s="562"/>
      <c r="AC290" s="562"/>
      <c r="AD290" s="562"/>
      <c r="AE290" s="562"/>
      <c r="AF290" s="562"/>
      <c r="AG290" s="562"/>
      <c r="AH290" s="562"/>
      <c r="AI290" s="562"/>
      <c r="AJ290" s="562"/>
      <c r="AK290" s="562"/>
      <c r="AL290" s="562"/>
      <c r="AM290" s="562"/>
      <c r="AN290" s="562"/>
      <c r="AO290" s="562"/>
      <c r="AP290" s="562"/>
      <c r="AQ290" s="562"/>
      <c r="AR290" s="562"/>
      <c r="AS290" s="562"/>
      <c r="AT290" s="562"/>
      <c r="AU290" s="562"/>
      <c r="AV290" s="562"/>
      <c r="AW290" s="562"/>
      <c r="AX290" s="594" t="str">
        <f>'Overview (Verification)'!A56</f>
        <v>Composting Toilet:</v>
      </c>
      <c r="AY290" s="562">
        <f>IF(LEN('Overview (Verification)'!P56)=0,0,'Overview (Verification)'!P56)</f>
        <v>0</v>
      </c>
    </row>
    <row r="291" spans="1:51" ht="16" thickTop="1" x14ac:dyDescent="0.2">
      <c r="A291" s="541">
        <v>6</v>
      </c>
      <c r="B291" s="549">
        <v>601.5</v>
      </c>
      <c r="C291" s="544"/>
      <c r="D291" s="544"/>
      <c r="E291" s="544"/>
      <c r="F291" s="544"/>
      <c r="G291" s="539" t="str">
        <f>IF(COUNTIF(G296:G299,"P")&gt;0,"P","")</f>
        <v/>
      </c>
      <c r="H291" s="541" t="s">
        <v>3757</v>
      </c>
      <c r="I291" s="75" t="s">
        <v>2421</v>
      </c>
      <c r="J291" s="132"/>
      <c r="K291" s="133"/>
      <c r="L291" s="819" t="s">
        <v>2422</v>
      </c>
      <c r="M291" s="827" t="s">
        <v>2423</v>
      </c>
      <c r="N291" s="673"/>
      <c r="O291" s="673"/>
      <c r="P291" s="74"/>
      <c r="Q291" s="74"/>
      <c r="R291" s="74"/>
      <c r="S291" s="74"/>
      <c r="T291" s="74"/>
      <c r="U291" s="74"/>
      <c r="V291" s="74"/>
      <c r="W291" s="74"/>
      <c r="X291" s="136"/>
      <c r="Y291" s="562"/>
      <c r="Z291" s="430"/>
      <c r="AA291" s="562"/>
      <c r="AB291" s="562"/>
      <c r="AC291" s="562"/>
      <c r="AD291" s="562"/>
      <c r="AE291" s="562"/>
      <c r="AF291" s="562"/>
      <c r="AG291" s="562"/>
      <c r="AH291" s="562"/>
      <c r="AI291" s="562"/>
      <c r="AJ291" s="562"/>
      <c r="AK291" s="562"/>
      <c r="AL291" s="190" t="str">
        <f>SUBSTITUTE(SUBSTITUTE(SUBSTITUTE("vpa"&amp;$B291&amp;$C291&amp;$D291&amp;$E291&amp;$F291,".","_"),"(","_"),")","")</f>
        <v>vpa601,5</v>
      </c>
      <c r="AM291" s="190" t="str">
        <f>M291</f>
        <v>13 Max</v>
      </c>
      <c r="AN291" s="562"/>
      <c r="AO291" s="562"/>
      <c r="AP291" s="562"/>
      <c r="AQ291" s="562"/>
      <c r="AR291" s="562"/>
      <c r="AS291" s="562"/>
      <c r="AT291" s="562"/>
      <c r="AU291" s="562"/>
      <c r="AV291" s="562"/>
      <c r="AW291" s="562"/>
      <c r="AX291" s="594"/>
      <c r="AY291" s="562"/>
    </row>
    <row r="292" spans="1:51" x14ac:dyDescent="0.2">
      <c r="A292" s="541">
        <v>6</v>
      </c>
      <c r="B292" s="549">
        <v>601.5</v>
      </c>
      <c r="C292" s="544"/>
      <c r="D292" s="544"/>
      <c r="E292" s="544"/>
      <c r="F292" s="544"/>
      <c r="G292" s="543" t="str">
        <f t="shared" ref="G292:G295" si="95">G291</f>
        <v/>
      </c>
      <c r="H292" s="541" t="s">
        <v>3757</v>
      </c>
      <c r="I292" s="99"/>
      <c r="J292" s="98"/>
      <c r="K292" s="65"/>
      <c r="L292" s="820"/>
      <c r="M292" s="800"/>
      <c r="N292" s="668"/>
      <c r="O292" s="668"/>
      <c r="P292" s="64"/>
      <c r="Q292" s="64"/>
      <c r="R292" s="64"/>
      <c r="S292" s="64"/>
      <c r="T292" s="64"/>
      <c r="U292" s="64"/>
      <c r="V292" s="64"/>
      <c r="W292" s="64"/>
      <c r="X292" s="82"/>
      <c r="Y292" s="562"/>
      <c r="Z292" s="430"/>
      <c r="AA292" s="562"/>
      <c r="AB292" s="562"/>
      <c r="AC292" s="562"/>
      <c r="AD292" s="562"/>
      <c r="AE292" s="562"/>
      <c r="AF292" s="562"/>
      <c r="AG292" s="562"/>
      <c r="AH292" s="562"/>
      <c r="AI292" s="562"/>
      <c r="AJ292" s="562"/>
      <c r="AK292" s="562"/>
      <c r="AL292" s="562"/>
      <c r="AM292" s="562"/>
      <c r="AN292" s="562"/>
      <c r="AO292" s="562"/>
      <c r="AP292" s="562"/>
      <c r="AQ292" s="562"/>
      <c r="AR292" s="562"/>
      <c r="AS292" s="562"/>
      <c r="AT292" s="562"/>
      <c r="AU292" s="562"/>
      <c r="AV292" s="562"/>
      <c r="AW292" s="562"/>
      <c r="AX292" s="594" t="str">
        <f>'Overview (Verification)'!A58</f>
        <v>Local Energy Code:</v>
      </c>
      <c r="AY292" s="562">
        <f>IF(LEN('Overview (Verification)'!P58)=0,0,'Overview (Verification)'!P58)</f>
        <v>0</v>
      </c>
    </row>
    <row r="293" spans="1:51" x14ac:dyDescent="0.2">
      <c r="A293" s="541">
        <v>6</v>
      </c>
      <c r="B293" s="549">
        <v>601.5</v>
      </c>
      <c r="C293" s="544"/>
      <c r="D293" s="544"/>
      <c r="E293" s="544"/>
      <c r="F293" s="544"/>
      <c r="G293" s="543" t="str">
        <f t="shared" si="95"/>
        <v/>
      </c>
      <c r="H293" s="541" t="s">
        <v>3757</v>
      </c>
      <c r="I293" s="99"/>
      <c r="J293" s="98"/>
      <c r="K293" s="65"/>
      <c r="L293" s="820"/>
      <c r="M293" s="800"/>
      <c r="N293" s="668"/>
      <c r="O293" s="668"/>
      <c r="P293" s="64"/>
      <c r="Q293" s="64"/>
      <c r="R293" s="64"/>
      <c r="S293" s="64"/>
      <c r="T293" s="64"/>
      <c r="U293" s="64"/>
      <c r="V293" s="64"/>
      <c r="W293" s="64"/>
      <c r="X293" s="82"/>
      <c r="Y293" s="562"/>
      <c r="Z293" s="430"/>
      <c r="AA293" s="562"/>
      <c r="AB293" s="562"/>
      <c r="AC293" s="562"/>
      <c r="AD293" s="562"/>
      <c r="AE293" s="562"/>
      <c r="AF293" s="562"/>
      <c r="AG293" s="562"/>
      <c r="AH293" s="562"/>
      <c r="AI293" s="562"/>
      <c r="AJ293" s="562"/>
      <c r="AK293" s="562"/>
      <c r="AL293" s="562"/>
      <c r="AM293" s="562"/>
      <c r="AN293" s="562"/>
      <c r="AO293" s="562"/>
      <c r="AP293" s="190"/>
      <c r="AQ293" s="190"/>
      <c r="AR293" s="562"/>
      <c r="AS293" s="562"/>
      <c r="AT293" s="562"/>
      <c r="AU293" s="562"/>
      <c r="AV293" s="562"/>
      <c r="AW293" s="562"/>
      <c r="AX293" s="594" t="str">
        <f>'Overview (Verification)'!A59</f>
        <v>Local Building Code:</v>
      </c>
      <c r="AY293" s="562">
        <f>IF(LEN('Overview (Verification)'!P59)=0,0,'Overview (Verification)'!P59)</f>
        <v>0</v>
      </c>
    </row>
    <row r="294" spans="1:51" s="481" customFormat="1" x14ac:dyDescent="0.2">
      <c r="A294" s="541">
        <v>6</v>
      </c>
      <c r="B294" s="549">
        <v>601.5</v>
      </c>
      <c r="C294" s="544"/>
      <c r="D294" s="544"/>
      <c r="E294" s="544"/>
      <c r="F294" s="544"/>
      <c r="G294" s="543" t="str">
        <f t="shared" si="95"/>
        <v/>
      </c>
      <c r="H294" s="541" t="s">
        <v>3757</v>
      </c>
      <c r="I294" s="99"/>
      <c r="J294" s="98"/>
      <c r="K294" s="65"/>
      <c r="L294" s="846" t="s">
        <v>2424</v>
      </c>
      <c r="M294" s="610"/>
      <c r="N294" s="668"/>
      <c r="O294" s="668"/>
      <c r="P294" s="64"/>
      <c r="Q294" s="64"/>
      <c r="R294" s="64"/>
      <c r="S294" s="64"/>
      <c r="T294" s="64"/>
      <c r="U294" s="64"/>
      <c r="V294" s="64"/>
      <c r="W294" s="64"/>
      <c r="X294" s="82"/>
      <c r="Y294" s="562"/>
      <c r="Z294" s="430"/>
      <c r="AA294" s="562"/>
      <c r="AB294" s="562"/>
      <c r="AC294" s="562"/>
      <c r="AD294" s="562"/>
      <c r="AE294" s="562"/>
      <c r="AF294" s="562"/>
      <c r="AG294" s="562"/>
      <c r="AH294" s="562"/>
      <c r="AI294" s="562"/>
      <c r="AJ294" s="562"/>
      <c r="AK294" s="562"/>
      <c r="AL294" s="562"/>
      <c r="AM294" s="562"/>
      <c r="AN294" s="562"/>
      <c r="AO294" s="562"/>
      <c r="AP294" s="190"/>
      <c r="AQ294" s="190"/>
      <c r="AR294" s="562"/>
      <c r="AS294" s="562"/>
      <c r="AT294" s="562"/>
      <c r="AU294" s="562"/>
      <c r="AV294" s="562"/>
      <c r="AW294" s="562"/>
      <c r="AX294" s="594"/>
      <c r="AY294" s="562"/>
    </row>
    <row r="295" spans="1:51" s="481" customFormat="1" x14ac:dyDescent="0.2">
      <c r="A295" s="541">
        <v>6</v>
      </c>
      <c r="B295" s="549">
        <v>601.5</v>
      </c>
      <c r="C295" s="544"/>
      <c r="D295" s="544"/>
      <c r="E295" s="544"/>
      <c r="F295" s="544"/>
      <c r="G295" s="543" t="str">
        <f t="shared" si="95"/>
        <v/>
      </c>
      <c r="H295" s="541" t="s">
        <v>3757</v>
      </c>
      <c r="I295" s="99"/>
      <c r="J295" s="98"/>
      <c r="K295" s="65"/>
      <c r="L295" s="846"/>
      <c r="M295" s="610"/>
      <c r="N295" s="668"/>
      <c r="O295" s="668"/>
      <c r="P295" s="64"/>
      <c r="Q295" s="64"/>
      <c r="R295" s="64"/>
      <c r="S295" s="64"/>
      <c r="T295" s="64"/>
      <c r="U295" s="64"/>
      <c r="V295" s="64"/>
      <c r="W295" s="64"/>
      <c r="X295" s="82"/>
      <c r="Y295" s="562"/>
      <c r="Z295" s="430"/>
      <c r="AA295" s="562"/>
      <c r="AB295" s="562"/>
      <c r="AC295" s="562"/>
      <c r="AD295" s="562"/>
      <c r="AE295" s="562"/>
      <c r="AF295" s="562"/>
      <c r="AG295" s="562"/>
      <c r="AH295" s="562"/>
      <c r="AI295" s="562"/>
      <c r="AJ295" s="562"/>
      <c r="AK295" s="562"/>
      <c r="AL295" s="562"/>
      <c r="AM295" s="562"/>
      <c r="AN295" s="562"/>
      <c r="AO295" s="562"/>
      <c r="AP295" s="190"/>
      <c r="AQ295" s="190"/>
      <c r="AR295" s="562"/>
      <c r="AS295" s="562"/>
      <c r="AT295" s="562"/>
      <c r="AU295" s="562"/>
      <c r="AV295" s="562"/>
      <c r="AW295" s="562"/>
      <c r="AX295" s="594"/>
      <c r="AY295" s="562"/>
    </row>
    <row r="296" spans="1:51" ht="16" x14ac:dyDescent="0.2">
      <c r="A296" s="541">
        <v>6</v>
      </c>
      <c r="B296" s="549">
        <v>601.5</v>
      </c>
      <c r="C296" s="544"/>
      <c r="D296" s="544"/>
      <c r="E296" s="544" t="s">
        <v>2181</v>
      </c>
      <c r="F296" s="544"/>
      <c r="G296" s="543" t="str">
        <f>IF(N296&gt;0,"P","")</f>
        <v/>
      </c>
      <c r="H296" s="541" t="s">
        <v>3757</v>
      </c>
      <c r="I296" s="40"/>
      <c r="J296" s="159" t="s">
        <v>2181</v>
      </c>
      <c r="K296" s="126"/>
      <c r="L296" s="126" t="s">
        <v>2425</v>
      </c>
      <c r="M296" s="611">
        <v>4</v>
      </c>
      <c r="N296" s="669">
        <f>'Ch6'!O57</f>
        <v>0</v>
      </c>
      <c r="O296" s="669">
        <f>M296*S296*W296</f>
        <v>0</v>
      </c>
      <c r="P296" s="562" t="b">
        <v>1</v>
      </c>
      <c r="Q296" s="562" t="b">
        <v>0</v>
      </c>
      <c r="R296" s="562" t="b">
        <v>0</v>
      </c>
      <c r="S296" s="462" t="b">
        <f>NOT(W299=TRUE)</f>
        <v>1</v>
      </c>
      <c r="T296" s="64" t="b">
        <f>IF(AND(NOT(S296),W296=TRUE),TRUE,FALSE)</f>
        <v>0</v>
      </c>
      <c r="U296" s="562"/>
      <c r="V296" s="562"/>
      <c r="W296" s="18"/>
      <c r="X296" s="563"/>
      <c r="Y296" s="578" t="str">
        <f>IF(LEN('Ch6'!X57)=0,"None",'Ch6'!X57)</f>
        <v>None</v>
      </c>
      <c r="Z296" s="579"/>
      <c r="AA296" s="562"/>
      <c r="AB296" s="562"/>
      <c r="AC296" s="562" t="b">
        <f>OR(AD296:AE296)</f>
        <v>0</v>
      </c>
      <c r="AD296" s="562" t="b">
        <f>T296</f>
        <v>0</v>
      </c>
      <c r="AE296" s="562" t="b">
        <v>0</v>
      </c>
      <c r="AF296" s="562" t="b">
        <f t="shared" ref="AF296:AF299" si="96">AND(AE296,NOT(Q296))</f>
        <v>0</v>
      </c>
      <c r="AG296" s="562"/>
      <c r="AH296" s="562"/>
      <c r="AI296" s="562"/>
      <c r="AJ296" s="562"/>
      <c r="AK296" s="562"/>
      <c r="AL296" s="190" t="str">
        <f t="shared" ref="AL296:AL300" si="97">SUBSTITUTE(SUBSTITUTE(SUBSTITUTE("vpa"&amp;$B296&amp;$C296&amp;$D296&amp;$E296&amp;$F296,".","_"),"(","_"),")","")</f>
        <v>vpa601,5_1</v>
      </c>
      <c r="AM296" s="190">
        <f t="shared" ref="AM296:AM300" si="98">M296</f>
        <v>4</v>
      </c>
      <c r="AN296" s="190" t="str">
        <f t="shared" ref="AN296:AN300" si="99">SUBSTITUTE(SUBSTITUTE(SUBSTITUTE("vpc"&amp;$B296&amp;$C296&amp;$D296&amp;$E296&amp;$F296,".","_"),"(","_"),")","")</f>
        <v>vpc601,5_1</v>
      </c>
      <c r="AO296" s="190">
        <f t="shared" ref="AO296:AO300" si="100">O296</f>
        <v>0</v>
      </c>
      <c r="AP296" s="190" t="str">
        <f t="shared" ref="AP296:AP299" si="101">SUBSTITUTE(SUBSTITUTE(SUBSTITUTE("vch"&amp;$B296&amp;$C296&amp;$D296&amp;$E296&amp;$F296,".","_"),"(","_"),")","")</f>
        <v>vch601,5_1</v>
      </c>
      <c r="AQ296" s="190">
        <f>W296</f>
        <v>0</v>
      </c>
      <c r="AR296" s="190" t="str">
        <f t="shared" ref="AR296:AR300" si="102">SUBSTITUTE(SUBSTITUTE(SUBSTITUTE("vnt"&amp;$B296&amp;$C296&amp;$D296&amp;$E296&amp;$F296,".","_"),"(","_"),")","")</f>
        <v>vnt601,5_1</v>
      </c>
      <c r="AS296" s="190">
        <f t="shared" ref="AS296:AS300" si="103">X296</f>
        <v>0</v>
      </c>
      <c r="AT296" s="562"/>
      <c r="AU296" s="562"/>
      <c r="AV296" s="562"/>
      <c r="AW296" s="562"/>
      <c r="AX296" s="594"/>
      <c r="AY296" s="562"/>
    </row>
    <row r="297" spans="1:51" ht="16" x14ac:dyDescent="0.2">
      <c r="A297" s="541">
        <v>6</v>
      </c>
      <c r="B297" s="549">
        <v>601.5</v>
      </c>
      <c r="C297" s="544"/>
      <c r="D297" s="544"/>
      <c r="E297" s="544" t="s">
        <v>2183</v>
      </c>
      <c r="F297" s="544"/>
      <c r="G297" s="543" t="str">
        <f>IF(N297&gt;0,"P","")</f>
        <v/>
      </c>
      <c r="H297" s="541" t="s">
        <v>3757</v>
      </c>
      <c r="I297" s="40"/>
      <c r="J297" s="161" t="s">
        <v>2183</v>
      </c>
      <c r="K297" s="162"/>
      <c r="L297" s="162" t="s">
        <v>2426</v>
      </c>
      <c r="M297" s="249">
        <v>4</v>
      </c>
      <c r="N297" s="600">
        <f>'Ch6'!O58</f>
        <v>0</v>
      </c>
      <c r="O297" s="600">
        <f>M297*S297*W297</f>
        <v>0</v>
      </c>
      <c r="P297" s="562" t="b">
        <v>1</v>
      </c>
      <c r="Q297" s="562" t="b">
        <v>0</v>
      </c>
      <c r="R297" s="562" t="b">
        <v>0</v>
      </c>
      <c r="S297" s="462" t="b">
        <f>NOT(W299=TRUE)</f>
        <v>1</v>
      </c>
      <c r="T297" s="64" t="b">
        <f>IF(AND(NOT(S297),W297=TRUE),TRUE,FALSE)</f>
        <v>0</v>
      </c>
      <c r="U297" s="562"/>
      <c r="V297" s="562"/>
      <c r="W297" s="18"/>
      <c r="X297" s="563"/>
      <c r="Y297" s="578" t="str">
        <f>IF(LEN('Ch6'!X58)=0,"None",'Ch6'!X58)</f>
        <v>None</v>
      </c>
      <c r="Z297" s="579"/>
      <c r="AA297" s="562"/>
      <c r="AB297" s="562"/>
      <c r="AC297" s="562" t="b">
        <f>OR(AD297:AE297)</f>
        <v>0</v>
      </c>
      <c r="AD297" s="562" t="b">
        <f>T297</f>
        <v>0</v>
      </c>
      <c r="AE297" s="562" t="b">
        <v>0</v>
      </c>
      <c r="AF297" s="562" t="b">
        <f t="shared" si="96"/>
        <v>0</v>
      </c>
      <c r="AG297" s="562"/>
      <c r="AH297" s="562"/>
      <c r="AI297" s="562"/>
      <c r="AJ297" s="562"/>
      <c r="AK297" s="562"/>
      <c r="AL297" s="190" t="str">
        <f t="shared" si="97"/>
        <v>vpa601,5_2</v>
      </c>
      <c r="AM297" s="190">
        <f t="shared" si="98"/>
        <v>4</v>
      </c>
      <c r="AN297" s="190" t="str">
        <f t="shared" si="99"/>
        <v>vpc601,5_2</v>
      </c>
      <c r="AO297" s="190">
        <f t="shared" si="100"/>
        <v>0</v>
      </c>
      <c r="AP297" s="190" t="str">
        <f t="shared" si="101"/>
        <v>vch601,5_2</v>
      </c>
      <c r="AQ297" s="190">
        <f>W297</f>
        <v>0</v>
      </c>
      <c r="AR297" s="190" t="str">
        <f t="shared" si="102"/>
        <v>vnt601,5_2</v>
      </c>
      <c r="AS297" s="190">
        <f t="shared" si="103"/>
        <v>0</v>
      </c>
      <c r="AT297" s="562"/>
      <c r="AU297" s="562"/>
      <c r="AV297" s="562"/>
      <c r="AW297" s="562"/>
      <c r="AX297" s="594"/>
      <c r="AY297" s="562"/>
    </row>
    <row r="298" spans="1:51" ht="16" x14ac:dyDescent="0.2">
      <c r="A298" s="541">
        <v>6</v>
      </c>
      <c r="B298" s="549">
        <v>601.5</v>
      </c>
      <c r="C298" s="544"/>
      <c r="D298" s="544"/>
      <c r="E298" s="544" t="s">
        <v>2185</v>
      </c>
      <c r="F298" s="544"/>
      <c r="G298" s="543" t="str">
        <f>IF(N298&gt;0,"P","")</f>
        <v/>
      </c>
      <c r="H298" s="541" t="s">
        <v>3757</v>
      </c>
      <c r="I298" s="40"/>
      <c r="J298" s="161" t="s">
        <v>2185</v>
      </c>
      <c r="K298" s="162"/>
      <c r="L298" s="162" t="s">
        <v>2427</v>
      </c>
      <c r="M298" s="249">
        <v>4</v>
      </c>
      <c r="N298" s="600">
        <f>'Ch6'!O59</f>
        <v>0</v>
      </c>
      <c r="O298" s="600">
        <f>M298*S298*W298</f>
        <v>0</v>
      </c>
      <c r="P298" s="562" t="b">
        <v>1</v>
      </c>
      <c r="Q298" s="562" t="b">
        <v>0</v>
      </c>
      <c r="R298" s="562" t="b">
        <v>0</v>
      </c>
      <c r="S298" s="462" t="b">
        <f>NOT(W299=TRUE)</f>
        <v>1</v>
      </c>
      <c r="T298" s="64" t="b">
        <f>IF(AND(NOT(S298),W298=TRUE),TRUE,FALSE)</f>
        <v>0</v>
      </c>
      <c r="U298" s="562"/>
      <c r="V298" s="562"/>
      <c r="W298" s="18"/>
      <c r="X298" s="563"/>
      <c r="Y298" s="578" t="str">
        <f>IF(LEN('Ch6'!X59)=0,"None",'Ch6'!X59)</f>
        <v>None</v>
      </c>
      <c r="Z298" s="579"/>
      <c r="AA298" s="562"/>
      <c r="AB298" s="562"/>
      <c r="AC298" s="562" t="b">
        <f>OR(AD298:AE298)</f>
        <v>0</v>
      </c>
      <c r="AD298" s="562" t="b">
        <f>T298</f>
        <v>0</v>
      </c>
      <c r="AE298" s="562" t="b">
        <v>0</v>
      </c>
      <c r="AF298" s="562" t="b">
        <f t="shared" si="96"/>
        <v>0</v>
      </c>
      <c r="AG298" s="562"/>
      <c r="AH298" s="562"/>
      <c r="AI298" s="562"/>
      <c r="AJ298" s="562"/>
      <c r="AK298" s="562"/>
      <c r="AL298" s="190" t="str">
        <f t="shared" si="97"/>
        <v>vpa601,5_3</v>
      </c>
      <c r="AM298" s="190">
        <f t="shared" si="98"/>
        <v>4</v>
      </c>
      <c r="AN298" s="190" t="str">
        <f t="shared" si="99"/>
        <v>vpc601,5_3</v>
      </c>
      <c r="AO298" s="190">
        <f t="shared" si="100"/>
        <v>0</v>
      </c>
      <c r="AP298" s="190" t="str">
        <f t="shared" si="101"/>
        <v>vch601,5_3</v>
      </c>
      <c r="AQ298" s="190">
        <f>W298</f>
        <v>0</v>
      </c>
      <c r="AR298" s="190" t="str">
        <f t="shared" si="102"/>
        <v>vnt601,5_3</v>
      </c>
      <c r="AS298" s="190">
        <f t="shared" si="103"/>
        <v>0</v>
      </c>
      <c r="AT298" s="562"/>
      <c r="AU298" s="562"/>
      <c r="AV298" s="562"/>
      <c r="AW298" s="562"/>
      <c r="AX298" s="594"/>
      <c r="AY298" s="562"/>
    </row>
    <row r="299" spans="1:51" ht="17" thickBot="1" x14ac:dyDescent="0.25">
      <c r="A299" s="541">
        <v>6</v>
      </c>
      <c r="B299" s="549">
        <v>601.5</v>
      </c>
      <c r="C299" s="544"/>
      <c r="D299" s="544"/>
      <c r="E299" s="544" t="s">
        <v>2192</v>
      </c>
      <c r="F299" s="544"/>
      <c r="G299" s="543" t="str">
        <f>IF(N299&gt;0,"P","")</f>
        <v/>
      </c>
      <c r="H299" s="541" t="s">
        <v>3757</v>
      </c>
      <c r="I299" s="40"/>
      <c r="J299" s="161" t="s">
        <v>2192</v>
      </c>
      <c r="K299" s="162"/>
      <c r="L299" s="162" t="s">
        <v>2428</v>
      </c>
      <c r="M299" s="249">
        <v>13</v>
      </c>
      <c r="N299" s="600">
        <f>'Ch6'!O60</f>
        <v>0</v>
      </c>
      <c r="O299" s="600">
        <f>M299*S299*W299</f>
        <v>0</v>
      </c>
      <c r="P299" s="562" t="b">
        <v>1</v>
      </c>
      <c r="Q299" s="562" t="b">
        <v>0</v>
      </c>
      <c r="R299" s="562" t="b">
        <v>0</v>
      </c>
      <c r="S299" s="462" t="b">
        <f>NOT(OR(W296=TRUE,W297=TRUE,W298=TRUE))</f>
        <v>1</v>
      </c>
      <c r="T299" s="64" t="b">
        <f>IF(AND(NOT(S299),W299=TRUE),TRUE,FALSE)</f>
        <v>0</v>
      </c>
      <c r="U299" s="562"/>
      <c r="V299" s="562"/>
      <c r="W299" s="18"/>
      <c r="X299" s="563"/>
      <c r="Y299" s="578" t="str">
        <f>IF(LEN('Ch6'!X60)=0,"None",'Ch6'!X60)</f>
        <v>None</v>
      </c>
      <c r="Z299" s="579"/>
      <c r="AA299" s="562"/>
      <c r="AB299" s="562"/>
      <c r="AC299" s="562" t="b">
        <f>OR(AD299:AE299)</f>
        <v>0</v>
      </c>
      <c r="AD299" s="562" t="b">
        <f>T299</f>
        <v>0</v>
      </c>
      <c r="AE299" s="562" t="b">
        <v>0</v>
      </c>
      <c r="AF299" s="562" t="b">
        <f t="shared" si="96"/>
        <v>0</v>
      </c>
      <c r="AG299" s="562"/>
      <c r="AH299" s="562"/>
      <c r="AI299" s="562"/>
      <c r="AJ299" s="562"/>
      <c r="AK299" s="562"/>
      <c r="AL299" s="190" t="str">
        <f t="shared" si="97"/>
        <v>vpa601,5_4</v>
      </c>
      <c r="AM299" s="190">
        <f t="shared" si="98"/>
        <v>13</v>
      </c>
      <c r="AN299" s="190" t="str">
        <f t="shared" si="99"/>
        <v>vpc601,5_4</v>
      </c>
      <c r="AO299" s="190">
        <f t="shared" si="100"/>
        <v>0</v>
      </c>
      <c r="AP299" s="190" t="str">
        <f t="shared" si="101"/>
        <v>vch601,5_4</v>
      </c>
      <c r="AQ299" s="190">
        <f>W299</f>
        <v>0</v>
      </c>
      <c r="AR299" s="190" t="str">
        <f t="shared" si="102"/>
        <v>vnt601,5_4</v>
      </c>
      <c r="AS299" s="190">
        <f t="shared" si="103"/>
        <v>0</v>
      </c>
      <c r="AT299" s="562"/>
      <c r="AU299" s="562"/>
      <c r="AV299" s="562"/>
      <c r="AW299" s="562"/>
      <c r="AX299" s="594"/>
      <c r="AY299" s="562"/>
    </row>
    <row r="300" spans="1:51" ht="16" thickTop="1" x14ac:dyDescent="0.2">
      <c r="A300" s="541">
        <v>6</v>
      </c>
      <c r="B300" s="549">
        <v>601.6</v>
      </c>
      <c r="C300" s="544"/>
      <c r="D300" s="544"/>
      <c r="E300" s="544"/>
      <c r="F300" s="544"/>
      <c r="G300" s="543" t="str">
        <f ca="1">IF(N300&gt;0,"P","")</f>
        <v/>
      </c>
      <c r="H300" s="541" t="s">
        <v>3757</v>
      </c>
      <c r="I300" s="131" t="s">
        <v>2429</v>
      </c>
      <c r="J300" s="132"/>
      <c r="K300" s="133"/>
      <c r="L300" s="819" t="s">
        <v>2430</v>
      </c>
      <c r="M300" s="827" t="s">
        <v>2431</v>
      </c>
      <c r="N300" s="981">
        <f ca="1">'Ch6'!O61</f>
        <v>0</v>
      </c>
      <c r="O300" s="981">
        <f ca="1">IFERROR(INDEX({4,6,8},MATCH(W301,INDIRECT(U301),0)),0)</f>
        <v>0</v>
      </c>
      <c r="P300" s="74"/>
      <c r="Q300" s="74"/>
      <c r="R300" s="74"/>
      <c r="S300" s="74"/>
      <c r="T300" s="74"/>
      <c r="U300" s="74"/>
      <c r="V300" s="74"/>
      <c r="W300" s="74"/>
      <c r="X300" s="802"/>
      <c r="Y300" s="975" t="str">
        <f>IF(LEN('Ch6'!X61)=0,"None",'Ch6'!X61)</f>
        <v>None</v>
      </c>
      <c r="Z300" s="976"/>
      <c r="AA300" s="562">
        <f>'Photo Review'!H300</f>
        <v>0</v>
      </c>
      <c r="AB300" s="562"/>
      <c r="AC300" s="562"/>
      <c r="AD300" s="562"/>
      <c r="AE300" s="562"/>
      <c r="AF300" s="562"/>
      <c r="AG300" s="562"/>
      <c r="AH300" s="562"/>
      <c r="AI300" s="562"/>
      <c r="AJ300" s="562"/>
      <c r="AK300" s="562"/>
      <c r="AL300" s="190" t="str">
        <f t="shared" si="97"/>
        <v>vpa601,6</v>
      </c>
      <c r="AM300" s="190" t="str">
        <f t="shared" si="98"/>
        <v>8 Max</v>
      </c>
      <c r="AN300" s="190" t="str">
        <f t="shared" si="99"/>
        <v>vpc601,6</v>
      </c>
      <c r="AO300" s="190">
        <f t="shared" ca="1" si="100"/>
        <v>0</v>
      </c>
      <c r="AP300" s="562"/>
      <c r="AQ300" s="562"/>
      <c r="AR300" s="190" t="str">
        <f t="shared" si="102"/>
        <v>vnt601,6</v>
      </c>
      <c r="AS300" s="190">
        <f t="shared" si="103"/>
        <v>0</v>
      </c>
      <c r="AT300" s="562"/>
      <c r="AU300" s="562"/>
      <c r="AV300" s="562"/>
      <c r="AW300" s="562"/>
      <c r="AX300" s="562"/>
      <c r="AY300" s="562"/>
    </row>
    <row r="301" spans="1:51" x14ac:dyDescent="0.2">
      <c r="A301" s="541">
        <v>6</v>
      </c>
      <c r="B301" s="549">
        <v>601.6</v>
      </c>
      <c r="C301" s="544"/>
      <c r="D301" s="544"/>
      <c r="E301" s="544"/>
      <c r="F301" s="544"/>
      <c r="G301" s="543" t="str">
        <f t="shared" ref="G301:G304" ca="1" si="104">G300</f>
        <v/>
      </c>
      <c r="H301" s="541" t="s">
        <v>3757</v>
      </c>
      <c r="I301" s="99"/>
      <c r="J301" s="98"/>
      <c r="K301" s="65"/>
      <c r="L301" s="820"/>
      <c r="M301" s="800"/>
      <c r="N301" s="924"/>
      <c r="O301" s="924"/>
      <c r="P301" s="562" t="b">
        <v>1</v>
      </c>
      <c r="Q301" s="562" t="b">
        <v>0</v>
      </c>
      <c r="R301" s="64" t="b">
        <v>0</v>
      </c>
      <c r="S301" s="64" t="b">
        <v>1</v>
      </c>
      <c r="T301" s="64" t="b">
        <v>0</v>
      </c>
      <c r="U301" s="64" t="str">
        <f>SUBSTITUTE(SUBSTITUTE(SUBSTITUTE("dd"&amp;B301&amp;C301&amp;D301&amp;E301&amp;F301,".","_"),"(","_"),")","")</f>
        <v>dd601,6</v>
      </c>
      <c r="V301" s="64"/>
      <c r="W301" s="6"/>
      <c r="X301" s="798"/>
      <c r="Y301" s="977"/>
      <c r="Z301" s="978"/>
      <c r="AA301" s="562"/>
      <c r="AB301" s="562"/>
      <c r="AC301" s="562"/>
      <c r="AD301" s="562"/>
      <c r="AE301" s="562"/>
      <c r="AF301" s="562"/>
      <c r="AG301" s="562"/>
      <c r="AH301" s="562"/>
      <c r="AI301" s="562"/>
      <c r="AJ301" s="562"/>
      <c r="AK301" s="562"/>
      <c r="AL301" s="562"/>
      <c r="AM301" s="562"/>
      <c r="AN301" s="562"/>
      <c r="AO301" s="562"/>
      <c r="AP301" s="190" t="str">
        <f>SUBSTITUTE(SUBSTITUTE(SUBSTITUTE("vch"&amp;$B301&amp;$C301&amp;$D301&amp;$E301&amp;$F301,".","_"),"(","_"),")","")</f>
        <v>vch601,6</v>
      </c>
      <c r="AQ301" s="190">
        <f>W301</f>
        <v>0</v>
      </c>
      <c r="AR301" s="562"/>
      <c r="AS301" s="562"/>
      <c r="AT301" s="562"/>
      <c r="AU301" s="562"/>
      <c r="AV301" s="562"/>
      <c r="AW301" s="562"/>
      <c r="AX301" s="562"/>
      <c r="AY301" s="562"/>
    </row>
    <row r="302" spans="1:51" x14ac:dyDescent="0.2">
      <c r="A302" s="541">
        <v>6</v>
      </c>
      <c r="B302" s="549">
        <v>601.6</v>
      </c>
      <c r="C302" s="544"/>
      <c r="D302" s="544"/>
      <c r="E302" s="544"/>
      <c r="F302" s="544"/>
      <c r="G302" s="543" t="str">
        <f t="shared" ca="1" si="104"/>
        <v/>
      </c>
      <c r="H302" s="541" t="s">
        <v>3757</v>
      </c>
      <c r="I302" s="99"/>
      <c r="J302" s="98"/>
      <c r="K302" s="65"/>
      <c r="L302" s="820"/>
      <c r="M302" s="800"/>
      <c r="N302" s="924"/>
      <c r="O302" s="924"/>
      <c r="P302" s="64"/>
      <c r="Q302" s="64"/>
      <c r="R302" s="64"/>
      <c r="S302" s="64"/>
      <c r="T302" s="64"/>
      <c r="U302" s="64"/>
      <c r="V302" s="64"/>
      <c r="W302" s="64"/>
      <c r="X302" s="798"/>
      <c r="Y302" s="977"/>
      <c r="Z302" s="978"/>
      <c r="AA302" s="562"/>
      <c r="AB302" s="562"/>
      <c r="AC302" s="562"/>
      <c r="AD302" s="562"/>
      <c r="AE302" s="562"/>
      <c r="AF302" s="562"/>
      <c r="AG302" s="562"/>
      <c r="AH302" s="562"/>
      <c r="AI302" s="562"/>
      <c r="AJ302" s="562"/>
      <c r="AK302" s="562"/>
      <c r="AL302" s="562"/>
      <c r="AM302" s="562"/>
      <c r="AN302" s="562"/>
      <c r="AO302" s="562"/>
      <c r="AP302" s="562"/>
      <c r="AQ302" s="562"/>
      <c r="AR302" s="562"/>
      <c r="AS302" s="562"/>
      <c r="AT302" s="562"/>
      <c r="AU302" s="562"/>
      <c r="AV302" s="562"/>
      <c r="AW302" s="562"/>
      <c r="AX302" s="562"/>
      <c r="AY302" s="562"/>
    </row>
    <row r="303" spans="1:51" x14ac:dyDescent="0.2">
      <c r="A303" s="541">
        <v>6</v>
      </c>
      <c r="B303" s="549">
        <v>601.6</v>
      </c>
      <c r="C303" s="544"/>
      <c r="D303" s="544"/>
      <c r="E303" s="544" t="s">
        <v>2181</v>
      </c>
      <c r="F303" s="544"/>
      <c r="G303" s="543" t="str">
        <f t="shared" ca="1" si="104"/>
        <v/>
      </c>
      <c r="H303" s="541" t="s">
        <v>3757</v>
      </c>
      <c r="I303" s="99"/>
      <c r="J303" s="159" t="s">
        <v>2181</v>
      </c>
      <c r="K303" s="126"/>
      <c r="L303" s="126" t="s">
        <v>2432</v>
      </c>
      <c r="M303" s="611">
        <v>4</v>
      </c>
      <c r="N303" s="668"/>
      <c r="O303" s="668"/>
      <c r="P303" s="64"/>
      <c r="Q303" s="64"/>
      <c r="R303" s="64"/>
      <c r="S303" s="64"/>
      <c r="T303" s="64"/>
      <c r="U303" s="64"/>
      <c r="V303" s="64"/>
      <c r="W303" s="64"/>
      <c r="X303" s="798"/>
      <c r="Y303" s="977"/>
      <c r="Z303" s="978"/>
      <c r="AA303" s="562"/>
      <c r="AB303" s="562"/>
      <c r="AC303" s="562"/>
      <c r="AD303" s="562"/>
      <c r="AE303" s="562"/>
      <c r="AF303" s="562"/>
      <c r="AG303" s="562"/>
      <c r="AH303" s="562"/>
      <c r="AI303" s="562"/>
      <c r="AJ303" s="562"/>
      <c r="AK303" s="562"/>
      <c r="AL303" s="190" t="str">
        <f t="shared" ref="AL303:AL305" si="105">SUBSTITUTE(SUBSTITUTE(SUBSTITUTE("vpa"&amp;$B303&amp;$C303&amp;$D303&amp;$E303&amp;$F303,".","_"),"(","_"),")","")</f>
        <v>vpa601,6_1</v>
      </c>
      <c r="AM303" s="190">
        <f>M303</f>
        <v>4</v>
      </c>
      <c r="AN303" s="562"/>
      <c r="AO303" s="562"/>
      <c r="AP303" s="562"/>
      <c r="AQ303" s="562"/>
      <c r="AR303" s="562"/>
      <c r="AS303" s="562"/>
      <c r="AT303" s="562"/>
      <c r="AU303" s="562"/>
      <c r="AV303" s="562"/>
      <c r="AW303" s="562"/>
      <c r="AX303" s="562"/>
      <c r="AY303" s="562"/>
    </row>
    <row r="304" spans="1:51" ht="16" thickBot="1" x14ac:dyDescent="0.25">
      <c r="A304" s="541">
        <v>6</v>
      </c>
      <c r="B304" s="549">
        <v>601.6</v>
      </c>
      <c r="C304" s="544"/>
      <c r="D304" s="544"/>
      <c r="E304" s="544" t="s">
        <v>2183</v>
      </c>
      <c r="F304" s="544"/>
      <c r="G304" s="543" t="str">
        <f t="shared" ca="1" si="104"/>
        <v/>
      </c>
      <c r="H304" s="541" t="s">
        <v>3757</v>
      </c>
      <c r="I304" s="99"/>
      <c r="J304" s="134" t="s">
        <v>2183</v>
      </c>
      <c r="K304" s="65"/>
      <c r="L304" s="65" t="s">
        <v>2433</v>
      </c>
      <c r="M304" s="610">
        <v>2</v>
      </c>
      <c r="N304" s="668"/>
      <c r="O304" s="668"/>
      <c r="P304" s="64"/>
      <c r="Q304" s="64"/>
      <c r="R304" s="64"/>
      <c r="S304" s="64"/>
      <c r="T304" s="64"/>
      <c r="U304" s="64"/>
      <c r="V304" s="64"/>
      <c r="W304" s="64"/>
      <c r="X304" s="825"/>
      <c r="Y304" s="979"/>
      <c r="Z304" s="1007"/>
      <c r="AA304" s="562"/>
      <c r="AB304" s="562"/>
      <c r="AC304" s="562"/>
      <c r="AD304" s="562"/>
      <c r="AE304" s="562"/>
      <c r="AF304" s="562"/>
      <c r="AG304" s="562"/>
      <c r="AH304" s="562"/>
      <c r="AI304" s="562"/>
      <c r="AJ304" s="562"/>
      <c r="AK304" s="562"/>
      <c r="AL304" s="190" t="str">
        <f t="shared" si="105"/>
        <v>vpa601,6_2</v>
      </c>
      <c r="AM304" s="190">
        <f>M304</f>
        <v>2</v>
      </c>
      <c r="AN304" s="562"/>
      <c r="AO304" s="562"/>
      <c r="AP304" s="562"/>
      <c r="AQ304" s="562"/>
      <c r="AR304" s="562"/>
      <c r="AS304" s="562"/>
      <c r="AT304" s="562"/>
      <c r="AU304" s="562"/>
      <c r="AV304" s="562"/>
      <c r="AW304" s="562"/>
      <c r="AX304" s="562"/>
      <c r="AY304" s="562"/>
    </row>
    <row r="305" spans="1:65" ht="16" thickTop="1" x14ac:dyDescent="0.2">
      <c r="A305" s="541">
        <v>6</v>
      </c>
      <c r="B305" s="549">
        <v>601.70000000000005</v>
      </c>
      <c r="C305" s="544"/>
      <c r="D305" s="544"/>
      <c r="E305" s="544"/>
      <c r="F305" s="544"/>
      <c r="G305" s="543" t="str">
        <f ca="1">IF(N305&gt;0,"P","")</f>
        <v/>
      </c>
      <c r="H305" s="541" t="s">
        <v>3751</v>
      </c>
      <c r="I305" s="131" t="s">
        <v>2434</v>
      </c>
      <c r="J305" s="132"/>
      <c r="K305" s="133"/>
      <c r="L305" s="819" t="s">
        <v>2435</v>
      </c>
      <c r="M305" s="827" t="s">
        <v>2436</v>
      </c>
      <c r="N305" s="981">
        <f ca="1">'Ch6'!O66</f>
        <v>0</v>
      </c>
      <c r="O305" s="981">
        <f ca="1">MIN(12,IFERROR(INDEX({1,2,5},MATCH(W308,INDIRECT(U308),0)),0)+IFERROR(INDEX({1,2,5},MATCH(W309,INDIRECT(U309),0)),0)+IFERROR(INDEX({1,2,5},MATCH(W310,INDIRECT(U310),0)),0)+IFERROR(INDEX({1,2,5},MATCH(W314,INDIRECT(U314),0)),0)+IFERROR(INDEX({1,2,5},MATCH(W316,INDIRECT(U316),0)),0))</f>
        <v>0</v>
      </c>
      <c r="P305" s="74"/>
      <c r="Q305" s="74"/>
      <c r="R305" s="74"/>
      <c r="S305" s="74"/>
      <c r="T305" s="74"/>
      <c r="U305" s="74"/>
      <c r="V305" s="74"/>
      <c r="W305" s="74"/>
      <c r="X305" s="796"/>
      <c r="Y305" s="985" t="str">
        <f>IF(LEN('Ch6'!X66)=0,"None",'Ch6'!X66)</f>
        <v>None</v>
      </c>
      <c r="Z305" s="1008"/>
      <c r="AA305" s="562"/>
      <c r="AB305" s="562"/>
      <c r="AC305" s="562"/>
      <c r="AD305" s="562"/>
      <c r="AE305" s="562"/>
      <c r="AF305" s="562"/>
      <c r="AG305" s="562"/>
      <c r="AH305" s="562"/>
      <c r="AI305" s="562"/>
      <c r="AJ305" s="562"/>
      <c r="AK305" s="562"/>
      <c r="AL305" s="190" t="str">
        <f t="shared" si="105"/>
        <v>vpa601,7</v>
      </c>
      <c r="AM305" s="190" t="str">
        <f>M305</f>
        <v>12 Max</v>
      </c>
      <c r="AN305" s="190" t="str">
        <f>SUBSTITUTE(SUBSTITUTE(SUBSTITUTE("vpc"&amp;$B305&amp;$C305&amp;$D305&amp;$E305&amp;$F305,".","_"),"(","_"),")","")</f>
        <v>vpc601,7</v>
      </c>
      <c r="AO305" s="190">
        <f ca="1">O305</f>
        <v>0</v>
      </c>
      <c r="AP305" s="562"/>
      <c r="AQ305" s="562"/>
      <c r="AR305" s="190" t="str">
        <f>SUBSTITUTE(SUBSTITUTE(SUBSTITUTE("vnt"&amp;$B305&amp;$C305&amp;$D305&amp;$E305&amp;$F305,".","_"),"(","_"),")","")</f>
        <v>vnt601,7</v>
      </c>
      <c r="AS305" s="190">
        <f>X305</f>
        <v>0</v>
      </c>
      <c r="AT305" s="562"/>
      <c r="AU305" s="562"/>
      <c r="AV305" s="562"/>
      <c r="AW305" s="562"/>
      <c r="AX305" s="562"/>
      <c r="AY305" s="562"/>
      <c r="AZ305" s="562"/>
      <c r="BA305" s="562"/>
      <c r="BB305" s="562"/>
      <c r="BC305" s="562"/>
      <c r="BD305" s="562"/>
      <c r="BE305" s="562"/>
      <c r="BF305" s="562"/>
      <c r="BG305" s="562"/>
      <c r="BH305" s="562"/>
      <c r="BI305" s="562"/>
      <c r="BJ305" s="562"/>
      <c r="BK305" s="562"/>
      <c r="BL305" s="562"/>
      <c r="BM305" s="562"/>
    </row>
    <row r="306" spans="1:65" x14ac:dyDescent="0.2">
      <c r="A306" s="541">
        <v>6</v>
      </c>
      <c r="B306" s="549">
        <v>601.70000000000005</v>
      </c>
      <c r="C306" s="544"/>
      <c r="D306" s="544"/>
      <c r="E306" s="544"/>
      <c r="F306" s="544"/>
      <c r="G306" s="543" t="str">
        <f t="shared" ref="G306:G322" ca="1" si="106">G305</f>
        <v/>
      </c>
      <c r="H306" s="541" t="s">
        <v>3751</v>
      </c>
      <c r="I306" s="99"/>
      <c r="J306" s="98"/>
      <c r="K306" s="65"/>
      <c r="L306" s="820"/>
      <c r="M306" s="800"/>
      <c r="N306" s="924"/>
      <c r="O306" s="924"/>
      <c r="P306" s="64"/>
      <c r="Q306" s="64"/>
      <c r="R306" s="64"/>
      <c r="S306" s="64"/>
      <c r="T306" s="64"/>
      <c r="U306" s="64"/>
      <c r="V306" s="64"/>
      <c r="W306" s="64"/>
      <c r="X306" s="797"/>
      <c r="Y306" s="970"/>
      <c r="Z306" s="973"/>
      <c r="AA306" s="562"/>
      <c r="AB306" s="562"/>
      <c r="AC306" s="562"/>
      <c r="AD306" s="562"/>
      <c r="AE306" s="562"/>
      <c r="AF306" s="562"/>
      <c r="AG306" s="562"/>
      <c r="AH306" s="562"/>
      <c r="AI306" s="562"/>
      <c r="AJ306" s="562"/>
      <c r="AK306" s="562"/>
      <c r="AL306" s="562"/>
      <c r="AM306" s="562"/>
      <c r="AN306" s="562"/>
      <c r="AO306" s="562"/>
      <c r="AP306" s="562"/>
      <c r="AQ306" s="562"/>
      <c r="AR306" s="562"/>
      <c r="AS306" s="562"/>
      <c r="AT306" s="562"/>
      <c r="AU306" s="562"/>
      <c r="AV306" s="562"/>
      <c r="AW306" s="562"/>
      <c r="AX306" s="562"/>
      <c r="AY306" s="562"/>
      <c r="AZ306" s="562"/>
      <c r="BA306" s="562"/>
      <c r="BB306" s="562"/>
      <c r="BC306" s="562"/>
      <c r="BD306" s="562"/>
      <c r="BE306" s="562"/>
      <c r="BF306" s="562"/>
      <c r="BG306" s="562"/>
      <c r="BH306" s="562"/>
      <c r="BI306" s="562"/>
      <c r="BJ306" s="562"/>
      <c r="BK306" s="562"/>
      <c r="BL306" s="562"/>
      <c r="BM306" s="562"/>
    </row>
    <row r="307" spans="1:65" x14ac:dyDescent="0.2">
      <c r="A307" s="541">
        <v>6</v>
      </c>
      <c r="B307" s="549">
        <v>601.70000000000005</v>
      </c>
      <c r="C307" s="544"/>
      <c r="D307" s="544"/>
      <c r="E307" s="544"/>
      <c r="F307" s="544"/>
      <c r="G307" s="543" t="str">
        <f t="shared" ca="1" si="106"/>
        <v/>
      </c>
      <c r="H307" s="541" t="s">
        <v>3751</v>
      </c>
      <c r="I307" s="99"/>
      <c r="J307" s="98"/>
      <c r="K307" s="65"/>
      <c r="L307" s="138" t="s">
        <v>2437</v>
      </c>
      <c r="M307" s="610"/>
      <c r="N307" s="668"/>
      <c r="O307" s="668"/>
      <c r="P307" s="64"/>
      <c r="Q307" s="64"/>
      <c r="R307" s="64"/>
      <c r="S307" s="64"/>
      <c r="T307" s="64"/>
      <c r="U307" s="64"/>
      <c r="V307" s="64"/>
      <c r="W307" s="64"/>
      <c r="X307" s="797"/>
      <c r="Y307" s="970"/>
      <c r="Z307" s="973"/>
      <c r="AA307" s="562"/>
      <c r="AB307" s="562"/>
      <c r="AC307" s="562"/>
      <c r="AD307" s="562"/>
      <c r="AE307" s="562"/>
      <c r="AF307" s="562"/>
      <c r="AG307" s="562"/>
      <c r="AH307" s="562"/>
      <c r="AI307" s="562"/>
      <c r="AJ307" s="562"/>
      <c r="AK307" s="562"/>
      <c r="AL307" s="562"/>
      <c r="AM307" s="562"/>
      <c r="AN307" s="562"/>
      <c r="AO307" s="562"/>
      <c r="AP307" s="562"/>
      <c r="AQ307" s="562"/>
      <c r="AR307" s="562"/>
      <c r="AS307" s="562"/>
      <c r="AT307" s="562"/>
      <c r="AU307" s="562"/>
      <c r="AV307" s="562"/>
      <c r="AW307" s="562"/>
      <c r="AX307" s="562"/>
      <c r="AY307" s="562"/>
      <c r="AZ307" s="562"/>
      <c r="BA307" s="562"/>
      <c r="BB307" s="562"/>
      <c r="BC307" s="562"/>
      <c r="BD307" s="562"/>
      <c r="BE307" s="562"/>
      <c r="BF307" s="562"/>
      <c r="BG307" s="562"/>
      <c r="BH307" s="562"/>
      <c r="BI307" s="562"/>
      <c r="BJ307" s="562"/>
      <c r="BK307" s="562"/>
      <c r="BL307" s="562"/>
      <c r="BM307" s="562"/>
    </row>
    <row r="308" spans="1:65" x14ac:dyDescent="0.2">
      <c r="A308" s="541">
        <v>6</v>
      </c>
      <c r="B308" s="549">
        <v>601.70000000000005</v>
      </c>
      <c r="C308" s="544"/>
      <c r="D308" s="544"/>
      <c r="E308" s="544"/>
      <c r="F308" s="544" t="s">
        <v>2196</v>
      </c>
      <c r="G308" s="543" t="str">
        <f t="shared" ca="1" si="106"/>
        <v/>
      </c>
      <c r="H308" s="545" t="s">
        <v>3751</v>
      </c>
      <c r="I308" s="99"/>
      <c r="J308" s="98"/>
      <c r="K308" s="125" t="s">
        <v>2196</v>
      </c>
      <c r="L308" s="126" t="s">
        <v>2438</v>
      </c>
      <c r="M308" s="610"/>
      <c r="N308" s="668"/>
      <c r="O308" s="668"/>
      <c r="P308" s="64" t="b">
        <v>1</v>
      </c>
      <c r="Q308" s="64" t="b">
        <v>1</v>
      </c>
      <c r="R308" s="64" t="b">
        <v>0</v>
      </c>
      <c r="S308" s="64" t="b">
        <v>1</v>
      </c>
      <c r="T308" s="64" t="b">
        <v>0</v>
      </c>
      <c r="U308" s="64" t="str">
        <f>SUBSTITUTE(SUBSTITUTE(SUBSTITUTE("dd"&amp;B308&amp;C308&amp;D308&amp;E308&amp;F308,".","_"),"(","_"),")","")</f>
        <v>dd601,7_a</v>
      </c>
      <c r="V308" s="64"/>
      <c r="W308" s="6"/>
      <c r="X308" s="797"/>
      <c r="Y308" s="970"/>
      <c r="Z308" s="973"/>
      <c r="AA308" s="562"/>
      <c r="AB308" s="562"/>
      <c r="AC308" s="562"/>
      <c r="AD308" s="562"/>
      <c r="AE308" s="562"/>
      <c r="AF308" s="562"/>
      <c r="AG308" s="562"/>
      <c r="AH308" s="562"/>
      <c r="AI308" s="562"/>
      <c r="AJ308" s="562"/>
      <c r="AK308" s="562"/>
      <c r="AL308" s="562"/>
      <c r="AM308" s="562"/>
      <c r="AN308" s="562"/>
      <c r="AO308" s="562"/>
      <c r="AP308" s="190" t="str">
        <f t="shared" ref="AP308:AP310" si="107">SUBSTITUTE(SUBSTITUTE(SUBSTITUTE("vch"&amp;$B308&amp;$C308&amp;$D308&amp;$E308&amp;$F308,".","_"),"(","_"),")","")</f>
        <v>vch601,7_a</v>
      </c>
      <c r="AQ308" s="190">
        <f>W308</f>
        <v>0</v>
      </c>
      <c r="AR308" s="562"/>
      <c r="AS308" s="562"/>
      <c r="AT308" s="562"/>
      <c r="AU308" s="562"/>
      <c r="AV308" s="562"/>
      <c r="AW308" s="562"/>
      <c r="AX308" s="562"/>
      <c r="AY308" s="562"/>
      <c r="AZ308" s="562"/>
      <c r="BA308" s="562"/>
      <c r="BB308" s="562"/>
      <c r="BC308" s="562"/>
      <c r="BD308" s="562"/>
      <c r="BE308" s="562"/>
      <c r="BF308" s="562"/>
      <c r="BG308" s="562"/>
      <c r="BH308" s="562"/>
      <c r="BI308" s="562"/>
      <c r="BJ308" s="562"/>
      <c r="BK308" s="562"/>
      <c r="BL308" s="562"/>
      <c r="BM308" s="562"/>
    </row>
    <row r="309" spans="1:65" x14ac:dyDescent="0.2">
      <c r="A309" s="541">
        <v>6</v>
      </c>
      <c r="B309" s="549">
        <v>601.70000000000005</v>
      </c>
      <c r="C309" s="544"/>
      <c r="D309" s="544"/>
      <c r="E309" s="544"/>
      <c r="F309" s="544" t="s">
        <v>2198</v>
      </c>
      <c r="G309" s="543" t="str">
        <f t="shared" ca="1" si="106"/>
        <v/>
      </c>
      <c r="H309" s="545" t="s">
        <v>3751</v>
      </c>
      <c r="I309" s="99"/>
      <c r="J309" s="98"/>
      <c r="K309" s="167" t="s">
        <v>2198</v>
      </c>
      <c r="L309" s="162" t="s">
        <v>2439</v>
      </c>
      <c r="M309" s="610"/>
      <c r="N309" s="668"/>
      <c r="O309" s="668"/>
      <c r="P309" s="64" t="b">
        <v>1</v>
      </c>
      <c r="Q309" s="64" t="b">
        <v>1</v>
      </c>
      <c r="R309" s="64" t="b">
        <v>0</v>
      </c>
      <c r="S309" s="64" t="b">
        <v>1</v>
      </c>
      <c r="T309" s="64" t="b">
        <v>0</v>
      </c>
      <c r="U309" s="64" t="str">
        <f>SUBSTITUTE(SUBSTITUTE(SUBSTITUTE("dd"&amp;B309&amp;C309&amp;D309&amp;E309&amp;F309,".","_"),"(","_"),")","")</f>
        <v>dd601,7_b</v>
      </c>
      <c r="V309" s="64"/>
      <c r="W309" s="6"/>
      <c r="X309" s="797"/>
      <c r="Y309" s="970"/>
      <c r="Z309" s="973"/>
      <c r="AA309" s="562">
        <f>'Photo Review'!H309</f>
        <v>0</v>
      </c>
      <c r="AB309" s="562"/>
      <c r="AC309" s="562"/>
      <c r="AD309" s="562"/>
      <c r="AE309" s="562"/>
      <c r="AF309" s="562"/>
      <c r="AG309" s="562"/>
      <c r="AH309" s="562"/>
      <c r="AI309" s="562"/>
      <c r="AJ309" s="562"/>
      <c r="AK309" s="562"/>
      <c r="AL309" s="562"/>
      <c r="AM309" s="562"/>
      <c r="AN309" s="562"/>
      <c r="AO309" s="562"/>
      <c r="AP309" s="190" t="str">
        <f t="shared" si="107"/>
        <v>vch601,7_b</v>
      </c>
      <c r="AQ309" s="190">
        <f>W309</f>
        <v>0</v>
      </c>
      <c r="AR309" s="562"/>
      <c r="AS309" s="562"/>
      <c r="AT309" s="562"/>
      <c r="AU309" s="562"/>
      <c r="AV309" s="562"/>
      <c r="AW309" s="562"/>
      <c r="AX309" s="562"/>
      <c r="AY309" s="562"/>
      <c r="AZ309" s="562"/>
      <c r="BA309" s="562"/>
      <c r="BB309" s="562"/>
      <c r="BC309" s="562"/>
      <c r="BD309" s="562"/>
      <c r="BE309" s="562"/>
      <c r="BF309" s="562"/>
      <c r="BG309" s="562"/>
      <c r="BH309" s="562"/>
      <c r="BI309" s="562"/>
      <c r="BJ309" s="562"/>
      <c r="BK309" s="562"/>
      <c r="BL309" s="562"/>
      <c r="BM309" s="562"/>
    </row>
    <row r="310" spans="1:65" x14ac:dyDescent="0.2">
      <c r="A310" s="541">
        <v>6</v>
      </c>
      <c r="B310" s="549">
        <v>601.70000000000005</v>
      </c>
      <c r="C310" s="544"/>
      <c r="D310" s="544"/>
      <c r="E310" s="544"/>
      <c r="F310" s="546" t="s">
        <v>2200</v>
      </c>
      <c r="G310" s="543" t="str">
        <f t="shared" ca="1" si="106"/>
        <v/>
      </c>
      <c r="H310" s="547" t="s">
        <v>3751</v>
      </c>
      <c r="I310" s="99"/>
      <c r="J310" s="98"/>
      <c r="K310" s="168" t="s">
        <v>2200</v>
      </c>
      <c r="L310" s="858" t="s">
        <v>2440</v>
      </c>
      <c r="M310" s="610"/>
      <c r="N310" s="668"/>
      <c r="O310" s="668"/>
      <c r="P310" s="64" t="b">
        <v>1</v>
      </c>
      <c r="Q310" s="64" t="b">
        <v>1</v>
      </c>
      <c r="R310" s="64" t="b">
        <v>0</v>
      </c>
      <c r="S310" s="64" t="b">
        <v>1</v>
      </c>
      <c r="T310" s="64" t="b">
        <v>0</v>
      </c>
      <c r="U310" s="64" t="str">
        <f>SUBSTITUTE(SUBSTITUTE(SUBSTITUTE("dd"&amp;B310&amp;C310&amp;D310&amp;E310&amp;F310,".","_"),"(","_"),")","")</f>
        <v>dd601,7_c</v>
      </c>
      <c r="V310" s="64"/>
      <c r="W310" s="6"/>
      <c r="X310" s="797"/>
      <c r="Y310" s="970"/>
      <c r="Z310" s="973"/>
      <c r="AA310" s="562">
        <f>'Photo Review'!H310</f>
        <v>0</v>
      </c>
      <c r="AB310" s="562"/>
      <c r="AC310" s="562"/>
      <c r="AD310" s="562"/>
      <c r="AE310" s="562"/>
      <c r="AF310" s="562"/>
      <c r="AG310" s="562"/>
      <c r="AH310" s="562"/>
      <c r="AI310" s="562"/>
      <c r="AJ310" s="562"/>
      <c r="AK310" s="562"/>
      <c r="AL310" s="562"/>
      <c r="AM310" s="562"/>
      <c r="AN310" s="562"/>
      <c r="AO310" s="562"/>
      <c r="AP310" s="190" t="str">
        <f t="shared" si="107"/>
        <v>vch601,7_c</v>
      </c>
      <c r="AQ310" s="190">
        <f>W310</f>
        <v>0</v>
      </c>
      <c r="AR310" s="562"/>
      <c r="AS310" s="562"/>
      <c r="AT310" s="562"/>
      <c r="AU310" s="562"/>
      <c r="AV310" s="562"/>
      <c r="AW310" s="562"/>
      <c r="AX310" s="562"/>
      <c r="AY310" s="562"/>
      <c r="AZ310" s="562"/>
      <c r="BA310" s="562"/>
      <c r="BB310" s="562"/>
      <c r="BC310" s="562"/>
      <c r="BD310" s="562"/>
      <c r="BE310" s="562"/>
      <c r="BF310" s="562"/>
      <c r="BG310" s="562"/>
      <c r="BH310" s="562"/>
      <c r="BI310" s="562"/>
      <c r="BJ310" s="562"/>
      <c r="BK310" s="562"/>
      <c r="BL310" s="562"/>
      <c r="BM310" s="562"/>
    </row>
    <row r="311" spans="1:65" x14ac:dyDescent="0.2">
      <c r="A311" s="541">
        <v>6</v>
      </c>
      <c r="B311" s="549">
        <v>601.70000000000005</v>
      </c>
      <c r="C311" s="544"/>
      <c r="D311" s="544"/>
      <c r="E311" s="544"/>
      <c r="F311" s="546" t="s">
        <v>2200</v>
      </c>
      <c r="G311" s="543" t="str">
        <f t="shared" ca="1" si="106"/>
        <v/>
      </c>
      <c r="H311" s="547" t="s">
        <v>3751</v>
      </c>
      <c r="I311" s="99"/>
      <c r="J311" s="98"/>
      <c r="K311" s="65"/>
      <c r="L311" s="859"/>
      <c r="M311" s="610"/>
      <c r="N311" s="668"/>
      <c r="O311" s="668"/>
      <c r="P311" s="64"/>
      <c r="Q311" s="64"/>
      <c r="R311" s="64"/>
      <c r="S311" s="64"/>
      <c r="T311" s="64"/>
      <c r="U311" s="64"/>
      <c r="V311" s="64"/>
      <c r="W311" s="64"/>
      <c r="X311" s="797"/>
      <c r="Y311" s="970"/>
      <c r="Z311" s="973"/>
      <c r="AA311" s="562"/>
      <c r="AB311" s="562"/>
      <c r="AC311" s="562"/>
      <c r="AD311" s="562"/>
      <c r="AE311" s="562"/>
      <c r="AF311" s="562"/>
      <c r="AG311" s="562"/>
      <c r="AH311" s="562"/>
      <c r="AI311" s="562"/>
      <c r="AJ311" s="562"/>
      <c r="AK311" s="562"/>
      <c r="AL311" s="562"/>
      <c r="AM311" s="562"/>
      <c r="AN311" s="562"/>
      <c r="AO311" s="562"/>
      <c r="AP311" s="562"/>
      <c r="AQ311" s="562"/>
      <c r="AR311" s="562"/>
      <c r="AS311" s="562"/>
      <c r="AT311" s="562"/>
      <c r="AU311" s="562"/>
      <c r="AV311" s="562"/>
      <c r="AW311" s="562"/>
      <c r="AX311" s="562"/>
      <c r="AY311" s="562"/>
      <c r="AZ311" s="562"/>
      <c r="BA311" s="562"/>
      <c r="BB311" s="562"/>
      <c r="BC311" s="562"/>
      <c r="BD311" s="562"/>
      <c r="BE311" s="562"/>
      <c r="BF311" s="562"/>
      <c r="BG311" s="562"/>
      <c r="BH311" s="562"/>
      <c r="BI311" s="562"/>
      <c r="BJ311" s="562"/>
      <c r="BK311" s="562"/>
      <c r="BL311" s="562"/>
      <c r="BM311" s="562"/>
    </row>
    <row r="312" spans="1:65" x14ac:dyDescent="0.2">
      <c r="A312" s="541">
        <v>6</v>
      </c>
      <c r="B312" s="549">
        <v>601.70000000000005</v>
      </c>
      <c r="C312" s="544"/>
      <c r="D312" s="544"/>
      <c r="E312" s="544"/>
      <c r="F312" s="546" t="s">
        <v>2200</v>
      </c>
      <c r="G312" s="543" t="str">
        <f t="shared" ca="1" si="106"/>
        <v/>
      </c>
      <c r="H312" s="547" t="s">
        <v>3751</v>
      </c>
      <c r="I312" s="99"/>
      <c r="J312" s="98"/>
      <c r="K312" s="65"/>
      <c r="L312" s="139" t="s">
        <v>2441</v>
      </c>
      <c r="M312" s="610"/>
      <c r="N312" s="668"/>
      <c r="O312" s="668"/>
      <c r="P312" s="64"/>
      <c r="Q312" s="64"/>
      <c r="R312" s="64"/>
      <c r="S312" s="64"/>
      <c r="T312" s="64"/>
      <c r="U312" s="64"/>
      <c r="V312" s="64"/>
      <c r="W312" s="64"/>
      <c r="X312" s="797"/>
      <c r="Y312" s="970"/>
      <c r="Z312" s="973"/>
      <c r="AA312" s="562"/>
      <c r="AB312" s="562"/>
      <c r="AC312" s="562"/>
      <c r="AD312" s="562"/>
      <c r="AE312" s="562"/>
      <c r="AF312" s="562"/>
      <c r="AG312" s="562"/>
      <c r="AH312" s="562"/>
      <c r="AI312" s="562"/>
      <c r="AJ312" s="562"/>
      <c r="AK312" s="562"/>
      <c r="AL312" s="562"/>
      <c r="AM312" s="562"/>
      <c r="AN312" s="562"/>
      <c r="AO312" s="562"/>
      <c r="AP312" s="562"/>
      <c r="AQ312" s="562"/>
      <c r="AR312" s="562"/>
      <c r="AS312" s="562"/>
      <c r="AT312" s="562"/>
      <c r="AU312" s="562"/>
      <c r="AV312" s="562"/>
      <c r="AW312" s="562"/>
      <c r="AX312" s="562"/>
      <c r="AY312" s="562"/>
      <c r="AZ312" s="562"/>
      <c r="BA312" s="562"/>
      <c r="BB312" s="562"/>
      <c r="BC312" s="562"/>
      <c r="BD312" s="562"/>
      <c r="BE312" s="562"/>
      <c r="BF312" s="562"/>
      <c r="BG312" s="562"/>
      <c r="BH312" s="562"/>
      <c r="BI312" s="562"/>
      <c r="BJ312" s="562"/>
      <c r="BK312" s="562"/>
      <c r="BL312" s="562"/>
      <c r="BM312" s="562"/>
    </row>
    <row r="313" spans="1:65" x14ac:dyDescent="0.2">
      <c r="A313" s="541">
        <v>6</v>
      </c>
      <c r="B313" s="549">
        <v>601.70000000000005</v>
      </c>
      <c r="C313" s="544"/>
      <c r="D313" s="544"/>
      <c r="E313" s="544"/>
      <c r="F313" s="546" t="s">
        <v>2200</v>
      </c>
      <c r="G313" s="543" t="str">
        <f t="shared" ca="1" si="106"/>
        <v/>
      </c>
      <c r="H313" s="547" t="s">
        <v>3751</v>
      </c>
      <c r="I313" s="99"/>
      <c r="J313" s="98"/>
      <c r="K313" s="126"/>
      <c r="L313" s="606" t="s">
        <v>2442</v>
      </c>
      <c r="M313" s="610"/>
      <c r="N313" s="668"/>
      <c r="O313" s="668"/>
      <c r="P313" s="64"/>
      <c r="Q313" s="64"/>
      <c r="R313" s="64"/>
      <c r="S313" s="64"/>
      <c r="T313" s="64"/>
      <c r="U313" s="64"/>
      <c r="V313" s="64"/>
      <c r="W313" s="64"/>
      <c r="X313" s="797"/>
      <c r="Y313" s="970"/>
      <c r="Z313" s="973"/>
      <c r="AA313" s="562"/>
      <c r="AB313" s="562"/>
      <c r="AC313" s="562"/>
      <c r="AD313" s="562"/>
      <c r="AE313" s="562"/>
      <c r="AF313" s="562"/>
      <c r="AG313" s="562"/>
      <c r="AH313" s="562"/>
      <c r="AI313" s="562"/>
      <c r="AJ313" s="562"/>
      <c r="AK313" s="562"/>
      <c r="AL313" s="562"/>
      <c r="AM313" s="562"/>
      <c r="AN313" s="562"/>
      <c r="AO313" s="562"/>
      <c r="AP313" s="562"/>
      <c r="AQ313" s="562"/>
      <c r="AR313" s="562"/>
      <c r="AS313" s="562"/>
      <c r="AT313" s="562"/>
      <c r="AU313" s="562"/>
      <c r="AV313" s="562"/>
      <c r="AW313" s="562"/>
      <c r="AX313" s="562"/>
      <c r="AY313" s="562"/>
      <c r="AZ313" s="562"/>
      <c r="BA313" s="562"/>
      <c r="BB313" s="562"/>
      <c r="BC313" s="562"/>
      <c r="BD313" s="562"/>
      <c r="BE313" s="562"/>
      <c r="BF313" s="562"/>
      <c r="BG313" s="562"/>
      <c r="BH313" s="562"/>
      <c r="BI313" s="562"/>
      <c r="BJ313" s="562"/>
      <c r="BK313" s="562"/>
      <c r="BL313" s="562"/>
      <c r="BM313" s="562"/>
    </row>
    <row r="314" spans="1:65" x14ac:dyDescent="0.2">
      <c r="A314" s="541">
        <v>6</v>
      </c>
      <c r="B314" s="549">
        <v>601.70000000000005</v>
      </c>
      <c r="C314" s="544"/>
      <c r="D314" s="544"/>
      <c r="E314" s="544"/>
      <c r="F314" s="544" t="s">
        <v>2247</v>
      </c>
      <c r="G314" s="543" t="str">
        <f t="shared" ca="1" si="106"/>
        <v/>
      </c>
      <c r="H314" s="541" t="s">
        <v>3751</v>
      </c>
      <c r="I314" s="99"/>
      <c r="J314" s="98"/>
      <c r="K314" s="169" t="s">
        <v>2247</v>
      </c>
      <c r="L314" s="831" t="s">
        <v>2443</v>
      </c>
      <c r="M314" s="610"/>
      <c r="N314" s="668"/>
      <c r="O314" s="668"/>
      <c r="P314" s="64" t="b">
        <v>1</v>
      </c>
      <c r="Q314" s="64" t="b">
        <v>1</v>
      </c>
      <c r="R314" s="64" t="b">
        <v>0</v>
      </c>
      <c r="S314" s="64" t="b">
        <v>1</v>
      </c>
      <c r="T314" s="64" t="b">
        <v>0</v>
      </c>
      <c r="U314" s="64" t="str">
        <f>SUBSTITUTE(SUBSTITUTE(SUBSTITUTE("dd"&amp;B314&amp;C314&amp;D314&amp;E314&amp;F314,".","_"),"(","_"),")","")</f>
        <v>dd601,7_d</v>
      </c>
      <c r="V314" s="64"/>
      <c r="W314" s="6"/>
      <c r="X314" s="797"/>
      <c r="Y314" s="970"/>
      <c r="Z314" s="973"/>
      <c r="AA314" s="562"/>
      <c r="AB314" s="562"/>
      <c r="AC314" s="562"/>
      <c r="AD314" s="562"/>
      <c r="AE314" s="562"/>
      <c r="AF314" s="562"/>
      <c r="AG314" s="562"/>
      <c r="AH314" s="562"/>
      <c r="AI314" s="562"/>
      <c r="AJ314" s="562"/>
      <c r="AK314" s="562"/>
      <c r="AL314" s="562"/>
      <c r="AM314" s="562"/>
      <c r="AN314" s="562"/>
      <c r="AO314" s="562"/>
      <c r="AP314" s="190" t="str">
        <f>SUBSTITUTE(SUBSTITUTE(SUBSTITUTE("vch"&amp;$B314&amp;$C314&amp;$D314&amp;$E314&amp;$F314,".","_"),"(","_"),")","")</f>
        <v>vch601,7_d</v>
      </c>
      <c r="AQ314" s="190">
        <f>W314</f>
        <v>0</v>
      </c>
      <c r="AR314" s="562"/>
      <c r="AS314" s="562"/>
      <c r="AT314" s="562"/>
      <c r="AU314" s="562"/>
      <c r="AV314" s="562"/>
      <c r="AW314" s="562"/>
      <c r="AX314" s="562"/>
      <c r="AY314" s="562"/>
      <c r="AZ314" s="562"/>
      <c r="BA314" s="562"/>
      <c r="BB314" s="562"/>
      <c r="BC314" s="562"/>
      <c r="BD314" s="562"/>
      <c r="BE314" s="562"/>
      <c r="BF314" s="562"/>
      <c r="BG314" s="562"/>
      <c r="BH314" s="562"/>
      <c r="BI314" s="562"/>
      <c r="BJ314" s="562"/>
      <c r="BK314" s="562"/>
      <c r="BL314" s="562"/>
      <c r="BM314" s="562"/>
    </row>
    <row r="315" spans="1:65" x14ac:dyDescent="0.2">
      <c r="A315" s="541">
        <v>6</v>
      </c>
      <c r="B315" s="549">
        <v>601.70000000000005</v>
      </c>
      <c r="C315" s="544"/>
      <c r="D315" s="544"/>
      <c r="E315" s="544"/>
      <c r="F315" s="544" t="s">
        <v>2247</v>
      </c>
      <c r="G315" s="543" t="str">
        <f t="shared" ca="1" si="106"/>
        <v/>
      </c>
      <c r="H315" s="541" t="s">
        <v>3751</v>
      </c>
      <c r="I315" s="99"/>
      <c r="J315" s="98"/>
      <c r="K315" s="126"/>
      <c r="L315" s="792"/>
      <c r="M315" s="610"/>
      <c r="N315" s="668"/>
      <c r="O315" s="668"/>
      <c r="P315" s="64"/>
      <c r="Q315" s="64"/>
      <c r="R315" s="64"/>
      <c r="S315" s="64"/>
      <c r="T315" s="64"/>
      <c r="U315" s="64"/>
      <c r="V315" s="64"/>
      <c r="W315" s="64"/>
      <c r="X315" s="797"/>
      <c r="Y315" s="970"/>
      <c r="Z315" s="973"/>
      <c r="AA315" s="562"/>
      <c r="AB315" s="562"/>
      <c r="AC315" s="562"/>
      <c r="AD315" s="562"/>
      <c r="AE315" s="562"/>
      <c r="AF315" s="562"/>
      <c r="AG315" s="562"/>
      <c r="AH315" s="562"/>
      <c r="AI315" s="562"/>
      <c r="AJ315" s="562"/>
      <c r="AK315" s="562"/>
      <c r="AL315" s="562"/>
      <c r="AM315" s="562"/>
      <c r="AN315" s="562"/>
      <c r="AO315" s="562"/>
      <c r="AP315" s="562"/>
      <c r="AQ315" s="562"/>
      <c r="AR315" s="562"/>
      <c r="AS315" s="562"/>
      <c r="AT315" s="562"/>
      <c r="AU315" s="562"/>
      <c r="AV315" s="562"/>
      <c r="AW315" s="562"/>
      <c r="AX315" s="562"/>
      <c r="AY315" s="562"/>
      <c r="AZ315" s="562"/>
      <c r="BA315" s="562"/>
      <c r="BB315" s="562"/>
      <c r="BC315" s="562"/>
      <c r="BD315" s="562"/>
      <c r="BE315" s="562"/>
      <c r="BF315" s="562"/>
      <c r="BG315" s="562"/>
      <c r="BH315" s="562"/>
      <c r="BI315" s="562"/>
      <c r="BJ315" s="562"/>
      <c r="BK315" s="562"/>
      <c r="BL315" s="562"/>
      <c r="BM315" s="562"/>
    </row>
    <row r="316" spans="1:65" x14ac:dyDescent="0.2">
      <c r="A316" s="541">
        <v>6</v>
      </c>
      <c r="B316" s="549">
        <v>601.70000000000005</v>
      </c>
      <c r="C316" s="544"/>
      <c r="D316" s="544"/>
      <c r="E316" s="544"/>
      <c r="F316" s="544" t="s">
        <v>2444</v>
      </c>
      <c r="G316" s="543" t="str">
        <f t="shared" ca="1" si="106"/>
        <v/>
      </c>
      <c r="H316" s="541" t="s">
        <v>3751</v>
      </c>
      <c r="I316" s="99"/>
      <c r="J316" s="98"/>
      <c r="K316" s="169" t="s">
        <v>2444</v>
      </c>
      <c r="L316" s="831" t="s">
        <v>2445</v>
      </c>
      <c r="M316" s="610"/>
      <c r="N316" s="668"/>
      <c r="O316" s="668"/>
      <c r="P316" s="64" t="b">
        <v>1</v>
      </c>
      <c r="Q316" s="64" t="b">
        <v>1</v>
      </c>
      <c r="R316" s="64" t="b">
        <v>0</v>
      </c>
      <c r="S316" s="64" t="b">
        <v>1</v>
      </c>
      <c r="T316" s="64" t="b">
        <v>0</v>
      </c>
      <c r="U316" s="64" t="str">
        <f>SUBSTITUTE(SUBSTITUTE(SUBSTITUTE("dd"&amp;B316&amp;C316&amp;D316&amp;E316&amp;F316,".","_"),"(","_"),")","")</f>
        <v>dd601,7_e</v>
      </c>
      <c r="V316" s="64"/>
      <c r="W316" s="6"/>
      <c r="X316" s="797"/>
      <c r="Y316" s="970"/>
      <c r="Z316" s="973"/>
      <c r="AA316" s="562">
        <f>'Photo Review'!H316</f>
        <v>0</v>
      </c>
      <c r="AB316" s="562"/>
      <c r="AC316" s="562"/>
      <c r="AD316" s="562"/>
      <c r="AE316" s="562"/>
      <c r="AF316" s="562"/>
      <c r="AG316" s="562"/>
      <c r="AH316" s="562"/>
      <c r="AI316" s="562"/>
      <c r="AJ316" s="562"/>
      <c r="AK316" s="562"/>
      <c r="AL316" s="562"/>
      <c r="AM316" s="562"/>
      <c r="AN316" s="562"/>
      <c r="AO316" s="562"/>
      <c r="AP316" s="190" t="str">
        <f>SUBSTITUTE(SUBSTITUTE(SUBSTITUTE("vch"&amp;$B316&amp;$C316&amp;$D316&amp;$E316&amp;$F316,".","_"),"(","_"),")","")</f>
        <v>vch601,7_e</v>
      </c>
      <c r="AQ316" s="190">
        <f>W316</f>
        <v>0</v>
      </c>
      <c r="AR316" s="562"/>
      <c r="AS316" s="562"/>
      <c r="AT316" s="562"/>
      <c r="AU316" s="562"/>
      <c r="AV316" s="562"/>
      <c r="AW316" s="562"/>
      <c r="AX316" s="562"/>
      <c r="AY316" s="562"/>
      <c r="AZ316" s="562"/>
      <c r="BA316" s="562"/>
      <c r="BB316" s="562"/>
      <c r="BC316" s="562"/>
      <c r="BD316" s="562"/>
      <c r="BE316" s="562"/>
      <c r="BF316" s="562"/>
      <c r="BG316" s="562"/>
      <c r="BH316" s="562"/>
      <c r="BI316" s="562"/>
      <c r="BJ316" s="562"/>
      <c r="BK316" s="562"/>
      <c r="BL316" s="562"/>
      <c r="BM316" s="562"/>
    </row>
    <row r="317" spans="1:65" x14ac:dyDescent="0.2">
      <c r="A317" s="541">
        <v>6</v>
      </c>
      <c r="B317" s="549">
        <v>601.70000000000005</v>
      </c>
      <c r="C317" s="544"/>
      <c r="D317" s="544"/>
      <c r="E317" s="544"/>
      <c r="F317" s="544" t="s">
        <v>2444</v>
      </c>
      <c r="G317" s="543" t="str">
        <f t="shared" ca="1" si="106"/>
        <v/>
      </c>
      <c r="H317" s="541" t="s">
        <v>3751</v>
      </c>
      <c r="I317" s="99"/>
      <c r="J317" s="98"/>
      <c r="K317" s="126"/>
      <c r="L317" s="792"/>
      <c r="M317" s="610"/>
      <c r="N317" s="668"/>
      <c r="O317" s="668"/>
      <c r="P317" s="64"/>
      <c r="Q317" s="64"/>
      <c r="R317" s="64"/>
      <c r="S317" s="64"/>
      <c r="T317" s="64"/>
      <c r="U317" s="64"/>
      <c r="V317" s="64"/>
      <c r="W317" s="64"/>
      <c r="X317" s="797"/>
      <c r="Y317" s="970"/>
      <c r="Z317" s="973"/>
      <c r="AA317" s="562"/>
      <c r="AB317" s="562"/>
      <c r="AC317" s="562"/>
      <c r="AD317" s="562"/>
      <c r="AE317" s="562"/>
      <c r="AF317" s="562"/>
      <c r="AG317" s="562"/>
      <c r="AH317" s="562"/>
      <c r="AI317" s="562"/>
      <c r="AJ317" s="562"/>
      <c r="AK317" s="562"/>
      <c r="AL317" s="562"/>
      <c r="AM317" s="562"/>
      <c r="AN317" s="562"/>
      <c r="AO317" s="562"/>
      <c r="AP317" s="562"/>
      <c r="AQ317" s="562"/>
      <c r="AR317" s="562"/>
      <c r="AS317" s="562"/>
      <c r="AT317" s="562"/>
      <c r="AU317" s="562"/>
      <c r="AV317" s="562"/>
      <c r="AW317" s="562"/>
      <c r="AX317" s="562"/>
      <c r="AY317" s="562"/>
      <c r="AZ317" s="562"/>
      <c r="BA317" s="562"/>
      <c r="BB317" s="562"/>
      <c r="BC317" s="562"/>
      <c r="BD317" s="562"/>
      <c r="BE317" s="562"/>
      <c r="BF317" s="562"/>
      <c r="BG317" s="562"/>
      <c r="BH317" s="562"/>
      <c r="BI317" s="562"/>
      <c r="BJ317" s="562"/>
      <c r="BK317" s="562"/>
      <c r="BL317" s="562"/>
      <c r="BM317" s="562"/>
    </row>
    <row r="318" spans="1:65" x14ac:dyDescent="0.2">
      <c r="A318" s="541">
        <v>6</v>
      </c>
      <c r="B318" s="549">
        <v>601.70000000000005</v>
      </c>
      <c r="C318" s="544"/>
      <c r="D318" s="544"/>
      <c r="E318" s="544" t="s">
        <v>2181</v>
      </c>
      <c r="F318" s="544"/>
      <c r="G318" s="543" t="str">
        <f t="shared" ca="1" si="106"/>
        <v/>
      </c>
      <c r="H318" s="541" t="s">
        <v>3751</v>
      </c>
      <c r="I318" s="99"/>
      <c r="J318" s="159" t="s">
        <v>2181</v>
      </c>
      <c r="K318" s="65"/>
      <c r="L318" s="126" t="s">
        <v>2446</v>
      </c>
      <c r="M318" s="611">
        <v>5</v>
      </c>
      <c r="N318" s="668"/>
      <c r="O318" s="668"/>
      <c r="P318" s="64"/>
      <c r="Q318" s="64"/>
      <c r="R318" s="64"/>
      <c r="S318" s="64"/>
      <c r="T318" s="64"/>
      <c r="U318" s="64"/>
      <c r="V318" s="64"/>
      <c r="W318" s="64"/>
      <c r="X318" s="797"/>
      <c r="Y318" s="970"/>
      <c r="Z318" s="973"/>
      <c r="AA318" s="562"/>
      <c r="AB318" s="562"/>
      <c r="AC318" s="562"/>
      <c r="AD318" s="562"/>
      <c r="AE318" s="562"/>
      <c r="AF318" s="562"/>
      <c r="AG318" s="562"/>
      <c r="AH318" s="562"/>
      <c r="AI318" s="562"/>
      <c r="AJ318" s="562"/>
      <c r="AK318" s="562"/>
      <c r="AL318" s="190" t="str">
        <f t="shared" ref="AL318:AL319" si="108">SUBSTITUTE(SUBSTITUTE(SUBSTITUTE("vpa"&amp;$B318&amp;$C318&amp;$D318&amp;$E318&amp;$F318,".","_"),"(","_"),")","")</f>
        <v>vpa601,7_1</v>
      </c>
      <c r="AM318" s="190">
        <f>M318</f>
        <v>5</v>
      </c>
      <c r="AN318" s="562"/>
      <c r="AO318" s="562"/>
      <c r="AP318" s="562"/>
      <c r="AQ318" s="562"/>
      <c r="AR318" s="562"/>
      <c r="AS318" s="562"/>
      <c r="AT318" s="562"/>
      <c r="AU318" s="562"/>
      <c r="AV318" s="562"/>
      <c r="AW318" s="562"/>
      <c r="AX318" s="562"/>
      <c r="AY318" s="562"/>
      <c r="AZ318" s="562"/>
      <c r="BA318" s="562"/>
      <c r="BB318" s="562"/>
      <c r="BC318" s="562"/>
      <c r="BD318" s="562"/>
      <c r="BE318" s="562"/>
      <c r="BF318" s="562"/>
      <c r="BG318" s="562"/>
      <c r="BH318" s="562"/>
      <c r="BI318" s="562"/>
      <c r="BJ318" s="562"/>
      <c r="BK318" s="562"/>
      <c r="BL318" s="562"/>
      <c r="BM318" s="562"/>
    </row>
    <row r="319" spans="1:65" x14ac:dyDescent="0.2">
      <c r="A319" s="541">
        <v>6</v>
      </c>
      <c r="B319" s="549">
        <v>601.70000000000005</v>
      </c>
      <c r="C319" s="544"/>
      <c r="D319" s="544"/>
      <c r="E319" s="544" t="s">
        <v>2183</v>
      </c>
      <c r="F319" s="544"/>
      <c r="G319" s="543" t="str">
        <f t="shared" ca="1" si="106"/>
        <v/>
      </c>
      <c r="H319" s="541" t="s">
        <v>3751</v>
      </c>
      <c r="I319" s="99"/>
      <c r="J319" s="134" t="s">
        <v>2183</v>
      </c>
      <c r="K319" s="148"/>
      <c r="L319" s="857" t="s">
        <v>2447</v>
      </c>
      <c r="M319" s="824">
        <v>2</v>
      </c>
      <c r="N319" s="668"/>
      <c r="O319" s="668"/>
      <c r="P319" s="64"/>
      <c r="Q319" s="64"/>
      <c r="R319" s="64"/>
      <c r="S319" s="64"/>
      <c r="T319" s="64"/>
      <c r="U319" s="64"/>
      <c r="V319" s="64"/>
      <c r="W319" s="64"/>
      <c r="X319" s="797"/>
      <c r="Y319" s="970"/>
      <c r="Z319" s="973"/>
      <c r="AA319" s="562"/>
      <c r="AB319" s="562"/>
      <c r="AC319" s="562"/>
      <c r="AD319" s="562"/>
      <c r="AE319" s="562"/>
      <c r="AF319" s="562"/>
      <c r="AG319" s="562"/>
      <c r="AH319" s="562"/>
      <c r="AI319" s="562"/>
      <c r="AJ319" s="562"/>
      <c r="AK319" s="562"/>
      <c r="AL319" s="190" t="str">
        <f t="shared" si="108"/>
        <v>vpa601,7_2</v>
      </c>
      <c r="AM319" s="190">
        <f>M319</f>
        <v>2</v>
      </c>
      <c r="AN319" s="562"/>
      <c r="AO319" s="562"/>
      <c r="AP319" s="562"/>
      <c r="AQ319" s="562"/>
      <c r="AR319" s="562"/>
      <c r="AS319" s="562"/>
      <c r="AT319" s="562"/>
      <c r="AU319" s="562"/>
      <c r="AV319" s="562"/>
      <c r="AW319" s="562"/>
      <c r="AX319" s="562"/>
      <c r="AY319" s="562"/>
      <c r="AZ319" s="562"/>
      <c r="BA319" s="562"/>
      <c r="BB319" s="562"/>
      <c r="BC319" s="562"/>
      <c r="BD319" s="562"/>
      <c r="BE319" s="562"/>
      <c r="BF319" s="562"/>
      <c r="BG319" s="562"/>
      <c r="BH319" s="562"/>
      <c r="BI319" s="562"/>
      <c r="BJ319" s="562"/>
      <c r="BK319" s="562"/>
      <c r="BL319" s="562"/>
      <c r="BM319" s="562"/>
    </row>
    <row r="320" spans="1:65" x14ac:dyDescent="0.2">
      <c r="A320" s="541">
        <v>6</v>
      </c>
      <c r="B320" s="549">
        <v>601.70000000000005</v>
      </c>
      <c r="C320" s="544"/>
      <c r="D320" s="544"/>
      <c r="E320" s="544"/>
      <c r="F320" s="544"/>
      <c r="G320" s="543" t="str">
        <f t="shared" ca="1" si="106"/>
        <v/>
      </c>
      <c r="H320" s="541" t="s">
        <v>3751</v>
      </c>
      <c r="I320" s="99"/>
      <c r="J320" s="129"/>
      <c r="K320" s="126"/>
      <c r="L320" s="777"/>
      <c r="M320" s="801"/>
      <c r="N320" s="668"/>
      <c r="O320" s="668"/>
      <c r="P320" s="64"/>
      <c r="Q320" s="64"/>
      <c r="R320" s="64"/>
      <c r="S320" s="64"/>
      <c r="T320" s="64"/>
      <c r="U320" s="64"/>
      <c r="V320" s="64"/>
      <c r="W320" s="64"/>
      <c r="X320" s="797"/>
      <c r="Y320" s="970"/>
      <c r="Z320" s="973"/>
      <c r="AA320" s="562"/>
      <c r="AB320" s="562"/>
      <c r="AC320" s="562"/>
      <c r="AD320" s="562"/>
      <c r="AE320" s="562"/>
      <c r="AF320" s="562"/>
      <c r="AG320" s="562"/>
      <c r="AH320" s="562"/>
      <c r="AI320" s="562"/>
      <c r="AJ320" s="562"/>
      <c r="AK320" s="562"/>
      <c r="AL320" s="190"/>
      <c r="AM320" s="190"/>
      <c r="AN320" s="562"/>
      <c r="AO320" s="562"/>
      <c r="AP320" s="562"/>
      <c r="AQ320" s="562"/>
      <c r="AR320" s="562"/>
      <c r="AS320" s="562"/>
      <c r="AT320" s="562"/>
      <c r="AU320" s="562"/>
      <c r="AV320" s="562"/>
      <c r="AW320" s="562"/>
      <c r="AX320" s="562"/>
      <c r="AY320" s="562"/>
      <c r="AZ320" s="562"/>
      <c r="BA320" s="562"/>
      <c r="BB320" s="562"/>
      <c r="BC320" s="562"/>
      <c r="BD320" s="562"/>
      <c r="BE320" s="562"/>
      <c r="BF320" s="562"/>
      <c r="BG320" s="562"/>
      <c r="BH320" s="562"/>
      <c r="BI320" s="562"/>
      <c r="BJ320" s="562"/>
      <c r="BK320" s="562"/>
      <c r="BL320" s="562"/>
      <c r="BM320" s="562"/>
    </row>
    <row r="321" spans="1:65" x14ac:dyDescent="0.2">
      <c r="A321" s="541">
        <v>6</v>
      </c>
      <c r="B321" s="549">
        <v>601.70000000000005</v>
      </c>
      <c r="C321" s="544"/>
      <c r="D321" s="544"/>
      <c r="E321" s="544" t="s">
        <v>2185</v>
      </c>
      <c r="F321" s="544"/>
      <c r="G321" s="543" t="str">
        <f t="shared" ca="1" si="106"/>
        <v/>
      </c>
      <c r="H321" s="541" t="s">
        <v>3751</v>
      </c>
      <c r="I321" s="99"/>
      <c r="J321" s="134" t="s">
        <v>2185</v>
      </c>
      <c r="K321" s="65"/>
      <c r="L321" s="776" t="s">
        <v>2448</v>
      </c>
      <c r="M321" s="610">
        <v>1</v>
      </c>
      <c r="N321" s="668"/>
      <c r="O321" s="668"/>
      <c r="P321" s="64"/>
      <c r="Q321" s="64"/>
      <c r="R321" s="64"/>
      <c r="S321" s="64"/>
      <c r="T321" s="64"/>
      <c r="U321" s="64"/>
      <c r="V321" s="64"/>
      <c r="W321" s="562"/>
      <c r="X321" s="797"/>
      <c r="Y321" s="970"/>
      <c r="Z321" s="973"/>
      <c r="AA321" s="562"/>
      <c r="AB321" s="562"/>
      <c r="AC321" s="562"/>
      <c r="AD321" s="562"/>
      <c r="AE321" s="562"/>
      <c r="AF321" s="562"/>
      <c r="AG321" s="562"/>
      <c r="AH321" s="562"/>
      <c r="AI321" s="562"/>
      <c r="AJ321" s="562"/>
      <c r="AK321" s="562"/>
      <c r="AL321" s="190" t="str">
        <f>SUBSTITUTE(SUBSTITUTE(SUBSTITUTE("vpa"&amp;$B321&amp;$C321&amp;$D321&amp;$E321&amp;$F321,".","_"),"(","_"),")","")</f>
        <v>vpa601,7_3</v>
      </c>
      <c r="AM321" s="190">
        <f>M321</f>
        <v>1</v>
      </c>
      <c r="AN321" s="562"/>
      <c r="AO321" s="562"/>
      <c r="AP321" s="562"/>
      <c r="AQ321" s="562"/>
      <c r="AR321" s="562"/>
      <c r="AS321" s="562"/>
      <c r="AT321" s="562"/>
      <c r="AU321" s="562"/>
      <c r="AV321" s="562"/>
      <c r="AW321" s="562"/>
      <c r="AX321" s="562"/>
      <c r="AY321" s="562"/>
      <c r="AZ321" s="562"/>
      <c r="BA321" s="562"/>
      <c r="BB321" s="562"/>
      <c r="BC321" s="562"/>
      <c r="BD321" s="562"/>
      <c r="BE321" s="562"/>
      <c r="BF321" s="562"/>
      <c r="BG321" s="562"/>
      <c r="BH321" s="562"/>
      <c r="BI321" s="562"/>
      <c r="BJ321" s="562"/>
      <c r="BK321" s="562"/>
      <c r="BL321" s="562"/>
      <c r="BM321" s="562"/>
    </row>
    <row r="322" spans="1:65" ht="16" thickBot="1" x14ac:dyDescent="0.25">
      <c r="A322" s="541">
        <v>6</v>
      </c>
      <c r="B322" s="549">
        <v>601.70000000000005</v>
      </c>
      <c r="C322" s="544"/>
      <c r="D322" s="544"/>
      <c r="E322" s="544"/>
      <c r="F322" s="544"/>
      <c r="G322" s="543" t="str">
        <f t="shared" ca="1" si="106"/>
        <v/>
      </c>
      <c r="H322" s="541" t="s">
        <v>3751</v>
      </c>
      <c r="I322" s="99"/>
      <c r="J322" s="134"/>
      <c r="K322" s="65"/>
      <c r="L322" s="828"/>
      <c r="M322" s="610"/>
      <c r="N322" s="668"/>
      <c r="O322" s="668"/>
      <c r="P322" s="64"/>
      <c r="Q322" s="64"/>
      <c r="R322" s="64"/>
      <c r="S322" s="64"/>
      <c r="T322" s="64"/>
      <c r="U322" s="64"/>
      <c r="V322" s="64"/>
      <c r="W322" s="81"/>
      <c r="X322" s="826"/>
      <c r="Y322" s="971"/>
      <c r="Z322" s="974"/>
      <c r="AA322" s="562"/>
      <c r="AB322" s="562"/>
      <c r="AC322" s="562"/>
      <c r="AD322" s="562"/>
      <c r="AE322" s="562"/>
      <c r="AF322" s="562"/>
      <c r="AG322" s="562"/>
      <c r="AH322" s="562"/>
      <c r="AI322" s="562"/>
      <c r="AJ322" s="562"/>
      <c r="AK322" s="562"/>
      <c r="AL322" s="190"/>
      <c r="AM322" s="190"/>
      <c r="AN322" s="562"/>
      <c r="AO322" s="562"/>
      <c r="AP322" s="562"/>
      <c r="AQ322" s="562"/>
      <c r="AR322" s="562"/>
      <c r="AS322" s="562"/>
      <c r="AT322" s="562"/>
      <c r="AU322" s="562"/>
      <c r="AV322" s="562"/>
      <c r="AW322" s="562"/>
      <c r="AX322" s="562"/>
      <c r="AY322" s="562"/>
      <c r="AZ322" s="562"/>
      <c r="BA322" s="562"/>
      <c r="BB322" s="562"/>
      <c r="BC322" s="562"/>
      <c r="BD322" s="562"/>
      <c r="BE322" s="562"/>
      <c r="BF322" s="562"/>
      <c r="BG322" s="562"/>
      <c r="BH322" s="562"/>
      <c r="BI322" s="562"/>
      <c r="BJ322" s="562"/>
      <c r="BK322" s="562"/>
      <c r="BL322" s="562"/>
      <c r="BM322" s="562"/>
    </row>
    <row r="323" spans="1:65" ht="16" thickTop="1" x14ac:dyDescent="0.2">
      <c r="A323" s="541">
        <v>6</v>
      </c>
      <c r="B323" s="549">
        <v>601.79999999999995</v>
      </c>
      <c r="C323" s="544"/>
      <c r="D323" s="544"/>
      <c r="E323" s="544"/>
      <c r="F323" s="544"/>
      <c r="G323" s="543" t="str">
        <f>IF(N323&gt;0,"P","")</f>
        <v/>
      </c>
      <c r="H323" s="541" t="s">
        <v>3757</v>
      </c>
      <c r="I323" s="131" t="s">
        <v>2449</v>
      </c>
      <c r="J323" s="132"/>
      <c r="K323" s="133"/>
      <c r="L323" s="819" t="s">
        <v>2450</v>
      </c>
      <c r="M323" s="827">
        <v>3</v>
      </c>
      <c r="N323" s="981">
        <f>'Ch6'!O84</f>
        <v>0</v>
      </c>
      <c r="O323" s="981">
        <f>M323*S323*W323</f>
        <v>0</v>
      </c>
      <c r="P323" s="64" t="b">
        <v>1</v>
      </c>
      <c r="Q323" s="64" t="b">
        <v>0</v>
      </c>
      <c r="R323" s="74" t="b">
        <v>0</v>
      </c>
      <c r="S323" s="74" t="b">
        <f>NOT(AZ271=1)</f>
        <v>1</v>
      </c>
      <c r="T323" s="74" t="b">
        <f>IF(AND(NOT(S323),W323=TRUE),TRUE,FALSE)</f>
        <v>0</v>
      </c>
      <c r="U323" s="74"/>
      <c r="V323" s="74"/>
      <c r="W323" s="219"/>
      <c r="X323" s="802"/>
      <c r="Y323" s="984" t="str">
        <f>IF(LEN('Ch6'!X84)=0,"None",'Ch6'!X84)</f>
        <v>None</v>
      </c>
      <c r="Z323" s="976"/>
      <c r="AA323" s="562"/>
      <c r="AB323" s="562"/>
      <c r="AC323" s="562" t="b">
        <f>OR(AD323:AE323)</f>
        <v>0</v>
      </c>
      <c r="AD323" s="562" t="b">
        <f>T323</f>
        <v>0</v>
      </c>
      <c r="AE323" s="562" t="b">
        <f>AND(W323=TRUE,LEN(X323)=0)</f>
        <v>0</v>
      </c>
      <c r="AF323" s="562" t="b">
        <f>AND(AE323,NOT(Q323))</f>
        <v>0</v>
      </c>
      <c r="AG323" s="562"/>
      <c r="AH323" s="562"/>
      <c r="AI323" s="562"/>
      <c r="AJ323" s="562"/>
      <c r="AK323" s="562"/>
      <c r="AL323" s="190" t="str">
        <f>SUBSTITUTE(SUBSTITUTE(SUBSTITUTE("vpa"&amp;$B323&amp;$C323&amp;$D323&amp;$E323&amp;$F323,".","_"),"(","_"),")","")</f>
        <v>vpa601,8</v>
      </c>
      <c r="AM323" s="190">
        <f>M323</f>
        <v>3</v>
      </c>
      <c r="AN323" s="190" t="str">
        <f>SUBSTITUTE(SUBSTITUTE(SUBSTITUTE("vpc"&amp;$B323&amp;$C323&amp;$D323&amp;$E323&amp;$F323,".","_"),"(","_"),")","")</f>
        <v>vpc601,8</v>
      </c>
      <c r="AO323" s="190">
        <f>O323</f>
        <v>0</v>
      </c>
      <c r="AP323" s="190" t="str">
        <f>SUBSTITUTE(SUBSTITUTE(SUBSTITUTE("vch"&amp;$B323&amp;$C323&amp;$D323&amp;$E323&amp;$F323,".","_"),"(","_"),")","")</f>
        <v>vch601,8</v>
      </c>
      <c r="AQ323" s="190">
        <f>W323</f>
        <v>0</v>
      </c>
      <c r="AR323" s="190" t="str">
        <f>SUBSTITUTE(SUBSTITUTE(SUBSTITUTE("vnt"&amp;$B323&amp;$C323&amp;$D323&amp;$E323&amp;$F323,".","_"),"(","_"),")","")</f>
        <v>vnt601,8</v>
      </c>
      <c r="AS323" s="190">
        <f>X323</f>
        <v>0</v>
      </c>
      <c r="AT323" s="562"/>
      <c r="AU323" s="562"/>
      <c r="AV323" s="562"/>
      <c r="AW323" s="562"/>
      <c r="AX323" s="562"/>
      <c r="AY323" s="562"/>
      <c r="AZ323" s="562"/>
      <c r="BA323" s="562"/>
      <c r="BB323" s="562"/>
      <c r="BC323" s="562"/>
      <c r="BD323" s="562"/>
      <c r="BE323" s="562"/>
      <c r="BF323" s="562"/>
      <c r="BG323" s="562"/>
      <c r="BH323" s="562"/>
      <c r="BI323" s="562"/>
      <c r="BJ323" s="562"/>
      <c r="BK323" s="562"/>
      <c r="BL323" s="562"/>
      <c r="BM323" s="562"/>
    </row>
    <row r="324" spans="1:65" x14ac:dyDescent="0.2">
      <c r="A324" s="541">
        <v>6</v>
      </c>
      <c r="B324" s="549">
        <v>601.79999999999995</v>
      </c>
      <c r="C324" s="544"/>
      <c r="D324" s="544"/>
      <c r="E324" s="544"/>
      <c r="F324" s="544"/>
      <c r="G324" s="543" t="str">
        <f t="shared" ref="G324:G330" si="109">G323</f>
        <v/>
      </c>
      <c r="H324" s="541" t="s">
        <v>3757</v>
      </c>
      <c r="I324" s="99"/>
      <c r="J324" s="98"/>
      <c r="K324" s="65"/>
      <c r="L324" s="820"/>
      <c r="M324" s="800"/>
      <c r="N324" s="924"/>
      <c r="O324" s="924"/>
      <c r="P324" s="64"/>
      <c r="Q324" s="64"/>
      <c r="R324" s="64"/>
      <c r="S324" s="64"/>
      <c r="T324" s="64"/>
      <c r="U324" s="64"/>
      <c r="V324" s="64"/>
      <c r="W324" s="82"/>
      <c r="X324" s="798"/>
      <c r="Y324" s="977"/>
      <c r="Z324" s="978"/>
      <c r="AA324" s="562"/>
      <c r="AB324" s="562"/>
      <c r="AC324" s="562"/>
      <c r="AD324" s="562"/>
      <c r="AE324" s="562"/>
      <c r="AF324" s="562"/>
      <c r="AG324" s="562"/>
      <c r="AH324" s="562"/>
      <c r="AI324" s="562"/>
      <c r="AJ324" s="562"/>
      <c r="AK324" s="562"/>
      <c r="AL324" s="562"/>
      <c r="AM324" s="562"/>
      <c r="AN324" s="562"/>
      <c r="AO324" s="562"/>
      <c r="AP324" s="562"/>
      <c r="AQ324" s="562"/>
      <c r="AR324" s="562"/>
      <c r="AS324" s="562"/>
      <c r="AT324" s="562"/>
      <c r="AU324" s="562"/>
      <c r="AV324" s="562"/>
      <c r="AW324" s="562"/>
      <c r="AX324" s="562"/>
      <c r="AY324" s="562"/>
      <c r="AZ324" s="562"/>
      <c r="BA324" s="562"/>
      <c r="BB324" s="562"/>
      <c r="BC324" s="562"/>
      <c r="BD324" s="562"/>
      <c r="BE324" s="562"/>
      <c r="BF324" s="562"/>
      <c r="BG324" s="562"/>
      <c r="BH324" s="562"/>
      <c r="BI324" s="562"/>
      <c r="BJ324" s="562"/>
      <c r="BK324" s="562"/>
      <c r="BL324" s="562"/>
      <c r="BM324" s="562"/>
    </row>
    <row r="325" spans="1:65" x14ac:dyDescent="0.2">
      <c r="A325" s="541">
        <v>6</v>
      </c>
      <c r="B325" s="549">
        <v>601.79999999999995</v>
      </c>
      <c r="C325" s="544"/>
      <c r="D325" s="544"/>
      <c r="E325" s="544"/>
      <c r="F325" s="544"/>
      <c r="G325" s="543" t="str">
        <f t="shared" si="109"/>
        <v/>
      </c>
      <c r="H325" s="541" t="s">
        <v>3757</v>
      </c>
      <c r="I325" s="99"/>
      <c r="J325" s="98"/>
      <c r="K325" s="65"/>
      <c r="L325" s="820"/>
      <c r="M325" s="800"/>
      <c r="N325" s="924"/>
      <c r="O325" s="924"/>
      <c r="P325" s="64"/>
      <c r="Q325" s="64"/>
      <c r="R325" s="64"/>
      <c r="S325" s="64"/>
      <c r="T325" s="64"/>
      <c r="U325" s="64"/>
      <c r="V325" s="64"/>
      <c r="W325" s="82"/>
      <c r="X325" s="798"/>
      <c r="Y325" s="977"/>
      <c r="Z325" s="978"/>
      <c r="AA325" s="562"/>
      <c r="AB325" s="562"/>
      <c r="AC325" s="562"/>
      <c r="AD325" s="562"/>
      <c r="AE325" s="562"/>
      <c r="AF325" s="562"/>
      <c r="AG325" s="562"/>
      <c r="AH325" s="562"/>
      <c r="AI325" s="562"/>
      <c r="AJ325" s="562"/>
      <c r="AK325" s="562"/>
      <c r="AL325" s="562"/>
      <c r="AM325" s="562"/>
      <c r="AN325" s="562"/>
      <c r="AO325" s="562"/>
      <c r="AP325" s="562"/>
      <c r="AQ325" s="562"/>
      <c r="AR325" s="562"/>
      <c r="AS325" s="562"/>
      <c r="AT325" s="562"/>
      <c r="AU325" s="562"/>
      <c r="AV325" s="562"/>
      <c r="AW325" s="562"/>
      <c r="AX325" s="562"/>
      <c r="AY325" s="562"/>
      <c r="AZ325" s="562"/>
      <c r="BA325" s="562"/>
      <c r="BB325" s="562"/>
      <c r="BC325" s="562"/>
      <c r="BD325" s="562"/>
      <c r="BE325" s="562"/>
      <c r="BF325" s="562"/>
      <c r="BG325" s="562"/>
      <c r="BH325" s="562"/>
      <c r="BI325" s="562"/>
      <c r="BJ325" s="562"/>
      <c r="BK325" s="562"/>
      <c r="BL325" s="562"/>
      <c r="BM325" s="562"/>
    </row>
    <row r="326" spans="1:65" x14ac:dyDescent="0.2">
      <c r="A326" s="541">
        <v>6</v>
      </c>
      <c r="B326" s="549">
        <v>601.79999999999995</v>
      </c>
      <c r="C326" s="544"/>
      <c r="D326" s="544"/>
      <c r="E326" s="544"/>
      <c r="F326" s="544"/>
      <c r="G326" s="543" t="str">
        <f t="shared" si="109"/>
        <v/>
      </c>
      <c r="H326" s="541" t="s">
        <v>3757</v>
      </c>
      <c r="I326" s="99"/>
      <c r="J326" s="98"/>
      <c r="K326" s="65"/>
      <c r="L326" s="820"/>
      <c r="M326" s="800"/>
      <c r="N326" s="924"/>
      <c r="O326" s="924"/>
      <c r="P326" s="64"/>
      <c r="Q326" s="64"/>
      <c r="R326" s="64"/>
      <c r="S326" s="64"/>
      <c r="T326" s="64"/>
      <c r="U326" s="64"/>
      <c r="V326" s="64"/>
      <c r="W326" s="82"/>
      <c r="X326" s="798"/>
      <c r="Y326" s="977"/>
      <c r="Z326" s="978"/>
      <c r="AA326" s="562"/>
      <c r="AB326" s="562"/>
      <c r="AC326" s="562"/>
      <c r="AD326" s="562"/>
      <c r="AE326" s="562"/>
      <c r="AF326" s="562"/>
      <c r="AG326" s="562"/>
      <c r="AH326" s="562"/>
      <c r="AI326" s="562"/>
      <c r="AJ326" s="562"/>
      <c r="AK326" s="562"/>
      <c r="AL326" s="562"/>
      <c r="AM326" s="562"/>
      <c r="AN326" s="562"/>
      <c r="AO326" s="562"/>
      <c r="AP326" s="562"/>
      <c r="AQ326" s="562"/>
      <c r="AR326" s="562"/>
      <c r="AS326" s="562"/>
      <c r="AT326" s="562"/>
      <c r="AU326" s="562"/>
      <c r="AV326" s="562"/>
      <c r="AW326" s="562"/>
      <c r="AX326" s="562"/>
      <c r="AY326" s="562"/>
      <c r="AZ326" s="562"/>
      <c r="BA326" s="562"/>
      <c r="BB326" s="562"/>
      <c r="BC326" s="562"/>
      <c r="BD326" s="562"/>
      <c r="BE326" s="562"/>
      <c r="BF326" s="562"/>
      <c r="BG326" s="562"/>
      <c r="BH326" s="562"/>
      <c r="BI326" s="562"/>
      <c r="BJ326" s="562"/>
      <c r="BK326" s="562"/>
      <c r="BL326" s="562"/>
      <c r="BM326" s="562"/>
    </row>
    <row r="327" spans="1:65" s="201" customFormat="1" x14ac:dyDescent="0.2">
      <c r="A327" s="541">
        <v>6</v>
      </c>
      <c r="B327" s="549">
        <v>601.79999999999995</v>
      </c>
      <c r="C327" s="544"/>
      <c r="D327" s="544"/>
      <c r="E327" s="544"/>
      <c r="F327" s="544"/>
      <c r="G327" s="543" t="str">
        <f t="shared" si="109"/>
        <v/>
      </c>
      <c r="H327" s="541" t="s">
        <v>3757</v>
      </c>
      <c r="I327" s="99"/>
      <c r="J327" s="98"/>
      <c r="K327" s="65"/>
      <c r="L327" s="820"/>
      <c r="M327" s="800"/>
      <c r="N327" s="924"/>
      <c r="O327" s="924"/>
      <c r="P327" s="64"/>
      <c r="Q327" s="64"/>
      <c r="R327" s="64"/>
      <c r="S327" s="64"/>
      <c r="T327" s="64"/>
      <c r="U327" s="64"/>
      <c r="V327" s="64"/>
      <c r="W327" s="82"/>
      <c r="X327" s="798"/>
      <c r="Y327" s="977"/>
      <c r="Z327" s="978"/>
      <c r="AA327" s="562"/>
      <c r="AB327" s="562"/>
      <c r="AC327" s="562"/>
      <c r="AD327" s="562"/>
      <c r="AE327" s="562"/>
      <c r="AF327" s="562"/>
      <c r="AG327" s="562"/>
      <c r="AH327" s="562"/>
      <c r="AI327" s="562"/>
      <c r="AJ327" s="562"/>
      <c r="AK327" s="562"/>
      <c r="AL327" s="562"/>
      <c r="AM327" s="562"/>
      <c r="AN327" s="562"/>
      <c r="AO327" s="562"/>
      <c r="AP327" s="562"/>
      <c r="AQ327" s="562"/>
      <c r="AR327" s="562"/>
      <c r="AS327" s="562"/>
      <c r="AT327" s="562"/>
      <c r="AU327" s="562"/>
      <c r="AV327" s="562"/>
      <c r="AW327" s="562"/>
      <c r="AX327" s="562"/>
      <c r="AY327" s="562"/>
      <c r="AZ327" s="562"/>
      <c r="BA327" s="562"/>
      <c r="BB327" s="562"/>
      <c r="BC327" s="562"/>
      <c r="BD327" s="562"/>
      <c r="BE327" s="562"/>
      <c r="BF327" s="562"/>
      <c r="BG327" s="562"/>
      <c r="BH327" s="562"/>
      <c r="BI327" s="562"/>
      <c r="BJ327" s="562"/>
      <c r="BK327" s="562"/>
      <c r="BL327" s="562"/>
      <c r="BM327" s="562"/>
    </row>
    <row r="328" spans="1:65" x14ac:dyDescent="0.2">
      <c r="A328" s="541">
        <v>6</v>
      </c>
      <c r="B328" s="549">
        <v>601.79999999999995</v>
      </c>
      <c r="C328" s="544"/>
      <c r="D328" s="544"/>
      <c r="E328" s="544"/>
      <c r="F328" s="544"/>
      <c r="G328" s="543" t="str">
        <f t="shared" si="109"/>
        <v/>
      </c>
      <c r="H328" s="541" t="s">
        <v>3757</v>
      </c>
      <c r="I328" s="99"/>
      <c r="J328" s="98"/>
      <c r="K328" s="65"/>
      <c r="L328" s="849" t="s">
        <v>2451</v>
      </c>
      <c r="M328" s="800"/>
      <c r="N328" s="924"/>
      <c r="O328" s="924"/>
      <c r="P328" s="64"/>
      <c r="Q328" s="64"/>
      <c r="R328" s="64"/>
      <c r="S328" s="64"/>
      <c r="T328" s="64"/>
      <c r="U328" s="64"/>
      <c r="V328" s="64"/>
      <c r="W328" s="82"/>
      <c r="X328" s="798"/>
      <c r="Y328" s="977"/>
      <c r="Z328" s="978"/>
      <c r="AA328" s="562"/>
      <c r="AB328" s="562"/>
      <c r="AC328" s="562"/>
      <c r="AD328" s="562"/>
      <c r="AE328" s="562"/>
      <c r="AF328" s="562"/>
      <c r="AG328" s="562"/>
      <c r="AH328" s="562"/>
      <c r="AI328" s="562"/>
      <c r="AJ328" s="562"/>
      <c r="AK328" s="562"/>
      <c r="AL328" s="562"/>
      <c r="AM328" s="562"/>
      <c r="AN328" s="562"/>
      <c r="AO328" s="562"/>
      <c r="AP328" s="562"/>
      <c r="AQ328" s="562"/>
      <c r="AR328" s="562"/>
      <c r="AS328" s="562"/>
      <c r="AT328" s="562"/>
      <c r="AU328" s="562"/>
      <c r="AV328" s="562"/>
      <c r="AW328" s="562"/>
      <c r="AX328" s="562"/>
      <c r="AY328" s="562"/>
      <c r="AZ328" s="562"/>
      <c r="BA328" s="562"/>
      <c r="BB328" s="562"/>
      <c r="BC328" s="562"/>
      <c r="BD328" s="562"/>
      <c r="BE328" s="562"/>
      <c r="BF328" s="562"/>
      <c r="BG328" s="562"/>
      <c r="BH328" s="562"/>
      <c r="BI328" s="562"/>
      <c r="BJ328" s="562"/>
      <c r="BK328" s="562"/>
      <c r="BL328" s="562"/>
      <c r="BM328" s="562"/>
    </row>
    <row r="329" spans="1:65" s="201" customFormat="1" x14ac:dyDescent="0.2">
      <c r="A329" s="541">
        <v>6</v>
      </c>
      <c r="B329" s="549">
        <v>601.79999999999995</v>
      </c>
      <c r="C329" s="544"/>
      <c r="D329" s="544"/>
      <c r="E329" s="544"/>
      <c r="F329" s="544"/>
      <c r="G329" s="543" t="str">
        <f t="shared" si="109"/>
        <v/>
      </c>
      <c r="H329" s="541" t="s">
        <v>3757</v>
      </c>
      <c r="I329" s="99"/>
      <c r="J329" s="98"/>
      <c r="K329" s="65"/>
      <c r="L329" s="849"/>
      <c r="M329" s="800"/>
      <c r="N329" s="924"/>
      <c r="O329" s="924"/>
      <c r="P329" s="64"/>
      <c r="Q329" s="64"/>
      <c r="R329" s="64"/>
      <c r="S329" s="64"/>
      <c r="T329" s="64"/>
      <c r="U329" s="64"/>
      <c r="V329" s="64"/>
      <c r="W329" s="82"/>
      <c r="X329" s="798"/>
      <c r="Y329" s="977"/>
      <c r="Z329" s="978"/>
      <c r="AA329" s="562"/>
      <c r="AB329" s="562"/>
      <c r="AC329" s="562"/>
      <c r="AD329" s="562"/>
      <c r="AE329" s="562"/>
      <c r="AF329" s="562"/>
      <c r="AG329" s="562"/>
      <c r="AH329" s="562"/>
      <c r="AI329" s="562"/>
      <c r="AJ329" s="562"/>
      <c r="AK329" s="562"/>
      <c r="AL329" s="562"/>
      <c r="AM329" s="562"/>
      <c r="AN329" s="562"/>
      <c r="AO329" s="562"/>
      <c r="AP329" s="562"/>
      <c r="AQ329" s="562"/>
      <c r="AR329" s="562"/>
      <c r="AS329" s="562"/>
      <c r="AT329" s="562"/>
      <c r="AU329" s="562"/>
      <c r="AV329" s="562"/>
      <c r="AW329" s="562"/>
      <c r="AX329" s="562"/>
      <c r="AY329" s="562"/>
      <c r="AZ329" s="562"/>
      <c r="BA329" s="562"/>
      <c r="BB329" s="562"/>
      <c r="BC329" s="562"/>
      <c r="BD329" s="562"/>
      <c r="BE329" s="562"/>
      <c r="BF329" s="562"/>
      <c r="BG329" s="562"/>
      <c r="BH329" s="562"/>
      <c r="BI329" s="562"/>
      <c r="BJ329" s="562"/>
      <c r="BK329" s="562"/>
      <c r="BL329" s="562"/>
      <c r="BM329" s="562"/>
    </row>
    <row r="330" spans="1:65" ht="16" thickBot="1" x14ac:dyDescent="0.25">
      <c r="A330" s="541">
        <v>6</v>
      </c>
      <c r="B330" s="549">
        <v>601.79999999999995</v>
      </c>
      <c r="C330" s="544"/>
      <c r="D330" s="544"/>
      <c r="E330" s="544"/>
      <c r="F330" s="544"/>
      <c r="G330" s="543" t="str">
        <f t="shared" si="109"/>
        <v/>
      </c>
      <c r="H330" s="541" t="s">
        <v>3757</v>
      </c>
      <c r="I330" s="99"/>
      <c r="J330" s="98"/>
      <c r="K330" s="65"/>
      <c r="L330" s="833"/>
      <c r="M330" s="800"/>
      <c r="N330" s="942"/>
      <c r="O330" s="942"/>
      <c r="P330" s="129"/>
      <c r="Q330" s="129"/>
      <c r="R330" s="129"/>
      <c r="S330" s="129"/>
      <c r="T330" s="129"/>
      <c r="U330" s="129"/>
      <c r="V330" s="129"/>
      <c r="W330" s="511"/>
      <c r="X330" s="825"/>
      <c r="Y330" s="977"/>
      <c r="Z330" s="1007"/>
      <c r="AA330" s="562"/>
      <c r="AB330" s="562"/>
      <c r="AC330" s="562"/>
      <c r="AD330" s="562"/>
      <c r="AE330" s="562"/>
      <c r="AF330" s="562"/>
      <c r="AG330" s="562"/>
      <c r="AH330" s="562"/>
      <c r="AI330" s="562"/>
      <c r="AJ330" s="562"/>
      <c r="AK330" s="562"/>
      <c r="AL330" s="562"/>
      <c r="AM330" s="562"/>
      <c r="AN330" s="562"/>
      <c r="AO330" s="562"/>
      <c r="AP330" s="562"/>
      <c r="AQ330" s="562"/>
      <c r="AR330" s="562"/>
      <c r="AS330" s="562"/>
      <c r="AT330" s="562"/>
      <c r="AU330" s="562"/>
      <c r="AV330" s="562"/>
      <c r="AW330" s="562"/>
      <c r="AX330" s="562"/>
      <c r="AY330" s="562"/>
      <c r="AZ330" s="562"/>
      <c r="BA330" s="562"/>
      <c r="BB330" s="562"/>
      <c r="BC330" s="562"/>
      <c r="BD330" s="562"/>
      <c r="BE330" s="562"/>
      <c r="BF330" s="562"/>
      <c r="BG330" s="562"/>
      <c r="BH330" s="562"/>
      <c r="BI330" s="562"/>
      <c r="BJ330" s="562"/>
      <c r="BK330" s="562"/>
      <c r="BL330" s="562"/>
      <c r="BM330" s="562"/>
    </row>
    <row r="331" spans="1:65" ht="20" thickTop="1" x14ac:dyDescent="0.25">
      <c r="A331" s="541">
        <v>6</v>
      </c>
      <c r="B331" s="549">
        <v>602</v>
      </c>
      <c r="C331" s="544"/>
      <c r="D331" s="544"/>
      <c r="E331" s="544"/>
      <c r="F331" s="544"/>
      <c r="G331" s="543" t="s">
        <v>3343</v>
      </c>
      <c r="H331" s="541" t="s">
        <v>3751</v>
      </c>
      <c r="I331" s="45" t="s">
        <v>2452</v>
      </c>
      <c r="J331" s="45"/>
      <c r="K331" s="45"/>
      <c r="L331" s="50"/>
      <c r="M331" s="44"/>
      <c r="N331" s="44"/>
      <c r="O331" s="44"/>
      <c r="P331" s="16"/>
      <c r="Q331" s="16"/>
      <c r="R331" s="16"/>
      <c r="S331" s="16"/>
      <c r="T331" s="16"/>
      <c r="U331" s="16"/>
      <c r="V331" s="16"/>
      <c r="W331" s="16"/>
      <c r="X331" s="16"/>
      <c r="Y331" s="16"/>
      <c r="Z331" s="453"/>
      <c r="AA331" s="562"/>
      <c r="AB331" s="562"/>
      <c r="AC331" s="562"/>
      <c r="AD331" s="562"/>
      <c r="AE331" s="562"/>
      <c r="AF331" s="562"/>
      <c r="AG331" s="562"/>
      <c r="AH331" s="562"/>
      <c r="AI331" s="562"/>
      <c r="AJ331" s="562"/>
      <c r="AK331" s="562"/>
      <c r="AL331" s="562"/>
      <c r="AM331" s="562"/>
      <c r="AN331" s="562"/>
      <c r="AO331" s="562"/>
      <c r="AP331" s="562"/>
      <c r="AQ331" s="562"/>
      <c r="AR331" s="562"/>
      <c r="AS331" s="562"/>
      <c r="AT331" s="562"/>
      <c r="AU331" s="562"/>
      <c r="AV331" s="562"/>
      <c r="AW331" s="562"/>
      <c r="AX331" s="562"/>
      <c r="AY331" s="562"/>
      <c r="AZ331" s="562"/>
      <c r="BA331" s="562"/>
      <c r="BB331" s="562"/>
      <c r="BC331" s="562"/>
      <c r="BD331" s="562"/>
      <c r="BE331" s="562"/>
      <c r="BF331" s="562"/>
      <c r="BG331" s="562"/>
      <c r="BH331" s="562"/>
      <c r="BI331" s="562"/>
      <c r="BJ331" s="562"/>
      <c r="BK331" s="562"/>
      <c r="BL331" s="562"/>
      <c r="BM331" s="562"/>
    </row>
    <row r="332" spans="1:65" x14ac:dyDescent="0.2">
      <c r="A332" s="541">
        <v>6</v>
      </c>
      <c r="B332" s="549" t="s">
        <v>2453</v>
      </c>
      <c r="C332" s="544"/>
      <c r="D332" s="544"/>
      <c r="E332" s="544"/>
      <c r="F332" s="544"/>
      <c r="G332" s="545"/>
      <c r="H332" s="541"/>
      <c r="I332" s="49" t="s">
        <v>2454</v>
      </c>
      <c r="J332" s="3"/>
      <c r="K332" s="53"/>
      <c r="L332" s="775" t="s">
        <v>2455</v>
      </c>
      <c r="M332" s="616"/>
      <c r="N332" s="648"/>
      <c r="O332" s="648"/>
      <c r="P332" s="562"/>
      <c r="Q332" s="562"/>
      <c r="R332" s="562"/>
      <c r="S332" s="562"/>
      <c r="T332" s="562"/>
      <c r="U332" s="562"/>
      <c r="V332" s="562"/>
      <c r="W332" s="562"/>
      <c r="X332" s="562"/>
      <c r="Y332" s="562"/>
      <c r="Z332" s="430"/>
      <c r="AA332" s="562"/>
      <c r="AB332" s="562"/>
      <c r="AC332" s="562"/>
      <c r="AD332" s="562"/>
      <c r="AE332" s="562"/>
      <c r="AF332" s="562"/>
      <c r="AG332" s="562"/>
      <c r="AH332" s="562"/>
      <c r="AI332" s="562"/>
      <c r="AJ332" s="562"/>
      <c r="AK332" s="562"/>
      <c r="AL332" s="562"/>
      <c r="AM332" s="562"/>
      <c r="AN332" s="562"/>
      <c r="AO332" s="562"/>
      <c r="AP332" s="562"/>
      <c r="AQ332" s="562"/>
      <c r="AR332" s="562"/>
      <c r="AS332" s="562"/>
      <c r="AT332" s="562"/>
      <c r="AU332" s="562"/>
      <c r="AV332" s="562"/>
      <c r="AW332" s="562"/>
      <c r="AX332" s="562"/>
      <c r="AY332" s="562"/>
      <c r="AZ332" s="562"/>
      <c r="BA332" s="562"/>
      <c r="BB332" s="562"/>
      <c r="BC332" s="562"/>
      <c r="BD332" s="562"/>
      <c r="BE332" s="562"/>
      <c r="BF332" s="562"/>
      <c r="BG332" s="562"/>
      <c r="BH332" s="562"/>
      <c r="BI332" s="562"/>
      <c r="BJ332" s="562"/>
      <c r="BK332" s="562"/>
      <c r="BL332" s="562"/>
      <c r="BM332" s="562"/>
    </row>
    <row r="333" spans="1:65" ht="16" thickBot="1" x14ac:dyDescent="0.25">
      <c r="A333" s="541">
        <v>6</v>
      </c>
      <c r="B333" s="549" t="s">
        <v>2453</v>
      </c>
      <c r="C333" s="544"/>
      <c r="D333" s="544"/>
      <c r="E333" s="544"/>
      <c r="F333" s="544"/>
      <c r="G333" s="545"/>
      <c r="H333" s="541"/>
      <c r="I333" s="40"/>
      <c r="J333" s="3"/>
      <c r="K333" s="53"/>
      <c r="L333" s="775"/>
      <c r="M333" s="616"/>
      <c r="N333" s="648"/>
      <c r="O333" s="648"/>
      <c r="P333" s="562"/>
      <c r="Q333" s="562"/>
      <c r="R333" s="562"/>
      <c r="S333" s="562"/>
      <c r="T333" s="562"/>
      <c r="U333" s="562"/>
      <c r="V333" s="562"/>
      <c r="W333" s="562"/>
      <c r="X333" s="562"/>
      <c r="Y333" s="68"/>
      <c r="Z333" s="455"/>
      <c r="AA333" s="562"/>
      <c r="AB333" s="562"/>
      <c r="AC333" s="562"/>
      <c r="AD333" s="562"/>
      <c r="AE333" s="562"/>
      <c r="AF333" s="562"/>
      <c r="AG333" s="562"/>
      <c r="AH333" s="562"/>
      <c r="AI333" s="562"/>
      <c r="AJ333" s="562"/>
      <c r="AK333" s="562"/>
      <c r="AL333" s="562"/>
      <c r="AM333" s="562"/>
      <c r="AN333" s="562"/>
      <c r="AO333" s="562"/>
      <c r="AP333" s="562"/>
      <c r="AQ333" s="562"/>
      <c r="AR333" s="562"/>
      <c r="AS333" s="562"/>
      <c r="AT333" s="562"/>
      <c r="AU333" s="562"/>
      <c r="AV333" s="562"/>
      <c r="AW333" s="562"/>
      <c r="AX333" s="562"/>
      <c r="AY333" s="562"/>
      <c r="AZ333" s="562"/>
      <c r="BA333" s="562"/>
      <c r="BB333" s="562"/>
      <c r="BC333" s="562"/>
      <c r="BD333" s="562"/>
      <c r="BE333" s="562"/>
      <c r="BF333" s="562"/>
      <c r="BG333" s="562"/>
      <c r="BH333" s="562"/>
      <c r="BI333" s="562"/>
      <c r="BJ333" s="562"/>
      <c r="BK333" s="562"/>
      <c r="BL333" s="562"/>
      <c r="BM333" s="562"/>
    </row>
    <row r="334" spans="1:65" ht="17" thickTop="1" thickBot="1" x14ac:dyDescent="0.25">
      <c r="A334" s="541">
        <v>6</v>
      </c>
      <c r="B334" s="549">
        <v>602.1</v>
      </c>
      <c r="C334" s="544"/>
      <c r="D334" s="544"/>
      <c r="E334" s="544"/>
      <c r="F334" s="544"/>
      <c r="G334" s="543" t="s">
        <v>3343</v>
      </c>
      <c r="H334" s="541" t="s">
        <v>3751</v>
      </c>
      <c r="I334" s="131" t="s">
        <v>2456</v>
      </c>
      <c r="J334" s="132"/>
      <c r="K334" s="133"/>
      <c r="L334" s="95" t="s">
        <v>2457</v>
      </c>
      <c r="M334" s="625"/>
      <c r="N334" s="673"/>
      <c r="O334" s="673"/>
      <c r="P334" s="74"/>
      <c r="Q334" s="74"/>
      <c r="R334" s="74"/>
      <c r="S334" s="74"/>
      <c r="T334" s="74"/>
      <c r="U334" s="74"/>
      <c r="V334" s="74"/>
      <c r="W334" s="74"/>
      <c r="X334" s="74"/>
      <c r="Y334" s="68"/>
      <c r="Z334" s="455"/>
      <c r="AA334" s="562"/>
      <c r="AB334" s="562"/>
      <c r="AC334" s="562"/>
      <c r="AD334" s="562"/>
      <c r="AE334" s="562"/>
      <c r="AF334" s="562"/>
      <c r="AG334" s="562"/>
      <c r="AH334" s="562"/>
      <c r="AI334" s="562"/>
      <c r="AJ334" s="562"/>
      <c r="AK334" s="562"/>
      <c r="AL334" s="562"/>
      <c r="AM334" s="562"/>
      <c r="AN334" s="562"/>
      <c r="AO334" s="562"/>
      <c r="AP334" s="562"/>
      <c r="AQ334" s="562"/>
      <c r="AR334" s="562"/>
      <c r="AS334" s="562"/>
      <c r="AT334" s="562"/>
      <c r="AU334" s="562"/>
      <c r="AV334" s="562"/>
      <c r="AW334" s="562"/>
      <c r="AX334" s="562"/>
      <c r="AY334" s="562"/>
      <c r="AZ334" s="562"/>
      <c r="BA334" s="562"/>
      <c r="BB334" s="562"/>
      <c r="BC334" s="562"/>
      <c r="BD334" s="562"/>
      <c r="BE334" s="562"/>
      <c r="BF334" s="562"/>
      <c r="BG334" s="562"/>
      <c r="BH334" s="562"/>
      <c r="BI334" s="562"/>
      <c r="BJ334" s="562"/>
      <c r="BK334" s="562"/>
      <c r="BL334" s="562"/>
      <c r="BM334" s="562"/>
    </row>
    <row r="335" spans="1:65" ht="16" thickTop="1" x14ac:dyDescent="0.2">
      <c r="A335" s="541">
        <v>6</v>
      </c>
      <c r="B335" s="549" t="s">
        <v>2458</v>
      </c>
      <c r="C335" s="544"/>
      <c r="D335" s="544"/>
      <c r="E335" s="544"/>
      <c r="F335" s="544"/>
      <c r="G335" s="543" t="s">
        <v>3343</v>
      </c>
      <c r="H335" s="541" t="s">
        <v>3757</v>
      </c>
      <c r="I335" s="131" t="s">
        <v>2459</v>
      </c>
      <c r="J335" s="132"/>
      <c r="K335" s="133"/>
      <c r="L335" s="95" t="s">
        <v>2460</v>
      </c>
      <c r="M335" s="625"/>
      <c r="N335" s="673"/>
      <c r="O335" s="673"/>
      <c r="P335" s="74"/>
      <c r="Q335" s="74"/>
      <c r="R335" s="74"/>
      <c r="S335" s="74"/>
      <c r="T335" s="74"/>
      <c r="U335" s="74"/>
      <c r="V335" s="74"/>
      <c r="W335" s="74"/>
      <c r="X335" s="74"/>
      <c r="Y335" s="562"/>
      <c r="Z335" s="430"/>
      <c r="AA335" s="562"/>
      <c r="AB335" s="562"/>
      <c r="AC335" s="562"/>
      <c r="AD335" s="562"/>
      <c r="AE335" s="562"/>
      <c r="AF335" s="562"/>
      <c r="AG335" s="562"/>
      <c r="AH335" s="562"/>
      <c r="AI335" s="562"/>
      <c r="AJ335" s="562"/>
      <c r="AK335" s="562"/>
      <c r="AL335" s="562"/>
      <c r="AM335" s="562"/>
      <c r="AN335" s="562"/>
      <c r="AO335" s="562"/>
      <c r="AP335" s="562"/>
      <c r="AQ335" s="562"/>
      <c r="AR335" s="562"/>
      <c r="AS335" s="562"/>
      <c r="AT335" s="562"/>
      <c r="AU335" s="562"/>
      <c r="AV335" s="562"/>
      <c r="AW335" s="562"/>
      <c r="AX335" s="562"/>
      <c r="AY335" s="562"/>
      <c r="AZ335" s="562"/>
      <c r="BA335" s="562"/>
      <c r="BB335" s="562"/>
      <c r="BC335" s="562"/>
      <c r="BD335" s="562"/>
      <c r="BE335" s="562"/>
      <c r="BF335" s="562"/>
      <c r="BG335" s="562"/>
      <c r="BH335" s="562"/>
      <c r="BI335" s="562"/>
      <c r="BJ335" s="562"/>
      <c r="BK335" s="562"/>
      <c r="BL335" s="562"/>
      <c r="BM335" s="562"/>
    </row>
    <row r="336" spans="1:65" x14ac:dyDescent="0.2">
      <c r="A336" s="541">
        <v>6</v>
      </c>
      <c r="B336" s="549" t="s">
        <v>2461</v>
      </c>
      <c r="C336" s="549"/>
      <c r="D336" s="544"/>
      <c r="E336" s="544"/>
      <c r="F336" s="544"/>
      <c r="G336" s="543" t="s">
        <v>3343</v>
      </c>
      <c r="H336" s="541" t="s">
        <v>3757</v>
      </c>
      <c r="I336" s="99" t="s">
        <v>2462</v>
      </c>
      <c r="J336" s="98"/>
      <c r="K336" s="65"/>
      <c r="L336" s="820" t="s">
        <v>2463</v>
      </c>
      <c r="M336" s="838" t="str">
        <f>IF(R336,"Mandatory","N/A")</f>
        <v>Mandatory</v>
      </c>
      <c r="N336" s="648"/>
      <c r="O336" s="648"/>
      <c r="P336" s="562" t="b">
        <v>1</v>
      </c>
      <c r="Q336" s="562" t="b">
        <v>0</v>
      </c>
      <c r="R336" s="562" t="b">
        <f>S336</f>
        <v>1</v>
      </c>
      <c r="S336" s="562" t="b">
        <f>IF(OR(AZ271=2,AZ271=3),FALSE,TRUE)</f>
        <v>1</v>
      </c>
      <c r="T336" s="64" t="b">
        <f>IF(AND(NOT(S336),LEN(W336)&gt;0),TRUE,FALSE)</f>
        <v>0</v>
      </c>
      <c r="U336" s="64" t="str">
        <f>SUBSTITUTE(SUBSTITUTE(SUBSTITUTE("dd"&amp;B336&amp;C336&amp;D336&amp;E336&amp;F336,".","_"),"(","_"),")","")</f>
        <v>dd602_1_1_1</v>
      </c>
      <c r="V336" s="562"/>
      <c r="W336" s="6"/>
      <c r="X336" s="825"/>
      <c r="Y336" s="969" t="str">
        <f>IF(LEN('Ch6'!X97)=0,"None",'Ch6'!X97)</f>
        <v>None</v>
      </c>
      <c r="Z336" s="972"/>
      <c r="AA336" s="562"/>
      <c r="AB336" s="562"/>
      <c r="AC336" s="562" t="b">
        <f>OR(AD336:AE336)</f>
        <v>1</v>
      </c>
      <c r="AD336" s="562" t="b">
        <f>T336</f>
        <v>0</v>
      </c>
      <c r="AE336" s="562" t="b">
        <f>AND(R336,NOT(W336="Met"),NOT(W336="N/A"))</f>
        <v>1</v>
      </c>
      <c r="AF336" s="562" t="b">
        <f>AND(AE336,NOT(Q336))</f>
        <v>1</v>
      </c>
      <c r="AG336" s="562"/>
      <c r="AH336" s="562"/>
      <c r="AI336" s="562"/>
      <c r="AJ336" s="562"/>
      <c r="AK336" s="562"/>
      <c r="AL336" s="190" t="str">
        <f>SUBSTITUTE(SUBSTITUTE(SUBSTITUTE("vpa"&amp;$B336&amp;$C336&amp;$D336&amp;$E336&amp;$F336,".","_"),"(","_"),")","")</f>
        <v>vpa602_1_1_1</v>
      </c>
      <c r="AM336" s="190" t="str">
        <f>M336</f>
        <v>Mandatory</v>
      </c>
      <c r="AN336" s="562"/>
      <c r="AO336" s="562"/>
      <c r="AP336" s="190" t="str">
        <f>SUBSTITUTE(SUBSTITUTE(SUBSTITUTE("vch"&amp;$B336&amp;$C336&amp;$D336&amp;$E336&amp;$F336,".","_"),"(","_"),")","")</f>
        <v>vch602_1_1_1</v>
      </c>
      <c r="AQ336" s="190">
        <f>W336</f>
        <v>0</v>
      </c>
      <c r="AR336" s="190" t="str">
        <f>SUBSTITUTE(SUBSTITUTE(SUBSTITUTE("vnt"&amp;$B336&amp;$C336&amp;$D336&amp;$E336&amp;$F336,".","_"),"(","_"),")","")</f>
        <v>vnt602_1_1_1</v>
      </c>
      <c r="AS336" s="190">
        <f>X336</f>
        <v>0</v>
      </c>
      <c r="AT336" s="562"/>
      <c r="AU336" s="562"/>
      <c r="AV336" s="562"/>
      <c r="AW336" s="562"/>
      <c r="AX336" s="562"/>
      <c r="AY336" s="562"/>
      <c r="AZ336" s="562"/>
      <c r="BA336" s="562"/>
      <c r="BB336" s="562"/>
      <c r="BC336" s="562"/>
      <c r="BD336" s="562"/>
      <c r="BE336" s="562"/>
      <c r="BF336" s="562"/>
      <c r="BG336" s="562"/>
      <c r="BH336" s="562"/>
      <c r="BI336" s="562"/>
      <c r="BJ336" s="562"/>
      <c r="BK336" s="562"/>
      <c r="BL336" s="562"/>
      <c r="BM336" s="562"/>
    </row>
    <row r="337" spans="1:45" x14ac:dyDescent="0.2">
      <c r="A337" s="541">
        <v>6</v>
      </c>
      <c r="B337" s="549" t="s">
        <v>2461</v>
      </c>
      <c r="C337" s="549"/>
      <c r="D337" s="544"/>
      <c r="E337" s="544"/>
      <c r="F337" s="544"/>
      <c r="G337" s="543" t="s">
        <v>3343</v>
      </c>
      <c r="H337" s="541" t="s">
        <v>3757</v>
      </c>
      <c r="I337" s="99"/>
      <c r="J337" s="98"/>
      <c r="K337" s="65"/>
      <c r="L337" s="820"/>
      <c r="M337" s="838"/>
      <c r="N337" s="648"/>
      <c r="O337" s="648"/>
      <c r="P337" s="562"/>
      <c r="Q337" s="562"/>
      <c r="R337" s="562"/>
      <c r="S337" s="562"/>
      <c r="T337" s="562"/>
      <c r="U337" s="562"/>
      <c r="V337" s="562"/>
      <c r="W337" s="562"/>
      <c r="X337" s="797"/>
      <c r="Y337" s="970"/>
      <c r="Z337" s="973"/>
      <c r="AA337" s="562"/>
      <c r="AB337" s="562"/>
      <c r="AC337" s="562"/>
      <c r="AD337" s="562"/>
      <c r="AE337" s="562"/>
      <c r="AF337" s="562"/>
      <c r="AG337" s="562"/>
      <c r="AH337" s="562"/>
      <c r="AI337" s="562"/>
      <c r="AJ337" s="562"/>
      <c r="AK337" s="562"/>
      <c r="AL337" s="562"/>
      <c r="AM337" s="562"/>
      <c r="AN337" s="562"/>
      <c r="AO337" s="562"/>
      <c r="AP337" s="562"/>
      <c r="AQ337" s="562"/>
      <c r="AR337" s="562"/>
      <c r="AS337" s="562"/>
    </row>
    <row r="338" spans="1:45" x14ac:dyDescent="0.2">
      <c r="A338" s="541">
        <v>6</v>
      </c>
      <c r="B338" s="549" t="s">
        <v>2461</v>
      </c>
      <c r="C338" s="549"/>
      <c r="D338" s="544"/>
      <c r="E338" s="544"/>
      <c r="F338" s="544"/>
      <c r="G338" s="543" t="s">
        <v>3343</v>
      </c>
      <c r="H338" s="541" t="s">
        <v>3757</v>
      </c>
      <c r="I338" s="99"/>
      <c r="J338" s="98"/>
      <c r="K338" s="65"/>
      <c r="L338" s="820"/>
      <c r="M338" s="838"/>
      <c r="N338" s="648"/>
      <c r="O338" s="648"/>
      <c r="P338" s="562"/>
      <c r="Q338" s="562"/>
      <c r="R338" s="562"/>
      <c r="S338" s="562"/>
      <c r="T338" s="562"/>
      <c r="U338" s="562"/>
      <c r="V338" s="562"/>
      <c r="W338" s="562"/>
      <c r="X338" s="797"/>
      <c r="Y338" s="970"/>
      <c r="Z338" s="973"/>
      <c r="AA338" s="562"/>
      <c r="AB338" s="562"/>
      <c r="AC338" s="562"/>
      <c r="AD338" s="562"/>
      <c r="AE338" s="562"/>
      <c r="AF338" s="562"/>
      <c r="AG338" s="562"/>
      <c r="AH338" s="562"/>
      <c r="AI338" s="562"/>
      <c r="AJ338" s="562"/>
      <c r="AK338" s="562"/>
      <c r="AL338" s="562"/>
      <c r="AM338" s="562"/>
      <c r="AN338" s="562"/>
      <c r="AO338" s="562"/>
      <c r="AP338" s="562"/>
      <c r="AQ338" s="562"/>
      <c r="AR338" s="562"/>
      <c r="AS338" s="562"/>
    </row>
    <row r="339" spans="1:45" s="482" customFormat="1" x14ac:dyDescent="0.2">
      <c r="A339" s="541">
        <v>6</v>
      </c>
      <c r="B339" s="549" t="s">
        <v>2461</v>
      </c>
      <c r="C339" s="549"/>
      <c r="D339" s="544"/>
      <c r="E339" s="544"/>
      <c r="F339" s="544"/>
      <c r="G339" s="543" t="s">
        <v>3343</v>
      </c>
      <c r="H339" s="541" t="s">
        <v>3757</v>
      </c>
      <c r="I339" s="170"/>
      <c r="J339" s="165"/>
      <c r="K339" s="126"/>
      <c r="L339" s="628" t="s">
        <v>2464</v>
      </c>
      <c r="M339" s="129"/>
      <c r="N339" s="648"/>
      <c r="O339" s="648"/>
      <c r="P339" s="562"/>
      <c r="Q339" s="562"/>
      <c r="R339" s="562"/>
      <c r="S339" s="562"/>
      <c r="T339" s="562"/>
      <c r="U339" s="562"/>
      <c r="V339" s="562"/>
      <c r="W339" s="562"/>
      <c r="X339" s="786"/>
      <c r="Y339" s="975"/>
      <c r="Z339" s="976"/>
      <c r="AA339" s="562"/>
      <c r="AB339" s="562"/>
      <c r="AC339" s="562"/>
      <c r="AD339" s="562"/>
      <c r="AE339" s="562"/>
      <c r="AF339" s="562"/>
      <c r="AG339" s="562"/>
      <c r="AH339" s="562"/>
      <c r="AI339" s="562"/>
      <c r="AJ339" s="562"/>
      <c r="AK339" s="562"/>
      <c r="AL339" s="562"/>
      <c r="AM339" s="562"/>
      <c r="AN339" s="562"/>
      <c r="AO339" s="562"/>
      <c r="AP339" s="562"/>
      <c r="AQ339" s="562"/>
      <c r="AR339" s="562"/>
      <c r="AS339" s="562"/>
    </row>
    <row r="340" spans="1:45" x14ac:dyDescent="0.2">
      <c r="A340" s="541">
        <v>6</v>
      </c>
      <c r="B340" s="549" t="s">
        <v>2465</v>
      </c>
      <c r="C340" s="549"/>
      <c r="D340" s="544"/>
      <c r="E340" s="544"/>
      <c r="F340" s="544"/>
      <c r="G340" s="543" t="str">
        <f>IF(N340&gt;0,"P","")</f>
        <v/>
      </c>
      <c r="H340" s="541" t="s">
        <v>3757</v>
      </c>
      <c r="I340" s="40" t="s">
        <v>2466</v>
      </c>
      <c r="J340" s="3"/>
      <c r="K340" s="53"/>
      <c r="L340" s="775" t="s">
        <v>2467</v>
      </c>
      <c r="M340" s="814">
        <v>3</v>
      </c>
      <c r="N340" s="887">
        <f>'Ch6'!O101</f>
        <v>0</v>
      </c>
      <c r="O340" s="887">
        <f>M340*S340*W340</f>
        <v>0</v>
      </c>
      <c r="P340" s="562" t="b">
        <v>1</v>
      </c>
      <c r="Q340" s="562" t="b">
        <v>0</v>
      </c>
      <c r="R340" s="562" t="b">
        <v>0</v>
      </c>
      <c r="S340" s="562" t="b">
        <v>1</v>
      </c>
      <c r="T340" s="562" t="b">
        <v>0</v>
      </c>
      <c r="U340" s="562"/>
      <c r="V340" s="562"/>
      <c r="W340" s="18"/>
      <c r="X340" s="787"/>
      <c r="Y340" s="977" t="str">
        <f>IF(LEN('Ch6'!X101)=0,"None",'Ch6'!X101)</f>
        <v>None</v>
      </c>
      <c r="Z340" s="978"/>
      <c r="AA340" s="562"/>
      <c r="AB340" s="562"/>
      <c r="AC340" s="562"/>
      <c r="AD340" s="562"/>
      <c r="AE340" s="562"/>
      <c r="AF340" s="562"/>
      <c r="AG340" s="562"/>
      <c r="AH340" s="562"/>
      <c r="AI340" s="562"/>
      <c r="AJ340" s="562"/>
      <c r="AK340" s="562"/>
      <c r="AL340" s="190" t="str">
        <f>SUBSTITUTE(SUBSTITUTE(SUBSTITUTE("vpa"&amp;$B340&amp;$C340&amp;$D340&amp;$E340&amp;$F340,".","_"),"(","_"),")","")</f>
        <v xml:space="preserve">vpa602_1_1_2 </v>
      </c>
      <c r="AM340" s="190">
        <f>M340</f>
        <v>3</v>
      </c>
      <c r="AN340" s="190" t="str">
        <f>SUBSTITUTE(SUBSTITUTE(SUBSTITUTE("vpc"&amp;$B340&amp;$C340&amp;$D340&amp;$E340&amp;$F340,".","_"),"(","_"),")","")</f>
        <v xml:space="preserve">vpc602_1_1_2 </v>
      </c>
      <c r="AO340" s="190">
        <f>O340</f>
        <v>0</v>
      </c>
      <c r="AP340" s="190" t="str">
        <f>SUBSTITUTE(SUBSTITUTE(SUBSTITUTE("vch"&amp;$B340&amp;$C340&amp;$D340&amp;$E340&amp;$F340,".","_"),"(","_"),")","")</f>
        <v xml:space="preserve">vch602_1_1_2 </v>
      </c>
      <c r="AQ340" s="190">
        <f>W340</f>
        <v>0</v>
      </c>
      <c r="AR340" s="190" t="str">
        <f>SUBSTITUTE(SUBSTITUTE(SUBSTITUTE("vnt"&amp;$B340&amp;$C340&amp;$D340&amp;$E340&amp;$F340,".","_"),"(","_"),")","")</f>
        <v xml:space="preserve">vnt602_1_1_2 </v>
      </c>
      <c r="AS340" s="190">
        <f>X340</f>
        <v>0</v>
      </c>
    </row>
    <row r="341" spans="1:45" s="498" customFormat="1" x14ac:dyDescent="0.2">
      <c r="A341" s="541">
        <v>6</v>
      </c>
      <c r="B341" s="549" t="s">
        <v>2465</v>
      </c>
      <c r="C341" s="549"/>
      <c r="D341" s="544"/>
      <c r="E341" s="544"/>
      <c r="F341" s="544"/>
      <c r="G341" s="543" t="str">
        <f t="shared" ref="G341:G345" si="110">G340</f>
        <v/>
      </c>
      <c r="H341" s="541" t="s">
        <v>3757</v>
      </c>
      <c r="I341" s="40"/>
      <c r="J341" s="3"/>
      <c r="K341" s="53"/>
      <c r="L341" s="775"/>
      <c r="M341" s="814"/>
      <c r="N341" s="887"/>
      <c r="O341" s="887"/>
      <c r="P341" s="562"/>
      <c r="Q341" s="562"/>
      <c r="R341" s="562"/>
      <c r="S341" s="562"/>
      <c r="T341" s="562"/>
      <c r="U341" s="562"/>
      <c r="V341" s="562"/>
      <c r="W341" s="562"/>
      <c r="X341" s="787"/>
      <c r="Y341" s="969"/>
      <c r="Z341" s="972"/>
      <c r="AA341" s="562"/>
      <c r="AB341" s="562"/>
      <c r="AC341" s="562"/>
      <c r="AD341" s="562"/>
      <c r="AE341" s="562"/>
      <c r="AF341" s="562"/>
      <c r="AG341" s="562"/>
      <c r="AH341" s="562"/>
      <c r="AI341" s="562"/>
      <c r="AJ341" s="562"/>
      <c r="AK341" s="562"/>
      <c r="AL341" s="190"/>
      <c r="AM341" s="190"/>
      <c r="AN341" s="190"/>
      <c r="AO341" s="190"/>
      <c r="AP341" s="190"/>
      <c r="AQ341" s="190"/>
      <c r="AR341" s="190"/>
      <c r="AS341" s="190"/>
    </row>
    <row r="342" spans="1:45" ht="16" thickBot="1" x14ac:dyDescent="0.25">
      <c r="A342" s="541">
        <v>6</v>
      </c>
      <c r="B342" s="549" t="s">
        <v>2465</v>
      </c>
      <c r="C342" s="549"/>
      <c r="D342" s="544"/>
      <c r="E342" s="544"/>
      <c r="F342" s="544"/>
      <c r="G342" s="543" t="str">
        <f t="shared" si="110"/>
        <v/>
      </c>
      <c r="H342" s="541" t="s">
        <v>3757</v>
      </c>
      <c r="I342" s="40"/>
      <c r="J342" s="3"/>
      <c r="K342" s="53"/>
      <c r="L342" s="775"/>
      <c r="M342" s="814"/>
      <c r="N342" s="982"/>
      <c r="O342" s="887"/>
      <c r="P342" s="562"/>
      <c r="Q342" s="562"/>
      <c r="R342" s="562"/>
      <c r="S342" s="562"/>
      <c r="T342" s="562"/>
      <c r="U342" s="562"/>
      <c r="V342" s="562"/>
      <c r="W342" s="562"/>
      <c r="X342" s="825"/>
      <c r="Y342" s="979"/>
      <c r="Z342" s="1007"/>
      <c r="AA342" s="562"/>
      <c r="AB342" s="562"/>
      <c r="AC342" s="562"/>
      <c r="AD342" s="562"/>
      <c r="AE342" s="562"/>
      <c r="AF342" s="562"/>
      <c r="AG342" s="562"/>
      <c r="AH342" s="562"/>
      <c r="AI342" s="562"/>
      <c r="AJ342" s="562"/>
      <c r="AK342" s="562"/>
      <c r="AL342" s="562"/>
      <c r="AM342" s="562"/>
      <c r="AN342" s="562"/>
      <c r="AO342" s="562"/>
      <c r="AP342" s="562"/>
      <c r="AQ342" s="562"/>
      <c r="AR342" s="562"/>
      <c r="AS342" s="562"/>
    </row>
    <row r="343" spans="1:45" ht="16" thickTop="1" x14ac:dyDescent="0.2">
      <c r="A343" s="541">
        <v>6</v>
      </c>
      <c r="B343" s="550" t="s">
        <v>2468</v>
      </c>
      <c r="C343" s="544"/>
      <c r="D343" s="544"/>
      <c r="E343" s="544"/>
      <c r="F343" s="544"/>
      <c r="G343" s="543" t="str">
        <f>IF(N343&gt;0,"P","")</f>
        <v/>
      </c>
      <c r="H343" s="541" t="s">
        <v>3757</v>
      </c>
      <c r="I343" s="131" t="s">
        <v>2469</v>
      </c>
      <c r="J343" s="132"/>
      <c r="K343" s="133"/>
      <c r="L343" s="819" t="s">
        <v>2470</v>
      </c>
      <c r="M343" s="827">
        <v>4</v>
      </c>
      <c r="N343" s="981">
        <f>'Ch6'!O104</f>
        <v>0</v>
      </c>
      <c r="O343" s="981">
        <f>M343*OR(S346*W346,S347*W347)</f>
        <v>0</v>
      </c>
      <c r="P343" s="74"/>
      <c r="Q343" s="74"/>
      <c r="R343" s="74"/>
      <c r="S343" s="74"/>
      <c r="T343" s="74"/>
      <c r="U343" s="74"/>
      <c r="V343" s="74"/>
      <c r="W343" s="74"/>
      <c r="X343" s="802"/>
      <c r="Y343" s="975" t="str">
        <f>IF(LEN('Ch6'!X104)=0,"None",'Ch6'!X104)</f>
        <v>None</v>
      </c>
      <c r="Z343" s="976"/>
      <c r="AA343" s="562"/>
      <c r="AB343" s="562"/>
      <c r="AC343" s="562"/>
      <c r="AD343" s="562"/>
      <c r="AE343" s="562"/>
      <c r="AF343" s="562"/>
      <c r="AG343" s="562"/>
      <c r="AH343" s="562"/>
      <c r="AI343" s="562"/>
      <c r="AJ343" s="562"/>
      <c r="AK343" s="562"/>
      <c r="AL343" s="190" t="str">
        <f>SUBSTITUTE(SUBSTITUTE(SUBSTITUTE("vpa"&amp;$B343&amp;$C343&amp;$D343&amp;$E343&amp;$F343,".","_"),"(","_"),")","")</f>
        <v xml:space="preserve">vpa602_1_2 </v>
      </c>
      <c r="AM343" s="190">
        <f>M343</f>
        <v>4</v>
      </c>
      <c r="AN343" s="190" t="str">
        <f>SUBSTITUTE(SUBSTITUTE(SUBSTITUTE("vpc"&amp;$B343&amp;$C343&amp;$D343&amp;$E343&amp;$F343,".","_"),"(","_"),")","")</f>
        <v xml:space="preserve">vpc602_1_2 </v>
      </c>
      <c r="AO343" s="190">
        <f>O343</f>
        <v>0</v>
      </c>
      <c r="AP343" s="562"/>
      <c r="AQ343" s="562"/>
      <c r="AR343" s="190" t="str">
        <f>SUBSTITUTE(SUBSTITUTE(SUBSTITUTE("vnt"&amp;$B343&amp;$C343&amp;$D343&amp;$E343&amp;$F343,".","_"),"(","_"),")","")</f>
        <v xml:space="preserve">vnt602_1_2 </v>
      </c>
      <c r="AS343" s="190">
        <f>X343</f>
        <v>0</v>
      </c>
    </row>
    <row r="344" spans="1:45" s="498" customFormat="1" x14ac:dyDescent="0.2">
      <c r="A344" s="541">
        <v>6</v>
      </c>
      <c r="B344" s="550" t="s">
        <v>2468</v>
      </c>
      <c r="C344" s="544"/>
      <c r="D344" s="544"/>
      <c r="E344" s="544"/>
      <c r="F344" s="544"/>
      <c r="G344" s="543" t="str">
        <f t="shared" si="110"/>
        <v/>
      </c>
      <c r="H344" s="541" t="s">
        <v>3757</v>
      </c>
      <c r="I344" s="99"/>
      <c r="J344" s="98"/>
      <c r="K344" s="65"/>
      <c r="L344" s="820"/>
      <c r="M344" s="800"/>
      <c r="N344" s="924"/>
      <c r="O344" s="924"/>
      <c r="P344" s="64"/>
      <c r="Q344" s="64"/>
      <c r="R344" s="64"/>
      <c r="S344" s="64"/>
      <c r="T344" s="64"/>
      <c r="U344" s="64"/>
      <c r="V344" s="64"/>
      <c r="W344" s="64"/>
      <c r="X344" s="786"/>
      <c r="Y344" s="975"/>
      <c r="Z344" s="976"/>
      <c r="AA344" s="562"/>
      <c r="AB344" s="562"/>
      <c r="AC344" s="562"/>
      <c r="AD344" s="562"/>
      <c r="AE344" s="562"/>
      <c r="AF344" s="562"/>
      <c r="AG344" s="562"/>
      <c r="AH344" s="562"/>
      <c r="AI344" s="562"/>
      <c r="AJ344" s="562"/>
      <c r="AK344" s="562"/>
      <c r="AL344" s="190"/>
      <c r="AM344" s="190"/>
      <c r="AN344" s="190"/>
      <c r="AO344" s="190"/>
      <c r="AP344" s="562"/>
      <c r="AQ344" s="562"/>
      <c r="AR344" s="190"/>
      <c r="AS344" s="190"/>
    </row>
    <row r="345" spans="1:45" x14ac:dyDescent="0.2">
      <c r="A345" s="541">
        <v>6</v>
      </c>
      <c r="B345" s="550" t="s">
        <v>2468</v>
      </c>
      <c r="C345" s="544"/>
      <c r="D345" s="544"/>
      <c r="E345" s="544"/>
      <c r="F345" s="544"/>
      <c r="G345" s="543" t="str">
        <f t="shared" si="110"/>
        <v/>
      </c>
      <c r="H345" s="541" t="s">
        <v>3757</v>
      </c>
      <c r="I345" s="99"/>
      <c r="J345" s="98"/>
      <c r="K345" s="65"/>
      <c r="L345" s="820"/>
      <c r="M345" s="800"/>
      <c r="N345" s="924"/>
      <c r="O345" s="924"/>
      <c r="P345" s="64"/>
      <c r="Q345" s="64"/>
      <c r="R345" s="64"/>
      <c r="S345" s="64"/>
      <c r="T345" s="64"/>
      <c r="U345" s="64"/>
      <c r="V345" s="64"/>
      <c r="W345" s="64"/>
      <c r="X345" s="798"/>
      <c r="Y345" s="977"/>
      <c r="Z345" s="978"/>
      <c r="AA345" s="562"/>
      <c r="AB345" s="562"/>
      <c r="AC345" s="562"/>
      <c r="AD345" s="562"/>
      <c r="AE345" s="562"/>
      <c r="AF345" s="562"/>
      <c r="AG345" s="562"/>
      <c r="AH345" s="562"/>
      <c r="AI345" s="562"/>
      <c r="AJ345" s="562"/>
      <c r="AK345" s="562"/>
      <c r="AL345" s="562"/>
      <c r="AM345" s="562"/>
      <c r="AN345" s="562"/>
      <c r="AO345" s="562"/>
      <c r="AP345" s="562"/>
      <c r="AQ345" s="562"/>
      <c r="AR345" s="562"/>
      <c r="AS345" s="562"/>
    </row>
    <row r="346" spans="1:45" x14ac:dyDescent="0.2">
      <c r="A346" s="541">
        <v>6</v>
      </c>
      <c r="B346" s="550" t="s">
        <v>2468</v>
      </c>
      <c r="C346" s="544"/>
      <c r="D346" s="544"/>
      <c r="E346" s="544" t="s">
        <v>2181</v>
      </c>
      <c r="F346" s="544"/>
      <c r="G346" s="543" t="str">
        <f t="shared" ref="G346:G347" si="111">G345</f>
        <v/>
      </c>
      <c r="H346" s="541" t="s">
        <v>3757</v>
      </c>
      <c r="I346" s="99"/>
      <c r="J346" s="159" t="s">
        <v>2181</v>
      </c>
      <c r="K346" s="126"/>
      <c r="L346" s="126" t="s">
        <v>2471</v>
      </c>
      <c r="M346" s="800"/>
      <c r="N346" s="924"/>
      <c r="O346" s="924"/>
      <c r="P346" s="562" t="b">
        <v>1</v>
      </c>
      <c r="Q346" s="562" t="b">
        <v>0</v>
      </c>
      <c r="R346" s="64" t="b">
        <v>0</v>
      </c>
      <c r="S346" s="64" t="b">
        <f>NOT(AZ271=4)</f>
        <v>1</v>
      </c>
      <c r="T346" s="64" t="b">
        <f>IF(AND(NOT(S346),W346=TRUE),TRUE,FALSE)</f>
        <v>0</v>
      </c>
      <c r="U346" s="64"/>
      <c r="V346" s="64"/>
      <c r="W346" s="18"/>
      <c r="X346" s="798"/>
      <c r="Y346" s="977"/>
      <c r="Z346" s="978"/>
      <c r="AA346" s="562"/>
      <c r="AB346" s="562"/>
      <c r="AC346" s="562" t="b">
        <f>OR(AD346:AE346)</f>
        <v>0</v>
      </c>
      <c r="AD346" s="562" t="b">
        <f>T346</f>
        <v>0</v>
      </c>
      <c r="AE346" s="562"/>
      <c r="AF346" s="562"/>
      <c r="AG346" s="562"/>
      <c r="AH346" s="562"/>
      <c r="AI346" s="562"/>
      <c r="AJ346" s="562"/>
      <c r="AK346" s="562"/>
      <c r="AL346" s="562"/>
      <c r="AM346" s="562"/>
      <c r="AN346" s="562"/>
      <c r="AO346" s="562"/>
      <c r="AP346" s="190" t="str">
        <f t="shared" ref="AP346:AP347" si="112">SUBSTITUTE(SUBSTITUTE(SUBSTITUTE("vch"&amp;$B346&amp;$C346&amp;$D346&amp;$E346&amp;$F346,".","_"),"(","_"),")","")</f>
        <v>vch602_1_2 _1</v>
      </c>
      <c r="AQ346" s="190">
        <f>W346</f>
        <v>0</v>
      </c>
      <c r="AR346" s="562"/>
      <c r="AS346" s="562"/>
    </row>
    <row r="347" spans="1:45" ht="16" thickBot="1" x14ac:dyDescent="0.25">
      <c r="A347" s="541">
        <v>6</v>
      </c>
      <c r="B347" s="550" t="s">
        <v>2468</v>
      </c>
      <c r="C347" s="544"/>
      <c r="D347" s="544"/>
      <c r="E347" s="544" t="s">
        <v>2183</v>
      </c>
      <c r="F347" s="544"/>
      <c r="G347" s="543" t="str">
        <f t="shared" si="111"/>
        <v/>
      </c>
      <c r="H347" s="541" t="s">
        <v>3757</v>
      </c>
      <c r="I347" s="142"/>
      <c r="J347" s="143" t="s">
        <v>2183</v>
      </c>
      <c r="K347" s="67"/>
      <c r="L347" s="67" t="s">
        <v>2472</v>
      </c>
      <c r="M347" s="813"/>
      <c r="N347" s="982"/>
      <c r="O347" s="982"/>
      <c r="P347" s="68"/>
      <c r="Q347" s="68"/>
      <c r="R347" s="68" t="b">
        <v>0</v>
      </c>
      <c r="S347" s="68" t="b">
        <f>NOT(AZ271=4)</f>
        <v>1</v>
      </c>
      <c r="T347" s="68" t="b">
        <f>IF(AND(NOT(S347),W347=TRUE),TRUE,FALSE)</f>
        <v>0</v>
      </c>
      <c r="U347" s="68"/>
      <c r="V347" s="68"/>
      <c r="W347" s="18"/>
      <c r="X347" s="799"/>
      <c r="Y347" s="979"/>
      <c r="Z347" s="1007"/>
      <c r="AA347" s="562"/>
      <c r="AB347" s="562"/>
      <c r="AC347" s="562" t="b">
        <f>OR(AD347:AE347)</f>
        <v>0</v>
      </c>
      <c r="AD347" s="562" t="b">
        <f>T347</f>
        <v>0</v>
      </c>
      <c r="AE347" s="562"/>
      <c r="AF347" s="562"/>
      <c r="AG347" s="562"/>
      <c r="AH347" s="562"/>
      <c r="AI347" s="562"/>
      <c r="AJ347" s="562"/>
      <c r="AK347" s="562"/>
      <c r="AL347" s="562"/>
      <c r="AM347" s="562"/>
      <c r="AN347" s="562"/>
      <c r="AO347" s="562"/>
      <c r="AP347" s="190" t="str">
        <f t="shared" si="112"/>
        <v>vch602_1_2 _2</v>
      </c>
      <c r="AQ347" s="190">
        <f>W347</f>
        <v>0</v>
      </c>
      <c r="AR347" s="562"/>
      <c r="AS347" s="562"/>
    </row>
    <row r="348" spans="1:45" ht="16" thickTop="1" x14ac:dyDescent="0.2">
      <c r="A348" s="541">
        <v>6</v>
      </c>
      <c r="B348" s="549" t="s">
        <v>2473</v>
      </c>
      <c r="C348" s="544"/>
      <c r="D348" s="544"/>
      <c r="E348" s="544"/>
      <c r="F348" s="544"/>
      <c r="G348" s="543" t="s">
        <v>3343</v>
      </c>
      <c r="H348" s="541" t="s">
        <v>3757</v>
      </c>
      <c r="I348" s="131" t="s">
        <v>2474</v>
      </c>
      <c r="J348" s="132"/>
      <c r="K348" s="133"/>
      <c r="L348" s="95" t="s">
        <v>2475</v>
      </c>
      <c r="M348" s="625"/>
      <c r="N348" s="673"/>
      <c r="O348" s="673"/>
      <c r="P348" s="74"/>
      <c r="Q348" s="74"/>
      <c r="R348" s="74"/>
      <c r="S348" s="74"/>
      <c r="T348" s="74"/>
      <c r="U348" s="74"/>
      <c r="V348" s="74"/>
      <c r="W348" s="74"/>
      <c r="X348" s="74"/>
      <c r="Y348" s="562"/>
      <c r="Z348" s="430"/>
      <c r="AA348" s="562"/>
      <c r="AB348" s="562"/>
      <c r="AC348" s="562"/>
      <c r="AD348" s="562"/>
      <c r="AE348" s="562"/>
      <c r="AF348" s="562"/>
      <c r="AG348" s="562"/>
      <c r="AH348" s="562"/>
      <c r="AI348" s="562"/>
      <c r="AJ348" s="562"/>
      <c r="AK348" s="562"/>
      <c r="AL348" s="562"/>
      <c r="AM348" s="562"/>
      <c r="AN348" s="562"/>
      <c r="AO348" s="562"/>
      <c r="AP348" s="562"/>
      <c r="AQ348" s="562"/>
      <c r="AR348" s="562"/>
      <c r="AS348" s="562"/>
    </row>
    <row r="349" spans="1:45" x14ac:dyDescent="0.2">
      <c r="A349" s="541">
        <v>6</v>
      </c>
      <c r="B349" s="549" t="s">
        <v>2476</v>
      </c>
      <c r="C349" s="549"/>
      <c r="D349" s="544"/>
      <c r="E349" s="544"/>
      <c r="F349" s="544"/>
      <c r="G349" s="543" t="s">
        <v>3343</v>
      </c>
      <c r="H349" s="541" t="s">
        <v>3757</v>
      </c>
      <c r="I349" s="99" t="s">
        <v>2477</v>
      </c>
      <c r="J349" s="98"/>
      <c r="K349" s="65"/>
      <c r="L349" s="820" t="s">
        <v>2478</v>
      </c>
      <c r="M349" s="838" t="str">
        <f>IF(R349,"Mandatory","N/A")</f>
        <v>N/A</v>
      </c>
      <c r="N349" s="648"/>
      <c r="O349" s="648"/>
      <c r="P349" s="562" t="b">
        <v>1</v>
      </c>
      <c r="Q349" s="562" t="b">
        <v>0</v>
      </c>
      <c r="R349" s="562" t="b">
        <f>S349</f>
        <v>0</v>
      </c>
      <c r="S349" s="562" t="b">
        <f>OR(AZ271=1,AZ271=5,AZ271=6)</f>
        <v>0</v>
      </c>
      <c r="T349" s="64" t="b">
        <f>IF(AND(NOT(S349),W349=TRUE),TRUE,FALSE)</f>
        <v>0</v>
      </c>
      <c r="U349" s="64" t="str">
        <f>SUBSTITUTE(SUBSTITUTE(SUBSTITUTE("dd"&amp;B349&amp;C349&amp;D349&amp;E349&amp;F349,".","_"),"(","_"),")","")</f>
        <v>dd602_1_3_1</v>
      </c>
      <c r="V349" s="562"/>
      <c r="W349" s="6"/>
      <c r="X349" s="825"/>
      <c r="Y349" s="969" t="str">
        <f>IF(LEN('Ch6'!X110)=0,"None",'Ch6'!X110)</f>
        <v>None</v>
      </c>
      <c r="Z349" s="972"/>
      <c r="AA349" s="562"/>
      <c r="AB349" s="562"/>
      <c r="AC349" s="562" t="b">
        <f>OR(AD349:AE349)</f>
        <v>0</v>
      </c>
      <c r="AD349" s="562" t="b">
        <f>T349</f>
        <v>0</v>
      </c>
      <c r="AE349" s="562" t="b">
        <f>AND(R349,NOT(W349="Met"),NOT(W349="N/A"))</f>
        <v>0</v>
      </c>
      <c r="AF349" s="562" t="b">
        <f>AND(AE349,NOT(Q349))</f>
        <v>0</v>
      </c>
      <c r="AG349" s="562"/>
      <c r="AH349" s="562"/>
      <c r="AI349" s="562"/>
      <c r="AJ349" s="562"/>
      <c r="AK349" s="562"/>
      <c r="AL349" s="190" t="str">
        <f>SUBSTITUTE(SUBSTITUTE(SUBSTITUTE("vpa"&amp;$B349&amp;$C349&amp;$D349&amp;$E349&amp;$F349,".","_"),"(","_"),")","")</f>
        <v>vpa602_1_3_1</v>
      </c>
      <c r="AM349" s="190" t="str">
        <f>M349</f>
        <v>N/A</v>
      </c>
      <c r="AN349" s="562"/>
      <c r="AO349" s="562"/>
      <c r="AP349" s="190" t="str">
        <f>SUBSTITUTE(SUBSTITUTE(SUBSTITUTE("vch"&amp;$B349&amp;$C349&amp;$D349&amp;$E349&amp;$F349,".","_"),"(","_"),")","")</f>
        <v>vch602_1_3_1</v>
      </c>
      <c r="AQ349" s="190">
        <f>W349</f>
        <v>0</v>
      </c>
      <c r="AR349" s="190" t="str">
        <f>SUBSTITUTE(SUBSTITUTE(SUBSTITUTE("vnt"&amp;$B349&amp;$C349&amp;$D349&amp;$E349&amp;$F349,".","_"),"(","_"),")","")</f>
        <v>vnt602_1_3_1</v>
      </c>
      <c r="AS349" s="190">
        <f>X349</f>
        <v>0</v>
      </c>
    </row>
    <row r="350" spans="1:45" x14ac:dyDescent="0.2">
      <c r="A350" s="541">
        <v>6</v>
      </c>
      <c r="B350" s="549" t="s">
        <v>2476</v>
      </c>
      <c r="C350" s="549"/>
      <c r="D350" s="544"/>
      <c r="E350" s="544"/>
      <c r="F350" s="544"/>
      <c r="G350" s="543" t="s">
        <v>3343</v>
      </c>
      <c r="H350" s="541" t="s">
        <v>3757</v>
      </c>
      <c r="I350" s="99"/>
      <c r="J350" s="98"/>
      <c r="K350" s="65"/>
      <c r="L350" s="820"/>
      <c r="M350" s="838"/>
      <c r="N350" s="648"/>
      <c r="O350" s="648"/>
      <c r="P350" s="562"/>
      <c r="Q350" s="562"/>
      <c r="R350" s="562"/>
      <c r="S350" s="562"/>
      <c r="T350" s="562"/>
      <c r="U350" s="562"/>
      <c r="V350" s="562"/>
      <c r="W350" s="562"/>
      <c r="X350" s="797"/>
      <c r="Y350" s="970"/>
      <c r="Z350" s="973"/>
      <c r="AA350" s="562"/>
      <c r="AB350" s="562"/>
      <c r="AC350" s="562"/>
      <c r="AD350" s="562"/>
      <c r="AE350" s="562"/>
      <c r="AF350" s="562"/>
      <c r="AG350" s="562"/>
      <c r="AH350" s="562"/>
      <c r="AI350" s="562"/>
      <c r="AJ350" s="562"/>
      <c r="AK350" s="562"/>
      <c r="AL350" s="562"/>
      <c r="AM350" s="562"/>
      <c r="AN350" s="562"/>
      <c r="AO350" s="562"/>
      <c r="AP350" s="562"/>
      <c r="AQ350" s="562"/>
      <c r="AR350" s="562"/>
      <c r="AS350" s="562"/>
    </row>
    <row r="351" spans="1:45" s="482" customFormat="1" x14ac:dyDescent="0.2">
      <c r="A351" s="541">
        <v>6</v>
      </c>
      <c r="B351" s="549" t="s">
        <v>2476</v>
      </c>
      <c r="C351" s="549"/>
      <c r="D351" s="544"/>
      <c r="E351" s="544"/>
      <c r="F351" s="544"/>
      <c r="G351" s="543" t="s">
        <v>3343</v>
      </c>
      <c r="H351" s="541" t="s">
        <v>3757</v>
      </c>
      <c r="I351" s="170"/>
      <c r="J351" s="165"/>
      <c r="K351" s="126"/>
      <c r="L351" s="628" t="s">
        <v>2479</v>
      </c>
      <c r="M351" s="483"/>
      <c r="N351" s="648"/>
      <c r="O351" s="648"/>
      <c r="P351" s="562"/>
      <c r="Q351" s="562"/>
      <c r="R351" s="562"/>
      <c r="S351" s="562"/>
      <c r="T351" s="562"/>
      <c r="U351" s="562"/>
      <c r="V351" s="562"/>
      <c r="W351" s="562"/>
      <c r="X351" s="786"/>
      <c r="Y351" s="975"/>
      <c r="Z351" s="976"/>
      <c r="AA351" s="562"/>
      <c r="AB351" s="562"/>
      <c r="AC351" s="562"/>
      <c r="AD351" s="562"/>
      <c r="AE351" s="562"/>
      <c r="AF351" s="562"/>
      <c r="AG351" s="562"/>
      <c r="AH351" s="562"/>
      <c r="AI351" s="562"/>
      <c r="AJ351" s="562"/>
      <c r="AK351" s="562"/>
      <c r="AL351" s="562"/>
      <c r="AM351" s="562"/>
      <c r="AN351" s="562"/>
      <c r="AO351" s="562"/>
      <c r="AP351" s="562"/>
      <c r="AQ351" s="562"/>
      <c r="AR351" s="562"/>
      <c r="AS351" s="562"/>
    </row>
    <row r="352" spans="1:45" x14ac:dyDescent="0.2">
      <c r="A352" s="541">
        <v>6</v>
      </c>
      <c r="B352" s="551" t="s">
        <v>2480</v>
      </c>
      <c r="C352" s="551"/>
      <c r="D352" s="544"/>
      <c r="E352" s="544"/>
      <c r="F352" s="544"/>
      <c r="G352" s="543" t="str">
        <f>IF(N352&gt;0,"P","")</f>
        <v/>
      </c>
      <c r="H352" s="541" t="s">
        <v>3757</v>
      </c>
      <c r="I352" s="40" t="s">
        <v>2481</v>
      </c>
      <c r="J352" s="3"/>
      <c r="K352" s="53"/>
      <c r="L352" s="775" t="s">
        <v>2482</v>
      </c>
      <c r="M352" s="814">
        <v>4</v>
      </c>
      <c r="N352" s="887">
        <f>'Ch6'!O113</f>
        <v>0</v>
      </c>
      <c r="O352" s="887">
        <f>M352*S352*W352</f>
        <v>0</v>
      </c>
      <c r="P352" s="562" t="b">
        <v>1</v>
      </c>
      <c r="Q352" s="562" t="b">
        <v>0</v>
      </c>
      <c r="R352" s="562" t="b">
        <v>0</v>
      </c>
      <c r="S352" s="562" t="b">
        <v>1</v>
      </c>
      <c r="T352" s="562" t="b">
        <v>0</v>
      </c>
      <c r="U352" s="562"/>
      <c r="V352" s="562"/>
      <c r="W352" s="18"/>
      <c r="X352" s="787"/>
      <c r="Y352" s="977" t="str">
        <f>IF(LEN('Ch6'!X113)=0,"None",'Ch6'!X113)</f>
        <v>None</v>
      </c>
      <c r="Z352" s="978"/>
      <c r="AA352" s="562"/>
      <c r="AB352" s="562"/>
      <c r="AC352" s="562"/>
      <c r="AD352" s="562"/>
      <c r="AE352" s="562"/>
      <c r="AF352" s="562"/>
      <c r="AG352" s="562"/>
      <c r="AH352" s="562"/>
      <c r="AI352" s="562"/>
      <c r="AJ352" s="562"/>
      <c r="AK352" s="562"/>
      <c r="AL352" s="190" t="str">
        <f>SUBSTITUTE(SUBSTITUTE(SUBSTITUTE("vpa"&amp;$B352&amp;$C352&amp;$D352&amp;$E352&amp;$F352,".","_"),"(","_"),")","")</f>
        <v>vpa602_1_3_2</v>
      </c>
      <c r="AM352" s="190">
        <f>M352</f>
        <v>4</v>
      </c>
      <c r="AN352" s="190" t="str">
        <f>SUBSTITUTE(SUBSTITUTE(SUBSTITUTE("vpc"&amp;$B352&amp;$C352&amp;$D352&amp;$E352&amp;$F352,".","_"),"(","_"),")","")</f>
        <v>vpc602_1_3_2</v>
      </c>
      <c r="AO352" s="190">
        <f>O352</f>
        <v>0</v>
      </c>
      <c r="AP352" s="190" t="str">
        <f>SUBSTITUTE(SUBSTITUTE(SUBSTITUTE("vch"&amp;$B352&amp;$C352&amp;$D352&amp;$E352&amp;$F352,".","_"),"(","_"),")","")</f>
        <v>vch602_1_3_2</v>
      </c>
      <c r="AQ352" s="190">
        <f>W352</f>
        <v>0</v>
      </c>
      <c r="AR352" s="190" t="str">
        <f>SUBSTITUTE(SUBSTITUTE(SUBSTITUTE("vnt"&amp;$B352&amp;$C352&amp;$D352&amp;$E352&amp;$F352,".","_"),"(","_"),")","")</f>
        <v>vnt602_1_3_2</v>
      </c>
      <c r="AS352" s="190">
        <f>X352</f>
        <v>0</v>
      </c>
    </row>
    <row r="353" spans="1:45" s="498" customFormat="1" x14ac:dyDescent="0.2">
      <c r="A353" s="541">
        <v>6</v>
      </c>
      <c r="B353" s="551" t="s">
        <v>2480</v>
      </c>
      <c r="C353" s="551"/>
      <c r="D353" s="544"/>
      <c r="E353" s="544"/>
      <c r="F353" s="544"/>
      <c r="G353" s="543" t="str">
        <f t="shared" ref="G353:G354" si="113">G352</f>
        <v/>
      </c>
      <c r="H353" s="541" t="s">
        <v>3757</v>
      </c>
      <c r="I353" s="40"/>
      <c r="J353" s="3"/>
      <c r="K353" s="53"/>
      <c r="L353" s="775"/>
      <c r="M353" s="814"/>
      <c r="N353" s="887"/>
      <c r="O353" s="887"/>
      <c r="P353" s="562"/>
      <c r="Q353" s="562"/>
      <c r="R353" s="562"/>
      <c r="S353" s="562"/>
      <c r="T353" s="562"/>
      <c r="U353" s="562"/>
      <c r="V353" s="562"/>
      <c r="W353" s="562"/>
      <c r="X353" s="787"/>
      <c r="Y353" s="969"/>
      <c r="Z353" s="972"/>
      <c r="AA353" s="562"/>
      <c r="AB353" s="562"/>
      <c r="AC353" s="562"/>
      <c r="AD353" s="562"/>
      <c r="AE353" s="562"/>
      <c r="AF353" s="562"/>
      <c r="AG353" s="562"/>
      <c r="AH353" s="562"/>
      <c r="AI353" s="562"/>
      <c r="AJ353" s="562"/>
      <c r="AK353" s="562"/>
      <c r="AL353" s="190"/>
      <c r="AM353" s="190"/>
      <c r="AN353" s="190"/>
      <c r="AO353" s="190"/>
      <c r="AP353" s="190"/>
      <c r="AQ353" s="190"/>
      <c r="AR353" s="190"/>
      <c r="AS353" s="190"/>
    </row>
    <row r="354" spans="1:45" ht="16" thickBot="1" x14ac:dyDescent="0.25">
      <c r="A354" s="541">
        <v>6</v>
      </c>
      <c r="B354" s="551" t="s">
        <v>2480</v>
      </c>
      <c r="C354" s="551"/>
      <c r="D354" s="544"/>
      <c r="E354" s="544"/>
      <c r="F354" s="544"/>
      <c r="G354" s="543" t="str">
        <f t="shared" si="113"/>
        <v/>
      </c>
      <c r="H354" s="541" t="s">
        <v>3757</v>
      </c>
      <c r="I354" s="40"/>
      <c r="J354" s="3"/>
      <c r="K354" s="53"/>
      <c r="L354" s="775"/>
      <c r="M354" s="814"/>
      <c r="N354" s="982"/>
      <c r="O354" s="887"/>
      <c r="P354" s="562"/>
      <c r="Q354" s="562"/>
      <c r="R354" s="562"/>
      <c r="S354" s="562"/>
      <c r="T354" s="562"/>
      <c r="U354" s="562"/>
      <c r="V354" s="562"/>
      <c r="W354" s="562"/>
      <c r="X354" s="825"/>
      <c r="Y354" s="979"/>
      <c r="Z354" s="1007"/>
      <c r="AA354" s="562"/>
      <c r="AB354" s="562"/>
      <c r="AC354" s="562"/>
      <c r="AD354" s="562"/>
      <c r="AE354" s="562"/>
      <c r="AF354" s="562"/>
      <c r="AG354" s="562"/>
      <c r="AH354" s="562"/>
      <c r="AI354" s="562"/>
      <c r="AJ354" s="562"/>
      <c r="AK354" s="562"/>
      <c r="AL354" s="562"/>
      <c r="AM354" s="562"/>
      <c r="AN354" s="562"/>
      <c r="AO354" s="562"/>
      <c r="AP354" s="562"/>
      <c r="AQ354" s="562"/>
      <c r="AR354" s="562"/>
      <c r="AS354" s="562"/>
    </row>
    <row r="355" spans="1:45" ht="16" thickTop="1" x14ac:dyDescent="0.2">
      <c r="A355" s="541">
        <v>6</v>
      </c>
      <c r="B355" s="549" t="s">
        <v>2483</v>
      </c>
      <c r="C355" s="544"/>
      <c r="D355" s="544"/>
      <c r="E355" s="544"/>
      <c r="F355" s="544"/>
      <c r="G355" s="543" t="s">
        <v>3343</v>
      </c>
      <c r="H355" s="541" t="s">
        <v>3757</v>
      </c>
      <c r="I355" s="131" t="s">
        <v>2484</v>
      </c>
      <c r="J355" s="132"/>
      <c r="K355" s="133"/>
      <c r="L355" s="95" t="s">
        <v>2485</v>
      </c>
      <c r="M355" s="625"/>
      <c r="N355" s="673"/>
      <c r="O355" s="673"/>
      <c r="P355" s="74"/>
      <c r="Q355" s="74"/>
      <c r="R355" s="74"/>
      <c r="S355" s="74"/>
      <c r="T355" s="74"/>
      <c r="U355" s="74"/>
      <c r="V355" s="74"/>
      <c r="W355" s="74"/>
      <c r="X355" s="74"/>
      <c r="Y355" s="562"/>
      <c r="Z355" s="430"/>
      <c r="AA355" s="562"/>
      <c r="AB355" s="562"/>
      <c r="AC355" s="562"/>
      <c r="AD355" s="562"/>
      <c r="AE355" s="562"/>
      <c r="AF355" s="562"/>
      <c r="AG355" s="562"/>
      <c r="AH355" s="562"/>
      <c r="AI355" s="562"/>
      <c r="AJ355" s="562"/>
      <c r="AK355" s="562"/>
      <c r="AL355" s="562"/>
      <c r="AM355" s="562"/>
      <c r="AN355" s="562"/>
      <c r="AO355" s="562"/>
      <c r="AP355" s="562"/>
      <c r="AQ355" s="562"/>
      <c r="AR355" s="562"/>
      <c r="AS355" s="562"/>
    </row>
    <row r="356" spans="1:45" x14ac:dyDescent="0.2">
      <c r="A356" s="541">
        <v>6</v>
      </c>
      <c r="B356" s="551" t="s">
        <v>2486</v>
      </c>
      <c r="C356" s="551"/>
      <c r="D356" s="544"/>
      <c r="E356" s="544"/>
      <c r="F356" s="544"/>
      <c r="G356" s="543" t="s">
        <v>3343</v>
      </c>
      <c r="H356" s="541" t="s">
        <v>3757</v>
      </c>
      <c r="I356" s="40" t="s">
        <v>2487</v>
      </c>
      <c r="J356" s="3"/>
      <c r="K356" s="53"/>
      <c r="L356" s="775" t="s">
        <v>2488</v>
      </c>
      <c r="M356" s="616"/>
      <c r="N356" s="648"/>
      <c r="O356" s="648"/>
      <c r="P356" s="562"/>
      <c r="Q356" s="562"/>
      <c r="R356" s="562"/>
      <c r="S356" s="562"/>
      <c r="T356" s="562"/>
      <c r="U356" s="562"/>
      <c r="V356" s="562"/>
      <c r="W356" s="562"/>
      <c r="X356" s="562"/>
      <c r="Y356" s="562"/>
      <c r="Z356" s="430"/>
      <c r="AA356" s="562"/>
      <c r="AB356" s="562"/>
      <c r="AC356" s="562"/>
      <c r="AD356" s="562"/>
      <c r="AE356" s="562"/>
      <c r="AF356" s="562"/>
      <c r="AG356" s="562"/>
      <c r="AH356" s="562"/>
      <c r="AI356" s="562"/>
      <c r="AJ356" s="562"/>
      <c r="AK356" s="562"/>
      <c r="AL356" s="562"/>
      <c r="AM356" s="562"/>
      <c r="AN356" s="562"/>
      <c r="AO356" s="562"/>
      <c r="AP356" s="562"/>
      <c r="AQ356" s="562"/>
      <c r="AR356" s="562"/>
      <c r="AS356" s="562"/>
    </row>
    <row r="357" spans="1:45" x14ac:dyDescent="0.2">
      <c r="A357" s="541">
        <v>6</v>
      </c>
      <c r="B357" s="551" t="s">
        <v>2486</v>
      </c>
      <c r="C357" s="551"/>
      <c r="D357" s="544"/>
      <c r="E357" s="544"/>
      <c r="F357" s="544"/>
      <c r="G357" s="543" t="s">
        <v>3343</v>
      </c>
      <c r="H357" s="541" t="s">
        <v>3757</v>
      </c>
      <c r="I357" s="40"/>
      <c r="J357" s="3"/>
      <c r="K357" s="53"/>
      <c r="L357" s="775"/>
      <c r="M357" s="616"/>
      <c r="N357" s="648"/>
      <c r="O357" s="648"/>
      <c r="P357" s="562"/>
      <c r="Q357" s="562"/>
      <c r="R357" s="562"/>
      <c r="S357" s="562"/>
      <c r="T357" s="562"/>
      <c r="U357" s="562"/>
      <c r="V357" s="562"/>
      <c r="W357" s="562"/>
      <c r="X357" s="562"/>
      <c r="Y357" s="562"/>
      <c r="Z357" s="430"/>
      <c r="AA357" s="562"/>
      <c r="AB357" s="562"/>
      <c r="AC357" s="562"/>
      <c r="AD357" s="562"/>
      <c r="AE357" s="562"/>
      <c r="AF357" s="562"/>
      <c r="AG357" s="562"/>
      <c r="AH357" s="562"/>
      <c r="AI357" s="562"/>
      <c r="AJ357" s="562"/>
      <c r="AK357" s="562"/>
      <c r="AL357" s="562"/>
      <c r="AM357" s="562"/>
      <c r="AN357" s="562"/>
      <c r="AO357" s="562"/>
      <c r="AP357" s="562"/>
      <c r="AQ357" s="562"/>
      <c r="AR357" s="562"/>
      <c r="AS357" s="562"/>
    </row>
    <row r="358" spans="1:45" s="498" customFormat="1" x14ac:dyDescent="0.2">
      <c r="A358" s="541">
        <v>6</v>
      </c>
      <c r="B358" s="551" t="s">
        <v>2486</v>
      </c>
      <c r="C358" s="551"/>
      <c r="D358" s="544"/>
      <c r="E358" s="544"/>
      <c r="F358" s="544"/>
      <c r="G358" s="543" t="s">
        <v>3343</v>
      </c>
      <c r="H358" s="541" t="s">
        <v>3757</v>
      </c>
      <c r="I358" s="40"/>
      <c r="J358" s="3"/>
      <c r="K358" s="53"/>
      <c r="L358" s="775"/>
      <c r="M358" s="616"/>
      <c r="N358" s="648"/>
      <c r="O358" s="648"/>
      <c r="P358" s="562"/>
      <c r="Q358" s="562"/>
      <c r="R358" s="562"/>
      <c r="S358" s="562"/>
      <c r="T358" s="562"/>
      <c r="U358" s="562"/>
      <c r="V358" s="562"/>
      <c r="W358" s="562"/>
      <c r="X358" s="562"/>
      <c r="Y358" s="562"/>
      <c r="Z358" s="430"/>
      <c r="AA358" s="562"/>
      <c r="AB358" s="562"/>
      <c r="AC358" s="562"/>
      <c r="AD358" s="562"/>
      <c r="AE358" s="562"/>
      <c r="AF358" s="562"/>
      <c r="AG358" s="562"/>
      <c r="AH358" s="562"/>
      <c r="AI358" s="562"/>
      <c r="AJ358" s="562"/>
      <c r="AK358" s="562"/>
      <c r="AL358" s="562"/>
      <c r="AM358" s="562"/>
      <c r="AN358" s="562"/>
      <c r="AO358" s="562"/>
      <c r="AP358" s="562"/>
      <c r="AQ358" s="562"/>
      <c r="AR358" s="562"/>
      <c r="AS358" s="562"/>
    </row>
    <row r="359" spans="1:45" x14ac:dyDescent="0.2">
      <c r="A359" s="541">
        <v>6</v>
      </c>
      <c r="B359" s="551" t="s">
        <v>2486</v>
      </c>
      <c r="C359" s="551"/>
      <c r="D359" s="544"/>
      <c r="E359" s="544"/>
      <c r="F359" s="544"/>
      <c r="G359" s="543" t="s">
        <v>3343</v>
      </c>
      <c r="H359" s="541" t="s">
        <v>3757</v>
      </c>
      <c r="I359" s="40"/>
      <c r="J359" s="3"/>
      <c r="K359" s="53"/>
      <c r="L359" s="775"/>
      <c r="M359" s="616"/>
      <c r="N359" s="648"/>
      <c r="O359" s="648"/>
      <c r="P359" s="562"/>
      <c r="Q359" s="562"/>
      <c r="R359" s="562"/>
      <c r="S359" s="562"/>
      <c r="T359" s="562"/>
      <c r="U359" s="562"/>
      <c r="V359" s="562"/>
      <c r="W359" s="562"/>
      <c r="X359" s="562"/>
      <c r="Y359" s="562"/>
      <c r="Z359" s="430"/>
      <c r="AA359" s="562"/>
      <c r="AB359" s="562"/>
      <c r="AC359" s="562"/>
      <c r="AD359" s="562"/>
      <c r="AE359" s="562"/>
      <c r="AF359" s="562"/>
      <c r="AG359" s="562"/>
      <c r="AH359" s="562"/>
      <c r="AI359" s="562"/>
      <c r="AJ359" s="562"/>
      <c r="AK359" s="562"/>
      <c r="AL359" s="562"/>
      <c r="AM359" s="562"/>
      <c r="AN359" s="562"/>
      <c r="AO359" s="562"/>
      <c r="AP359" s="562"/>
      <c r="AQ359" s="562"/>
      <c r="AR359" s="562"/>
      <c r="AS359" s="562"/>
    </row>
    <row r="360" spans="1:45" x14ac:dyDescent="0.2">
      <c r="A360" s="541">
        <v>6</v>
      </c>
      <c r="B360" s="551" t="s">
        <v>2486</v>
      </c>
      <c r="C360" s="551"/>
      <c r="D360" s="544"/>
      <c r="E360" s="544" t="s">
        <v>2181</v>
      </c>
      <c r="F360" s="544"/>
      <c r="G360" s="543" t="str">
        <f>IF(N360&gt;0,"P","")</f>
        <v/>
      </c>
      <c r="H360" s="541" t="s">
        <v>3757</v>
      </c>
      <c r="I360" s="40"/>
      <c r="J360" s="134" t="s">
        <v>2181</v>
      </c>
      <c r="K360" s="65"/>
      <c r="L360" s="791" t="s">
        <v>2489</v>
      </c>
      <c r="M360" s="800">
        <v>6</v>
      </c>
      <c r="N360" s="924">
        <f>'Ch6'!O121</f>
        <v>0</v>
      </c>
      <c r="O360" s="924">
        <f>M360*S360*W360</f>
        <v>0</v>
      </c>
      <c r="P360" s="562" t="b">
        <v>1</v>
      </c>
      <c r="Q360" s="562" t="b">
        <v>0</v>
      </c>
      <c r="R360" s="562" t="b">
        <v>0</v>
      </c>
      <c r="S360" s="562" t="b">
        <f>OR(AZ271=2,AZ271=7)</f>
        <v>0</v>
      </c>
      <c r="T360" s="64" t="b">
        <f>IF(AND(NOT(S360),W360=TRUE),TRUE,FALSE)</f>
        <v>0</v>
      </c>
      <c r="U360" s="562"/>
      <c r="V360" s="562"/>
      <c r="W360" s="18"/>
      <c r="X360" s="787"/>
      <c r="Y360" s="980" t="str">
        <f>IF(LEN('Ch6'!X121)=0,"None",'Ch6'!X121)</f>
        <v>None</v>
      </c>
      <c r="Z360" s="983"/>
      <c r="AA360" s="562"/>
      <c r="AB360" s="562"/>
      <c r="AC360" s="562" t="b">
        <f>OR(AD360:AE360)</f>
        <v>0</v>
      </c>
      <c r="AD360" s="562" t="b">
        <f>T360</f>
        <v>0</v>
      </c>
      <c r="AE360" s="562"/>
      <c r="AF360" s="562"/>
      <c r="AG360" s="562"/>
      <c r="AH360" s="562"/>
      <c r="AI360" s="562"/>
      <c r="AJ360" s="562"/>
      <c r="AK360" s="562"/>
      <c r="AL360" s="190" t="str">
        <f>SUBSTITUTE(SUBSTITUTE(SUBSTITUTE("vpa"&amp;$B360&amp;$C360&amp;$D360&amp;$E360&amp;$F360,".","_"),"(","_"),")","")</f>
        <v>vpa602_1_4_1_1</v>
      </c>
      <c r="AM360" s="190">
        <f>M360</f>
        <v>6</v>
      </c>
      <c r="AN360" s="190" t="str">
        <f>SUBSTITUTE(SUBSTITUTE(SUBSTITUTE("vpc"&amp;$B360&amp;$C360&amp;$D360&amp;$E360&amp;$F360,".","_"),"(","_"),")","")</f>
        <v>vpc602_1_4_1_1</v>
      </c>
      <c r="AO360" s="190">
        <f>O360</f>
        <v>0</v>
      </c>
      <c r="AP360" s="190" t="str">
        <f>SUBSTITUTE(SUBSTITUTE(SUBSTITUTE("vch"&amp;$B360&amp;$C360&amp;$D360&amp;$E360&amp;$F360,".","_"),"(","_"),")","")</f>
        <v>vch602_1_4_1_1</v>
      </c>
      <c r="AQ360" s="190">
        <f>W360</f>
        <v>0</v>
      </c>
      <c r="AR360" s="190" t="str">
        <f>SUBSTITUTE(SUBSTITUTE(SUBSTITUTE("vnt"&amp;$B360&amp;$C360&amp;$D360&amp;$E360&amp;$F360,".","_"),"(","_"),")","")</f>
        <v>vnt602_1_4_1_1</v>
      </c>
      <c r="AS360" s="190">
        <f>X360</f>
        <v>0</v>
      </c>
    </row>
    <row r="361" spans="1:45" x14ac:dyDescent="0.2">
      <c r="A361" s="541">
        <v>6</v>
      </c>
      <c r="B361" s="551" t="s">
        <v>2486</v>
      </c>
      <c r="C361" s="551"/>
      <c r="D361" s="544"/>
      <c r="E361" s="544" t="s">
        <v>2181</v>
      </c>
      <c r="F361" s="544"/>
      <c r="G361" s="543" t="str">
        <f t="shared" ref="G361" si="114">G360</f>
        <v/>
      </c>
      <c r="H361" s="541" t="s">
        <v>3757</v>
      </c>
      <c r="I361" s="40"/>
      <c r="J361" s="165"/>
      <c r="K361" s="126"/>
      <c r="L361" s="792"/>
      <c r="M361" s="801"/>
      <c r="N361" s="942"/>
      <c r="O361" s="942"/>
      <c r="P361" s="562"/>
      <c r="Q361" s="562"/>
      <c r="R361" s="562"/>
      <c r="S361" s="562"/>
      <c r="T361" s="562"/>
      <c r="U361" s="562"/>
      <c r="V361" s="562"/>
      <c r="W361" s="562"/>
      <c r="X361" s="787"/>
      <c r="Y361" s="980"/>
      <c r="Z361" s="983"/>
      <c r="AA361" s="562"/>
      <c r="AB361" s="562"/>
      <c r="AC361" s="562"/>
      <c r="AD361" s="562"/>
      <c r="AE361" s="562"/>
      <c r="AF361" s="562"/>
      <c r="AG361" s="562"/>
      <c r="AH361" s="562"/>
      <c r="AI361" s="562"/>
      <c r="AJ361" s="562"/>
      <c r="AK361" s="562"/>
      <c r="AL361" s="562"/>
      <c r="AM361" s="562"/>
      <c r="AN361" s="562"/>
      <c r="AO361" s="562"/>
      <c r="AP361" s="562"/>
      <c r="AQ361" s="562"/>
      <c r="AR361" s="562"/>
      <c r="AS361" s="562"/>
    </row>
    <row r="362" spans="1:45" x14ac:dyDescent="0.2">
      <c r="A362" s="541">
        <v>6</v>
      </c>
      <c r="B362" s="551" t="s">
        <v>2486</v>
      </c>
      <c r="C362" s="551"/>
      <c r="D362" s="544"/>
      <c r="E362" s="544" t="s">
        <v>2183</v>
      </c>
      <c r="F362" s="544"/>
      <c r="G362" s="543" t="s">
        <v>3343</v>
      </c>
      <c r="H362" s="541" t="s">
        <v>3757</v>
      </c>
      <c r="I362" s="99"/>
      <c r="J362" s="134" t="s">
        <v>2183</v>
      </c>
      <c r="K362" s="65"/>
      <c r="L362" s="65" t="s">
        <v>2490</v>
      </c>
      <c r="M362" s="630" t="str">
        <f>IF(R362,"Mandatory","N/A")</f>
        <v>N/A</v>
      </c>
      <c r="N362" s="648"/>
      <c r="O362" s="648"/>
      <c r="P362" s="562" t="b">
        <v>1</v>
      </c>
      <c r="Q362" s="562" t="b">
        <v>0</v>
      </c>
      <c r="R362" s="562" t="b">
        <f>S362</f>
        <v>0</v>
      </c>
      <c r="S362" s="562" t="b">
        <f>OR(AZ271=2,AZ271=7)</f>
        <v>0</v>
      </c>
      <c r="T362" s="64" t="b">
        <f>IF(AND(NOT(S362),LEN(W362)&gt;0),TRUE,FALSE)</f>
        <v>0</v>
      </c>
      <c r="U362" s="64" t="str">
        <f>SUBSTITUTE(SUBSTITUTE(SUBSTITUTE("dd"&amp;B362&amp;C362&amp;D362&amp;E362&amp;F362,".","_"),"(","_"),")","")</f>
        <v>dd602_1_4_1_2</v>
      </c>
      <c r="V362" s="562"/>
      <c r="W362" s="6"/>
      <c r="X362" s="825"/>
      <c r="Y362" s="969" t="str">
        <f>IF(LEN('Ch6'!X123)=0,"None",'Ch6'!X123)</f>
        <v>None</v>
      </c>
      <c r="Z362" s="972"/>
      <c r="AA362" s="562"/>
      <c r="AB362" s="562"/>
      <c r="AC362" s="562" t="b">
        <f>OR(AD362:AE362)</f>
        <v>0</v>
      </c>
      <c r="AD362" s="562" t="b">
        <f>T362</f>
        <v>0</v>
      </c>
      <c r="AE362" s="562" t="b">
        <f>AND(R362,NOT(W362="Met"),NOT(W362="N/A"))</f>
        <v>0</v>
      </c>
      <c r="AF362" s="562" t="b">
        <f>AND(AE362,NOT(Q362))</f>
        <v>0</v>
      </c>
      <c r="AG362" s="562"/>
      <c r="AH362" s="562"/>
      <c r="AI362" s="562"/>
      <c r="AJ362" s="562"/>
      <c r="AK362" s="562"/>
      <c r="AL362" s="190" t="str">
        <f>SUBSTITUTE(SUBSTITUTE(SUBSTITUTE("vpa"&amp;$B362&amp;$C362&amp;$D362&amp;$E362&amp;$F362,".","_"),"(","_"),")","")</f>
        <v>vpa602_1_4_1_2</v>
      </c>
      <c r="AM362" s="190" t="str">
        <f>M362</f>
        <v>N/A</v>
      </c>
      <c r="AN362" s="562"/>
      <c r="AO362" s="562"/>
      <c r="AP362" s="190" t="str">
        <f>SUBSTITUTE(SUBSTITUTE(SUBSTITUTE("vch"&amp;$B362&amp;$C362&amp;$D362&amp;$E362&amp;$F362,".","_"),"(","_"),")","")</f>
        <v>vch602_1_4_1_2</v>
      </c>
      <c r="AQ362" s="190">
        <f>W362</f>
        <v>0</v>
      </c>
      <c r="AR362" s="190" t="str">
        <f>SUBSTITUTE(SUBSTITUTE(SUBSTITUTE("vnt"&amp;$B362&amp;$C362&amp;$D362&amp;$E362&amp;$F362,".","_"),"(","_"),")","")</f>
        <v>vnt602_1_4_1_2</v>
      </c>
      <c r="AS362" s="190">
        <f>X362</f>
        <v>0</v>
      </c>
    </row>
    <row r="363" spans="1:45" s="484" customFormat="1" x14ac:dyDescent="0.2">
      <c r="A363" s="541">
        <v>6</v>
      </c>
      <c r="B363" s="551" t="s">
        <v>2486</v>
      </c>
      <c r="C363" s="551"/>
      <c r="D363" s="544"/>
      <c r="E363" s="544" t="s">
        <v>2183</v>
      </c>
      <c r="F363" s="544"/>
      <c r="G363" s="543" t="s">
        <v>3343</v>
      </c>
      <c r="H363" s="541" t="s">
        <v>3757</v>
      </c>
      <c r="I363" s="170"/>
      <c r="J363" s="159"/>
      <c r="K363" s="126"/>
      <c r="L363" s="628" t="s">
        <v>2491</v>
      </c>
      <c r="M363" s="483"/>
      <c r="N363" s="648"/>
      <c r="O363" s="648"/>
      <c r="P363" s="562"/>
      <c r="Q363" s="562"/>
      <c r="R363" s="562"/>
      <c r="S363" s="562"/>
      <c r="T363" s="64"/>
      <c r="U363" s="64"/>
      <c r="V363" s="562"/>
      <c r="W363" s="562"/>
      <c r="X363" s="786"/>
      <c r="Y363" s="975"/>
      <c r="Z363" s="976"/>
      <c r="AA363" s="562"/>
      <c r="AB363" s="562"/>
      <c r="AC363" s="562"/>
      <c r="AD363" s="562"/>
      <c r="AE363" s="562"/>
      <c r="AF363" s="562"/>
      <c r="AG363" s="562"/>
      <c r="AH363" s="562"/>
      <c r="AI363" s="562"/>
      <c r="AJ363" s="562"/>
      <c r="AK363" s="562"/>
      <c r="AL363" s="190"/>
      <c r="AM363" s="190"/>
      <c r="AN363" s="562"/>
      <c r="AO363" s="562"/>
      <c r="AP363" s="190"/>
      <c r="AQ363" s="190"/>
      <c r="AR363" s="190"/>
      <c r="AS363" s="190"/>
    </row>
    <row r="364" spans="1:45" x14ac:dyDescent="0.2">
      <c r="A364" s="541">
        <v>6</v>
      </c>
      <c r="B364" s="549" t="s">
        <v>2492</v>
      </c>
      <c r="C364" s="544"/>
      <c r="D364" s="544"/>
      <c r="E364" s="544"/>
      <c r="F364" s="544"/>
      <c r="G364" s="543" t="s">
        <v>3343</v>
      </c>
      <c r="H364" s="541" t="s">
        <v>3757</v>
      </c>
      <c r="I364" s="40" t="s">
        <v>2493</v>
      </c>
      <c r="J364" s="3"/>
      <c r="K364" s="53"/>
      <c r="L364" s="775" t="s">
        <v>2494</v>
      </c>
      <c r="M364" s="616"/>
      <c r="N364" s="648"/>
      <c r="O364" s="648"/>
      <c r="P364" s="562"/>
      <c r="Q364" s="562"/>
      <c r="R364" s="562"/>
      <c r="S364" s="562"/>
      <c r="T364" s="562"/>
      <c r="U364" s="562"/>
      <c r="V364" s="562"/>
      <c r="W364" s="562"/>
      <c r="X364" s="562"/>
      <c r="Y364" s="562"/>
      <c r="Z364" s="430"/>
      <c r="AA364" s="562"/>
      <c r="AB364" s="562"/>
      <c r="AC364" s="562"/>
      <c r="AD364" s="562"/>
      <c r="AE364" s="562"/>
      <c r="AF364" s="562"/>
      <c r="AG364" s="562"/>
      <c r="AH364" s="562"/>
      <c r="AI364" s="562"/>
      <c r="AJ364" s="562"/>
      <c r="AK364" s="562"/>
      <c r="AL364" s="562"/>
      <c r="AM364" s="562"/>
      <c r="AN364" s="562"/>
      <c r="AO364" s="562"/>
      <c r="AP364" s="562"/>
      <c r="AQ364" s="562"/>
      <c r="AR364" s="562"/>
      <c r="AS364" s="562"/>
    </row>
    <row r="365" spans="1:45" s="498" customFormat="1" x14ac:dyDescent="0.2">
      <c r="A365" s="541">
        <v>6</v>
      </c>
      <c r="B365" s="549" t="s">
        <v>2492</v>
      </c>
      <c r="C365" s="544"/>
      <c r="D365" s="544"/>
      <c r="E365" s="544"/>
      <c r="F365" s="544"/>
      <c r="G365" s="543" t="s">
        <v>3343</v>
      </c>
      <c r="H365" s="541" t="s">
        <v>3757</v>
      </c>
      <c r="I365" s="40"/>
      <c r="J365" s="3"/>
      <c r="K365" s="53"/>
      <c r="L365" s="775"/>
      <c r="M365" s="616"/>
      <c r="N365" s="648"/>
      <c r="O365" s="648"/>
      <c r="P365" s="562"/>
      <c r="Q365" s="562"/>
      <c r="R365" s="562"/>
      <c r="S365" s="562"/>
      <c r="T365" s="562"/>
      <c r="U365" s="562"/>
      <c r="V365" s="562"/>
      <c r="W365" s="562"/>
      <c r="X365" s="562"/>
      <c r="Y365" s="562"/>
      <c r="Z365" s="430"/>
      <c r="AA365" s="562"/>
      <c r="AB365" s="562"/>
      <c r="AC365" s="562"/>
      <c r="AD365" s="562"/>
      <c r="AE365" s="562"/>
      <c r="AF365" s="562"/>
      <c r="AG365" s="562"/>
      <c r="AH365" s="562"/>
      <c r="AI365" s="562"/>
      <c r="AJ365" s="562"/>
      <c r="AK365" s="562"/>
      <c r="AL365" s="562"/>
      <c r="AM365" s="562"/>
      <c r="AN365" s="562"/>
      <c r="AO365" s="562"/>
      <c r="AP365" s="562"/>
      <c r="AQ365" s="562"/>
      <c r="AR365" s="562"/>
      <c r="AS365" s="562"/>
    </row>
    <row r="366" spans="1:45" s="498" customFormat="1" x14ac:dyDescent="0.2">
      <c r="A366" s="541">
        <v>6</v>
      </c>
      <c r="B366" s="549" t="s">
        <v>2492</v>
      </c>
      <c r="C366" s="544"/>
      <c r="D366" s="544"/>
      <c r="E366" s="544"/>
      <c r="F366" s="544"/>
      <c r="G366" s="543" t="s">
        <v>3343</v>
      </c>
      <c r="H366" s="541" t="s">
        <v>3757</v>
      </c>
      <c r="I366" s="40"/>
      <c r="J366" s="3"/>
      <c r="K366" s="53"/>
      <c r="L366" s="775"/>
      <c r="M366" s="616"/>
      <c r="N366" s="648"/>
      <c r="O366" s="648"/>
      <c r="P366" s="562"/>
      <c r="Q366" s="562"/>
      <c r="R366" s="562"/>
      <c r="S366" s="562"/>
      <c r="T366" s="562"/>
      <c r="U366" s="562"/>
      <c r="V366" s="562"/>
      <c r="W366" s="562"/>
      <c r="X366" s="562"/>
      <c r="Y366" s="562"/>
      <c r="Z366" s="430"/>
      <c r="AA366" s="562"/>
      <c r="AB366" s="562"/>
      <c r="AC366" s="562"/>
      <c r="AD366" s="562"/>
      <c r="AE366" s="562"/>
      <c r="AF366" s="562"/>
      <c r="AG366" s="562"/>
      <c r="AH366" s="562"/>
      <c r="AI366" s="562"/>
      <c r="AJ366" s="562"/>
      <c r="AK366" s="562"/>
      <c r="AL366" s="562"/>
      <c r="AM366" s="562"/>
      <c r="AN366" s="562"/>
      <c r="AO366" s="562"/>
      <c r="AP366" s="562"/>
      <c r="AQ366" s="562"/>
      <c r="AR366" s="562"/>
      <c r="AS366" s="562"/>
    </row>
    <row r="367" spans="1:45" x14ac:dyDescent="0.2">
      <c r="A367" s="541">
        <v>6</v>
      </c>
      <c r="B367" s="549" t="s">
        <v>2492</v>
      </c>
      <c r="C367" s="544"/>
      <c r="D367" s="544"/>
      <c r="E367" s="544"/>
      <c r="F367" s="544"/>
      <c r="G367" s="543" t="s">
        <v>3343</v>
      </c>
      <c r="H367" s="541" t="s">
        <v>3757</v>
      </c>
      <c r="I367" s="40"/>
      <c r="J367" s="3"/>
      <c r="K367" s="53"/>
      <c r="L367" s="775"/>
      <c r="M367" s="616"/>
      <c r="N367" s="648"/>
      <c r="O367" s="648"/>
      <c r="P367" s="562"/>
      <c r="Q367" s="562"/>
      <c r="R367" s="562"/>
      <c r="S367" s="562"/>
      <c r="T367" s="562"/>
      <c r="U367" s="562"/>
      <c r="V367" s="562"/>
      <c r="W367" s="562"/>
      <c r="X367" s="562"/>
      <c r="Y367" s="562"/>
      <c r="Z367" s="430"/>
      <c r="AA367" s="562"/>
      <c r="AB367" s="562"/>
      <c r="AC367" s="562"/>
      <c r="AD367" s="562"/>
      <c r="AE367" s="562"/>
      <c r="AF367" s="562"/>
      <c r="AG367" s="562"/>
      <c r="AH367" s="562"/>
      <c r="AI367" s="562"/>
      <c r="AJ367" s="562"/>
      <c r="AK367" s="562"/>
      <c r="AL367" s="562"/>
      <c r="AM367" s="562"/>
      <c r="AN367" s="562"/>
      <c r="AO367" s="562"/>
      <c r="AP367" s="562"/>
      <c r="AQ367" s="562"/>
      <c r="AR367" s="562"/>
      <c r="AS367" s="562"/>
    </row>
    <row r="368" spans="1:45" x14ac:dyDescent="0.2">
      <c r="A368" s="541">
        <v>6</v>
      </c>
      <c r="B368" s="549" t="s">
        <v>2492</v>
      </c>
      <c r="C368" s="544"/>
      <c r="D368" s="544"/>
      <c r="E368" s="544"/>
      <c r="F368" s="544"/>
      <c r="G368" s="543" t="s">
        <v>3343</v>
      </c>
      <c r="H368" s="541" t="s">
        <v>3757</v>
      </c>
      <c r="I368" s="40"/>
      <c r="J368" s="3"/>
      <c r="K368" s="53"/>
      <c r="L368" s="775"/>
      <c r="M368" s="616"/>
      <c r="N368" s="648"/>
      <c r="O368" s="648"/>
      <c r="P368" s="562"/>
      <c r="Q368" s="562"/>
      <c r="R368" s="562"/>
      <c r="S368" s="562"/>
      <c r="T368" s="562"/>
      <c r="U368" s="562"/>
      <c r="V368" s="562"/>
      <c r="W368" s="562"/>
      <c r="X368" s="562"/>
      <c r="Y368" s="562"/>
      <c r="Z368" s="430"/>
      <c r="AA368" s="562"/>
      <c r="AB368" s="562"/>
      <c r="AC368" s="562"/>
      <c r="AD368" s="562"/>
      <c r="AE368" s="562"/>
      <c r="AF368" s="562"/>
      <c r="AG368" s="562"/>
      <c r="AH368" s="562"/>
      <c r="AI368" s="562"/>
      <c r="AJ368" s="562"/>
      <c r="AK368" s="562"/>
      <c r="AL368" s="562"/>
      <c r="AM368" s="562"/>
      <c r="AN368" s="562"/>
      <c r="AO368" s="562"/>
      <c r="AP368" s="562"/>
      <c r="AQ368" s="562"/>
      <c r="AR368" s="562"/>
      <c r="AS368" s="562"/>
    </row>
    <row r="369" spans="1:45" x14ac:dyDescent="0.2">
      <c r="A369" s="541">
        <v>6</v>
      </c>
      <c r="B369" s="549" t="s">
        <v>2492</v>
      </c>
      <c r="C369" s="544"/>
      <c r="D369" s="544"/>
      <c r="E369" s="544" t="s">
        <v>2181</v>
      </c>
      <c r="F369" s="544"/>
      <c r="G369" s="543" t="str">
        <f>IF(N369&gt;0,"P","")</f>
        <v/>
      </c>
      <c r="H369" s="541" t="s">
        <v>3757</v>
      </c>
      <c r="I369" s="40"/>
      <c r="J369" s="134" t="s">
        <v>2181</v>
      </c>
      <c r="K369" s="65"/>
      <c r="L369" s="791" t="s">
        <v>2495</v>
      </c>
      <c r="M369" s="800">
        <v>8</v>
      </c>
      <c r="N369" s="924">
        <f>'Ch6'!O130</f>
        <v>0</v>
      </c>
      <c r="O369" s="924">
        <f>M369*S369*W369</f>
        <v>0</v>
      </c>
      <c r="P369" s="562" t="b">
        <v>1</v>
      </c>
      <c r="Q369" s="562" t="b">
        <v>0</v>
      </c>
      <c r="R369" s="562" t="b">
        <v>0</v>
      </c>
      <c r="S369" s="562" t="b">
        <f>OR(AZ271=3,AZ271=7)</f>
        <v>0</v>
      </c>
      <c r="T369" s="64" t="b">
        <f>IF(AND(NOT(S369),W369=TRUE),TRUE,FALSE)</f>
        <v>0</v>
      </c>
      <c r="U369" s="562"/>
      <c r="V369" s="562"/>
      <c r="W369" s="18"/>
      <c r="X369" s="787"/>
      <c r="Y369" s="980" t="str">
        <f>IF(LEN('Ch6'!X130)=0,"None",'Ch6'!X130)</f>
        <v>None</v>
      </c>
      <c r="Z369" s="983"/>
      <c r="AA369" s="562"/>
      <c r="AB369" s="562"/>
      <c r="AC369" s="562" t="b">
        <f>OR(AD369:AE369)</f>
        <v>0</v>
      </c>
      <c r="AD369" s="562" t="b">
        <f>T369</f>
        <v>0</v>
      </c>
      <c r="AE369" s="562"/>
      <c r="AF369" s="562"/>
      <c r="AG369" s="562"/>
      <c r="AH369" s="562"/>
      <c r="AI369" s="562"/>
      <c r="AJ369" s="562"/>
      <c r="AK369" s="562"/>
      <c r="AL369" s="190" t="str">
        <f>SUBSTITUTE(SUBSTITUTE(SUBSTITUTE("vpa"&amp;$B369&amp;$C369&amp;$D369&amp;$E369&amp;$F369,".","_"),"(","_"),")","")</f>
        <v>vpa602_1_4_2_1</v>
      </c>
      <c r="AM369" s="190">
        <f>M369</f>
        <v>8</v>
      </c>
      <c r="AN369" s="190" t="str">
        <f>SUBSTITUTE(SUBSTITUTE(SUBSTITUTE("vpc"&amp;$B369&amp;$C369&amp;$D369&amp;$E369&amp;$F369,".","_"),"(","_"),")","")</f>
        <v>vpc602_1_4_2_1</v>
      </c>
      <c r="AO369" s="190">
        <f>O369</f>
        <v>0</v>
      </c>
      <c r="AP369" s="190" t="str">
        <f>SUBSTITUTE(SUBSTITUTE(SUBSTITUTE("vch"&amp;$B369&amp;$C369&amp;$D369&amp;$E369&amp;$F369,".","_"),"(","_"),")","")</f>
        <v>vch602_1_4_2_1</v>
      </c>
      <c r="AQ369" s="190">
        <f>W369</f>
        <v>0</v>
      </c>
      <c r="AR369" s="190" t="str">
        <f>SUBSTITUTE(SUBSTITUTE(SUBSTITUTE("vnt"&amp;$B369&amp;$C369&amp;$D369&amp;$E369&amp;$F369,".","_"),"(","_"),")","")</f>
        <v>vnt602_1_4_2_1</v>
      </c>
      <c r="AS369" s="190">
        <f>X369</f>
        <v>0</v>
      </c>
    </row>
    <row r="370" spans="1:45" x14ac:dyDescent="0.2">
      <c r="A370" s="541">
        <v>6</v>
      </c>
      <c r="B370" s="549" t="s">
        <v>2492</v>
      </c>
      <c r="C370" s="544"/>
      <c r="D370" s="544"/>
      <c r="E370" s="544" t="s">
        <v>2181</v>
      </c>
      <c r="F370" s="544"/>
      <c r="G370" s="543" t="str">
        <f t="shared" ref="G370" si="115">G369</f>
        <v/>
      </c>
      <c r="H370" s="541" t="s">
        <v>3757</v>
      </c>
      <c r="I370" s="40"/>
      <c r="J370" s="165"/>
      <c r="K370" s="126"/>
      <c r="L370" s="792"/>
      <c r="M370" s="801"/>
      <c r="N370" s="942"/>
      <c r="O370" s="942"/>
      <c r="P370" s="562"/>
      <c r="Q370" s="562"/>
      <c r="R370" s="562"/>
      <c r="S370" s="562"/>
      <c r="T370" s="562"/>
      <c r="U370" s="562"/>
      <c r="V370" s="562"/>
      <c r="W370" s="562"/>
      <c r="X370" s="787"/>
      <c r="Y370" s="980"/>
      <c r="Z370" s="983"/>
      <c r="AA370" s="562"/>
      <c r="AB370" s="562"/>
      <c r="AC370" s="562"/>
      <c r="AD370" s="562"/>
      <c r="AE370" s="562"/>
      <c r="AF370" s="562"/>
      <c r="AG370" s="562"/>
      <c r="AH370" s="562"/>
      <c r="AI370" s="562"/>
      <c r="AJ370" s="562"/>
      <c r="AK370" s="562"/>
      <c r="AL370" s="562"/>
      <c r="AM370" s="562"/>
      <c r="AN370" s="562"/>
      <c r="AO370" s="562"/>
      <c r="AP370" s="562"/>
      <c r="AQ370" s="562"/>
      <c r="AR370" s="562"/>
      <c r="AS370" s="562"/>
    </row>
    <row r="371" spans="1:45" x14ac:dyDescent="0.2">
      <c r="A371" s="541">
        <v>6</v>
      </c>
      <c r="B371" s="549" t="s">
        <v>2492</v>
      </c>
      <c r="C371" s="544"/>
      <c r="D371" s="544"/>
      <c r="E371" s="544" t="s">
        <v>2183</v>
      </c>
      <c r="F371" s="544"/>
      <c r="G371" s="543" t="s">
        <v>3343</v>
      </c>
      <c r="H371" s="541" t="s">
        <v>3757</v>
      </c>
      <c r="I371" s="40"/>
      <c r="J371" s="20" t="s">
        <v>2183</v>
      </c>
      <c r="K371" s="53"/>
      <c r="L371" s="817" t="s">
        <v>2496</v>
      </c>
      <c r="M371" s="837" t="str">
        <f>IF(R371,"Mandatory","N/A")</f>
        <v>N/A</v>
      </c>
      <c r="N371" s="648"/>
      <c r="O371" s="648"/>
      <c r="P371" s="562" t="b">
        <v>1</v>
      </c>
      <c r="Q371" s="562" t="b">
        <v>0</v>
      </c>
      <c r="R371" s="562" t="b">
        <f>S371</f>
        <v>0</v>
      </c>
      <c r="S371" s="562" t="b">
        <f>OR(AZ271=3,AZ271=7)</f>
        <v>0</v>
      </c>
      <c r="T371" s="64" t="b">
        <f>IF(AND(NOT(S371),LEN(W371)&gt;0),TRUE,FALSE)</f>
        <v>0</v>
      </c>
      <c r="U371" s="64" t="str">
        <f>SUBSTITUTE(SUBSTITUTE(SUBSTITUTE("dd"&amp;B371&amp;C371&amp;D371&amp;E371&amp;F371,".","_"),"(","_"),")","")</f>
        <v>dd602_1_4_2_2</v>
      </c>
      <c r="V371" s="562"/>
      <c r="W371" s="487"/>
      <c r="X371" s="825"/>
      <c r="Y371" s="969" t="str">
        <f>IF(LEN('Ch6'!X132)=0,"None",'Ch6'!X132)</f>
        <v>None</v>
      </c>
      <c r="Z371" s="972"/>
      <c r="AA371" s="562"/>
      <c r="AB371" s="562"/>
      <c r="AC371" s="562" t="b">
        <f>OR(AD371:AE371)</f>
        <v>0</v>
      </c>
      <c r="AD371" s="562" t="b">
        <f>T371</f>
        <v>0</v>
      </c>
      <c r="AE371" s="562" t="b">
        <f>AND(R371,NOT(W371="Met"),NOT(W371="N/A"))</f>
        <v>0</v>
      </c>
      <c r="AF371" s="562" t="b">
        <f>AND(AE371,NOT(Q371))</f>
        <v>0</v>
      </c>
      <c r="AG371" s="562"/>
      <c r="AH371" s="562"/>
      <c r="AI371" s="562"/>
      <c r="AJ371" s="562"/>
      <c r="AK371" s="562"/>
      <c r="AL371" s="190" t="str">
        <f>SUBSTITUTE(SUBSTITUTE(SUBSTITUTE("vpa"&amp;$B371&amp;$C371&amp;$D371&amp;$E371&amp;$F371,".","_"),"(","_"),")","")</f>
        <v>vpa602_1_4_2_2</v>
      </c>
      <c r="AM371" s="190" t="str">
        <f>M371</f>
        <v>N/A</v>
      </c>
      <c r="AN371" s="562"/>
      <c r="AO371" s="562"/>
      <c r="AP371" s="190" t="str">
        <f>SUBSTITUTE(SUBSTITUTE(SUBSTITUTE("vch"&amp;$B371&amp;$C371&amp;$D371&amp;$E371&amp;$F371,".","_"),"(","_"),")","")</f>
        <v>vch602_1_4_2_2</v>
      </c>
      <c r="AQ371" s="190">
        <f>W371</f>
        <v>0</v>
      </c>
      <c r="AR371" s="190" t="str">
        <f>SUBSTITUTE(SUBSTITUTE(SUBSTITUTE("vnt"&amp;$B371&amp;$C371&amp;$D371&amp;$E371&amp;$F371,".","_"),"(","_"),")","")</f>
        <v>vnt602_1_4_2_2</v>
      </c>
      <c r="AS371" s="190">
        <f>X371</f>
        <v>0</v>
      </c>
    </row>
    <row r="372" spans="1:45" x14ac:dyDescent="0.2">
      <c r="A372" s="541">
        <v>6</v>
      </c>
      <c r="B372" s="549" t="s">
        <v>2492</v>
      </c>
      <c r="C372" s="544"/>
      <c r="D372" s="544"/>
      <c r="E372" s="544" t="s">
        <v>2183</v>
      </c>
      <c r="F372" s="544"/>
      <c r="G372" s="543" t="s">
        <v>3343</v>
      </c>
      <c r="H372" s="541" t="s">
        <v>3757</v>
      </c>
      <c r="I372" s="40"/>
      <c r="J372" s="3"/>
      <c r="K372" s="53"/>
      <c r="L372" s="817"/>
      <c r="M372" s="837"/>
      <c r="N372" s="648"/>
      <c r="O372" s="648"/>
      <c r="P372" s="562"/>
      <c r="Q372" s="562"/>
      <c r="R372" s="562"/>
      <c r="S372" s="562"/>
      <c r="T372" s="562"/>
      <c r="U372" s="562"/>
      <c r="V372" s="562"/>
      <c r="W372" s="562"/>
      <c r="X372" s="797"/>
      <c r="Y372" s="970"/>
      <c r="Z372" s="973"/>
      <c r="AA372" s="562"/>
      <c r="AB372" s="562"/>
      <c r="AC372" s="562"/>
      <c r="AD372" s="562"/>
      <c r="AE372" s="562"/>
      <c r="AF372" s="562"/>
      <c r="AG372" s="562"/>
      <c r="AH372" s="562"/>
      <c r="AI372" s="562"/>
      <c r="AJ372" s="562"/>
      <c r="AK372" s="562"/>
      <c r="AL372" s="562"/>
      <c r="AM372" s="562"/>
      <c r="AN372" s="562"/>
      <c r="AO372" s="562"/>
      <c r="AP372" s="562"/>
      <c r="AQ372" s="562"/>
      <c r="AR372" s="562"/>
      <c r="AS372" s="562"/>
    </row>
    <row r="373" spans="1:45" s="484" customFormat="1" x14ac:dyDescent="0.2">
      <c r="A373" s="541">
        <v>6</v>
      </c>
      <c r="B373" s="549" t="s">
        <v>2492</v>
      </c>
      <c r="C373" s="544"/>
      <c r="D373" s="544"/>
      <c r="E373" s="544" t="s">
        <v>2183</v>
      </c>
      <c r="F373" s="544"/>
      <c r="G373" s="543" t="s">
        <v>3343</v>
      </c>
      <c r="H373" s="541" t="s">
        <v>3757</v>
      </c>
      <c r="I373" s="40"/>
      <c r="J373" s="3"/>
      <c r="K373" s="53"/>
      <c r="L373" s="851" t="s">
        <v>2497</v>
      </c>
      <c r="M373" s="616"/>
      <c r="N373" s="648"/>
      <c r="O373" s="648"/>
      <c r="P373" s="562"/>
      <c r="Q373" s="562"/>
      <c r="R373" s="562"/>
      <c r="S373" s="562"/>
      <c r="T373" s="562"/>
      <c r="U373" s="562"/>
      <c r="V373" s="562"/>
      <c r="W373" s="562"/>
      <c r="X373" s="797"/>
      <c r="Y373" s="970"/>
      <c r="Z373" s="973"/>
      <c r="AA373" s="562"/>
      <c r="AB373" s="562"/>
      <c r="AC373" s="562"/>
      <c r="AD373" s="562"/>
      <c r="AE373" s="562"/>
      <c r="AF373" s="562"/>
      <c r="AG373" s="562"/>
      <c r="AH373" s="562"/>
      <c r="AI373" s="562"/>
      <c r="AJ373" s="562"/>
      <c r="AK373" s="562"/>
      <c r="AL373" s="562"/>
      <c r="AM373" s="562"/>
      <c r="AN373" s="562"/>
      <c r="AO373" s="562"/>
      <c r="AP373" s="562"/>
      <c r="AQ373" s="562"/>
      <c r="AR373" s="562"/>
      <c r="AS373" s="562"/>
    </row>
    <row r="374" spans="1:45" s="484" customFormat="1" ht="16" thickBot="1" x14ac:dyDescent="0.25">
      <c r="A374" s="541">
        <v>6</v>
      </c>
      <c r="B374" s="549" t="s">
        <v>2492</v>
      </c>
      <c r="C374" s="544"/>
      <c r="D374" s="544"/>
      <c r="E374" s="544" t="s">
        <v>2183</v>
      </c>
      <c r="F374" s="544"/>
      <c r="G374" s="543" t="s">
        <v>3343</v>
      </c>
      <c r="H374" s="541" t="s">
        <v>3757</v>
      </c>
      <c r="I374" s="40"/>
      <c r="J374" s="3"/>
      <c r="K374" s="53"/>
      <c r="L374" s="860"/>
      <c r="M374" s="616"/>
      <c r="N374" s="648"/>
      <c r="O374" s="648"/>
      <c r="P374" s="562"/>
      <c r="Q374" s="562"/>
      <c r="R374" s="562"/>
      <c r="S374" s="562"/>
      <c r="T374" s="562"/>
      <c r="U374" s="562"/>
      <c r="V374" s="562"/>
      <c r="W374" s="562"/>
      <c r="X374" s="826"/>
      <c r="Y374" s="971"/>
      <c r="Z374" s="974"/>
      <c r="AA374" s="562"/>
      <c r="AB374" s="562"/>
      <c r="AC374" s="562"/>
      <c r="AD374" s="562"/>
      <c r="AE374" s="562"/>
      <c r="AF374" s="562"/>
      <c r="AG374" s="562"/>
      <c r="AH374" s="562"/>
      <c r="AI374" s="562"/>
      <c r="AJ374" s="562"/>
      <c r="AK374" s="562"/>
      <c r="AL374" s="562"/>
      <c r="AM374" s="562"/>
      <c r="AN374" s="562"/>
      <c r="AO374" s="562"/>
      <c r="AP374" s="562"/>
      <c r="AQ374" s="562"/>
      <c r="AR374" s="562"/>
      <c r="AS374" s="562"/>
    </row>
    <row r="375" spans="1:45" ht="16" thickTop="1" x14ac:dyDescent="0.2">
      <c r="A375" s="541">
        <v>6</v>
      </c>
      <c r="B375" s="549" t="s">
        <v>2498</v>
      </c>
      <c r="C375" s="544"/>
      <c r="D375" s="544"/>
      <c r="E375" s="544"/>
      <c r="F375" s="544"/>
      <c r="G375" s="539" t="str">
        <f ca="1">IF(COUNTIF(G377:G379,"P")&gt;0,"P","")</f>
        <v/>
      </c>
      <c r="H375" s="541" t="s">
        <v>3757</v>
      </c>
      <c r="I375" s="131" t="s">
        <v>2499</v>
      </c>
      <c r="J375" s="132"/>
      <c r="K375" s="133"/>
      <c r="L375" s="75" t="s">
        <v>2500</v>
      </c>
      <c r="M375" s="625"/>
      <c r="N375" s="673"/>
      <c r="O375" s="673"/>
      <c r="P375" s="74"/>
      <c r="Q375" s="74"/>
      <c r="R375" s="74"/>
      <c r="S375" s="74"/>
      <c r="T375" s="74"/>
      <c r="U375" s="74"/>
      <c r="V375" s="74"/>
      <c r="W375" s="74" t="s">
        <v>2501</v>
      </c>
      <c r="X375" s="64"/>
      <c r="Y375" s="562"/>
      <c r="Z375" s="430"/>
      <c r="AA375" s="562"/>
      <c r="AB375" s="562"/>
      <c r="AC375" s="562"/>
      <c r="AD375" s="562"/>
      <c r="AE375" s="562"/>
      <c r="AF375" s="562"/>
      <c r="AG375" s="562"/>
      <c r="AH375" s="562"/>
      <c r="AI375" s="562"/>
      <c r="AJ375" s="562"/>
      <c r="AK375" s="562"/>
      <c r="AL375" s="562"/>
      <c r="AM375" s="562"/>
      <c r="AN375" s="562"/>
      <c r="AO375" s="562"/>
      <c r="AP375" s="562"/>
      <c r="AQ375" s="562"/>
      <c r="AR375" s="562"/>
      <c r="AS375" s="562"/>
    </row>
    <row r="376" spans="1:45" x14ac:dyDescent="0.2">
      <c r="A376" s="541">
        <v>6</v>
      </c>
      <c r="B376" s="549" t="s">
        <v>2498</v>
      </c>
      <c r="C376" s="544"/>
      <c r="D376" s="544"/>
      <c r="E376" s="544"/>
      <c r="F376" s="544"/>
      <c r="G376" s="543" t="str">
        <f t="shared" ref="G376" ca="1" si="116">G375</f>
        <v/>
      </c>
      <c r="H376" s="541" t="s">
        <v>3757</v>
      </c>
      <c r="I376" s="40"/>
      <c r="J376" s="3"/>
      <c r="K376" s="53"/>
      <c r="L376" s="706" t="s">
        <v>2502</v>
      </c>
      <c r="M376" s="616"/>
      <c r="N376" s="648"/>
      <c r="O376" s="648"/>
      <c r="P376" s="562" t="b">
        <v>1</v>
      </c>
      <c r="Q376" s="562" t="b">
        <v>0</v>
      </c>
      <c r="R376" s="562" t="b">
        <v>0</v>
      </c>
      <c r="S376" s="562" t="b">
        <v>1</v>
      </c>
      <c r="T376" s="562" t="b">
        <v>0</v>
      </c>
      <c r="U376" s="64" t="str">
        <f>SUBSTITUTE(SUBSTITUTE(SUBSTITUTE("dd"&amp;B376&amp;C376&amp;D376&amp;E376&amp;F376,".","_"),"(","_"),")","")</f>
        <v>dd602_1_5</v>
      </c>
      <c r="V376" s="562"/>
      <c r="W376" s="6"/>
      <c r="X376" s="787"/>
      <c r="Y376" s="977" t="str">
        <f>IF(LEN('Ch6'!X137)=0,"None",'Ch6'!X137)</f>
        <v>None</v>
      </c>
      <c r="Z376" s="978"/>
      <c r="AA376" s="562"/>
      <c r="AB376" s="562"/>
      <c r="AC376" s="562"/>
      <c r="AD376" s="562"/>
      <c r="AE376" s="562"/>
      <c r="AF376" s="562"/>
      <c r="AG376" s="562"/>
      <c r="AH376" s="562"/>
      <c r="AI376" s="562"/>
      <c r="AJ376" s="562"/>
      <c r="AK376" s="562"/>
      <c r="AL376" s="562"/>
      <c r="AM376" s="562"/>
      <c r="AN376" s="562"/>
      <c r="AO376" s="562"/>
      <c r="AP376" s="190" t="str">
        <f t="shared" ref="AP376:AP377" si="117">SUBSTITUTE(SUBSTITUTE(SUBSTITUTE("vch"&amp;$B376&amp;$C376&amp;$D376&amp;$E376&amp;$F376,".","_"),"(","_"),")","")</f>
        <v>vch602_1_5</v>
      </c>
      <c r="AQ376" s="190">
        <f>W376</f>
        <v>0</v>
      </c>
      <c r="AR376" s="190" t="str">
        <f>SUBSTITUTE(SUBSTITUTE(SUBSTITUTE("vnt"&amp;$B376&amp;$C376&amp;$D376&amp;$E376&amp;$F376,".","_"),"(","_"),")","")</f>
        <v>vnt602_1_5</v>
      </c>
      <c r="AS376" s="190">
        <f>X376</f>
        <v>0</v>
      </c>
    </row>
    <row r="377" spans="1:45" x14ac:dyDescent="0.2">
      <c r="A377" s="541">
        <v>6</v>
      </c>
      <c r="B377" s="549" t="s">
        <v>2498</v>
      </c>
      <c r="C377" s="544"/>
      <c r="D377" s="544"/>
      <c r="E377" s="544" t="s">
        <v>2181</v>
      </c>
      <c r="F377" s="544"/>
      <c r="G377" s="543" t="str">
        <f ca="1">IF(N377&gt;0,"P","")</f>
        <v/>
      </c>
      <c r="H377" s="541" t="s">
        <v>3757</v>
      </c>
      <c r="I377" s="40"/>
      <c r="J377" s="134" t="s">
        <v>2181</v>
      </c>
      <c r="K377" s="65"/>
      <c r="L377" s="791" t="s">
        <v>2503</v>
      </c>
      <c r="M377" s="800">
        <v>4</v>
      </c>
      <c r="N377" s="924">
        <f ca="1">'Ch6'!O138</f>
        <v>0</v>
      </c>
      <c r="O377" s="924">
        <f ca="1">M377*S377*W377</f>
        <v>0</v>
      </c>
      <c r="P377" s="562" t="b">
        <v>1</v>
      </c>
      <c r="Q377" s="562" t="b">
        <v>0</v>
      </c>
      <c r="R377" s="562" t="b">
        <v>0</v>
      </c>
      <c r="S377" s="562" t="b">
        <f ca="1">IF(IFERROR(MATCH(W376,INDIRECT(U376),0),0)=3,TRUE,FALSE)</f>
        <v>0</v>
      </c>
      <c r="T377" s="64" t="b">
        <f ca="1">IF(AND(NOT(S377),W377=TRUE),TRUE,FALSE)</f>
        <v>0</v>
      </c>
      <c r="U377" s="562"/>
      <c r="V377" s="562"/>
      <c r="W377" s="18"/>
      <c r="X377" s="787"/>
      <c r="Y377" s="977"/>
      <c r="Z377" s="978"/>
      <c r="AA377" s="562"/>
      <c r="AB377" s="562"/>
      <c r="AC377" s="562" t="b">
        <f ca="1">OR(AD377:AE377)</f>
        <v>0</v>
      </c>
      <c r="AD377" s="562" t="b">
        <f ca="1">T377</f>
        <v>0</v>
      </c>
      <c r="AE377" s="562" t="b">
        <v>0</v>
      </c>
      <c r="AF377" s="562" t="b">
        <f>AND(AE377,NOT(Q377))</f>
        <v>0</v>
      </c>
      <c r="AG377" s="562"/>
      <c r="AH377" s="562"/>
      <c r="AI377" s="562"/>
      <c r="AJ377" s="562"/>
      <c r="AK377" s="562"/>
      <c r="AL377" s="190" t="str">
        <f>SUBSTITUTE(SUBSTITUTE(SUBSTITUTE("vpa"&amp;$B377&amp;$C377&amp;$D377&amp;$E377&amp;$F377,".","_"),"(","_"),")","")</f>
        <v>vpa602_1_5_1</v>
      </c>
      <c r="AM377" s="190">
        <f>M377</f>
        <v>4</v>
      </c>
      <c r="AN377" s="190" t="str">
        <f>SUBSTITUTE(SUBSTITUTE(SUBSTITUTE("vpc"&amp;$B377&amp;$C377&amp;$D377&amp;$E377&amp;$F377,".","_"),"(","_"),")","")</f>
        <v>vpc602_1_5_1</v>
      </c>
      <c r="AO377" s="190">
        <f ca="1">O377</f>
        <v>0</v>
      </c>
      <c r="AP377" s="190" t="str">
        <f t="shared" si="117"/>
        <v>vch602_1_5_1</v>
      </c>
      <c r="AQ377" s="190">
        <f>W377</f>
        <v>0</v>
      </c>
      <c r="AR377" s="562"/>
      <c r="AS377" s="562"/>
    </row>
    <row r="378" spans="1:45" x14ac:dyDescent="0.2">
      <c r="A378" s="541">
        <v>6</v>
      </c>
      <c r="B378" s="549" t="s">
        <v>2498</v>
      </c>
      <c r="C378" s="544"/>
      <c r="D378" s="544"/>
      <c r="E378" s="544" t="s">
        <v>2181</v>
      </c>
      <c r="F378" s="544"/>
      <c r="G378" s="543" t="str">
        <f t="shared" ref="G378" ca="1" si="118">G377</f>
        <v/>
      </c>
      <c r="H378" s="541" t="s">
        <v>3757</v>
      </c>
      <c r="I378" s="40"/>
      <c r="J378" s="165"/>
      <c r="K378" s="126"/>
      <c r="L378" s="792"/>
      <c r="M378" s="801"/>
      <c r="N378" s="942"/>
      <c r="O378" s="942"/>
      <c r="P378" s="562"/>
      <c r="Q378" s="562"/>
      <c r="R378" s="562"/>
      <c r="S378" s="562"/>
      <c r="T378" s="562"/>
      <c r="U378" s="562"/>
      <c r="V378" s="562"/>
      <c r="W378" s="562"/>
      <c r="X378" s="787"/>
      <c r="Y378" s="977"/>
      <c r="Z378" s="978"/>
      <c r="AA378" s="562"/>
      <c r="AB378" s="562"/>
      <c r="AC378" s="562"/>
      <c r="AD378" s="562"/>
      <c r="AE378" s="562"/>
      <c r="AF378" s="562"/>
      <c r="AG378" s="562"/>
      <c r="AH378" s="562"/>
      <c r="AI378" s="562"/>
      <c r="AJ378" s="562"/>
      <c r="AK378" s="562"/>
      <c r="AL378" s="562"/>
      <c r="AM378" s="562"/>
      <c r="AN378" s="562"/>
      <c r="AO378" s="562"/>
      <c r="AP378" s="562"/>
      <c r="AQ378" s="562"/>
      <c r="AR378" s="562"/>
      <c r="AS378" s="562"/>
    </row>
    <row r="379" spans="1:45" x14ac:dyDescent="0.2">
      <c r="A379" s="541">
        <v>6</v>
      </c>
      <c r="B379" s="549" t="s">
        <v>2498</v>
      </c>
      <c r="C379" s="544"/>
      <c r="D379" s="544"/>
      <c r="E379" s="544" t="s">
        <v>2183</v>
      </c>
      <c r="F379" s="544"/>
      <c r="G379" s="543" t="str">
        <f ca="1">IF(N379&gt;0,"P","")</f>
        <v/>
      </c>
      <c r="H379" s="541" t="s">
        <v>3757</v>
      </c>
      <c r="I379" s="40"/>
      <c r="J379" s="20" t="s">
        <v>2183</v>
      </c>
      <c r="K379" s="53"/>
      <c r="L379" s="817" t="s">
        <v>2504</v>
      </c>
      <c r="M379" s="814">
        <v>4</v>
      </c>
      <c r="N379" s="923">
        <f ca="1">'Ch6'!O140</f>
        <v>0</v>
      </c>
      <c r="O379" s="887">
        <f ca="1">M379*S379*W379</f>
        <v>0</v>
      </c>
      <c r="P379" s="562" t="b">
        <v>1</v>
      </c>
      <c r="Q379" s="562" t="b">
        <v>0</v>
      </c>
      <c r="R379" s="562" t="b">
        <v>0</v>
      </c>
      <c r="S379" s="562" t="b">
        <f ca="1">IF(IFERROR(MATCH(W376,INDIRECT(U376),0),0)=4,TRUE,FALSE)</f>
        <v>0</v>
      </c>
      <c r="T379" s="64" t="b">
        <f ca="1">IF(AND(NOT(S379),W379=TRUE),TRUE,FALSE)</f>
        <v>0</v>
      </c>
      <c r="U379" s="562"/>
      <c r="V379" s="562"/>
      <c r="W379" s="18"/>
      <c r="X379" s="787"/>
      <c r="Y379" s="977"/>
      <c r="Z379" s="978"/>
      <c r="AA379" s="562"/>
      <c r="AB379" s="562"/>
      <c r="AC379" s="562" t="b">
        <f ca="1">OR(AD379:AE379)</f>
        <v>0</v>
      </c>
      <c r="AD379" s="562" t="b">
        <f ca="1">T379</f>
        <v>0</v>
      </c>
      <c r="AE379" s="562" t="b">
        <v>0</v>
      </c>
      <c r="AF379" s="562" t="b">
        <f>AND(AE379,NOT(Q379))</f>
        <v>0</v>
      </c>
      <c r="AG379" s="562"/>
      <c r="AH379" s="562"/>
      <c r="AI379" s="562"/>
      <c r="AJ379" s="562"/>
      <c r="AK379" s="562"/>
      <c r="AL379" s="190" t="str">
        <f>SUBSTITUTE(SUBSTITUTE(SUBSTITUTE("vpa"&amp;$B379&amp;$C379&amp;$D379&amp;$E379&amp;$F379,".","_"),"(","_"),")","")</f>
        <v>vpa602_1_5_2</v>
      </c>
      <c r="AM379" s="190">
        <f>M379</f>
        <v>4</v>
      </c>
      <c r="AN379" s="190" t="str">
        <f>SUBSTITUTE(SUBSTITUTE(SUBSTITUTE("vpc"&amp;$B379&amp;$C379&amp;$D379&amp;$E379&amp;$F379,".","_"),"(","_"),")","")</f>
        <v>vpc602_1_5_2</v>
      </c>
      <c r="AO379" s="190">
        <f ca="1">O379</f>
        <v>0</v>
      </c>
      <c r="AP379" s="190" t="str">
        <f>SUBSTITUTE(SUBSTITUTE(SUBSTITUTE("vch"&amp;$B379&amp;$C379&amp;$D379&amp;$E379&amp;$F379,".","_"),"(","_"),")","")</f>
        <v>vch602_1_5_2</v>
      </c>
      <c r="AQ379" s="190">
        <f>W379</f>
        <v>0</v>
      </c>
      <c r="AR379" s="562"/>
      <c r="AS379" s="562"/>
    </row>
    <row r="380" spans="1:45" x14ac:dyDescent="0.2">
      <c r="A380" s="541">
        <v>6</v>
      </c>
      <c r="B380" s="549" t="s">
        <v>2498</v>
      </c>
      <c r="C380" s="544"/>
      <c r="D380" s="544"/>
      <c r="E380" s="544" t="s">
        <v>2183</v>
      </c>
      <c r="F380" s="544"/>
      <c r="G380" s="543" t="str">
        <f t="shared" ref="G380:G381" ca="1" si="119">G379</f>
        <v/>
      </c>
      <c r="H380" s="541" t="s">
        <v>3757</v>
      </c>
      <c r="I380" s="40"/>
      <c r="J380" s="3"/>
      <c r="K380" s="53"/>
      <c r="L380" s="817"/>
      <c r="M380" s="814"/>
      <c r="N380" s="887"/>
      <c r="O380" s="887"/>
      <c r="P380" s="562"/>
      <c r="Q380" s="562"/>
      <c r="R380" s="562"/>
      <c r="S380" s="562"/>
      <c r="T380" s="562"/>
      <c r="U380" s="562"/>
      <c r="V380" s="562"/>
      <c r="W380" s="562"/>
      <c r="X380" s="787"/>
      <c r="Y380" s="977"/>
      <c r="Z380" s="978"/>
      <c r="AA380" s="562"/>
      <c r="AB380" s="562"/>
      <c r="AC380" s="562"/>
      <c r="AD380" s="562"/>
      <c r="AE380" s="562"/>
      <c r="AF380" s="562"/>
      <c r="AG380" s="562"/>
      <c r="AH380" s="562"/>
      <c r="AI380" s="562"/>
      <c r="AJ380" s="562"/>
      <c r="AK380" s="562"/>
      <c r="AL380" s="562"/>
      <c r="AM380" s="562"/>
      <c r="AN380" s="562"/>
      <c r="AO380" s="562"/>
      <c r="AP380" s="562"/>
      <c r="AQ380" s="562"/>
      <c r="AR380" s="562"/>
      <c r="AS380" s="562"/>
    </row>
    <row r="381" spans="1:45" ht="16" thickBot="1" x14ac:dyDescent="0.25">
      <c r="A381" s="541">
        <v>6</v>
      </c>
      <c r="B381" s="549" t="s">
        <v>2498</v>
      </c>
      <c r="C381" s="544"/>
      <c r="D381" s="544"/>
      <c r="E381" s="544" t="s">
        <v>2183</v>
      </c>
      <c r="F381" s="544"/>
      <c r="G381" s="543" t="str">
        <f t="shared" ca="1" si="119"/>
        <v/>
      </c>
      <c r="H381" s="541" t="s">
        <v>3757</v>
      </c>
      <c r="I381" s="40"/>
      <c r="J381" s="3"/>
      <c r="K381" s="53"/>
      <c r="L381" s="817"/>
      <c r="M381" s="814"/>
      <c r="N381" s="982"/>
      <c r="O381" s="887"/>
      <c r="P381" s="562"/>
      <c r="Q381" s="562"/>
      <c r="R381" s="562"/>
      <c r="S381" s="562"/>
      <c r="T381" s="562"/>
      <c r="U381" s="562"/>
      <c r="V381" s="562"/>
      <c r="W381" s="562"/>
      <c r="X381" s="787"/>
      <c r="Y381" s="979"/>
      <c r="Z381" s="1007"/>
      <c r="AA381" s="562"/>
      <c r="AB381" s="562"/>
      <c r="AC381" s="562"/>
      <c r="AD381" s="562"/>
      <c r="AE381" s="562"/>
      <c r="AF381" s="562"/>
      <c r="AG381" s="562"/>
      <c r="AH381" s="562"/>
      <c r="AI381" s="562"/>
      <c r="AJ381" s="562"/>
      <c r="AK381" s="562"/>
      <c r="AL381" s="562"/>
      <c r="AM381" s="562"/>
      <c r="AN381" s="562"/>
      <c r="AO381" s="562"/>
      <c r="AP381" s="562"/>
      <c r="AQ381" s="562"/>
      <c r="AR381" s="562"/>
      <c r="AS381" s="562"/>
    </row>
    <row r="382" spans="1:45" ht="16" thickTop="1" x14ac:dyDescent="0.2">
      <c r="A382" s="541">
        <v>6</v>
      </c>
      <c r="B382" s="549" t="s">
        <v>2505</v>
      </c>
      <c r="C382" s="544"/>
      <c r="D382" s="544"/>
      <c r="E382" s="544"/>
      <c r="F382" s="544"/>
      <c r="G382" s="539" t="str">
        <f ca="1">IF(COUNTIF(G385:G393,"P")&gt;0,"P","")</f>
        <v/>
      </c>
      <c r="H382" s="541" t="s">
        <v>3751</v>
      </c>
      <c r="I382" s="131" t="s">
        <v>2506</v>
      </c>
      <c r="J382" s="132"/>
      <c r="K382" s="133"/>
      <c r="L382" s="819" t="s">
        <v>2507</v>
      </c>
      <c r="M382" s="625"/>
      <c r="N382" s="673"/>
      <c r="O382" s="673"/>
      <c r="P382" s="74"/>
      <c r="Q382" s="74"/>
      <c r="R382" s="74"/>
      <c r="S382" s="74"/>
      <c r="T382" s="74"/>
      <c r="U382" s="74"/>
      <c r="V382" s="74"/>
      <c r="W382" s="74"/>
      <c r="X382" s="74"/>
      <c r="Y382" s="562"/>
      <c r="Z382" s="430"/>
      <c r="AA382" s="562"/>
      <c r="AB382" s="562"/>
      <c r="AC382" s="562"/>
      <c r="AD382" s="562"/>
      <c r="AE382" s="562"/>
      <c r="AF382" s="562"/>
      <c r="AG382" s="562"/>
      <c r="AH382" s="562"/>
      <c r="AI382" s="562"/>
      <c r="AJ382" s="562"/>
      <c r="AK382" s="562"/>
      <c r="AL382" s="562"/>
      <c r="AM382" s="562"/>
      <c r="AN382" s="562"/>
      <c r="AO382" s="562"/>
      <c r="AP382" s="562"/>
      <c r="AQ382" s="562"/>
      <c r="AR382" s="562"/>
      <c r="AS382" s="562"/>
    </row>
    <row r="383" spans="1:45" x14ac:dyDescent="0.2">
      <c r="A383" s="541">
        <v>6</v>
      </c>
      <c r="B383" s="549" t="s">
        <v>2505</v>
      </c>
      <c r="C383" s="544"/>
      <c r="D383" s="544"/>
      <c r="E383" s="544"/>
      <c r="F383" s="544"/>
      <c r="G383" s="543" t="str">
        <f t="shared" ref="G383:G384" ca="1" si="120">G382</f>
        <v/>
      </c>
      <c r="H383" s="541" t="s">
        <v>3751</v>
      </c>
      <c r="I383" s="99"/>
      <c r="J383" s="98"/>
      <c r="K383" s="65"/>
      <c r="L383" s="820"/>
      <c r="M383" s="610"/>
      <c r="N383" s="668"/>
      <c r="O383" s="668"/>
      <c r="P383" s="64"/>
      <c r="Q383" s="64"/>
      <c r="R383" s="64"/>
      <c r="S383" s="64"/>
      <c r="T383" s="64"/>
      <c r="U383" s="64"/>
      <c r="V383" s="64"/>
      <c r="W383" s="64"/>
      <c r="X383" s="64"/>
      <c r="Y383" s="562"/>
      <c r="Z383" s="430"/>
      <c r="AA383" s="562"/>
      <c r="AB383" s="562"/>
      <c r="AC383" s="562"/>
      <c r="AD383" s="562"/>
      <c r="AE383" s="562"/>
      <c r="AF383" s="562"/>
      <c r="AG383" s="562"/>
      <c r="AH383" s="562"/>
      <c r="AI383" s="562"/>
      <c r="AJ383" s="562"/>
      <c r="AK383" s="562"/>
      <c r="AL383" s="562"/>
      <c r="AM383" s="562"/>
      <c r="AN383" s="562"/>
      <c r="AO383" s="562"/>
      <c r="AP383" s="562"/>
      <c r="AQ383" s="562"/>
      <c r="AR383" s="562"/>
      <c r="AS383" s="562"/>
    </row>
    <row r="384" spans="1:45" x14ac:dyDescent="0.2">
      <c r="A384" s="541">
        <v>6</v>
      </c>
      <c r="B384" s="549" t="s">
        <v>2505</v>
      </c>
      <c r="C384" s="544"/>
      <c r="D384" s="544"/>
      <c r="E384" s="544"/>
      <c r="F384" s="544"/>
      <c r="G384" s="543" t="str">
        <f t="shared" ca="1" si="120"/>
        <v/>
      </c>
      <c r="H384" s="541" t="s">
        <v>3751</v>
      </c>
      <c r="I384" s="40"/>
      <c r="J384" s="3"/>
      <c r="K384" s="53"/>
      <c r="L384" s="706" t="s">
        <v>2502</v>
      </c>
      <c r="M384" s="616"/>
      <c r="N384" s="648"/>
      <c r="O384" s="648"/>
      <c r="P384" s="562"/>
      <c r="Q384" s="562"/>
      <c r="R384" s="562"/>
      <c r="S384" s="562"/>
      <c r="T384" s="562"/>
      <c r="U384" s="64"/>
      <c r="V384" s="562"/>
      <c r="W384" s="562"/>
      <c r="X384" s="562"/>
      <c r="Y384" s="562"/>
      <c r="Z384" s="430"/>
      <c r="AA384" s="562"/>
      <c r="AB384" s="562"/>
      <c r="AC384" s="562"/>
      <c r="AD384" s="562"/>
      <c r="AE384" s="562"/>
      <c r="AF384" s="562"/>
      <c r="AG384" s="562"/>
      <c r="AH384" s="562"/>
      <c r="AI384" s="562"/>
      <c r="AJ384" s="562"/>
      <c r="AK384" s="562"/>
      <c r="AL384" s="562"/>
      <c r="AM384" s="562"/>
      <c r="AN384" s="562"/>
      <c r="AO384" s="562"/>
      <c r="AP384" s="562"/>
      <c r="AQ384" s="562"/>
      <c r="AR384" s="562"/>
      <c r="AS384" s="562"/>
    </row>
    <row r="385" spans="1:45" x14ac:dyDescent="0.2">
      <c r="A385" s="541">
        <v>6</v>
      </c>
      <c r="B385" s="549" t="s">
        <v>2505</v>
      </c>
      <c r="C385" s="544"/>
      <c r="D385" s="544"/>
      <c r="E385" s="544" t="s">
        <v>2181</v>
      </c>
      <c r="F385" s="544"/>
      <c r="G385" s="543" t="str">
        <f ca="1">IF(N385&gt;0,"P","")</f>
        <v/>
      </c>
      <c r="H385" s="541" t="s">
        <v>3751</v>
      </c>
      <c r="I385" s="40"/>
      <c r="J385" s="134" t="s">
        <v>2181</v>
      </c>
      <c r="K385" s="65"/>
      <c r="L385" s="791" t="s">
        <v>2508</v>
      </c>
      <c r="M385" s="800">
        <v>2</v>
      </c>
      <c r="N385" s="924">
        <f ca="1">'Ch6'!O146</f>
        <v>0</v>
      </c>
      <c r="O385" s="924">
        <f ca="1">M385*S385*W385</f>
        <v>0</v>
      </c>
      <c r="P385" s="562" t="b">
        <v>1</v>
      </c>
      <c r="Q385" s="562" t="b">
        <v>1</v>
      </c>
      <c r="R385" s="562" t="b">
        <v>0</v>
      </c>
      <c r="S385" s="562" t="b">
        <f ca="1">IF(IFERROR(MATCH(W376,INDIRECT(U376),0),0)=2,TRUE,FALSE)</f>
        <v>0</v>
      </c>
      <c r="T385" s="64" t="b">
        <f ca="1">IF(AND(NOT(S385),W385=TRUE),TRUE,FALSE)</f>
        <v>0</v>
      </c>
      <c r="U385" s="562"/>
      <c r="V385" s="562"/>
      <c r="W385" s="18"/>
      <c r="X385" s="787"/>
      <c r="Y385" s="977" t="str">
        <f>IF(LEN('Ch6'!X146)=0,"None",'Ch6'!X146)</f>
        <v>None</v>
      </c>
      <c r="Z385" s="978"/>
      <c r="AA385" s="562"/>
      <c r="AB385" s="562"/>
      <c r="AC385" s="562" t="b">
        <f ca="1">OR(AD385:AE385)</f>
        <v>0</v>
      </c>
      <c r="AD385" s="562" t="b">
        <f ca="1">T385</f>
        <v>0</v>
      </c>
      <c r="AE385" s="562" t="b">
        <v>0</v>
      </c>
      <c r="AF385" s="562" t="b">
        <f>AND(AE385,NOT(Q385))</f>
        <v>0</v>
      </c>
      <c r="AG385" s="562"/>
      <c r="AH385" s="562"/>
      <c r="AI385" s="562"/>
      <c r="AJ385" s="562"/>
      <c r="AK385" s="562"/>
      <c r="AL385" s="190" t="str">
        <f>SUBSTITUTE(SUBSTITUTE(SUBSTITUTE("vpa"&amp;$B385&amp;$C385&amp;$D385&amp;$E385&amp;$F385,".","_"),"(","_"),")","")</f>
        <v>vpa602_1_6_1</v>
      </c>
      <c r="AM385" s="190">
        <f>M385</f>
        <v>2</v>
      </c>
      <c r="AN385" s="190" t="str">
        <f>SUBSTITUTE(SUBSTITUTE(SUBSTITUTE("vpc"&amp;$B385&amp;$C385&amp;$D385&amp;$E385&amp;$F385,".","_"),"(","_"),")","")</f>
        <v>vpc602_1_6_1</v>
      </c>
      <c r="AO385" s="190">
        <f ca="1">O385</f>
        <v>0</v>
      </c>
      <c r="AP385" s="190" t="str">
        <f>SUBSTITUTE(SUBSTITUTE(SUBSTITUTE("vch"&amp;$B385&amp;$C385&amp;$D385&amp;$E385&amp;$F385,".","_"),"(","_"),")","")</f>
        <v>vch602_1_6_1</v>
      </c>
      <c r="AQ385" s="190">
        <f>W385</f>
        <v>0</v>
      </c>
      <c r="AR385" s="190" t="str">
        <f>SUBSTITUTE(SUBSTITUTE(SUBSTITUTE("vnt"&amp;$B385&amp;$C385&amp;$D385&amp;$E385&amp;$F385,".","_"),"(","_"),")","")</f>
        <v>vnt602_1_6_1</v>
      </c>
      <c r="AS385" s="190">
        <f>X385</f>
        <v>0</v>
      </c>
    </row>
    <row r="386" spans="1:45" x14ac:dyDescent="0.2">
      <c r="A386" s="541">
        <v>6</v>
      </c>
      <c r="B386" s="549" t="s">
        <v>2505</v>
      </c>
      <c r="C386" s="544"/>
      <c r="D386" s="544"/>
      <c r="E386" s="544" t="s">
        <v>2181</v>
      </c>
      <c r="F386" s="544"/>
      <c r="G386" s="543" t="str">
        <f t="shared" ref="G386:G388" ca="1" si="121">G385</f>
        <v/>
      </c>
      <c r="H386" s="541" t="s">
        <v>3751</v>
      </c>
      <c r="I386" s="40"/>
      <c r="J386" s="98"/>
      <c r="K386" s="65"/>
      <c r="L386" s="791"/>
      <c r="M386" s="800"/>
      <c r="N386" s="924"/>
      <c r="O386" s="924"/>
      <c r="P386" s="562"/>
      <c r="Q386" s="562"/>
      <c r="R386" s="562"/>
      <c r="S386" s="562"/>
      <c r="T386" s="562"/>
      <c r="U386" s="562"/>
      <c r="V386" s="562"/>
      <c r="W386" s="562"/>
      <c r="X386" s="787"/>
      <c r="Y386" s="977"/>
      <c r="Z386" s="978"/>
      <c r="AA386" s="562"/>
      <c r="AB386" s="562"/>
      <c r="AC386" s="562"/>
      <c r="AD386" s="562"/>
      <c r="AE386" s="562"/>
      <c r="AF386" s="562"/>
      <c r="AG386" s="562"/>
      <c r="AH386" s="562"/>
      <c r="AI386" s="562"/>
      <c r="AJ386" s="562"/>
      <c r="AK386" s="562"/>
      <c r="AL386" s="562"/>
      <c r="AM386" s="562"/>
      <c r="AN386" s="562"/>
      <c r="AO386" s="562"/>
      <c r="AP386" s="562"/>
      <c r="AQ386" s="562"/>
      <c r="AR386" s="562"/>
      <c r="AS386" s="562"/>
    </row>
    <row r="387" spans="1:45" x14ac:dyDescent="0.2">
      <c r="A387" s="541">
        <v>6</v>
      </c>
      <c r="B387" s="549" t="s">
        <v>2505</v>
      </c>
      <c r="C387" s="544"/>
      <c r="D387" s="544"/>
      <c r="E387" s="544" t="s">
        <v>2181</v>
      </c>
      <c r="F387" s="544"/>
      <c r="G387" s="543" t="str">
        <f t="shared" ca="1" si="121"/>
        <v/>
      </c>
      <c r="H387" s="541" t="s">
        <v>3751</v>
      </c>
      <c r="I387" s="40"/>
      <c r="J387" s="98"/>
      <c r="K387" s="65"/>
      <c r="L387" s="791"/>
      <c r="M387" s="800"/>
      <c r="N387" s="924"/>
      <c r="O387" s="924"/>
      <c r="P387" s="562"/>
      <c r="Q387" s="562"/>
      <c r="R387" s="562"/>
      <c r="S387" s="562"/>
      <c r="T387" s="562"/>
      <c r="U387" s="562"/>
      <c r="V387" s="562"/>
      <c r="W387" s="562"/>
      <c r="X387" s="787"/>
      <c r="Y387" s="977"/>
      <c r="Z387" s="978"/>
      <c r="AA387" s="562"/>
      <c r="AB387" s="562"/>
      <c r="AC387" s="562"/>
      <c r="AD387" s="562"/>
      <c r="AE387" s="562"/>
      <c r="AF387" s="562"/>
      <c r="AG387" s="562"/>
      <c r="AH387" s="562"/>
      <c r="AI387" s="562"/>
      <c r="AJ387" s="562"/>
      <c r="AK387" s="562"/>
      <c r="AL387" s="562"/>
      <c r="AM387" s="562"/>
      <c r="AN387" s="562"/>
      <c r="AO387" s="562"/>
      <c r="AP387" s="562"/>
      <c r="AQ387" s="562"/>
      <c r="AR387" s="562"/>
      <c r="AS387" s="562"/>
    </row>
    <row r="388" spans="1:45" x14ac:dyDescent="0.2">
      <c r="A388" s="541">
        <v>6</v>
      </c>
      <c r="B388" s="549" t="s">
        <v>2505</v>
      </c>
      <c r="C388" s="544"/>
      <c r="D388" s="544"/>
      <c r="E388" s="544" t="s">
        <v>2181</v>
      </c>
      <c r="F388" s="544"/>
      <c r="G388" s="543" t="str">
        <f t="shared" ca="1" si="121"/>
        <v/>
      </c>
      <c r="H388" s="541" t="s">
        <v>3751</v>
      </c>
      <c r="I388" s="40"/>
      <c r="J388" s="165"/>
      <c r="K388" s="126"/>
      <c r="L388" s="792"/>
      <c r="M388" s="801"/>
      <c r="N388" s="942"/>
      <c r="O388" s="942"/>
      <c r="P388" s="562"/>
      <c r="Q388" s="562"/>
      <c r="R388" s="562"/>
      <c r="S388" s="562"/>
      <c r="T388" s="562"/>
      <c r="U388" s="562"/>
      <c r="V388" s="562"/>
      <c r="W388" s="562"/>
      <c r="X388" s="787"/>
      <c r="Y388" s="977"/>
      <c r="Z388" s="978"/>
      <c r="AA388" s="562"/>
      <c r="AB388" s="562"/>
      <c r="AC388" s="562"/>
      <c r="AD388" s="562"/>
      <c r="AE388" s="562"/>
      <c r="AF388" s="562"/>
      <c r="AG388" s="562"/>
      <c r="AH388" s="562"/>
      <c r="AI388" s="562"/>
      <c r="AJ388" s="562"/>
      <c r="AK388" s="562"/>
      <c r="AL388" s="562"/>
      <c r="AM388" s="562"/>
      <c r="AN388" s="562"/>
      <c r="AO388" s="562"/>
      <c r="AP388" s="562"/>
      <c r="AQ388" s="562"/>
      <c r="AR388" s="562"/>
      <c r="AS388" s="562"/>
    </row>
    <row r="389" spans="1:45" x14ac:dyDescent="0.2">
      <c r="A389" s="541">
        <v>6</v>
      </c>
      <c r="B389" s="549" t="s">
        <v>2505</v>
      </c>
      <c r="C389" s="544"/>
      <c r="D389" s="544"/>
      <c r="E389" s="544" t="s">
        <v>2183</v>
      </c>
      <c r="F389" s="544"/>
      <c r="G389" s="543" t="str">
        <f ca="1">IF(N389&gt;0,"P","")</f>
        <v/>
      </c>
      <c r="H389" s="541" t="s">
        <v>3751</v>
      </c>
      <c r="I389" s="40"/>
      <c r="J389" s="164" t="s">
        <v>2183</v>
      </c>
      <c r="K389" s="147"/>
      <c r="L389" s="831" t="s">
        <v>2509</v>
      </c>
      <c r="M389" s="824">
        <v>4</v>
      </c>
      <c r="N389" s="923">
        <f ca="1">'Ch6'!O150</f>
        <v>0</v>
      </c>
      <c r="O389" s="923">
        <f ca="1">M389*S389*W389</f>
        <v>0</v>
      </c>
      <c r="P389" s="562" t="b">
        <v>1</v>
      </c>
      <c r="Q389" s="562" t="b">
        <v>1</v>
      </c>
      <c r="R389" s="562" t="b">
        <v>0</v>
      </c>
      <c r="S389" s="562" t="b">
        <f ca="1">IF(IFERROR(MATCH(W376,INDIRECT(U376),0),0)=3,TRUE,FALSE)</f>
        <v>0</v>
      </c>
      <c r="T389" s="64" t="b">
        <f ca="1">IF(AND(NOT(S389),W389=TRUE),TRUE,FALSE)</f>
        <v>0</v>
      </c>
      <c r="U389" s="562"/>
      <c r="V389" s="562"/>
      <c r="W389" s="18"/>
      <c r="X389" s="787"/>
      <c r="Y389" s="977"/>
      <c r="Z389" s="978"/>
      <c r="AA389" s="562"/>
      <c r="AB389" s="562"/>
      <c r="AC389" s="562" t="b">
        <f ca="1">OR(AD389:AE389)</f>
        <v>0</v>
      </c>
      <c r="AD389" s="562" t="b">
        <f ca="1">T389</f>
        <v>0</v>
      </c>
      <c r="AE389" s="562" t="b">
        <v>0</v>
      </c>
      <c r="AF389" s="562" t="b">
        <f>AND(AE389,NOT(Q389))</f>
        <v>0</v>
      </c>
      <c r="AG389" s="562"/>
      <c r="AH389" s="562"/>
      <c r="AI389" s="562"/>
      <c r="AJ389" s="562"/>
      <c r="AK389" s="562"/>
      <c r="AL389" s="190" t="str">
        <f>SUBSTITUTE(SUBSTITUTE(SUBSTITUTE("vpa"&amp;$B389&amp;$C389&amp;$D389&amp;$E389&amp;$F389,".","_"),"(","_"),")","")</f>
        <v>vpa602_1_6_2</v>
      </c>
      <c r="AM389" s="190">
        <f>M389</f>
        <v>4</v>
      </c>
      <c r="AN389" s="190" t="str">
        <f>SUBSTITUTE(SUBSTITUTE(SUBSTITUTE("vpc"&amp;$B389&amp;$C389&amp;$D389&amp;$E389&amp;$F389,".","_"),"(","_"),")","")</f>
        <v>vpc602_1_6_2</v>
      </c>
      <c r="AO389" s="190">
        <f ca="1">O389</f>
        <v>0</v>
      </c>
      <c r="AP389" s="190" t="str">
        <f>SUBSTITUTE(SUBSTITUTE(SUBSTITUTE("vch"&amp;$B389&amp;$C389&amp;$D389&amp;$E389&amp;$F389,".","_"),"(","_"),")","")</f>
        <v>vch602_1_6_2</v>
      </c>
      <c r="AQ389" s="190">
        <f>W389</f>
        <v>0</v>
      </c>
      <c r="AR389" s="562"/>
      <c r="AS389" s="562"/>
    </row>
    <row r="390" spans="1:45" x14ac:dyDescent="0.2">
      <c r="A390" s="541">
        <v>6</v>
      </c>
      <c r="B390" s="549" t="s">
        <v>2505</v>
      </c>
      <c r="C390" s="544"/>
      <c r="D390" s="544"/>
      <c r="E390" s="544" t="s">
        <v>2183</v>
      </c>
      <c r="F390" s="544"/>
      <c r="G390" s="543" t="str">
        <f t="shared" ref="G390:G392" ca="1" si="122">G389</f>
        <v/>
      </c>
      <c r="H390" s="541" t="s">
        <v>3751</v>
      </c>
      <c r="I390" s="40"/>
      <c r="J390" s="98"/>
      <c r="K390" s="65"/>
      <c r="L390" s="791"/>
      <c r="M390" s="800"/>
      <c r="N390" s="924"/>
      <c r="O390" s="924"/>
      <c r="P390" s="562"/>
      <c r="Q390" s="562"/>
      <c r="R390" s="562"/>
      <c r="S390" s="562"/>
      <c r="T390" s="562"/>
      <c r="U390" s="562"/>
      <c r="V390" s="562"/>
      <c r="W390" s="562"/>
      <c r="X390" s="787"/>
      <c r="Y390" s="977"/>
      <c r="Z390" s="978"/>
      <c r="AA390" s="562"/>
      <c r="AB390" s="562"/>
      <c r="AC390" s="562"/>
      <c r="AD390" s="562"/>
      <c r="AE390" s="562"/>
      <c r="AF390" s="562"/>
      <c r="AG390" s="562"/>
      <c r="AH390" s="562"/>
      <c r="AI390" s="562"/>
      <c r="AJ390" s="562"/>
      <c r="AK390" s="562"/>
      <c r="AL390" s="562"/>
      <c r="AM390" s="562"/>
      <c r="AN390" s="562"/>
      <c r="AO390" s="562"/>
      <c r="AP390" s="562"/>
      <c r="AQ390" s="562"/>
      <c r="AR390" s="562"/>
      <c r="AS390" s="562"/>
    </row>
    <row r="391" spans="1:45" x14ac:dyDescent="0.2">
      <c r="A391" s="541">
        <v>6</v>
      </c>
      <c r="B391" s="549" t="s">
        <v>2505</v>
      </c>
      <c r="C391" s="544"/>
      <c r="D391" s="544"/>
      <c r="E391" s="544" t="s">
        <v>2183</v>
      </c>
      <c r="F391" s="544"/>
      <c r="G391" s="543" t="str">
        <f t="shared" ca="1" si="122"/>
        <v/>
      </c>
      <c r="H391" s="541" t="s">
        <v>3751</v>
      </c>
      <c r="I391" s="40"/>
      <c r="J391" s="98"/>
      <c r="K391" s="65"/>
      <c r="L391" s="791"/>
      <c r="M391" s="800"/>
      <c r="N391" s="924"/>
      <c r="O391" s="924"/>
      <c r="P391" s="562"/>
      <c r="Q391" s="562"/>
      <c r="R391" s="562"/>
      <c r="S391" s="562"/>
      <c r="T391" s="562"/>
      <c r="U391" s="562"/>
      <c r="V391" s="562"/>
      <c r="W391" s="562"/>
      <c r="X391" s="787"/>
      <c r="Y391" s="977"/>
      <c r="Z391" s="978"/>
      <c r="AA391" s="562"/>
      <c r="AB391" s="562"/>
      <c r="AC391" s="562"/>
      <c r="AD391" s="562"/>
      <c r="AE391" s="562"/>
      <c r="AF391" s="562"/>
      <c r="AG391" s="562"/>
      <c r="AH391" s="562"/>
      <c r="AI391" s="562"/>
      <c r="AJ391" s="562"/>
      <c r="AK391" s="562"/>
      <c r="AL391" s="562"/>
      <c r="AM391" s="562"/>
      <c r="AN391" s="562"/>
      <c r="AO391" s="562"/>
      <c r="AP391" s="562"/>
      <c r="AQ391" s="562"/>
      <c r="AR391" s="562"/>
      <c r="AS391" s="562"/>
    </row>
    <row r="392" spans="1:45" x14ac:dyDescent="0.2">
      <c r="A392" s="541">
        <v>6</v>
      </c>
      <c r="B392" s="549" t="s">
        <v>2505</v>
      </c>
      <c r="C392" s="544"/>
      <c r="D392" s="544"/>
      <c r="E392" s="544" t="s">
        <v>2183</v>
      </c>
      <c r="F392" s="544"/>
      <c r="G392" s="543" t="str">
        <f t="shared" ca="1" si="122"/>
        <v/>
      </c>
      <c r="H392" s="541" t="s">
        <v>3751</v>
      </c>
      <c r="I392" s="40"/>
      <c r="J392" s="165"/>
      <c r="K392" s="126"/>
      <c r="L392" s="792"/>
      <c r="M392" s="801"/>
      <c r="N392" s="942"/>
      <c r="O392" s="942"/>
      <c r="P392" s="562"/>
      <c r="Q392" s="562"/>
      <c r="R392" s="562"/>
      <c r="S392" s="562"/>
      <c r="T392" s="562"/>
      <c r="U392" s="562"/>
      <c r="V392" s="562"/>
      <c r="W392" s="562"/>
      <c r="X392" s="787"/>
      <c r="Y392" s="977"/>
      <c r="Z392" s="978"/>
      <c r="AA392" s="562"/>
      <c r="AB392" s="562"/>
      <c r="AC392" s="562"/>
      <c r="AD392" s="562"/>
      <c r="AE392" s="562"/>
      <c r="AF392" s="562"/>
      <c r="AG392" s="562"/>
      <c r="AH392" s="562"/>
      <c r="AI392" s="562"/>
      <c r="AJ392" s="562"/>
      <c r="AK392" s="562"/>
      <c r="AL392" s="562"/>
      <c r="AM392" s="562"/>
      <c r="AN392" s="562"/>
      <c r="AO392" s="562"/>
      <c r="AP392" s="562"/>
      <c r="AQ392" s="562"/>
      <c r="AR392" s="562"/>
      <c r="AS392" s="562"/>
    </row>
    <row r="393" spans="1:45" x14ac:dyDescent="0.2">
      <c r="A393" s="541">
        <v>6</v>
      </c>
      <c r="B393" s="549" t="s">
        <v>2505</v>
      </c>
      <c r="C393" s="544"/>
      <c r="D393" s="544"/>
      <c r="E393" s="544" t="s">
        <v>2185</v>
      </c>
      <c r="F393" s="544"/>
      <c r="G393" s="543" t="str">
        <f ca="1">IF(N393&gt;0,"P","")</f>
        <v/>
      </c>
      <c r="H393" s="541" t="s">
        <v>3751</v>
      </c>
      <c r="I393" s="40"/>
      <c r="J393" s="20" t="s">
        <v>2185</v>
      </c>
      <c r="K393" s="53"/>
      <c r="L393" s="817" t="s">
        <v>2510</v>
      </c>
      <c r="M393" s="814">
        <v>6</v>
      </c>
      <c r="N393" s="923">
        <f ca="1">'Ch6'!O154</f>
        <v>0</v>
      </c>
      <c r="O393" s="887">
        <f ca="1">M393*S393*W393</f>
        <v>0</v>
      </c>
      <c r="P393" s="562" t="b">
        <v>1</v>
      </c>
      <c r="Q393" s="562" t="b">
        <v>1</v>
      </c>
      <c r="R393" s="562" t="b">
        <v>0</v>
      </c>
      <c r="S393" s="562" t="b">
        <f ca="1">IF(IFERROR(MATCH(W376,INDIRECT(U376),0),0)=4,TRUE,FALSE)</f>
        <v>0</v>
      </c>
      <c r="T393" s="64" t="b">
        <f ca="1">IF(AND(NOT(S393),W393=TRUE),TRUE,FALSE)</f>
        <v>0</v>
      </c>
      <c r="U393" s="562"/>
      <c r="V393" s="562"/>
      <c r="W393" s="18"/>
      <c r="X393" s="787"/>
      <c r="Y393" s="977"/>
      <c r="Z393" s="978"/>
      <c r="AA393" s="562"/>
      <c r="AB393" s="562"/>
      <c r="AC393" s="562" t="b">
        <f ca="1">OR(AD393:AE393)</f>
        <v>0</v>
      </c>
      <c r="AD393" s="562" t="b">
        <f ca="1">T393</f>
        <v>0</v>
      </c>
      <c r="AE393" s="562" t="b">
        <v>0</v>
      </c>
      <c r="AF393" s="562" t="b">
        <f>AND(AE393,NOT(Q393))</f>
        <v>0</v>
      </c>
      <c r="AG393" s="562"/>
      <c r="AH393" s="562"/>
      <c r="AI393" s="562"/>
      <c r="AJ393" s="562"/>
      <c r="AK393" s="562"/>
      <c r="AL393" s="190" t="str">
        <f>SUBSTITUTE(SUBSTITUTE(SUBSTITUTE("vpa"&amp;$B393&amp;$C393&amp;$D393&amp;$E393&amp;$F393,".","_"),"(","_"),")","")</f>
        <v>vpa602_1_6_3</v>
      </c>
      <c r="AM393" s="190">
        <f>M393</f>
        <v>6</v>
      </c>
      <c r="AN393" s="190" t="str">
        <f>SUBSTITUTE(SUBSTITUTE(SUBSTITUTE("vpc"&amp;$B393&amp;$C393&amp;$D393&amp;$E393&amp;$F393,".","_"),"(","_"),")","")</f>
        <v>vpc602_1_6_3</v>
      </c>
      <c r="AO393" s="190">
        <f ca="1">O393</f>
        <v>0</v>
      </c>
      <c r="AP393" s="190" t="str">
        <f>SUBSTITUTE(SUBSTITUTE(SUBSTITUTE("vch"&amp;$B393&amp;$C393&amp;$D393&amp;$E393&amp;$F393,".","_"),"(","_"),")","")</f>
        <v>vch602_1_6_3</v>
      </c>
      <c r="AQ393" s="190">
        <f>W393</f>
        <v>0</v>
      </c>
      <c r="AR393" s="562"/>
      <c r="AS393" s="562"/>
    </row>
    <row r="394" spans="1:45" x14ac:dyDescent="0.2">
      <c r="A394" s="541">
        <v>6</v>
      </c>
      <c r="B394" s="549" t="s">
        <v>2505</v>
      </c>
      <c r="C394" s="544"/>
      <c r="D394" s="544"/>
      <c r="E394" s="544" t="s">
        <v>2185</v>
      </c>
      <c r="F394" s="544"/>
      <c r="G394" s="543" t="str">
        <f t="shared" ref="G394:G395" ca="1" si="123">G393</f>
        <v/>
      </c>
      <c r="H394" s="541" t="s">
        <v>3751</v>
      </c>
      <c r="I394" s="40"/>
      <c r="J394" s="3"/>
      <c r="K394" s="53"/>
      <c r="L394" s="817"/>
      <c r="M394" s="814"/>
      <c r="N394" s="887"/>
      <c r="O394" s="887"/>
      <c r="P394" s="562"/>
      <c r="Q394" s="562"/>
      <c r="R394" s="562"/>
      <c r="S394" s="562"/>
      <c r="T394" s="562"/>
      <c r="U394" s="562"/>
      <c r="V394" s="562"/>
      <c r="W394" s="562"/>
      <c r="X394" s="787"/>
      <c r="Y394" s="977"/>
      <c r="Z394" s="978"/>
      <c r="AA394" s="562"/>
      <c r="AB394" s="562"/>
      <c r="AC394" s="562"/>
      <c r="AD394" s="562"/>
      <c r="AE394" s="562"/>
      <c r="AF394" s="562"/>
      <c r="AG394" s="562"/>
      <c r="AH394" s="562"/>
      <c r="AI394" s="562"/>
      <c r="AJ394" s="562"/>
      <c r="AK394" s="562"/>
      <c r="AL394" s="562"/>
      <c r="AM394" s="562"/>
      <c r="AN394" s="562"/>
      <c r="AO394" s="562"/>
      <c r="AP394" s="562"/>
      <c r="AQ394" s="562"/>
      <c r="AR394" s="562"/>
      <c r="AS394" s="562"/>
    </row>
    <row r="395" spans="1:45" ht="16" thickBot="1" x14ac:dyDescent="0.25">
      <c r="A395" s="541">
        <v>6</v>
      </c>
      <c r="B395" s="549" t="s">
        <v>2505</v>
      </c>
      <c r="C395" s="544"/>
      <c r="D395" s="544"/>
      <c r="E395" s="544" t="s">
        <v>2185</v>
      </c>
      <c r="F395" s="544"/>
      <c r="G395" s="543" t="str">
        <f t="shared" ca="1" si="123"/>
        <v/>
      </c>
      <c r="H395" s="541" t="s">
        <v>3751</v>
      </c>
      <c r="I395" s="40"/>
      <c r="J395" s="3"/>
      <c r="K395" s="53"/>
      <c r="L395" s="817"/>
      <c r="M395" s="814"/>
      <c r="N395" s="982"/>
      <c r="O395" s="887"/>
      <c r="P395" s="562"/>
      <c r="Q395" s="562"/>
      <c r="R395" s="562"/>
      <c r="S395" s="562"/>
      <c r="T395" s="562"/>
      <c r="U395" s="562"/>
      <c r="V395" s="562"/>
      <c r="W395" s="562"/>
      <c r="X395" s="825"/>
      <c r="Y395" s="979"/>
      <c r="Z395" s="1007"/>
      <c r="AA395" s="562"/>
      <c r="AB395" s="562"/>
      <c r="AC395" s="562"/>
      <c r="AD395" s="562"/>
      <c r="AE395" s="562"/>
      <c r="AF395" s="562"/>
      <c r="AG395" s="562"/>
      <c r="AH395" s="562"/>
      <c r="AI395" s="562"/>
      <c r="AJ395" s="562"/>
      <c r="AK395" s="562"/>
      <c r="AL395" s="562"/>
      <c r="AM395" s="562"/>
      <c r="AN395" s="562"/>
      <c r="AO395" s="562"/>
      <c r="AP395" s="562"/>
      <c r="AQ395" s="562"/>
      <c r="AR395" s="562"/>
      <c r="AS395" s="562"/>
    </row>
    <row r="396" spans="1:45" ht="16" thickTop="1" x14ac:dyDescent="0.2">
      <c r="A396" s="541">
        <v>6</v>
      </c>
      <c r="B396" s="549" t="s">
        <v>2511</v>
      </c>
      <c r="C396" s="544"/>
      <c r="D396" s="544"/>
      <c r="E396" s="544"/>
      <c r="F396" s="544"/>
      <c r="G396" s="543" t="s">
        <v>3343</v>
      </c>
      <c r="H396" s="541" t="s">
        <v>3751</v>
      </c>
      <c r="I396" s="131" t="s">
        <v>2512</v>
      </c>
      <c r="J396" s="132"/>
      <c r="K396" s="133"/>
      <c r="L396" s="95" t="s">
        <v>2513</v>
      </c>
      <c r="M396" s="625"/>
      <c r="N396" s="673"/>
      <c r="O396" s="673"/>
      <c r="P396" s="74"/>
      <c r="Q396" s="74"/>
      <c r="R396" s="74"/>
      <c r="S396" s="74"/>
      <c r="T396" s="74"/>
      <c r="U396" s="74"/>
      <c r="V396" s="74"/>
      <c r="W396" s="74"/>
      <c r="X396" s="74"/>
      <c r="Y396" s="562"/>
      <c r="Z396" s="430"/>
      <c r="AA396" s="562"/>
      <c r="AB396" s="562"/>
      <c r="AC396" s="562"/>
      <c r="AD396" s="562"/>
      <c r="AE396" s="562"/>
      <c r="AF396" s="562"/>
      <c r="AG396" s="562"/>
      <c r="AH396" s="562"/>
      <c r="AI396" s="562"/>
      <c r="AJ396" s="562"/>
      <c r="AK396" s="562"/>
      <c r="AL396" s="562"/>
      <c r="AM396" s="562"/>
      <c r="AN396" s="562"/>
      <c r="AO396" s="562"/>
      <c r="AP396" s="562"/>
      <c r="AQ396" s="562"/>
      <c r="AR396" s="562"/>
      <c r="AS396" s="562"/>
    </row>
    <row r="397" spans="1:45" x14ac:dyDescent="0.2">
      <c r="A397" s="541">
        <v>6</v>
      </c>
      <c r="B397" s="551" t="s">
        <v>2514</v>
      </c>
      <c r="C397" s="551"/>
      <c r="D397" s="544"/>
      <c r="E397" s="544"/>
      <c r="F397" s="544"/>
      <c r="G397" s="543" t="s">
        <v>3343</v>
      </c>
      <c r="H397" s="541" t="s">
        <v>3757</v>
      </c>
      <c r="I397" s="40" t="s">
        <v>2515</v>
      </c>
      <c r="J397" s="3"/>
      <c r="K397" s="53"/>
      <c r="L397" s="55" t="s">
        <v>2516</v>
      </c>
      <c r="M397" s="616"/>
      <c r="N397" s="648"/>
      <c r="O397" s="648"/>
      <c r="P397" s="562"/>
      <c r="Q397" s="562"/>
      <c r="R397" s="562"/>
      <c r="S397" s="562"/>
      <c r="T397" s="562"/>
      <c r="U397" s="562"/>
      <c r="V397" s="562"/>
      <c r="W397" s="562"/>
      <c r="X397" s="562"/>
      <c r="Y397" s="562"/>
      <c r="Z397" s="430"/>
      <c r="AA397" s="562"/>
      <c r="AB397" s="562"/>
      <c r="AC397" s="562"/>
      <c r="AD397" s="562"/>
      <c r="AE397" s="562"/>
      <c r="AF397" s="562"/>
      <c r="AG397" s="562"/>
      <c r="AH397" s="562"/>
      <c r="AI397" s="562"/>
      <c r="AJ397" s="562"/>
      <c r="AK397" s="562"/>
      <c r="AL397" s="562"/>
      <c r="AM397" s="562"/>
      <c r="AN397" s="562"/>
      <c r="AO397" s="562"/>
      <c r="AP397" s="562"/>
      <c r="AQ397" s="562"/>
      <c r="AR397" s="562"/>
      <c r="AS397" s="562"/>
    </row>
    <row r="398" spans="1:45" x14ac:dyDescent="0.2">
      <c r="A398" s="541">
        <v>6</v>
      </c>
      <c r="B398" s="551" t="s">
        <v>2514</v>
      </c>
      <c r="C398" s="551"/>
      <c r="D398" s="544"/>
      <c r="E398" s="544" t="s">
        <v>2181</v>
      </c>
      <c r="F398" s="544"/>
      <c r="G398" s="543" t="str">
        <f>IF(N398&gt;0,"P","")</f>
        <v/>
      </c>
      <c r="H398" s="541" t="s">
        <v>3757</v>
      </c>
      <c r="I398" s="40"/>
      <c r="J398" s="134" t="s">
        <v>2181</v>
      </c>
      <c r="K398" s="65"/>
      <c r="L398" s="791" t="s">
        <v>2517</v>
      </c>
      <c r="M398" s="800">
        <v>2</v>
      </c>
      <c r="N398" s="924">
        <f>'Ch6'!O159</f>
        <v>0</v>
      </c>
      <c r="O398" s="924">
        <f>M398*S398*W398</f>
        <v>0</v>
      </c>
      <c r="P398" s="562" t="b">
        <v>1</v>
      </c>
      <c r="Q398" s="562" t="b">
        <v>0</v>
      </c>
      <c r="R398" s="562" t="b">
        <v>0</v>
      </c>
      <c r="S398" s="562" t="b">
        <v>1</v>
      </c>
      <c r="T398" s="562" t="b">
        <v>0</v>
      </c>
      <c r="U398" s="562"/>
      <c r="V398" s="562"/>
      <c r="W398" s="18"/>
      <c r="X398" s="787"/>
      <c r="Y398" s="980" t="str">
        <f>IF(LEN('Ch6'!X159)=0,"None",'Ch6'!X159)</f>
        <v>None</v>
      </c>
      <c r="Z398" s="983"/>
      <c r="AA398" s="562"/>
      <c r="AB398" s="562"/>
      <c r="AC398" s="562"/>
      <c r="AD398" s="562"/>
      <c r="AE398" s="562"/>
      <c r="AF398" s="562"/>
      <c r="AG398" s="562"/>
      <c r="AH398" s="562"/>
      <c r="AI398" s="562"/>
      <c r="AJ398" s="562"/>
      <c r="AK398" s="562"/>
      <c r="AL398" s="190" t="str">
        <f>SUBSTITUTE(SUBSTITUTE(SUBSTITUTE("vpa"&amp;$B398&amp;$C398&amp;$D398&amp;$E398&amp;$F398,".","_"),"(","_"),")","")</f>
        <v>vpa602_1_7_1_1</v>
      </c>
      <c r="AM398" s="190">
        <f>M398</f>
        <v>2</v>
      </c>
      <c r="AN398" s="190" t="str">
        <f>SUBSTITUTE(SUBSTITUTE(SUBSTITUTE("vpc"&amp;$B398&amp;$C398&amp;$D398&amp;$E398&amp;$F398,".","_"),"(","_"),")","")</f>
        <v>vpc602_1_7_1_1</v>
      </c>
      <c r="AO398" s="190">
        <f>O398</f>
        <v>0</v>
      </c>
      <c r="AP398" s="190" t="str">
        <f>SUBSTITUTE(SUBSTITUTE(SUBSTITUTE("vch"&amp;$B398&amp;$C398&amp;$D398&amp;$E398&amp;$F398,".","_"),"(","_"),")","")</f>
        <v>vch602_1_7_1_1</v>
      </c>
      <c r="AQ398" s="190">
        <f>W398</f>
        <v>0</v>
      </c>
      <c r="AR398" s="190" t="str">
        <f>SUBSTITUTE(SUBSTITUTE(SUBSTITUTE("vnt"&amp;$B398&amp;$C398&amp;$D398&amp;$E398&amp;$F398,".","_"),"(","_"),")","")</f>
        <v>vnt602_1_7_1_1</v>
      </c>
      <c r="AS398" s="190">
        <f>X398</f>
        <v>0</v>
      </c>
    </row>
    <row r="399" spans="1:45" x14ac:dyDescent="0.2">
      <c r="A399" s="541">
        <v>6</v>
      </c>
      <c r="B399" s="551" t="s">
        <v>2514</v>
      </c>
      <c r="C399" s="551"/>
      <c r="D399" s="544"/>
      <c r="E399" s="544" t="s">
        <v>2181</v>
      </c>
      <c r="F399" s="544"/>
      <c r="G399" s="543" t="str">
        <f t="shared" ref="G399" si="124">G398</f>
        <v/>
      </c>
      <c r="H399" s="541" t="s">
        <v>3757</v>
      </c>
      <c r="I399" s="40"/>
      <c r="J399" s="165"/>
      <c r="K399" s="126"/>
      <c r="L399" s="792"/>
      <c r="M399" s="801"/>
      <c r="N399" s="942"/>
      <c r="O399" s="942"/>
      <c r="P399" s="562"/>
      <c r="Q399" s="562"/>
      <c r="R399" s="562"/>
      <c r="S399" s="562"/>
      <c r="T399" s="562"/>
      <c r="U399" s="562"/>
      <c r="V399" s="562"/>
      <c r="W399" s="562"/>
      <c r="X399" s="787"/>
      <c r="Y399" s="980"/>
      <c r="Z399" s="983"/>
      <c r="AA399" s="562"/>
      <c r="AB399" s="562"/>
      <c r="AC399" s="562"/>
      <c r="AD399" s="562"/>
      <c r="AE399" s="562"/>
      <c r="AF399" s="562"/>
      <c r="AG399" s="562"/>
      <c r="AH399" s="562"/>
      <c r="AI399" s="562"/>
      <c r="AJ399" s="562"/>
      <c r="AK399" s="562"/>
      <c r="AL399" s="562"/>
      <c r="AM399" s="562"/>
      <c r="AN399" s="562"/>
      <c r="AO399" s="562"/>
      <c r="AP399" s="562"/>
      <c r="AQ399" s="562"/>
      <c r="AR399" s="562"/>
      <c r="AS399" s="562"/>
    </row>
    <row r="400" spans="1:45" x14ac:dyDescent="0.2">
      <c r="A400" s="541">
        <v>6</v>
      </c>
      <c r="B400" s="551" t="s">
        <v>2514</v>
      </c>
      <c r="C400" s="551"/>
      <c r="D400" s="544"/>
      <c r="E400" s="544" t="s">
        <v>2183</v>
      </c>
      <c r="F400" s="544"/>
      <c r="G400" s="543" t="s">
        <v>3343</v>
      </c>
      <c r="H400" s="541" t="s">
        <v>3757</v>
      </c>
      <c r="I400" s="40"/>
      <c r="J400" s="134" t="s">
        <v>2183</v>
      </c>
      <c r="K400" s="65"/>
      <c r="L400" s="791" t="s">
        <v>2518</v>
      </c>
      <c r="M400" s="829" t="str">
        <f>IF(R400,"Mandatory
2","N/A")</f>
        <v>Mandatory
2</v>
      </c>
      <c r="N400" s="923">
        <f>'Ch6'!O161</f>
        <v>0</v>
      </c>
      <c r="O400" s="924">
        <f>IF(AND(S400,W400="Met"),2,0)</f>
        <v>0</v>
      </c>
      <c r="P400" s="562" t="b">
        <v>1</v>
      </c>
      <c r="Q400" s="562" t="b">
        <v>0</v>
      </c>
      <c r="R400" s="562" t="b">
        <f>S400</f>
        <v>1</v>
      </c>
      <c r="S400" s="562" t="b">
        <v>1</v>
      </c>
      <c r="T400" s="562" t="b">
        <v>0</v>
      </c>
      <c r="U400" s="64" t="str">
        <f>SUBSTITUTE(SUBSTITUTE(SUBSTITUTE("dd"&amp;B400&amp;C400&amp;D400&amp;E400&amp;F400,".","_"),"(","_"),")","")</f>
        <v>dd602_1_7_1_2</v>
      </c>
      <c r="V400" s="562"/>
      <c r="W400" s="6"/>
      <c r="X400" s="787"/>
      <c r="Y400" s="980" t="str">
        <f>IF(LEN('Ch6'!X161)=0,"None",'Ch6'!X161)</f>
        <v>None</v>
      </c>
      <c r="Z400" s="983"/>
      <c r="AA400" s="562"/>
      <c r="AB400" s="562"/>
      <c r="AC400" s="562" t="b">
        <f>OR(AD400:AE400)</f>
        <v>1</v>
      </c>
      <c r="AD400" s="562" t="b">
        <f>T400</f>
        <v>0</v>
      </c>
      <c r="AE400" s="562" t="b">
        <f>OR(AND(R400,NOT(W400="Met"),NOT(W400="N/A")),AND(W400="N/A",ISBLANK(X400)))</f>
        <v>1</v>
      </c>
      <c r="AF400" s="562" t="b">
        <f>AND(AE400,NOT(Q400))</f>
        <v>1</v>
      </c>
      <c r="AG400" s="562"/>
      <c r="AH400" s="562"/>
      <c r="AI400" s="562"/>
      <c r="AJ400" s="562"/>
      <c r="AK400" s="562"/>
      <c r="AL400" s="190" t="str">
        <f>SUBSTITUTE(SUBSTITUTE(SUBSTITUTE("vpa"&amp;$B400&amp;$C400&amp;$D400&amp;$E400&amp;$F400,".","_"),"(","_"),")","")</f>
        <v>vpa602_1_7_1_2</v>
      </c>
      <c r="AM400" s="190" t="str">
        <f>M400</f>
        <v>Mandatory
2</v>
      </c>
      <c r="AN400" s="190" t="str">
        <f>SUBSTITUTE(SUBSTITUTE(SUBSTITUTE("vpc"&amp;$B400&amp;$C400&amp;$D400&amp;$E400&amp;$F400,".","_"),"(","_"),")","")</f>
        <v>vpc602_1_7_1_2</v>
      </c>
      <c r="AO400" s="190">
        <f>O400</f>
        <v>0</v>
      </c>
      <c r="AP400" s="190" t="str">
        <f>SUBSTITUTE(SUBSTITUTE(SUBSTITUTE("vch"&amp;$B400&amp;$C400&amp;$D400&amp;$E400&amp;$F400,".","_"),"(","_"),")","")</f>
        <v>vch602_1_7_1_2</v>
      </c>
      <c r="AQ400" s="190">
        <f>W400</f>
        <v>0</v>
      </c>
      <c r="AR400" s="190" t="str">
        <f>SUBSTITUTE(SUBSTITUTE(SUBSTITUTE("vnt"&amp;$B400&amp;$C400&amp;$D400&amp;$E400&amp;$F400,".","_"),"(","_"),")","")</f>
        <v>vnt602_1_7_1_2</v>
      </c>
      <c r="AS400" s="190">
        <f>X400</f>
        <v>0</v>
      </c>
    </row>
    <row r="401" spans="1:45" x14ac:dyDescent="0.2">
      <c r="A401" s="541">
        <v>6</v>
      </c>
      <c r="B401" s="551" t="s">
        <v>2514</v>
      </c>
      <c r="C401" s="551"/>
      <c r="D401" s="544"/>
      <c r="E401" s="544" t="s">
        <v>2183</v>
      </c>
      <c r="F401" s="544"/>
      <c r="G401" s="543" t="s">
        <v>3343</v>
      </c>
      <c r="H401" s="541" t="s">
        <v>3757</v>
      </c>
      <c r="I401" s="40"/>
      <c r="J401" s="98"/>
      <c r="K401" s="65"/>
      <c r="L401" s="791"/>
      <c r="M401" s="829"/>
      <c r="N401" s="924"/>
      <c r="O401" s="924"/>
      <c r="P401" s="562"/>
      <c r="Q401" s="562"/>
      <c r="R401" s="562"/>
      <c r="S401" s="562"/>
      <c r="T401" s="562"/>
      <c r="U401" s="562"/>
      <c r="V401" s="562"/>
      <c r="W401" s="562"/>
      <c r="X401" s="787"/>
      <c r="Y401" s="980"/>
      <c r="Z401" s="983"/>
      <c r="AA401" s="562"/>
      <c r="AB401" s="562"/>
      <c r="AC401" s="562"/>
      <c r="AD401" s="562"/>
      <c r="AE401" s="562"/>
      <c r="AF401" s="562"/>
      <c r="AG401" s="562"/>
      <c r="AH401" s="562"/>
      <c r="AI401" s="562"/>
      <c r="AJ401" s="562"/>
      <c r="AK401" s="562"/>
      <c r="AL401" s="562"/>
      <c r="AM401" s="562"/>
      <c r="AN401" s="562"/>
      <c r="AO401" s="562"/>
      <c r="AP401" s="562"/>
      <c r="AQ401" s="562"/>
      <c r="AR401" s="562"/>
      <c r="AS401" s="562"/>
    </row>
    <row r="402" spans="1:45" x14ac:dyDescent="0.2">
      <c r="A402" s="541">
        <v>6</v>
      </c>
      <c r="B402" s="551" t="s">
        <v>2514</v>
      </c>
      <c r="C402" s="551"/>
      <c r="D402" s="544"/>
      <c r="E402" s="544" t="s">
        <v>2183</v>
      </c>
      <c r="F402" s="544"/>
      <c r="G402" s="543" t="s">
        <v>3343</v>
      </c>
      <c r="H402" s="541" t="s">
        <v>3757</v>
      </c>
      <c r="I402" s="40"/>
      <c r="J402" s="165"/>
      <c r="K402" s="126"/>
      <c r="L402" s="634" t="s">
        <v>2519</v>
      </c>
      <c r="M402" s="830"/>
      <c r="N402" s="942"/>
      <c r="O402" s="942"/>
      <c r="P402" s="562"/>
      <c r="Q402" s="562"/>
      <c r="R402" s="562"/>
      <c r="S402" s="562"/>
      <c r="T402" s="562"/>
      <c r="U402" s="562"/>
      <c r="V402" s="562"/>
      <c r="W402" s="562"/>
      <c r="X402" s="787"/>
      <c r="Y402" s="980"/>
      <c r="Z402" s="983"/>
      <c r="AA402" s="562"/>
      <c r="AB402" s="562"/>
      <c r="AC402" s="562"/>
      <c r="AD402" s="562"/>
      <c r="AE402" s="562"/>
      <c r="AF402" s="562"/>
      <c r="AG402" s="562"/>
      <c r="AH402" s="562"/>
      <c r="AI402" s="562"/>
      <c r="AJ402" s="562"/>
      <c r="AK402" s="562"/>
      <c r="AL402" s="562"/>
      <c r="AM402" s="562"/>
      <c r="AN402" s="562"/>
      <c r="AO402" s="562"/>
      <c r="AP402" s="562"/>
      <c r="AQ402" s="562"/>
      <c r="AR402" s="562"/>
      <c r="AS402" s="562"/>
    </row>
    <row r="403" spans="1:45" x14ac:dyDescent="0.2">
      <c r="A403" s="541">
        <v>6</v>
      </c>
      <c r="B403" s="551" t="s">
        <v>2514</v>
      </c>
      <c r="C403" s="551"/>
      <c r="D403" s="544"/>
      <c r="E403" s="544" t="s">
        <v>2185</v>
      </c>
      <c r="F403" s="544"/>
      <c r="G403" s="543" t="str">
        <f>IF(N403&gt;0,"P","")</f>
        <v/>
      </c>
      <c r="H403" s="541" t="s">
        <v>3757</v>
      </c>
      <c r="I403" s="99"/>
      <c r="J403" s="134" t="s">
        <v>2185</v>
      </c>
      <c r="K403" s="65"/>
      <c r="L403" s="791" t="s">
        <v>2520</v>
      </c>
      <c r="M403" s="836">
        <v>4</v>
      </c>
      <c r="N403" s="923">
        <f>'Ch6'!O164</f>
        <v>0</v>
      </c>
      <c r="O403" s="924">
        <f>M403*S403*W403</f>
        <v>0</v>
      </c>
      <c r="P403" s="562" t="b">
        <v>1</v>
      </c>
      <c r="Q403" s="562" t="b">
        <v>0</v>
      </c>
      <c r="R403" s="562" t="b">
        <v>0</v>
      </c>
      <c r="S403" s="562" t="b">
        <v>1</v>
      </c>
      <c r="T403" s="562" t="b">
        <v>0</v>
      </c>
      <c r="U403" s="562"/>
      <c r="V403" s="562"/>
      <c r="W403" s="18"/>
      <c r="X403" s="787"/>
      <c r="Y403" s="980" t="str">
        <f>IF(LEN('Ch6'!X164)=0,"None",'Ch6'!X164)</f>
        <v>None</v>
      </c>
      <c r="Z403" s="983"/>
      <c r="AA403" s="562"/>
      <c r="AB403" s="562"/>
      <c r="AC403" s="562"/>
      <c r="AD403" s="562"/>
      <c r="AE403" s="562"/>
      <c r="AF403" s="562"/>
      <c r="AG403" s="562"/>
      <c r="AH403" s="562"/>
      <c r="AI403" s="562"/>
      <c r="AJ403" s="562"/>
      <c r="AK403" s="562"/>
      <c r="AL403" s="190" t="str">
        <f>SUBSTITUTE(SUBSTITUTE(SUBSTITUTE("vpa"&amp;$B403&amp;$C403&amp;$D403&amp;$E403&amp;$F403,".","_"),"(","_"),")","")</f>
        <v>vpa602_1_7_1_3</v>
      </c>
      <c r="AM403" s="190">
        <f>M403</f>
        <v>4</v>
      </c>
      <c r="AN403" s="190" t="str">
        <f>SUBSTITUTE(SUBSTITUTE(SUBSTITUTE("vpc"&amp;$B403&amp;$C403&amp;$D403&amp;$E403&amp;$F403,".","_"),"(","_"),")","")</f>
        <v>vpc602_1_7_1_3</v>
      </c>
      <c r="AO403" s="190">
        <f>O403</f>
        <v>0</v>
      </c>
      <c r="AP403" s="190" t="str">
        <f>SUBSTITUTE(SUBSTITUTE(SUBSTITUTE("vch"&amp;$B403&amp;$C403&amp;$D403&amp;$E403&amp;$F403,".","_"),"(","_"),")","")</f>
        <v>vch602_1_7_1_3</v>
      </c>
      <c r="AQ403" s="190">
        <f>W403</f>
        <v>0</v>
      </c>
      <c r="AR403" s="190" t="str">
        <f>SUBSTITUTE(SUBSTITUTE(SUBSTITUTE("vnt"&amp;$B403&amp;$C403&amp;$D403&amp;$E403&amp;$F403,".","_"),"(","_"),")","")</f>
        <v>vnt602_1_7_1_3</v>
      </c>
      <c r="AS403" s="190">
        <f>X403</f>
        <v>0</v>
      </c>
    </row>
    <row r="404" spans="1:45" x14ac:dyDescent="0.2">
      <c r="A404" s="541">
        <v>6</v>
      </c>
      <c r="B404" s="551" t="s">
        <v>2514</v>
      </c>
      <c r="C404" s="551"/>
      <c r="D404" s="544"/>
      <c r="E404" s="544" t="s">
        <v>2185</v>
      </c>
      <c r="F404" s="544"/>
      <c r="G404" s="543" t="str">
        <f t="shared" ref="G404" si="125">G403</f>
        <v/>
      </c>
      <c r="H404" s="541" t="s">
        <v>3757</v>
      </c>
      <c r="I404" s="170"/>
      <c r="J404" s="165"/>
      <c r="K404" s="126"/>
      <c r="L404" s="792"/>
      <c r="M404" s="856"/>
      <c r="N404" s="942"/>
      <c r="O404" s="942"/>
      <c r="P404" s="562"/>
      <c r="Q404" s="562"/>
      <c r="R404" s="562"/>
      <c r="S404" s="562"/>
      <c r="T404" s="562"/>
      <c r="U404" s="562"/>
      <c r="V404" s="562"/>
      <c r="W404" s="562"/>
      <c r="X404" s="787"/>
      <c r="Y404" s="980"/>
      <c r="Z404" s="983"/>
      <c r="AA404" s="562"/>
      <c r="AB404" s="562"/>
      <c r="AC404" s="562"/>
      <c r="AD404" s="562"/>
      <c r="AE404" s="562"/>
      <c r="AF404" s="562"/>
      <c r="AG404" s="562"/>
      <c r="AH404" s="562"/>
      <c r="AI404" s="562"/>
      <c r="AJ404" s="562"/>
      <c r="AK404" s="562"/>
      <c r="AL404" s="562"/>
      <c r="AM404" s="562"/>
      <c r="AN404" s="562"/>
      <c r="AO404" s="562"/>
      <c r="AP404" s="562"/>
      <c r="AQ404" s="562"/>
      <c r="AR404" s="562"/>
      <c r="AS404" s="562"/>
    </row>
    <row r="405" spans="1:45" x14ac:dyDescent="0.2">
      <c r="A405" s="541">
        <v>6</v>
      </c>
      <c r="B405" s="551" t="s">
        <v>2521</v>
      </c>
      <c r="C405" s="551"/>
      <c r="D405" s="544"/>
      <c r="E405" s="544"/>
      <c r="F405" s="544"/>
      <c r="G405" s="543" t="str">
        <f>IF(N405&gt;0,"P","")</f>
        <v/>
      </c>
      <c r="H405" s="541" t="s">
        <v>3751</v>
      </c>
      <c r="I405" s="145" t="s">
        <v>2522</v>
      </c>
      <c r="J405" s="146"/>
      <c r="K405" s="147"/>
      <c r="L405" s="847" t="s">
        <v>2523</v>
      </c>
      <c r="M405" s="824">
        <v>2</v>
      </c>
      <c r="N405" s="923">
        <f>'Ch6'!O166</f>
        <v>0</v>
      </c>
      <c r="O405" s="923">
        <f>M405*S405*W405</f>
        <v>0</v>
      </c>
      <c r="P405" s="562" t="b">
        <v>1</v>
      </c>
      <c r="Q405" s="562" t="b">
        <v>1</v>
      </c>
      <c r="R405" s="562" t="b">
        <v>0</v>
      </c>
      <c r="S405" s="562" t="b">
        <v>1</v>
      </c>
      <c r="T405" s="562" t="b">
        <v>0</v>
      </c>
      <c r="U405" s="562"/>
      <c r="V405" s="562"/>
      <c r="W405" s="18"/>
      <c r="X405" s="787"/>
      <c r="Y405" s="980" t="str">
        <f>IF(LEN('Ch6'!X166)=0,"None",'Ch6'!X166)</f>
        <v>None</v>
      </c>
      <c r="Z405" s="983"/>
      <c r="AA405" s="562"/>
      <c r="AB405" s="562"/>
      <c r="AC405" s="562"/>
      <c r="AD405" s="562"/>
      <c r="AE405" s="562"/>
      <c r="AF405" s="562"/>
      <c r="AG405" s="562"/>
      <c r="AH405" s="562"/>
      <c r="AI405" s="562"/>
      <c r="AJ405" s="562"/>
      <c r="AK405" s="562"/>
      <c r="AL405" s="190" t="str">
        <f>SUBSTITUTE(SUBSTITUTE(SUBSTITUTE("vpa"&amp;$B405&amp;$C405&amp;$D405&amp;$E405&amp;$F405,".","_"),"(","_"),")","")</f>
        <v>vpa602_1_7_2</v>
      </c>
      <c r="AM405" s="190">
        <f>M405</f>
        <v>2</v>
      </c>
      <c r="AN405" s="190" t="str">
        <f>SUBSTITUTE(SUBSTITUTE(SUBSTITUTE("vpc"&amp;$B405&amp;$C405&amp;$D405&amp;$E405&amp;$F405,".","_"),"(","_"),")","")</f>
        <v>vpc602_1_7_2</v>
      </c>
      <c r="AO405" s="190">
        <f>O405</f>
        <v>0</v>
      </c>
      <c r="AP405" s="190" t="str">
        <f>SUBSTITUTE(SUBSTITUTE(SUBSTITUTE("vch"&amp;$B405&amp;$C405&amp;$D405&amp;$E405&amp;$F405,".","_"),"(","_"),")","")</f>
        <v>vch602_1_7_2</v>
      </c>
      <c r="AQ405" s="190">
        <f>W405</f>
        <v>0</v>
      </c>
      <c r="AR405" s="190" t="str">
        <f>SUBSTITUTE(SUBSTITUTE(SUBSTITUTE("vnt"&amp;$B405&amp;$C405&amp;$D405&amp;$E405&amp;$F405,".","_"),"(","_"),")","")</f>
        <v>vnt602_1_7_2</v>
      </c>
      <c r="AS405" s="190">
        <f>X405</f>
        <v>0</v>
      </c>
    </row>
    <row r="406" spans="1:45" x14ac:dyDescent="0.2">
      <c r="A406" s="541">
        <v>6</v>
      </c>
      <c r="B406" s="549" t="s">
        <v>2521</v>
      </c>
      <c r="C406" s="549"/>
      <c r="D406" s="544"/>
      <c r="E406" s="544"/>
      <c r="F406" s="544"/>
      <c r="G406" s="543" t="str">
        <f t="shared" ref="G406" si="126">G405</f>
        <v/>
      </c>
      <c r="H406" s="541" t="s">
        <v>3751</v>
      </c>
      <c r="I406" s="170"/>
      <c r="J406" s="165"/>
      <c r="K406" s="126"/>
      <c r="L406" s="832"/>
      <c r="M406" s="801"/>
      <c r="N406" s="942"/>
      <c r="O406" s="942"/>
      <c r="P406" s="562"/>
      <c r="Q406" s="562"/>
      <c r="R406" s="562"/>
      <c r="S406" s="562"/>
      <c r="T406" s="562"/>
      <c r="U406" s="562"/>
      <c r="V406" s="562"/>
      <c r="W406" s="562"/>
      <c r="X406" s="787"/>
      <c r="Y406" s="980"/>
      <c r="Z406" s="983"/>
      <c r="AA406" s="562"/>
      <c r="AB406" s="562"/>
      <c r="AC406" s="562"/>
      <c r="AD406" s="562"/>
      <c r="AE406" s="562"/>
      <c r="AF406" s="562"/>
      <c r="AG406" s="562"/>
      <c r="AH406" s="562"/>
      <c r="AI406" s="562"/>
      <c r="AJ406" s="562"/>
      <c r="AK406" s="562"/>
      <c r="AL406" s="562"/>
      <c r="AM406" s="562"/>
      <c r="AN406" s="562"/>
      <c r="AO406" s="562"/>
      <c r="AP406" s="562"/>
      <c r="AQ406" s="562"/>
      <c r="AR406" s="562"/>
      <c r="AS406" s="562"/>
    </row>
    <row r="407" spans="1:45" x14ac:dyDescent="0.2">
      <c r="A407" s="541">
        <v>6</v>
      </c>
      <c r="B407" s="549" t="s">
        <v>2524</v>
      </c>
      <c r="C407" s="549"/>
      <c r="D407" s="544"/>
      <c r="E407" s="544"/>
      <c r="F407" s="544"/>
      <c r="G407" s="543" t="str">
        <f>IF(N407&gt;0,"P","")</f>
        <v/>
      </c>
      <c r="H407" s="541" t="s">
        <v>3757</v>
      </c>
      <c r="I407" s="40" t="s">
        <v>2525</v>
      </c>
      <c r="J407" s="3"/>
      <c r="K407" s="53"/>
      <c r="L407" s="775" t="s">
        <v>2526</v>
      </c>
      <c r="M407" s="814">
        <v>4</v>
      </c>
      <c r="N407" s="923">
        <f>'Ch6'!O168</f>
        <v>0</v>
      </c>
      <c r="O407" s="887">
        <f>M407*S407*W407</f>
        <v>0</v>
      </c>
      <c r="P407" s="562" t="b">
        <v>1</v>
      </c>
      <c r="Q407" s="562" t="b">
        <v>0</v>
      </c>
      <c r="R407" s="562" t="b">
        <v>0</v>
      </c>
      <c r="S407" s="562" t="b">
        <v>1</v>
      </c>
      <c r="T407" s="562" t="b">
        <v>0</v>
      </c>
      <c r="U407" s="562"/>
      <c r="V407" s="562"/>
      <c r="W407" s="18"/>
      <c r="X407" s="787"/>
      <c r="Y407" s="977" t="str">
        <f>IF(LEN('Ch6'!X168)=0,"None",'Ch6'!X168)</f>
        <v>None</v>
      </c>
      <c r="Z407" s="978"/>
      <c r="AA407" s="562"/>
      <c r="AB407" s="562"/>
      <c r="AC407" s="562"/>
      <c r="AD407" s="562"/>
      <c r="AE407" s="562"/>
      <c r="AF407" s="562"/>
      <c r="AG407" s="562"/>
      <c r="AH407" s="562"/>
      <c r="AI407" s="562"/>
      <c r="AJ407" s="562"/>
      <c r="AK407" s="562"/>
      <c r="AL407" s="190" t="str">
        <f>SUBSTITUTE(SUBSTITUTE(SUBSTITUTE("vpa"&amp;$B407&amp;$C407&amp;$D407&amp;$E407&amp;$F407,".","_"),"(","_"),")","")</f>
        <v>vpa602_1_7_3</v>
      </c>
      <c r="AM407" s="190">
        <f>M407</f>
        <v>4</v>
      </c>
      <c r="AN407" s="190" t="str">
        <f>SUBSTITUTE(SUBSTITUTE(SUBSTITUTE("vpc"&amp;$B407&amp;$C407&amp;$D407&amp;$E407&amp;$F407,".","_"),"(","_"),")","")</f>
        <v>vpc602_1_7_3</v>
      </c>
      <c r="AO407" s="190">
        <f>O407</f>
        <v>0</v>
      </c>
      <c r="AP407" s="190" t="str">
        <f>SUBSTITUTE(SUBSTITUTE(SUBSTITUTE("vch"&amp;$B407&amp;$C407&amp;$D407&amp;$E407&amp;$F407,".","_"),"(","_"),")","")</f>
        <v>vch602_1_7_3</v>
      </c>
      <c r="AQ407" s="190">
        <f>W407</f>
        <v>0</v>
      </c>
      <c r="AR407" s="190" t="str">
        <f>SUBSTITUTE(SUBSTITUTE(SUBSTITUTE("vnt"&amp;$B407&amp;$C407&amp;$D407&amp;$E407&amp;$F407,".","_"),"(","_"),")","")</f>
        <v>vnt602_1_7_3</v>
      </c>
      <c r="AS407" s="190">
        <f>X407</f>
        <v>0</v>
      </c>
    </row>
    <row r="408" spans="1:45" x14ac:dyDescent="0.2">
      <c r="A408" s="541">
        <v>6</v>
      </c>
      <c r="B408" s="549" t="s">
        <v>2524</v>
      </c>
      <c r="C408" s="549"/>
      <c r="D408" s="544"/>
      <c r="E408" s="544"/>
      <c r="F408" s="544"/>
      <c r="G408" s="543" t="str">
        <f t="shared" ref="G408:G410" si="127">G407</f>
        <v/>
      </c>
      <c r="H408" s="541" t="s">
        <v>3757</v>
      </c>
      <c r="I408" s="40"/>
      <c r="J408" s="3"/>
      <c r="K408" s="53"/>
      <c r="L408" s="775"/>
      <c r="M408" s="814"/>
      <c r="N408" s="887"/>
      <c r="O408" s="887"/>
      <c r="P408" s="562"/>
      <c r="Q408" s="562"/>
      <c r="R408" s="562"/>
      <c r="S408" s="562"/>
      <c r="T408" s="562"/>
      <c r="U408" s="562"/>
      <c r="V408" s="562"/>
      <c r="W408" s="562"/>
      <c r="X408" s="787"/>
      <c r="Y408" s="977"/>
      <c r="Z408" s="978"/>
      <c r="AA408" s="562"/>
      <c r="AB408" s="562"/>
      <c r="AC408" s="562"/>
      <c r="AD408" s="562"/>
      <c r="AE408" s="562"/>
      <c r="AF408" s="562"/>
      <c r="AG408" s="562"/>
      <c r="AH408" s="562"/>
      <c r="AI408" s="562"/>
      <c r="AJ408" s="562"/>
      <c r="AK408" s="562"/>
      <c r="AL408" s="562"/>
      <c r="AM408" s="562"/>
      <c r="AN408" s="562"/>
      <c r="AO408" s="562"/>
      <c r="AP408" s="562"/>
      <c r="AQ408" s="562"/>
      <c r="AR408" s="562"/>
      <c r="AS408" s="562"/>
    </row>
    <row r="409" spans="1:45" x14ac:dyDescent="0.2">
      <c r="A409" s="541">
        <v>6</v>
      </c>
      <c r="B409" s="549" t="s">
        <v>2524</v>
      </c>
      <c r="C409" s="549"/>
      <c r="D409" s="544"/>
      <c r="E409" s="544"/>
      <c r="F409" s="544"/>
      <c r="G409" s="543" t="str">
        <f t="shared" si="127"/>
        <v/>
      </c>
      <c r="H409" s="541" t="s">
        <v>3757</v>
      </c>
      <c r="I409" s="40"/>
      <c r="J409" s="3"/>
      <c r="K409" s="53"/>
      <c r="L409" s="775"/>
      <c r="M409" s="814"/>
      <c r="N409" s="887"/>
      <c r="O409" s="887"/>
      <c r="P409" s="562"/>
      <c r="Q409" s="562"/>
      <c r="R409" s="562"/>
      <c r="S409" s="562"/>
      <c r="T409" s="562"/>
      <c r="U409" s="562"/>
      <c r="V409" s="562"/>
      <c r="W409" s="562"/>
      <c r="X409" s="787"/>
      <c r="Y409" s="977"/>
      <c r="Z409" s="978"/>
      <c r="AA409" s="562"/>
      <c r="AB409" s="562"/>
      <c r="AC409" s="562"/>
      <c r="AD409" s="562"/>
      <c r="AE409" s="562"/>
      <c r="AF409" s="562"/>
      <c r="AG409" s="562"/>
      <c r="AH409" s="562"/>
      <c r="AI409" s="562"/>
      <c r="AJ409" s="562"/>
      <c r="AK409" s="562"/>
      <c r="AL409" s="562"/>
      <c r="AM409" s="562"/>
      <c r="AN409" s="562"/>
      <c r="AO409" s="562"/>
      <c r="AP409" s="562"/>
      <c r="AQ409" s="562"/>
      <c r="AR409" s="562"/>
      <c r="AS409" s="562"/>
    </row>
    <row r="410" spans="1:45" ht="16" thickBot="1" x14ac:dyDescent="0.25">
      <c r="A410" s="541">
        <v>6</v>
      </c>
      <c r="B410" s="549" t="s">
        <v>2524</v>
      </c>
      <c r="C410" s="549"/>
      <c r="D410" s="544"/>
      <c r="E410" s="544"/>
      <c r="F410" s="544"/>
      <c r="G410" s="543" t="str">
        <f t="shared" si="127"/>
        <v/>
      </c>
      <c r="H410" s="541" t="s">
        <v>3757</v>
      </c>
      <c r="I410" s="40"/>
      <c r="J410" s="3"/>
      <c r="K410" s="53"/>
      <c r="L410" s="775"/>
      <c r="M410" s="814"/>
      <c r="N410" s="982"/>
      <c r="O410" s="887"/>
      <c r="P410" s="562"/>
      <c r="Q410" s="562"/>
      <c r="R410" s="562"/>
      <c r="S410" s="562"/>
      <c r="T410" s="562"/>
      <c r="U410" s="562"/>
      <c r="V410" s="562"/>
      <c r="W410" s="81"/>
      <c r="X410" s="825"/>
      <c r="Y410" s="979"/>
      <c r="Z410" s="1007"/>
      <c r="AA410" s="562"/>
      <c r="AB410" s="562"/>
      <c r="AC410" s="562"/>
      <c r="AD410" s="562"/>
      <c r="AE410" s="562"/>
      <c r="AF410" s="562"/>
      <c r="AG410" s="562"/>
      <c r="AH410" s="562"/>
      <c r="AI410" s="562"/>
      <c r="AJ410" s="562"/>
      <c r="AK410" s="562"/>
      <c r="AL410" s="562"/>
      <c r="AM410" s="562"/>
      <c r="AN410" s="562"/>
      <c r="AO410" s="562"/>
      <c r="AP410" s="562"/>
      <c r="AQ410" s="562"/>
      <c r="AR410" s="562"/>
      <c r="AS410" s="562"/>
    </row>
    <row r="411" spans="1:45" ht="16" thickTop="1" x14ac:dyDescent="0.2">
      <c r="A411" s="541">
        <v>6</v>
      </c>
      <c r="B411" s="549" t="s">
        <v>2527</v>
      </c>
      <c r="C411" s="544"/>
      <c r="D411" s="544"/>
      <c r="E411" s="544"/>
      <c r="F411" s="544"/>
      <c r="G411" s="543" t="s">
        <v>3343</v>
      </c>
      <c r="H411" s="541" t="s">
        <v>3757</v>
      </c>
      <c r="I411" s="131" t="s">
        <v>2528</v>
      </c>
      <c r="J411" s="132"/>
      <c r="K411" s="133"/>
      <c r="L411" s="819" t="s">
        <v>2529</v>
      </c>
      <c r="M411" s="843" t="str">
        <f>IF(R411,"Mandatory","N/A")</f>
        <v>Mandatory</v>
      </c>
      <c r="N411" s="673"/>
      <c r="O411" s="673"/>
      <c r="P411" s="562" t="b">
        <v>1</v>
      </c>
      <c r="Q411" s="562" t="b">
        <v>0</v>
      </c>
      <c r="R411" s="74" t="b">
        <f>S411</f>
        <v>1</v>
      </c>
      <c r="S411" s="74" t="b">
        <v>1</v>
      </c>
      <c r="T411" s="74" t="b">
        <v>0</v>
      </c>
      <c r="U411" s="74" t="str">
        <f>SUBSTITUTE(SUBSTITUTE(SUBSTITUTE("dd"&amp;B411&amp;C411&amp;D411&amp;E411&amp;F411,".","_"),"(","_"),")","")</f>
        <v>dd602_1_8</v>
      </c>
      <c r="V411" s="74"/>
      <c r="W411" s="6"/>
      <c r="X411" s="802"/>
      <c r="Y411" s="975" t="str">
        <f>IF(LEN('Ch6'!X172)=0,"None",'Ch6'!X172)</f>
        <v>None</v>
      </c>
      <c r="Z411" s="976"/>
      <c r="AA411" s="562">
        <f>'Photo Review'!H411</f>
        <v>0</v>
      </c>
      <c r="AB411" s="562"/>
      <c r="AC411" s="562" t="b">
        <f>OR(AD411:AE411)</f>
        <v>1</v>
      </c>
      <c r="AD411" s="562" t="b">
        <f>T411</f>
        <v>0</v>
      </c>
      <c r="AE411" s="562" t="b">
        <f>OR(AND(R411,NOT(W411="Met"),NOT(W411="N/A")),AND(W411="N/A",ISBLANK(X411)))</f>
        <v>1</v>
      </c>
      <c r="AF411" s="562" t="b">
        <f>AND(AE411,NOT(Q411))</f>
        <v>1</v>
      </c>
      <c r="AG411" s="562"/>
      <c r="AH411" s="562"/>
      <c r="AI411" s="562"/>
      <c r="AJ411" s="562"/>
      <c r="AK411" s="562"/>
      <c r="AL411" s="190" t="str">
        <f>SUBSTITUTE(SUBSTITUTE(SUBSTITUTE("vpa"&amp;$B411&amp;$C411&amp;$D411&amp;$E411&amp;$F411,".","_"),"(","_"),")","")</f>
        <v>vpa602_1_8</v>
      </c>
      <c r="AM411" s="190" t="str">
        <f>M411</f>
        <v>Mandatory</v>
      </c>
      <c r="AN411" s="562"/>
      <c r="AO411" s="562"/>
      <c r="AP411" s="190" t="str">
        <f>SUBSTITUTE(SUBSTITUTE(SUBSTITUTE("vch"&amp;$B411&amp;$C411&amp;$D411&amp;$E411&amp;$F411,".","_"),"(","_"),")","")</f>
        <v>vch602_1_8</v>
      </c>
      <c r="AQ411" s="190">
        <f>W411</f>
        <v>0</v>
      </c>
      <c r="AR411" s="190" t="str">
        <f>SUBSTITUTE(SUBSTITUTE(SUBSTITUTE("vnt"&amp;$B411&amp;$C411&amp;$D411&amp;$E411&amp;$F411,".","_"),"(","_"),")","")</f>
        <v>vnt602_1_8</v>
      </c>
      <c r="AS411" s="190">
        <f>X411</f>
        <v>0</v>
      </c>
    </row>
    <row r="412" spans="1:45" s="498" customFormat="1" x14ac:dyDescent="0.2">
      <c r="A412" s="541">
        <v>6</v>
      </c>
      <c r="B412" s="549" t="s">
        <v>2527</v>
      </c>
      <c r="C412" s="544"/>
      <c r="D412" s="544"/>
      <c r="E412" s="544"/>
      <c r="F412" s="544"/>
      <c r="G412" s="543" t="s">
        <v>3343</v>
      </c>
      <c r="H412" s="541" t="s">
        <v>3757</v>
      </c>
      <c r="I412" s="99"/>
      <c r="J412" s="98"/>
      <c r="K412" s="65"/>
      <c r="L412" s="820"/>
      <c r="M412" s="838"/>
      <c r="N412" s="668"/>
      <c r="O412" s="668"/>
      <c r="P412" s="562"/>
      <c r="Q412" s="562"/>
      <c r="R412" s="64"/>
      <c r="S412" s="64"/>
      <c r="T412" s="64"/>
      <c r="U412" s="64"/>
      <c r="V412" s="64"/>
      <c r="W412" s="562"/>
      <c r="X412" s="786"/>
      <c r="Y412" s="975"/>
      <c r="Z412" s="976"/>
      <c r="AA412" s="562"/>
      <c r="AB412" s="562"/>
      <c r="AC412" s="562"/>
      <c r="AD412" s="562"/>
      <c r="AE412" s="562"/>
      <c r="AF412" s="562"/>
      <c r="AG412" s="562"/>
      <c r="AH412" s="562"/>
      <c r="AI412" s="562"/>
      <c r="AJ412" s="562"/>
      <c r="AK412" s="562"/>
      <c r="AL412" s="190"/>
      <c r="AM412" s="190"/>
      <c r="AN412" s="562"/>
      <c r="AO412" s="562"/>
      <c r="AP412" s="190"/>
      <c r="AQ412" s="190"/>
      <c r="AR412" s="190"/>
      <c r="AS412" s="190"/>
    </row>
    <row r="413" spans="1:45" ht="15" customHeight="1" x14ac:dyDescent="0.2">
      <c r="A413" s="541">
        <v>6</v>
      </c>
      <c r="B413" s="549" t="s">
        <v>2527</v>
      </c>
      <c r="C413" s="544"/>
      <c r="D413" s="544"/>
      <c r="E413" s="544"/>
      <c r="F413" s="544"/>
      <c r="G413" s="543" t="s">
        <v>3343</v>
      </c>
      <c r="H413" s="541" t="s">
        <v>3757</v>
      </c>
      <c r="I413" s="99"/>
      <c r="J413" s="98"/>
      <c r="K413" s="65"/>
      <c r="L413" s="820"/>
      <c r="M413" s="838"/>
      <c r="N413" s="668"/>
      <c r="O413" s="668"/>
      <c r="P413" s="64"/>
      <c r="Q413" s="64"/>
      <c r="R413" s="64"/>
      <c r="S413" s="64"/>
      <c r="T413" s="64"/>
      <c r="U413" s="64"/>
      <c r="V413" s="64"/>
      <c r="W413" s="64"/>
      <c r="X413" s="798"/>
      <c r="Y413" s="977"/>
      <c r="Z413" s="978"/>
      <c r="AA413" s="562"/>
      <c r="AB413" s="562"/>
      <c r="AC413" s="562"/>
      <c r="AD413" s="562"/>
      <c r="AE413" s="562"/>
      <c r="AF413" s="562"/>
      <c r="AG413" s="562"/>
      <c r="AH413" s="562"/>
      <c r="AI413" s="562"/>
      <c r="AJ413" s="562"/>
      <c r="AK413" s="562"/>
      <c r="AL413" s="562"/>
      <c r="AM413" s="562"/>
      <c r="AN413" s="562"/>
      <c r="AO413" s="562"/>
      <c r="AP413" s="562"/>
      <c r="AQ413" s="562"/>
      <c r="AR413" s="562"/>
      <c r="AS413" s="562"/>
    </row>
    <row r="414" spans="1:45" ht="16" thickBot="1" x14ac:dyDescent="0.25">
      <c r="A414" s="541">
        <v>6</v>
      </c>
      <c r="B414" s="549" t="s">
        <v>2527</v>
      </c>
      <c r="C414" s="544"/>
      <c r="D414" s="544"/>
      <c r="E414" s="544"/>
      <c r="F414" s="544"/>
      <c r="G414" s="543" t="s">
        <v>3343</v>
      </c>
      <c r="H414" s="541" t="s">
        <v>3757</v>
      </c>
      <c r="I414" s="99"/>
      <c r="J414" s="98"/>
      <c r="K414" s="65"/>
      <c r="L414" s="629" t="s">
        <v>2519</v>
      </c>
      <c r="M414" s="838"/>
      <c r="N414" s="668"/>
      <c r="O414" s="668"/>
      <c r="P414" s="64"/>
      <c r="Q414" s="64"/>
      <c r="R414" s="64"/>
      <c r="S414" s="64"/>
      <c r="T414" s="64"/>
      <c r="U414" s="64"/>
      <c r="V414" s="64"/>
      <c r="W414" s="64"/>
      <c r="X414" s="825"/>
      <c r="Y414" s="979"/>
      <c r="Z414" s="1007"/>
      <c r="AA414" s="562"/>
      <c r="AB414" s="562"/>
      <c r="AC414" s="562"/>
      <c r="AD414" s="562"/>
      <c r="AE414" s="562"/>
      <c r="AF414" s="562"/>
      <c r="AG414" s="562"/>
      <c r="AH414" s="562"/>
      <c r="AI414" s="562"/>
      <c r="AJ414" s="562"/>
      <c r="AK414" s="562"/>
      <c r="AL414" s="562"/>
      <c r="AM414" s="562"/>
      <c r="AN414" s="562"/>
      <c r="AO414" s="562"/>
      <c r="AP414" s="562"/>
      <c r="AQ414" s="562"/>
      <c r="AR414" s="562"/>
      <c r="AS414" s="562"/>
    </row>
    <row r="415" spans="1:45" ht="16" thickTop="1" x14ac:dyDescent="0.2">
      <c r="A415" s="541">
        <v>6</v>
      </c>
      <c r="B415" s="549" t="s">
        <v>2530</v>
      </c>
      <c r="C415" s="544"/>
      <c r="D415" s="544"/>
      <c r="E415" s="544"/>
      <c r="F415" s="544"/>
      <c r="G415" s="543" t="s">
        <v>3343</v>
      </c>
      <c r="H415" s="541" t="s">
        <v>3757</v>
      </c>
      <c r="I415" s="131" t="s">
        <v>2531</v>
      </c>
      <c r="J415" s="132"/>
      <c r="K415" s="133"/>
      <c r="L415" s="819" t="s">
        <v>2532</v>
      </c>
      <c r="M415" s="625"/>
      <c r="N415" s="673"/>
      <c r="O415" s="673"/>
      <c r="P415" s="74"/>
      <c r="Q415" s="74"/>
      <c r="R415" s="74"/>
      <c r="S415" s="74"/>
      <c r="T415" s="74"/>
      <c r="U415" s="74"/>
      <c r="V415" s="74"/>
      <c r="W415" s="74"/>
      <c r="X415" s="74"/>
      <c r="Y415" s="562"/>
      <c r="Z415" s="430"/>
      <c r="AA415" s="562"/>
      <c r="AB415" s="562"/>
      <c r="AC415" s="562"/>
      <c r="AD415" s="562"/>
      <c r="AE415" s="562"/>
      <c r="AF415" s="562"/>
      <c r="AG415" s="562"/>
      <c r="AH415" s="562"/>
      <c r="AI415" s="562"/>
      <c r="AJ415" s="562"/>
      <c r="AK415" s="562"/>
      <c r="AL415" s="562"/>
      <c r="AM415" s="562"/>
      <c r="AN415" s="562"/>
      <c r="AO415" s="562"/>
      <c r="AP415" s="562"/>
      <c r="AQ415" s="562"/>
      <c r="AR415" s="562"/>
      <c r="AS415" s="562"/>
    </row>
    <row r="416" spans="1:45" x14ac:dyDescent="0.2">
      <c r="A416" s="541">
        <v>6</v>
      </c>
      <c r="B416" s="549" t="s">
        <v>2530</v>
      </c>
      <c r="C416" s="544"/>
      <c r="D416" s="544"/>
      <c r="E416" s="544"/>
      <c r="F416" s="544"/>
      <c r="G416" s="543" t="s">
        <v>3343</v>
      </c>
      <c r="H416" s="541" t="s">
        <v>3757</v>
      </c>
      <c r="I416" s="99"/>
      <c r="J416" s="98"/>
      <c r="K416" s="65"/>
      <c r="L416" s="820"/>
      <c r="M416" s="610"/>
      <c r="N416" s="668"/>
      <c r="O416" s="668"/>
      <c r="P416" s="64"/>
      <c r="Q416" s="64"/>
      <c r="R416" s="64"/>
      <c r="S416" s="64"/>
      <c r="T416" s="64"/>
      <c r="U416" s="64"/>
      <c r="V416" s="64"/>
      <c r="W416" s="64"/>
      <c r="X416" s="64"/>
      <c r="Y416" s="562"/>
      <c r="Z416" s="430"/>
      <c r="AA416" s="562"/>
      <c r="AB416" s="562"/>
      <c r="AC416" s="562"/>
      <c r="AD416" s="562"/>
      <c r="AE416" s="562"/>
      <c r="AF416" s="562"/>
      <c r="AG416" s="562"/>
      <c r="AH416" s="562"/>
      <c r="AI416" s="562"/>
      <c r="AJ416" s="562"/>
      <c r="AK416" s="562"/>
      <c r="AL416" s="562"/>
      <c r="AM416" s="562"/>
      <c r="AN416" s="562"/>
      <c r="AO416" s="562"/>
      <c r="AP416" s="562"/>
      <c r="AQ416" s="562"/>
      <c r="AR416" s="562"/>
      <c r="AS416" s="562"/>
    </row>
    <row r="417" spans="1:45" x14ac:dyDescent="0.2">
      <c r="A417" s="541">
        <v>6</v>
      </c>
      <c r="B417" s="549" t="s">
        <v>2530</v>
      </c>
      <c r="C417" s="544"/>
      <c r="D417" s="544"/>
      <c r="E417" s="544"/>
      <c r="F417" s="544"/>
      <c r="G417" s="543" t="s">
        <v>3343</v>
      </c>
      <c r="H417" s="541" t="s">
        <v>3757</v>
      </c>
      <c r="I417" s="99"/>
      <c r="J417" s="98"/>
      <c r="K417" s="65"/>
      <c r="L417" s="820"/>
      <c r="M417" s="610"/>
      <c r="N417" s="668"/>
      <c r="O417" s="668"/>
      <c r="P417" s="64"/>
      <c r="Q417" s="64"/>
      <c r="R417" s="64"/>
      <c r="S417" s="64"/>
      <c r="T417" s="64"/>
      <c r="U417" s="64"/>
      <c r="V417" s="64"/>
      <c r="W417" s="64"/>
      <c r="X417" s="64"/>
      <c r="Y417" s="562"/>
      <c r="Z417" s="430"/>
      <c r="AA417" s="562"/>
      <c r="AB417" s="562"/>
      <c r="AC417" s="562"/>
      <c r="AD417" s="562"/>
      <c r="AE417" s="562"/>
      <c r="AF417" s="562"/>
      <c r="AG417" s="562"/>
      <c r="AH417" s="562"/>
      <c r="AI417" s="562"/>
      <c r="AJ417" s="562"/>
      <c r="AK417" s="562"/>
      <c r="AL417" s="562"/>
      <c r="AM417" s="562"/>
      <c r="AN417" s="562"/>
      <c r="AO417" s="562"/>
      <c r="AP417" s="562"/>
      <c r="AQ417" s="562"/>
      <c r="AR417" s="562"/>
      <c r="AS417" s="562"/>
    </row>
    <row r="418" spans="1:45" x14ac:dyDescent="0.2">
      <c r="A418" s="541">
        <v>6</v>
      </c>
      <c r="B418" s="549" t="s">
        <v>2530</v>
      </c>
      <c r="C418" s="544"/>
      <c r="D418" s="544"/>
      <c r="E418" s="544"/>
      <c r="F418" s="544"/>
      <c r="G418" s="543" t="s">
        <v>3343</v>
      </c>
      <c r="H418" s="541" t="s">
        <v>3757</v>
      </c>
      <c r="I418" s="99"/>
      <c r="J418" s="98"/>
      <c r="K418" s="65"/>
      <c r="L418" s="820"/>
      <c r="M418" s="610"/>
      <c r="N418" s="668"/>
      <c r="O418" s="668"/>
      <c r="P418" s="64"/>
      <c r="Q418" s="64"/>
      <c r="R418" s="64"/>
      <c r="S418" s="64"/>
      <c r="T418" s="64"/>
      <c r="U418" s="64"/>
      <c r="V418" s="64"/>
      <c r="W418" s="64"/>
      <c r="X418" s="64"/>
      <c r="Y418" s="562"/>
      <c r="Z418" s="430"/>
      <c r="AA418" s="562"/>
      <c r="AB418" s="562"/>
      <c r="AC418" s="562"/>
      <c r="AD418" s="562"/>
      <c r="AE418" s="562"/>
      <c r="AF418" s="562"/>
      <c r="AG418" s="562"/>
      <c r="AH418" s="562"/>
      <c r="AI418" s="562"/>
      <c r="AJ418" s="562"/>
      <c r="AK418" s="562"/>
      <c r="AL418" s="562"/>
      <c r="AM418" s="562"/>
      <c r="AN418" s="562"/>
      <c r="AO418" s="562"/>
      <c r="AP418" s="562"/>
      <c r="AQ418" s="562"/>
      <c r="AR418" s="562"/>
      <c r="AS418" s="562"/>
    </row>
    <row r="419" spans="1:45" x14ac:dyDescent="0.2">
      <c r="A419" s="541">
        <v>6</v>
      </c>
      <c r="B419" s="549" t="s">
        <v>2530</v>
      </c>
      <c r="C419" s="544"/>
      <c r="D419" s="544"/>
      <c r="E419" s="544"/>
      <c r="F419" s="544"/>
      <c r="G419" s="543" t="s">
        <v>3343</v>
      </c>
      <c r="H419" s="541" t="s">
        <v>3757</v>
      </c>
      <c r="I419" s="99"/>
      <c r="J419" s="98"/>
      <c r="K419" s="65"/>
      <c r="L419" s="820"/>
      <c r="M419" s="610"/>
      <c r="N419" s="668"/>
      <c r="O419" s="668"/>
      <c r="P419" s="64"/>
      <c r="Q419" s="64"/>
      <c r="R419" s="64"/>
      <c r="S419" s="64"/>
      <c r="T419" s="64"/>
      <c r="U419" s="64"/>
      <c r="V419" s="64"/>
      <c r="W419" s="64"/>
      <c r="X419" s="64"/>
      <c r="Y419" s="562"/>
      <c r="Z419" s="430"/>
      <c r="AA419" s="562"/>
      <c r="AB419" s="562"/>
      <c r="AC419" s="562"/>
      <c r="AD419" s="562"/>
      <c r="AE419" s="562"/>
      <c r="AF419" s="562"/>
      <c r="AG419" s="562"/>
      <c r="AH419" s="562"/>
      <c r="AI419" s="562"/>
      <c r="AJ419" s="562"/>
      <c r="AK419" s="562"/>
      <c r="AL419" s="562"/>
      <c r="AM419" s="562"/>
      <c r="AN419" s="562"/>
      <c r="AO419" s="562"/>
      <c r="AP419" s="562"/>
      <c r="AQ419" s="562"/>
      <c r="AR419" s="562"/>
      <c r="AS419" s="562"/>
    </row>
    <row r="420" spans="1:45" s="484" customFormat="1" x14ac:dyDescent="0.2">
      <c r="A420" s="541">
        <v>6</v>
      </c>
      <c r="B420" s="549" t="s">
        <v>2530</v>
      </c>
      <c r="C420" s="544"/>
      <c r="D420" s="544"/>
      <c r="E420" s="544"/>
      <c r="F420" s="544"/>
      <c r="G420" s="543" t="s">
        <v>3343</v>
      </c>
      <c r="H420" s="541" t="s">
        <v>3757</v>
      </c>
      <c r="I420" s="99"/>
      <c r="J420" s="98"/>
      <c r="K420" s="65"/>
      <c r="L420" s="846" t="s">
        <v>2533</v>
      </c>
      <c r="M420" s="610"/>
      <c r="N420" s="668"/>
      <c r="O420" s="668"/>
      <c r="P420" s="64"/>
      <c r="Q420" s="64"/>
      <c r="R420" s="64"/>
      <c r="S420" s="64"/>
      <c r="T420" s="64"/>
      <c r="U420" s="64"/>
      <c r="V420" s="64"/>
      <c r="W420" s="64"/>
      <c r="X420" s="64"/>
      <c r="Y420" s="562"/>
      <c r="Z420" s="430"/>
      <c r="AA420" s="562"/>
      <c r="AB420" s="562"/>
      <c r="AC420" s="562"/>
      <c r="AD420" s="562"/>
      <c r="AE420" s="562"/>
      <c r="AF420" s="562"/>
      <c r="AG420" s="562"/>
      <c r="AH420" s="562"/>
      <c r="AI420" s="562"/>
      <c r="AJ420" s="562"/>
      <c r="AK420" s="562"/>
      <c r="AL420" s="562"/>
      <c r="AM420" s="562"/>
      <c r="AN420" s="562"/>
      <c r="AO420" s="562"/>
      <c r="AP420" s="562"/>
      <c r="AQ420" s="562"/>
      <c r="AR420" s="562"/>
      <c r="AS420" s="562"/>
    </row>
    <row r="421" spans="1:45" s="484" customFormat="1" x14ac:dyDescent="0.2">
      <c r="A421" s="541">
        <v>6</v>
      </c>
      <c r="B421" s="549" t="s">
        <v>2530</v>
      </c>
      <c r="C421" s="544"/>
      <c r="D421" s="544"/>
      <c r="E421" s="544"/>
      <c r="F421" s="544"/>
      <c r="G421" s="543" t="s">
        <v>3343</v>
      </c>
      <c r="H421" s="541" t="s">
        <v>3757</v>
      </c>
      <c r="I421" s="99"/>
      <c r="J421" s="98"/>
      <c r="K421" s="65"/>
      <c r="L421" s="846"/>
      <c r="M421" s="610"/>
      <c r="N421" s="668"/>
      <c r="O421" s="668"/>
      <c r="P421" s="64"/>
      <c r="Q421" s="64"/>
      <c r="R421" s="64"/>
      <c r="S421" s="64"/>
      <c r="T421" s="64"/>
      <c r="U421" s="64"/>
      <c r="V421" s="64"/>
      <c r="W421" s="64"/>
      <c r="X421" s="64"/>
      <c r="Y421" s="562"/>
      <c r="Z421" s="430"/>
      <c r="AA421" s="562"/>
      <c r="AB421" s="562"/>
      <c r="AC421" s="562"/>
      <c r="AD421" s="562"/>
      <c r="AE421" s="562"/>
      <c r="AF421" s="562"/>
      <c r="AG421" s="562"/>
      <c r="AH421" s="562"/>
      <c r="AI421" s="562"/>
      <c r="AJ421" s="562"/>
      <c r="AK421" s="562"/>
      <c r="AL421" s="562"/>
      <c r="AM421" s="562"/>
      <c r="AN421" s="562"/>
      <c r="AO421" s="562"/>
      <c r="AP421" s="562"/>
      <c r="AQ421" s="562"/>
      <c r="AR421" s="562"/>
      <c r="AS421" s="562"/>
    </row>
    <row r="422" spans="1:45" s="484" customFormat="1" x14ac:dyDescent="0.2">
      <c r="A422" s="541">
        <v>6</v>
      </c>
      <c r="B422" s="549" t="s">
        <v>2530</v>
      </c>
      <c r="C422" s="544"/>
      <c r="D422" s="544"/>
      <c r="E422" s="544"/>
      <c r="F422" s="544"/>
      <c r="G422" s="543" t="s">
        <v>3343</v>
      </c>
      <c r="H422" s="541" t="s">
        <v>3757</v>
      </c>
      <c r="I422" s="99"/>
      <c r="J422" s="98"/>
      <c r="K422" s="65"/>
      <c r="L422" s="846"/>
      <c r="M422" s="610"/>
      <c r="N422" s="668"/>
      <c r="O422" s="668"/>
      <c r="P422" s="64"/>
      <c r="Q422" s="64"/>
      <c r="R422" s="64"/>
      <c r="S422" s="64"/>
      <c r="T422" s="64"/>
      <c r="U422" s="64"/>
      <c r="V422" s="64"/>
      <c r="W422" s="64"/>
      <c r="X422" s="64"/>
      <c r="Y422" s="562"/>
      <c r="Z422" s="430"/>
      <c r="AA422" s="562"/>
      <c r="AB422" s="562"/>
      <c r="AC422" s="562"/>
      <c r="AD422" s="562"/>
      <c r="AE422" s="562"/>
      <c r="AF422" s="562"/>
      <c r="AG422" s="562"/>
      <c r="AH422" s="562"/>
      <c r="AI422" s="562"/>
      <c r="AJ422" s="562"/>
      <c r="AK422" s="562"/>
      <c r="AL422" s="562"/>
      <c r="AM422" s="562"/>
      <c r="AN422" s="562"/>
      <c r="AO422" s="562"/>
      <c r="AP422" s="562"/>
      <c r="AQ422" s="562"/>
      <c r="AR422" s="562"/>
      <c r="AS422" s="562"/>
    </row>
    <row r="423" spans="1:45" x14ac:dyDescent="0.2">
      <c r="A423" s="541">
        <v>6</v>
      </c>
      <c r="B423" s="549" t="s">
        <v>2530</v>
      </c>
      <c r="C423" s="544"/>
      <c r="D423" s="544"/>
      <c r="E423" s="544" t="s">
        <v>2181</v>
      </c>
      <c r="F423" s="544"/>
      <c r="G423" s="543" t="s">
        <v>3343</v>
      </c>
      <c r="H423" s="541" t="s">
        <v>3757</v>
      </c>
      <c r="I423" s="40"/>
      <c r="J423" s="134" t="s">
        <v>2181</v>
      </c>
      <c r="K423" s="65"/>
      <c r="L423" s="65" t="s">
        <v>2534</v>
      </c>
      <c r="M423" s="838" t="str">
        <f>IF(R423,"Mandatory","N/A")</f>
        <v>Mandatory</v>
      </c>
      <c r="N423" s="648"/>
      <c r="O423" s="648"/>
      <c r="P423" s="562" t="b">
        <v>1</v>
      </c>
      <c r="Q423" s="562" t="b">
        <v>0</v>
      </c>
      <c r="R423" s="562" t="b">
        <f>S423</f>
        <v>1</v>
      </c>
      <c r="S423" s="562" t="b">
        <v>1</v>
      </c>
      <c r="T423" s="562" t="b">
        <v>0</v>
      </c>
      <c r="U423" s="64" t="str">
        <f>SUBSTITUTE(SUBSTITUTE(SUBSTITUTE("dd"&amp;B423&amp;C423&amp;D423&amp;E423&amp;F423,".","_"),"(","_"),")","")</f>
        <v>dd602_1_9_1</v>
      </c>
      <c r="V423" s="562"/>
      <c r="W423" s="6"/>
      <c r="X423" s="825"/>
      <c r="Y423" s="969" t="str">
        <f>IF(LEN('Ch6'!X184)=0,"None",'Ch6'!X184)</f>
        <v>None</v>
      </c>
      <c r="Z423" s="972"/>
      <c r="AA423" s="562"/>
      <c r="AB423" s="562"/>
      <c r="AC423" s="562" t="b">
        <f>OR(AD423:AE423)</f>
        <v>1</v>
      </c>
      <c r="AD423" s="562" t="b">
        <f>T423</f>
        <v>0</v>
      </c>
      <c r="AE423" s="562" t="b">
        <f>AND(R423,NOT(W423="Met"),NOT(W423="N/A"))</f>
        <v>1</v>
      </c>
      <c r="AF423" s="562" t="b">
        <f>AND(AE423,NOT(Q423))</f>
        <v>1</v>
      </c>
      <c r="AG423" s="562"/>
      <c r="AH423" s="562"/>
      <c r="AI423" s="562"/>
      <c r="AJ423" s="562"/>
      <c r="AK423" s="562"/>
      <c r="AL423" s="190" t="str">
        <f>SUBSTITUTE(SUBSTITUTE(SUBSTITUTE("vpa"&amp;$B423&amp;$C423&amp;$D423&amp;$E423&amp;$F423,".","_"),"(","_"),")","")</f>
        <v>vpa602_1_9_1</v>
      </c>
      <c r="AM423" s="190" t="str">
        <f>M423</f>
        <v>Mandatory</v>
      </c>
      <c r="AN423" s="562"/>
      <c r="AO423" s="562"/>
      <c r="AP423" s="190" t="str">
        <f>SUBSTITUTE(SUBSTITUTE(SUBSTITUTE("vch"&amp;$B423&amp;$C423&amp;$D423&amp;$E423&amp;$F423,".","_"),"(","_"),")","")</f>
        <v>vch602_1_9_1</v>
      </c>
      <c r="AQ423" s="190">
        <f>W423</f>
        <v>0</v>
      </c>
      <c r="AR423" s="190" t="str">
        <f>SUBSTITUTE(SUBSTITUTE(SUBSTITUTE("vnt"&amp;$B423&amp;$C423&amp;$D423&amp;$E423&amp;$F423,".","_"),"(","_"),")","")</f>
        <v>vnt602_1_9_1</v>
      </c>
      <c r="AS423" s="190">
        <f>X423</f>
        <v>0</v>
      </c>
    </row>
    <row r="424" spans="1:45" x14ac:dyDescent="0.2">
      <c r="A424" s="541">
        <v>6</v>
      </c>
      <c r="B424" s="549" t="s">
        <v>2530</v>
      </c>
      <c r="C424" s="544"/>
      <c r="D424" s="544"/>
      <c r="E424" s="544" t="s">
        <v>2181</v>
      </c>
      <c r="F424" s="544" t="s">
        <v>2196</v>
      </c>
      <c r="G424" s="543" t="s">
        <v>3343</v>
      </c>
      <c r="H424" s="545" t="s">
        <v>3757</v>
      </c>
      <c r="I424" s="40"/>
      <c r="J424" s="98"/>
      <c r="K424" s="61" t="s">
        <v>2196</v>
      </c>
      <c r="L424" s="65" t="s">
        <v>2535</v>
      </c>
      <c r="M424" s="838"/>
      <c r="N424" s="648"/>
      <c r="O424" s="648"/>
      <c r="P424" s="562"/>
      <c r="Q424" s="562"/>
      <c r="R424" s="562"/>
      <c r="S424" s="562"/>
      <c r="T424" s="562"/>
      <c r="U424" s="562"/>
      <c r="V424" s="562"/>
      <c r="W424" s="562"/>
      <c r="X424" s="797"/>
      <c r="Y424" s="970"/>
      <c r="Z424" s="973"/>
      <c r="AA424" s="562"/>
      <c r="AB424" s="562"/>
      <c r="AC424" s="562"/>
      <c r="AD424" s="562"/>
      <c r="AE424" s="562"/>
      <c r="AF424" s="562"/>
      <c r="AG424" s="562"/>
      <c r="AH424" s="562"/>
      <c r="AI424" s="562"/>
      <c r="AJ424" s="562"/>
      <c r="AK424" s="562"/>
      <c r="AL424" s="562"/>
      <c r="AM424" s="562"/>
      <c r="AN424" s="562"/>
      <c r="AO424" s="562"/>
      <c r="AP424" s="562"/>
      <c r="AQ424" s="562"/>
      <c r="AR424" s="562"/>
      <c r="AS424" s="562"/>
    </row>
    <row r="425" spans="1:45" x14ac:dyDescent="0.2">
      <c r="A425" s="541">
        <v>6</v>
      </c>
      <c r="B425" s="549" t="s">
        <v>2530</v>
      </c>
      <c r="C425" s="544"/>
      <c r="D425" s="544"/>
      <c r="E425" s="544" t="s">
        <v>2181</v>
      </c>
      <c r="F425" s="544" t="s">
        <v>2198</v>
      </c>
      <c r="G425" s="543" t="s">
        <v>3343</v>
      </c>
      <c r="H425" s="545" t="s">
        <v>3757</v>
      </c>
      <c r="I425" s="40"/>
      <c r="J425" s="98"/>
      <c r="K425" s="61" t="s">
        <v>2198</v>
      </c>
      <c r="L425" s="65" t="s">
        <v>2536</v>
      </c>
      <c r="M425" s="838"/>
      <c r="N425" s="648"/>
      <c r="O425" s="648"/>
      <c r="P425" s="562"/>
      <c r="Q425" s="562"/>
      <c r="R425" s="562"/>
      <c r="S425" s="562"/>
      <c r="T425" s="562"/>
      <c r="U425" s="562"/>
      <c r="V425" s="562"/>
      <c r="W425" s="562"/>
      <c r="X425" s="797"/>
      <c r="Y425" s="970"/>
      <c r="Z425" s="973"/>
      <c r="AA425" s="562"/>
      <c r="AB425" s="562"/>
      <c r="AC425" s="562"/>
      <c r="AD425" s="562"/>
      <c r="AE425" s="562"/>
      <c r="AF425" s="562"/>
      <c r="AG425" s="562"/>
      <c r="AH425" s="562"/>
      <c r="AI425" s="562"/>
      <c r="AJ425" s="562"/>
      <c r="AK425" s="562"/>
      <c r="AL425" s="562"/>
      <c r="AM425" s="562"/>
      <c r="AN425" s="562"/>
      <c r="AO425" s="562"/>
      <c r="AP425" s="562"/>
      <c r="AQ425" s="562"/>
      <c r="AR425" s="562"/>
      <c r="AS425" s="562"/>
    </row>
    <row r="426" spans="1:45" x14ac:dyDescent="0.2">
      <c r="A426" s="541">
        <v>6</v>
      </c>
      <c r="B426" s="549" t="s">
        <v>2530</v>
      </c>
      <c r="C426" s="544"/>
      <c r="D426" s="544"/>
      <c r="E426" s="544" t="s">
        <v>2181</v>
      </c>
      <c r="F426" s="546" t="s">
        <v>2200</v>
      </c>
      <c r="G426" s="543" t="s">
        <v>3343</v>
      </c>
      <c r="H426" s="547" t="s">
        <v>3757</v>
      </c>
      <c r="I426" s="40"/>
      <c r="J426" s="98"/>
      <c r="K426" s="79" t="s">
        <v>2200</v>
      </c>
      <c r="L426" s="65" t="s">
        <v>2537</v>
      </c>
      <c r="M426" s="838"/>
      <c r="N426" s="648"/>
      <c r="O426" s="648"/>
      <c r="P426" s="562"/>
      <c r="Q426" s="562"/>
      <c r="R426" s="562"/>
      <c r="S426" s="562"/>
      <c r="T426" s="562"/>
      <c r="U426" s="562"/>
      <c r="V426" s="562"/>
      <c r="W426" s="562"/>
      <c r="X426" s="797"/>
      <c r="Y426" s="970"/>
      <c r="Z426" s="973"/>
      <c r="AA426" s="562"/>
      <c r="AB426" s="562"/>
      <c r="AC426" s="562"/>
      <c r="AD426" s="562"/>
      <c r="AE426" s="562"/>
      <c r="AF426" s="562"/>
      <c r="AG426" s="562"/>
      <c r="AH426" s="562"/>
      <c r="AI426" s="562"/>
      <c r="AJ426" s="562"/>
      <c r="AK426" s="562"/>
      <c r="AL426" s="562"/>
      <c r="AM426" s="562"/>
      <c r="AN426" s="562"/>
      <c r="AO426" s="562"/>
      <c r="AP426" s="562"/>
      <c r="AQ426" s="562"/>
      <c r="AR426" s="562"/>
      <c r="AS426" s="562"/>
    </row>
    <row r="427" spans="1:45" x14ac:dyDescent="0.2">
      <c r="A427" s="541">
        <v>6</v>
      </c>
      <c r="B427" s="549" t="s">
        <v>2530</v>
      </c>
      <c r="C427" s="544"/>
      <c r="D427" s="544"/>
      <c r="E427" s="544" t="s">
        <v>2181</v>
      </c>
      <c r="F427" s="544" t="s">
        <v>2247</v>
      </c>
      <c r="G427" s="543" t="s">
        <v>3343</v>
      </c>
      <c r="H427" s="541" t="s">
        <v>3757</v>
      </c>
      <c r="I427" s="40"/>
      <c r="J427" s="98"/>
      <c r="K427" s="140" t="s">
        <v>2247</v>
      </c>
      <c r="L427" s="791" t="s">
        <v>2538</v>
      </c>
      <c r="M427" s="838"/>
      <c r="N427" s="648"/>
      <c r="O427" s="648"/>
      <c r="P427" s="562"/>
      <c r="Q427" s="562"/>
      <c r="R427" s="562"/>
      <c r="S427" s="562"/>
      <c r="T427" s="562"/>
      <c r="U427" s="562"/>
      <c r="V427" s="562"/>
      <c r="W427" s="562"/>
      <c r="X427" s="797"/>
      <c r="Y427" s="970"/>
      <c r="Z427" s="973"/>
      <c r="AA427" s="562"/>
      <c r="AB427" s="562"/>
      <c r="AC427" s="562"/>
      <c r="AD427" s="562"/>
      <c r="AE427" s="562"/>
      <c r="AF427" s="562"/>
      <c r="AG427" s="562"/>
      <c r="AH427" s="562"/>
      <c r="AI427" s="562"/>
      <c r="AJ427" s="562"/>
      <c r="AK427" s="562"/>
      <c r="AL427" s="562"/>
      <c r="AM427" s="562"/>
      <c r="AN427" s="562"/>
      <c r="AO427" s="562"/>
      <c r="AP427" s="562"/>
      <c r="AQ427" s="562"/>
      <c r="AR427" s="562"/>
      <c r="AS427" s="562"/>
    </row>
    <row r="428" spans="1:45" x14ac:dyDescent="0.2">
      <c r="A428" s="541">
        <v>6</v>
      </c>
      <c r="B428" s="549" t="s">
        <v>2530</v>
      </c>
      <c r="C428" s="544"/>
      <c r="D428" s="544"/>
      <c r="E428" s="544" t="s">
        <v>2181</v>
      </c>
      <c r="F428" s="544" t="s">
        <v>2247</v>
      </c>
      <c r="G428" s="543" t="s">
        <v>3343</v>
      </c>
      <c r="H428" s="541" t="s">
        <v>3757</v>
      </c>
      <c r="I428" s="40"/>
      <c r="J428" s="98"/>
      <c r="K428" s="65"/>
      <c r="L428" s="791"/>
      <c r="M428" s="838"/>
      <c r="N428" s="648"/>
      <c r="O428" s="648"/>
      <c r="P428" s="562"/>
      <c r="Q428" s="562"/>
      <c r="R428" s="562"/>
      <c r="S428" s="562"/>
      <c r="T428" s="562"/>
      <c r="U428" s="562"/>
      <c r="V428" s="562"/>
      <c r="W428" s="562"/>
      <c r="X428" s="797"/>
      <c r="Y428" s="970"/>
      <c r="Z428" s="973"/>
      <c r="AA428" s="562"/>
      <c r="AB428" s="562"/>
      <c r="AC428" s="562"/>
      <c r="AD428" s="562"/>
      <c r="AE428" s="562"/>
      <c r="AF428" s="562"/>
      <c r="AG428" s="562"/>
      <c r="AH428" s="562"/>
      <c r="AI428" s="562"/>
      <c r="AJ428" s="562"/>
      <c r="AK428" s="562"/>
      <c r="AL428" s="562"/>
      <c r="AM428" s="562"/>
      <c r="AN428" s="562"/>
      <c r="AO428" s="562"/>
      <c r="AP428" s="562"/>
      <c r="AQ428" s="562"/>
      <c r="AR428" s="562"/>
      <c r="AS428" s="562"/>
    </row>
    <row r="429" spans="1:45" x14ac:dyDescent="0.2">
      <c r="A429" s="541">
        <v>6</v>
      </c>
      <c r="B429" s="549" t="s">
        <v>2530</v>
      </c>
      <c r="C429" s="544"/>
      <c r="D429" s="544"/>
      <c r="E429" s="544" t="s">
        <v>2181</v>
      </c>
      <c r="F429" s="544" t="s">
        <v>2444</v>
      </c>
      <c r="G429" s="543" t="s">
        <v>3343</v>
      </c>
      <c r="H429" s="541" t="s">
        <v>3757</v>
      </c>
      <c r="I429" s="40"/>
      <c r="J429" s="98"/>
      <c r="K429" s="140" t="s">
        <v>2444</v>
      </c>
      <c r="L429" s="65" t="s">
        <v>2539</v>
      </c>
      <c r="M429" s="838"/>
      <c r="N429" s="648"/>
      <c r="O429" s="648"/>
      <c r="P429" s="562"/>
      <c r="Q429" s="562"/>
      <c r="R429" s="562"/>
      <c r="S429" s="562"/>
      <c r="T429" s="562"/>
      <c r="U429" s="562"/>
      <c r="V429" s="562"/>
      <c r="W429" s="562"/>
      <c r="X429" s="797"/>
      <c r="Y429" s="970"/>
      <c r="Z429" s="973"/>
      <c r="AA429" s="562"/>
      <c r="AB429" s="562"/>
      <c r="AC429" s="562"/>
      <c r="AD429" s="562"/>
      <c r="AE429" s="562"/>
      <c r="AF429" s="562"/>
      <c r="AG429" s="562"/>
      <c r="AH429" s="562"/>
      <c r="AI429" s="562"/>
      <c r="AJ429" s="562"/>
      <c r="AK429" s="562"/>
      <c r="AL429" s="562"/>
      <c r="AM429" s="562"/>
      <c r="AN429" s="562"/>
      <c r="AO429" s="562"/>
      <c r="AP429" s="562"/>
      <c r="AQ429" s="562"/>
      <c r="AR429" s="562"/>
      <c r="AS429" s="562"/>
    </row>
    <row r="430" spans="1:45" x14ac:dyDescent="0.2">
      <c r="A430" s="541">
        <v>6</v>
      </c>
      <c r="B430" s="549" t="s">
        <v>2530</v>
      </c>
      <c r="C430" s="544"/>
      <c r="D430" s="544"/>
      <c r="E430" s="544" t="s">
        <v>2181</v>
      </c>
      <c r="F430" s="546" t="s">
        <v>2540</v>
      </c>
      <c r="G430" s="543" t="s">
        <v>3343</v>
      </c>
      <c r="H430" s="547" t="s">
        <v>3757</v>
      </c>
      <c r="I430" s="40"/>
      <c r="J430" s="98"/>
      <c r="K430" s="79" t="s">
        <v>2540</v>
      </c>
      <c r="L430" s="65" t="s">
        <v>2541</v>
      </c>
      <c r="M430" s="838"/>
      <c r="N430" s="648"/>
      <c r="O430" s="648"/>
      <c r="P430" s="562"/>
      <c r="Q430" s="562"/>
      <c r="R430" s="562"/>
      <c r="S430" s="562"/>
      <c r="T430" s="562"/>
      <c r="U430" s="562"/>
      <c r="V430" s="562"/>
      <c r="W430" s="562"/>
      <c r="X430" s="797"/>
      <c r="Y430" s="970"/>
      <c r="Z430" s="973"/>
      <c r="AA430" s="562"/>
      <c r="AB430" s="562"/>
      <c r="AC430" s="562"/>
      <c r="AD430" s="562"/>
      <c r="AE430" s="562"/>
      <c r="AF430" s="562"/>
      <c r="AG430" s="562"/>
      <c r="AH430" s="562"/>
      <c r="AI430" s="562"/>
      <c r="AJ430" s="562"/>
      <c r="AK430" s="562"/>
      <c r="AL430" s="562"/>
      <c r="AM430" s="562"/>
      <c r="AN430" s="562"/>
      <c r="AO430" s="562"/>
      <c r="AP430" s="562"/>
      <c r="AQ430" s="562"/>
      <c r="AR430" s="562"/>
      <c r="AS430" s="562"/>
    </row>
    <row r="431" spans="1:45" x14ac:dyDescent="0.2">
      <c r="A431" s="541">
        <v>6</v>
      </c>
      <c r="B431" s="549" t="s">
        <v>2530</v>
      </c>
      <c r="C431" s="544"/>
      <c r="D431" s="544"/>
      <c r="E431" s="544" t="s">
        <v>2181</v>
      </c>
      <c r="F431" s="544" t="s">
        <v>2542</v>
      </c>
      <c r="G431" s="543" t="s">
        <v>3343</v>
      </c>
      <c r="H431" s="541" t="s">
        <v>3757</v>
      </c>
      <c r="I431" s="40"/>
      <c r="J431" s="98"/>
      <c r="K431" s="140" t="s">
        <v>2542</v>
      </c>
      <c r="L431" s="65" t="s">
        <v>2543</v>
      </c>
      <c r="M431" s="838"/>
      <c r="N431" s="648"/>
      <c r="O431" s="648"/>
      <c r="P431" s="562"/>
      <c r="Q431" s="562"/>
      <c r="R431" s="562"/>
      <c r="S431" s="562"/>
      <c r="T431" s="562"/>
      <c r="U431" s="562"/>
      <c r="V431" s="562"/>
      <c r="W431" s="562"/>
      <c r="X431" s="797"/>
      <c r="Y431" s="970"/>
      <c r="Z431" s="973"/>
      <c r="AA431" s="562"/>
      <c r="AB431" s="562"/>
      <c r="AC431" s="562"/>
      <c r="AD431" s="562"/>
      <c r="AE431" s="562"/>
      <c r="AF431" s="562"/>
      <c r="AG431" s="562"/>
      <c r="AH431" s="562"/>
      <c r="AI431" s="562"/>
      <c r="AJ431" s="562"/>
      <c r="AK431" s="562"/>
      <c r="AL431" s="562"/>
      <c r="AM431" s="562"/>
      <c r="AN431" s="562"/>
      <c r="AO431" s="562"/>
      <c r="AP431" s="562"/>
      <c r="AQ431" s="562"/>
      <c r="AR431" s="562"/>
      <c r="AS431" s="562"/>
    </row>
    <row r="432" spans="1:45" x14ac:dyDescent="0.2">
      <c r="A432" s="541">
        <v>6</v>
      </c>
      <c r="B432" s="549" t="s">
        <v>2530</v>
      </c>
      <c r="C432" s="544"/>
      <c r="D432" s="544"/>
      <c r="E432" s="544" t="s">
        <v>2181</v>
      </c>
      <c r="F432" s="544" t="s">
        <v>2544</v>
      </c>
      <c r="G432" s="543" t="s">
        <v>3343</v>
      </c>
      <c r="H432" s="541" t="s">
        <v>3757</v>
      </c>
      <c r="I432" s="40"/>
      <c r="J432" s="98"/>
      <c r="K432" s="140" t="s">
        <v>2544</v>
      </c>
      <c r="L432" s="65" t="s">
        <v>2545</v>
      </c>
      <c r="M432" s="838"/>
      <c r="N432" s="648"/>
      <c r="O432" s="648"/>
      <c r="P432" s="562"/>
      <c r="Q432" s="562"/>
      <c r="R432" s="562"/>
      <c r="S432" s="562"/>
      <c r="T432" s="562"/>
      <c r="U432" s="562"/>
      <c r="V432" s="562"/>
      <c r="W432" s="562"/>
      <c r="X432" s="797"/>
      <c r="Y432" s="970"/>
      <c r="Z432" s="973"/>
      <c r="AA432" s="562"/>
      <c r="AB432" s="562"/>
      <c r="AC432" s="562"/>
      <c r="AD432" s="562"/>
      <c r="AE432" s="562"/>
      <c r="AF432" s="562"/>
      <c r="AG432" s="562"/>
      <c r="AH432" s="562"/>
      <c r="AI432" s="562"/>
      <c r="AJ432" s="562"/>
      <c r="AK432" s="562"/>
      <c r="AL432" s="562"/>
      <c r="AM432" s="562"/>
      <c r="AN432" s="562"/>
      <c r="AO432" s="562"/>
      <c r="AP432" s="562"/>
      <c r="AQ432" s="562"/>
      <c r="AR432" s="562"/>
      <c r="AS432" s="562"/>
    </row>
    <row r="433" spans="1:45" s="484" customFormat="1" x14ac:dyDescent="0.2">
      <c r="A433" s="541">
        <v>6</v>
      </c>
      <c r="B433" s="549" t="s">
        <v>2530</v>
      </c>
      <c r="C433" s="544"/>
      <c r="D433" s="544"/>
      <c r="E433" s="544" t="s">
        <v>2181</v>
      </c>
      <c r="F433" s="544"/>
      <c r="G433" s="543" t="s">
        <v>3343</v>
      </c>
      <c r="H433" s="541" t="s">
        <v>3757</v>
      </c>
      <c r="I433" s="40"/>
      <c r="J433" s="98"/>
      <c r="K433" s="140"/>
      <c r="L433" s="846" t="s">
        <v>2546</v>
      </c>
      <c r="M433" s="488"/>
      <c r="N433" s="648"/>
      <c r="O433" s="648"/>
      <c r="P433" s="562"/>
      <c r="Q433" s="562"/>
      <c r="R433" s="562"/>
      <c r="S433" s="562"/>
      <c r="T433" s="562"/>
      <c r="U433" s="562"/>
      <c r="V433" s="562"/>
      <c r="W433" s="562"/>
      <c r="X433" s="797"/>
      <c r="Y433" s="970"/>
      <c r="Z433" s="973"/>
      <c r="AA433" s="562"/>
      <c r="AB433" s="562"/>
      <c r="AC433" s="562"/>
      <c r="AD433" s="562"/>
      <c r="AE433" s="562"/>
      <c r="AF433" s="562"/>
      <c r="AG433" s="562"/>
      <c r="AH433" s="562"/>
      <c r="AI433" s="562"/>
      <c r="AJ433" s="562"/>
      <c r="AK433" s="562"/>
      <c r="AL433" s="562"/>
      <c r="AM433" s="562"/>
      <c r="AN433" s="562"/>
      <c r="AO433" s="562"/>
      <c r="AP433" s="562"/>
      <c r="AQ433" s="562"/>
      <c r="AR433" s="562"/>
      <c r="AS433" s="562"/>
    </row>
    <row r="434" spans="1:45" s="484" customFormat="1" x14ac:dyDescent="0.2">
      <c r="A434" s="541">
        <v>6</v>
      </c>
      <c r="B434" s="549" t="s">
        <v>2530</v>
      </c>
      <c r="C434" s="544"/>
      <c r="D434" s="544"/>
      <c r="E434" s="544" t="s">
        <v>2181</v>
      </c>
      <c r="F434" s="544"/>
      <c r="G434" s="543" t="s">
        <v>3343</v>
      </c>
      <c r="H434" s="541" t="s">
        <v>3757</v>
      </c>
      <c r="I434" s="40"/>
      <c r="J434" s="165"/>
      <c r="K434" s="171"/>
      <c r="L434" s="855"/>
      <c r="M434" s="483"/>
      <c r="N434" s="648"/>
      <c r="O434" s="648"/>
      <c r="P434" s="562"/>
      <c r="Q434" s="562"/>
      <c r="R434" s="562"/>
      <c r="S434" s="562"/>
      <c r="T434" s="562"/>
      <c r="U434" s="562"/>
      <c r="V434" s="562"/>
      <c r="W434" s="562"/>
      <c r="X434" s="786"/>
      <c r="Y434" s="975"/>
      <c r="Z434" s="976"/>
      <c r="AA434" s="562"/>
      <c r="AB434" s="562"/>
      <c r="AC434" s="562"/>
      <c r="AD434" s="562"/>
      <c r="AE434" s="562"/>
      <c r="AF434" s="562"/>
      <c r="AG434" s="562"/>
      <c r="AH434" s="562"/>
      <c r="AI434" s="562"/>
      <c r="AJ434" s="562"/>
      <c r="AK434" s="562"/>
      <c r="AL434" s="562"/>
      <c r="AM434" s="562"/>
      <c r="AN434" s="562"/>
      <c r="AO434" s="562"/>
      <c r="AP434" s="562"/>
      <c r="AQ434" s="562"/>
      <c r="AR434" s="562"/>
      <c r="AS434" s="562"/>
    </row>
    <row r="435" spans="1:45" x14ac:dyDescent="0.2">
      <c r="A435" s="541">
        <v>6</v>
      </c>
      <c r="B435" s="549" t="s">
        <v>2530</v>
      </c>
      <c r="C435" s="544"/>
      <c r="D435" s="544"/>
      <c r="E435" s="544" t="s">
        <v>2183</v>
      </c>
      <c r="F435" s="549"/>
      <c r="G435" s="543" t="str">
        <f>IF(N435&gt;0,"P","")</f>
        <v/>
      </c>
      <c r="H435" s="552" t="s">
        <v>3757</v>
      </c>
      <c r="I435" s="40"/>
      <c r="J435" s="134" t="s">
        <v>2183</v>
      </c>
      <c r="K435" s="65"/>
      <c r="L435" s="791" t="s">
        <v>2547</v>
      </c>
      <c r="M435" s="800">
        <v>2</v>
      </c>
      <c r="N435" s="924">
        <f>'Ch6'!O196</f>
        <v>0</v>
      </c>
      <c r="O435" s="924">
        <f>M435*S435*W435</f>
        <v>0</v>
      </c>
      <c r="P435" s="562" t="b">
        <v>1</v>
      </c>
      <c r="Q435" s="562" t="b">
        <v>0</v>
      </c>
      <c r="R435" s="562" t="b">
        <v>0</v>
      </c>
      <c r="S435" s="562" t="b">
        <v>1</v>
      </c>
      <c r="T435" s="562" t="b">
        <v>0</v>
      </c>
      <c r="U435" s="562"/>
      <c r="V435" s="562"/>
      <c r="W435" s="18"/>
      <c r="X435" s="787"/>
      <c r="Y435" s="980" t="str">
        <f>IF(LEN('Ch6'!X196)=0,"None",'Ch6'!X196)</f>
        <v>None</v>
      </c>
      <c r="Z435" s="983"/>
      <c r="AA435" s="562"/>
      <c r="AB435" s="562"/>
      <c r="AC435" s="562"/>
      <c r="AD435" s="562"/>
      <c r="AE435" s="562"/>
      <c r="AF435" s="562"/>
      <c r="AG435" s="562"/>
      <c r="AH435" s="562"/>
      <c r="AI435" s="562"/>
      <c r="AJ435" s="562"/>
      <c r="AK435" s="562"/>
      <c r="AL435" s="190" t="str">
        <f>SUBSTITUTE(SUBSTITUTE(SUBSTITUTE("vpa"&amp;$B435&amp;$C435&amp;$D435&amp;$E435&amp;$F435,".","_"),"(","_"),")","")</f>
        <v>vpa602_1_9_2</v>
      </c>
      <c r="AM435" s="190">
        <f>M435</f>
        <v>2</v>
      </c>
      <c r="AN435" s="190" t="str">
        <f>SUBSTITUTE(SUBSTITUTE(SUBSTITUTE("vpc"&amp;$B435&amp;$C435&amp;$D435&amp;$E435&amp;$F435,".","_"),"(","_"),")","")</f>
        <v>vpc602_1_9_2</v>
      </c>
      <c r="AO435" s="190">
        <f>O435</f>
        <v>0</v>
      </c>
      <c r="AP435" s="190" t="str">
        <f>SUBSTITUTE(SUBSTITUTE(SUBSTITUTE("vch"&amp;$B435&amp;$C435&amp;$D435&amp;$E435&amp;$F435,".","_"),"(","_"),")","")</f>
        <v>vch602_1_9_2</v>
      </c>
      <c r="AQ435" s="190">
        <f>W435</f>
        <v>0</v>
      </c>
      <c r="AR435" s="190" t="str">
        <f>SUBSTITUTE(SUBSTITUTE(SUBSTITUTE("vnt"&amp;$B435&amp;$C435&amp;$D435&amp;$E435&amp;$F435,".","_"),"(","_"),")","")</f>
        <v>vnt602_1_9_2</v>
      </c>
      <c r="AS435" s="190">
        <f>X435</f>
        <v>0</v>
      </c>
    </row>
    <row r="436" spans="1:45" x14ac:dyDescent="0.2">
      <c r="A436" s="541">
        <v>6</v>
      </c>
      <c r="B436" s="549" t="s">
        <v>2530</v>
      </c>
      <c r="C436" s="544"/>
      <c r="D436" s="544"/>
      <c r="E436" s="544" t="s">
        <v>2183</v>
      </c>
      <c r="F436" s="549"/>
      <c r="G436" s="543" t="str">
        <f t="shared" ref="G436:G437" si="128">G435</f>
        <v/>
      </c>
      <c r="H436" s="552" t="s">
        <v>3757</v>
      </c>
      <c r="I436" s="40"/>
      <c r="J436" s="98"/>
      <c r="K436" s="65"/>
      <c r="L436" s="791"/>
      <c r="M436" s="800"/>
      <c r="N436" s="924"/>
      <c r="O436" s="924"/>
      <c r="P436" s="562"/>
      <c r="Q436" s="562"/>
      <c r="R436" s="562"/>
      <c r="S436" s="562"/>
      <c r="T436" s="562"/>
      <c r="U436" s="562"/>
      <c r="V436" s="562"/>
      <c r="W436" s="562"/>
      <c r="X436" s="787"/>
      <c r="Y436" s="980"/>
      <c r="Z436" s="983"/>
      <c r="AA436" s="562"/>
      <c r="AB436" s="562"/>
      <c r="AC436" s="562"/>
      <c r="AD436" s="562"/>
      <c r="AE436" s="562"/>
      <c r="AF436" s="562"/>
      <c r="AG436" s="562"/>
      <c r="AH436" s="562"/>
      <c r="AI436" s="562"/>
      <c r="AJ436" s="562"/>
      <c r="AK436" s="562"/>
      <c r="AL436" s="562"/>
      <c r="AM436" s="562"/>
      <c r="AN436" s="562"/>
      <c r="AO436" s="562"/>
      <c r="AP436" s="562"/>
      <c r="AQ436" s="562"/>
      <c r="AR436" s="562"/>
      <c r="AS436" s="562"/>
    </row>
    <row r="437" spans="1:45" x14ac:dyDescent="0.2">
      <c r="A437" s="541">
        <v>6</v>
      </c>
      <c r="B437" s="549" t="s">
        <v>2530</v>
      </c>
      <c r="C437" s="544"/>
      <c r="D437" s="544"/>
      <c r="E437" s="544" t="s">
        <v>2183</v>
      </c>
      <c r="F437" s="549"/>
      <c r="G437" s="543" t="str">
        <f t="shared" si="128"/>
        <v/>
      </c>
      <c r="H437" s="552" t="s">
        <v>3757</v>
      </c>
      <c r="I437" s="40"/>
      <c r="J437" s="165"/>
      <c r="K437" s="126"/>
      <c r="L437" s="792"/>
      <c r="M437" s="801"/>
      <c r="N437" s="942"/>
      <c r="O437" s="942"/>
      <c r="P437" s="562"/>
      <c r="Q437" s="562"/>
      <c r="R437" s="562"/>
      <c r="S437" s="562"/>
      <c r="T437" s="562"/>
      <c r="U437" s="562"/>
      <c r="V437" s="562"/>
      <c r="W437" s="562"/>
      <c r="X437" s="787"/>
      <c r="Y437" s="980"/>
      <c r="Z437" s="983"/>
      <c r="AA437" s="562"/>
      <c r="AB437" s="562"/>
      <c r="AC437" s="562"/>
      <c r="AD437" s="562"/>
      <c r="AE437" s="562"/>
      <c r="AF437" s="562"/>
      <c r="AG437" s="562"/>
      <c r="AH437" s="562"/>
      <c r="AI437" s="562"/>
      <c r="AJ437" s="562"/>
      <c r="AK437" s="562"/>
      <c r="AL437" s="562"/>
      <c r="AM437" s="562"/>
      <c r="AN437" s="562"/>
      <c r="AO437" s="562"/>
      <c r="AP437" s="562"/>
      <c r="AQ437" s="562"/>
      <c r="AR437" s="562"/>
      <c r="AS437" s="562"/>
    </row>
    <row r="438" spans="1:45" ht="16" x14ac:dyDescent="0.2">
      <c r="A438" s="541">
        <v>6</v>
      </c>
      <c r="B438" s="549" t="s">
        <v>2530</v>
      </c>
      <c r="C438" s="544"/>
      <c r="D438" s="544"/>
      <c r="E438" s="544" t="s">
        <v>2185</v>
      </c>
      <c r="F438" s="549"/>
      <c r="G438" s="543" t="str">
        <f>IF(N438&gt;0,"P","")</f>
        <v/>
      </c>
      <c r="H438" s="552" t="s">
        <v>3757</v>
      </c>
      <c r="I438" s="40"/>
      <c r="J438" s="161" t="s">
        <v>2185</v>
      </c>
      <c r="K438" s="162"/>
      <c r="L438" s="162" t="s">
        <v>2548</v>
      </c>
      <c r="M438" s="249">
        <v>3</v>
      </c>
      <c r="N438" s="600">
        <f>'Ch6'!O199</f>
        <v>0</v>
      </c>
      <c r="O438" s="600">
        <f>M438*S438*W438</f>
        <v>0</v>
      </c>
      <c r="P438" s="562" t="b">
        <v>1</v>
      </c>
      <c r="Q438" s="562" t="b">
        <v>0</v>
      </c>
      <c r="R438" s="562" t="b">
        <v>0</v>
      </c>
      <c r="S438" s="562" t="b">
        <v>1</v>
      </c>
      <c r="T438" s="562" t="b">
        <v>0</v>
      </c>
      <c r="U438" s="562"/>
      <c r="V438" s="562"/>
      <c r="W438" s="18"/>
      <c r="X438" s="563"/>
      <c r="Y438" s="578" t="str">
        <f>IF(LEN('Ch6'!X199)=0,"None",'Ch6'!X199)</f>
        <v>None</v>
      </c>
      <c r="Z438" s="579"/>
      <c r="AA438" s="562"/>
      <c r="AB438" s="562"/>
      <c r="AC438" s="562"/>
      <c r="AD438" s="562"/>
      <c r="AE438" s="562"/>
      <c r="AF438" s="562"/>
      <c r="AG438" s="562"/>
      <c r="AH438" s="562"/>
      <c r="AI438" s="562"/>
      <c r="AJ438" s="562"/>
      <c r="AK438" s="562"/>
      <c r="AL438" s="190" t="str">
        <f t="shared" ref="AL438:AL439" si="129">SUBSTITUTE(SUBSTITUTE(SUBSTITUTE("vpa"&amp;$B438&amp;$C438&amp;$D438&amp;$E438&amp;$F438,".","_"),"(","_"),")","")</f>
        <v>vpa602_1_9_3</v>
      </c>
      <c r="AM438" s="190">
        <f>M438</f>
        <v>3</v>
      </c>
      <c r="AN438" s="190" t="str">
        <f t="shared" ref="AN438:AN439" si="130">SUBSTITUTE(SUBSTITUTE(SUBSTITUTE("vpc"&amp;$B438&amp;$C438&amp;$D438&amp;$E438&amp;$F438,".","_"),"(","_"),")","")</f>
        <v>vpc602_1_9_3</v>
      </c>
      <c r="AO438" s="190">
        <f>O438</f>
        <v>0</v>
      </c>
      <c r="AP438" s="190" t="str">
        <f t="shared" ref="AP438:AP439" si="131">SUBSTITUTE(SUBSTITUTE(SUBSTITUTE("vch"&amp;$B438&amp;$C438&amp;$D438&amp;$E438&amp;$F438,".","_"),"(","_"),")","")</f>
        <v>vch602_1_9_3</v>
      </c>
      <c r="AQ438" s="190">
        <f>W438</f>
        <v>0</v>
      </c>
      <c r="AR438" s="190" t="str">
        <f t="shared" ref="AR438:AR439" si="132">SUBSTITUTE(SUBSTITUTE(SUBSTITUTE("vnt"&amp;$B438&amp;$C438&amp;$D438&amp;$E438&amp;$F438,".","_"),"(","_"),")","")</f>
        <v>vnt602_1_9_3</v>
      </c>
      <c r="AS438" s="190">
        <f>X438</f>
        <v>0</v>
      </c>
    </row>
    <row r="439" spans="1:45" x14ac:dyDescent="0.2">
      <c r="A439" s="541">
        <v>6</v>
      </c>
      <c r="B439" s="549" t="s">
        <v>2530</v>
      </c>
      <c r="C439" s="544"/>
      <c r="D439" s="544"/>
      <c r="E439" s="544" t="s">
        <v>2192</v>
      </c>
      <c r="F439" s="549"/>
      <c r="G439" s="543" t="str">
        <f>IF(N439&gt;0,"P","")</f>
        <v/>
      </c>
      <c r="H439" s="552" t="s">
        <v>3757</v>
      </c>
      <c r="I439" s="40"/>
      <c r="J439" s="164" t="s">
        <v>2192</v>
      </c>
      <c r="K439" s="147"/>
      <c r="L439" s="831" t="s">
        <v>2549</v>
      </c>
      <c r="M439" s="824">
        <v>3</v>
      </c>
      <c r="N439" s="923">
        <f>'Ch6'!O200</f>
        <v>0</v>
      </c>
      <c r="O439" s="923">
        <f>M439*S439*W439</f>
        <v>0</v>
      </c>
      <c r="P439" s="562" t="b">
        <v>1</v>
      </c>
      <c r="Q439" s="562" t="b">
        <v>0</v>
      </c>
      <c r="R439" s="562" t="b">
        <v>0</v>
      </c>
      <c r="S439" s="562" t="b">
        <v>1</v>
      </c>
      <c r="T439" s="562" t="b">
        <v>0</v>
      </c>
      <c r="U439" s="562"/>
      <c r="V439" s="562"/>
      <c r="W439" s="18"/>
      <c r="X439" s="787"/>
      <c r="Y439" s="980" t="str">
        <f>IF(LEN('Ch6'!X200)=0,"None",'Ch6'!X200)</f>
        <v>None</v>
      </c>
      <c r="Z439" s="983"/>
      <c r="AA439" s="562"/>
      <c r="AB439" s="562"/>
      <c r="AC439" s="562"/>
      <c r="AD439" s="562"/>
      <c r="AE439" s="562"/>
      <c r="AF439" s="562"/>
      <c r="AG439" s="562"/>
      <c r="AH439" s="562"/>
      <c r="AI439" s="562"/>
      <c r="AJ439" s="562"/>
      <c r="AK439" s="562"/>
      <c r="AL439" s="190" t="str">
        <f t="shared" si="129"/>
        <v>vpa602_1_9_4</v>
      </c>
      <c r="AM439" s="190">
        <f>M439</f>
        <v>3</v>
      </c>
      <c r="AN439" s="190" t="str">
        <f t="shared" si="130"/>
        <v>vpc602_1_9_4</v>
      </c>
      <c r="AO439" s="190">
        <f>O439</f>
        <v>0</v>
      </c>
      <c r="AP439" s="190" t="str">
        <f t="shared" si="131"/>
        <v>vch602_1_9_4</v>
      </c>
      <c r="AQ439" s="190">
        <f>W439</f>
        <v>0</v>
      </c>
      <c r="AR439" s="190" t="str">
        <f t="shared" si="132"/>
        <v>vnt602_1_9_4</v>
      </c>
      <c r="AS439" s="190">
        <f>X439</f>
        <v>0</v>
      </c>
    </row>
    <row r="440" spans="1:45" x14ac:dyDescent="0.2">
      <c r="A440" s="541">
        <v>6</v>
      </c>
      <c r="B440" s="549" t="s">
        <v>2530</v>
      </c>
      <c r="C440" s="544"/>
      <c r="D440" s="544"/>
      <c r="E440" s="544" t="s">
        <v>2192</v>
      </c>
      <c r="F440" s="549"/>
      <c r="G440" s="543" t="str">
        <f t="shared" ref="G440:G442" si="133">G439</f>
        <v/>
      </c>
      <c r="H440" s="552" t="s">
        <v>3757</v>
      </c>
      <c r="I440" s="40"/>
      <c r="J440" s="98"/>
      <c r="K440" s="65"/>
      <c r="L440" s="791"/>
      <c r="M440" s="800"/>
      <c r="N440" s="924"/>
      <c r="O440" s="924"/>
      <c r="P440" s="562"/>
      <c r="Q440" s="562"/>
      <c r="R440" s="562"/>
      <c r="S440" s="562"/>
      <c r="T440" s="562"/>
      <c r="U440" s="562"/>
      <c r="V440" s="562"/>
      <c r="W440" s="562"/>
      <c r="X440" s="787"/>
      <c r="Y440" s="980"/>
      <c r="Z440" s="983"/>
      <c r="AA440" s="562"/>
      <c r="AB440" s="562"/>
      <c r="AC440" s="562"/>
      <c r="AD440" s="562"/>
      <c r="AE440" s="562"/>
      <c r="AF440" s="562"/>
      <c r="AG440" s="562"/>
      <c r="AH440" s="562"/>
      <c r="AI440" s="562"/>
      <c r="AJ440" s="562"/>
      <c r="AK440" s="562"/>
      <c r="AL440" s="562"/>
      <c r="AM440" s="562"/>
      <c r="AN440" s="562"/>
      <c r="AO440" s="562"/>
      <c r="AP440" s="562"/>
      <c r="AQ440" s="562"/>
      <c r="AR440" s="562"/>
      <c r="AS440" s="562"/>
    </row>
    <row r="441" spans="1:45" x14ac:dyDescent="0.2">
      <c r="A441" s="541">
        <v>6</v>
      </c>
      <c r="B441" s="549" t="s">
        <v>2530</v>
      </c>
      <c r="C441" s="544"/>
      <c r="D441" s="544"/>
      <c r="E441" s="544" t="s">
        <v>2192</v>
      </c>
      <c r="F441" s="549"/>
      <c r="G441" s="543" t="str">
        <f t="shared" si="133"/>
        <v/>
      </c>
      <c r="H441" s="552" t="s">
        <v>3757</v>
      </c>
      <c r="I441" s="40"/>
      <c r="J441" s="98"/>
      <c r="K441" s="65"/>
      <c r="L441" s="791"/>
      <c r="M441" s="800"/>
      <c r="N441" s="924"/>
      <c r="O441" s="924"/>
      <c r="P441" s="562"/>
      <c r="Q441" s="562"/>
      <c r="R441" s="562"/>
      <c r="S441" s="562"/>
      <c r="T441" s="562"/>
      <c r="U441" s="562"/>
      <c r="V441" s="562"/>
      <c r="W441" s="562"/>
      <c r="X441" s="787"/>
      <c r="Y441" s="980"/>
      <c r="Z441" s="983"/>
      <c r="AA441" s="562"/>
      <c r="AB441" s="562"/>
      <c r="AC441" s="562"/>
      <c r="AD441" s="562"/>
      <c r="AE441" s="562"/>
      <c r="AF441" s="562"/>
      <c r="AG441" s="562"/>
      <c r="AH441" s="562"/>
      <c r="AI441" s="562"/>
      <c r="AJ441" s="562"/>
      <c r="AK441" s="562"/>
      <c r="AL441" s="562"/>
      <c r="AM441" s="562"/>
      <c r="AN441" s="562"/>
      <c r="AO441" s="562"/>
      <c r="AP441" s="562"/>
      <c r="AQ441" s="562"/>
      <c r="AR441" s="562"/>
      <c r="AS441" s="562"/>
    </row>
    <row r="442" spans="1:45" x14ac:dyDescent="0.2">
      <c r="A442" s="541">
        <v>6</v>
      </c>
      <c r="B442" s="549" t="s">
        <v>2530</v>
      </c>
      <c r="C442" s="544"/>
      <c r="D442" s="544"/>
      <c r="E442" s="544" t="s">
        <v>2192</v>
      </c>
      <c r="F442" s="549"/>
      <c r="G442" s="543" t="str">
        <f t="shared" si="133"/>
        <v/>
      </c>
      <c r="H442" s="552" t="s">
        <v>3757</v>
      </c>
      <c r="I442" s="40"/>
      <c r="J442" s="165"/>
      <c r="K442" s="126"/>
      <c r="L442" s="792"/>
      <c r="M442" s="801"/>
      <c r="N442" s="942"/>
      <c r="O442" s="942"/>
      <c r="P442" s="562"/>
      <c r="Q442" s="562"/>
      <c r="R442" s="562"/>
      <c r="S442" s="562"/>
      <c r="T442" s="562"/>
      <c r="U442" s="562"/>
      <c r="V442" s="562"/>
      <c r="W442" s="562"/>
      <c r="X442" s="787"/>
      <c r="Y442" s="980"/>
      <c r="Z442" s="983"/>
      <c r="AA442" s="562"/>
      <c r="AB442" s="562"/>
      <c r="AC442" s="562"/>
      <c r="AD442" s="562"/>
      <c r="AE442" s="562"/>
      <c r="AF442" s="562"/>
      <c r="AG442" s="562"/>
      <c r="AH442" s="562"/>
      <c r="AI442" s="562"/>
      <c r="AJ442" s="562"/>
      <c r="AK442" s="562"/>
      <c r="AL442" s="562"/>
      <c r="AM442" s="562"/>
      <c r="AN442" s="562"/>
      <c r="AO442" s="562"/>
      <c r="AP442" s="562"/>
      <c r="AQ442" s="562"/>
      <c r="AR442" s="562"/>
      <c r="AS442" s="562"/>
    </row>
    <row r="443" spans="1:45" x14ac:dyDescent="0.2">
      <c r="A443" s="541">
        <v>6</v>
      </c>
      <c r="B443" s="549" t="s">
        <v>2530</v>
      </c>
      <c r="C443" s="544"/>
      <c r="D443" s="544"/>
      <c r="E443" s="544" t="s">
        <v>2194</v>
      </c>
      <c r="F443" s="549"/>
      <c r="G443" s="543" t="str">
        <f ca="1">IF(N443&gt;0,"P","")</f>
        <v/>
      </c>
      <c r="H443" s="552" t="s">
        <v>3757</v>
      </c>
      <c r="I443" s="40"/>
      <c r="J443" s="20" t="s">
        <v>2194</v>
      </c>
      <c r="K443" s="53"/>
      <c r="L443" s="53" t="s">
        <v>2550</v>
      </c>
      <c r="M443" s="616"/>
      <c r="N443" s="648">
        <f ca="1">'Ch6'!O204</f>
        <v>0</v>
      </c>
      <c r="O443" s="648">
        <f ca="1">IFERROR(INDEX({4,2},MATCH(W443,INDIRECT(U443),0)),0)</f>
        <v>0</v>
      </c>
      <c r="P443" s="562" t="b">
        <v>1</v>
      </c>
      <c r="Q443" s="562" t="b">
        <v>0</v>
      </c>
      <c r="R443" s="562" t="b">
        <v>0</v>
      </c>
      <c r="S443" s="562" t="b">
        <v>1</v>
      </c>
      <c r="T443" s="562" t="b">
        <v>0</v>
      </c>
      <c r="U443" s="64" t="str">
        <f>SUBSTITUTE(SUBSTITUTE(SUBSTITUTE("dd"&amp;B443&amp;C443&amp;D443&amp;E443&amp;F443,".","_"),"(","_"),")","")</f>
        <v>dd602_1_9_5</v>
      </c>
      <c r="V443" s="562"/>
      <c r="W443" s="6"/>
      <c r="X443" s="787"/>
      <c r="Y443" s="980" t="str">
        <f>IF(LEN('Ch6'!X204)=0,"None",'Ch6'!X204)</f>
        <v>None</v>
      </c>
      <c r="Z443" s="983"/>
      <c r="AA443" s="562"/>
      <c r="AB443" s="562"/>
      <c r="AC443" s="562"/>
      <c r="AD443" s="562"/>
      <c r="AE443" s="562"/>
      <c r="AF443" s="562"/>
      <c r="AG443" s="562"/>
      <c r="AH443" s="562"/>
      <c r="AI443" s="562"/>
      <c r="AJ443" s="562"/>
      <c r="AK443" s="562"/>
      <c r="AL443" s="562"/>
      <c r="AM443" s="562"/>
      <c r="AN443" s="190" t="str">
        <f>SUBSTITUTE(SUBSTITUTE(SUBSTITUTE("vpc"&amp;$B443&amp;$C443&amp;$D443&amp;$E443&amp;$F443,".","_"),"(","_"),")","")</f>
        <v>vpc602_1_9_5</v>
      </c>
      <c r="AO443" s="190">
        <f ca="1">O443</f>
        <v>0</v>
      </c>
      <c r="AP443" s="190" t="str">
        <f>SUBSTITUTE(SUBSTITUTE(SUBSTITUTE("vch"&amp;$B443&amp;$C443&amp;$D443&amp;$E443&amp;$F443,".","_"),"(","_"),")","")</f>
        <v>vch602_1_9_5</v>
      </c>
      <c r="AQ443" s="190">
        <f>W443</f>
        <v>0</v>
      </c>
      <c r="AR443" s="190" t="str">
        <f>SUBSTITUTE(SUBSTITUTE(SUBSTITUTE("vnt"&amp;$B443&amp;$C443&amp;$D443&amp;$E443&amp;$F443,".","_"),"(","_"),")","")</f>
        <v>vnt602_1_9_5</v>
      </c>
      <c r="AS443" s="190">
        <f>X443</f>
        <v>0</v>
      </c>
    </row>
    <row r="444" spans="1:45" x14ac:dyDescent="0.2">
      <c r="A444" s="541">
        <v>6</v>
      </c>
      <c r="B444" s="549" t="s">
        <v>2530</v>
      </c>
      <c r="C444" s="544"/>
      <c r="D444" s="544"/>
      <c r="E444" s="544" t="s">
        <v>2194</v>
      </c>
      <c r="F444" s="544" t="s">
        <v>2196</v>
      </c>
      <c r="G444" s="543" t="str">
        <f t="shared" ref="G444:G448" ca="1" si="134">G443</f>
        <v/>
      </c>
      <c r="H444" s="545" t="s">
        <v>3757</v>
      </c>
      <c r="I444" s="40"/>
      <c r="J444" s="3"/>
      <c r="K444" s="61" t="s">
        <v>2196</v>
      </c>
      <c r="L444" s="791" t="s">
        <v>2551</v>
      </c>
      <c r="M444" s="800">
        <v>4</v>
      </c>
      <c r="N444" s="648"/>
      <c r="O444" s="648"/>
      <c r="P444" s="562"/>
      <c r="Q444" s="562"/>
      <c r="R444" s="562"/>
      <c r="S444" s="562"/>
      <c r="T444" s="562"/>
      <c r="U444" s="562"/>
      <c r="V444" s="562"/>
      <c r="W444" s="562"/>
      <c r="X444" s="787"/>
      <c r="Y444" s="980"/>
      <c r="Z444" s="983"/>
      <c r="AA444" s="562"/>
      <c r="AB444" s="562"/>
      <c r="AC444" s="562"/>
      <c r="AD444" s="562"/>
      <c r="AE444" s="562"/>
      <c r="AF444" s="562"/>
      <c r="AG444" s="562"/>
      <c r="AH444" s="562"/>
      <c r="AI444" s="562"/>
      <c r="AJ444" s="562"/>
      <c r="AK444" s="562"/>
      <c r="AL444" s="190" t="str">
        <f>SUBSTITUTE(SUBSTITUTE(SUBSTITUTE("vpa"&amp;$B444&amp;$C444&amp;$D444&amp;$E444&amp;$F444,".","_"),"(","_"),")","")</f>
        <v>vpa602_1_9_5_a</v>
      </c>
      <c r="AM444" s="190">
        <f>M444</f>
        <v>4</v>
      </c>
      <c r="AN444" s="562"/>
      <c r="AO444" s="562"/>
      <c r="AP444" s="562"/>
      <c r="AQ444" s="562"/>
      <c r="AR444" s="562"/>
      <c r="AS444" s="562"/>
    </row>
    <row r="445" spans="1:45" x14ac:dyDescent="0.2">
      <c r="A445" s="541">
        <v>6</v>
      </c>
      <c r="B445" s="549" t="s">
        <v>2530</v>
      </c>
      <c r="C445" s="544"/>
      <c r="D445" s="544"/>
      <c r="E445" s="544" t="s">
        <v>2194</v>
      </c>
      <c r="F445" s="544" t="s">
        <v>2196</v>
      </c>
      <c r="G445" s="543" t="str">
        <f t="shared" ca="1" si="134"/>
        <v/>
      </c>
      <c r="H445" s="545" t="s">
        <v>3757</v>
      </c>
      <c r="I445" s="40"/>
      <c r="J445" s="3"/>
      <c r="K445" s="61"/>
      <c r="L445" s="791"/>
      <c r="M445" s="800"/>
      <c r="N445" s="648"/>
      <c r="O445" s="648"/>
      <c r="P445" s="562"/>
      <c r="Q445" s="562"/>
      <c r="R445" s="562"/>
      <c r="S445" s="562"/>
      <c r="T445" s="562"/>
      <c r="U445" s="562"/>
      <c r="V445" s="562"/>
      <c r="W445" s="562"/>
      <c r="X445" s="787"/>
      <c r="Y445" s="980"/>
      <c r="Z445" s="983"/>
      <c r="AA445" s="562"/>
      <c r="AB445" s="562"/>
      <c r="AC445" s="562"/>
      <c r="AD445" s="562"/>
      <c r="AE445" s="562"/>
      <c r="AF445" s="562"/>
      <c r="AG445" s="562"/>
      <c r="AH445" s="562"/>
      <c r="AI445" s="562"/>
      <c r="AJ445" s="562"/>
      <c r="AK445" s="562"/>
      <c r="AL445" s="562"/>
      <c r="AM445" s="562"/>
      <c r="AN445" s="562"/>
      <c r="AO445" s="562"/>
      <c r="AP445" s="562"/>
      <c r="AQ445" s="562"/>
      <c r="AR445" s="562"/>
      <c r="AS445" s="562"/>
    </row>
    <row r="446" spans="1:45" x14ac:dyDescent="0.2">
      <c r="A446" s="541">
        <v>6</v>
      </c>
      <c r="B446" s="549" t="s">
        <v>2530</v>
      </c>
      <c r="C446" s="544"/>
      <c r="D446" s="544"/>
      <c r="E446" s="544" t="s">
        <v>2194</v>
      </c>
      <c r="F446" s="544" t="s">
        <v>2196</v>
      </c>
      <c r="G446" s="543" t="str">
        <f t="shared" ca="1" si="134"/>
        <v/>
      </c>
      <c r="H446" s="545" t="s">
        <v>3757</v>
      </c>
      <c r="I446" s="40"/>
      <c r="J446" s="3"/>
      <c r="K446" s="125"/>
      <c r="L446" s="792"/>
      <c r="M446" s="801"/>
      <c r="N446" s="648"/>
      <c r="O446" s="648"/>
      <c r="P446" s="562"/>
      <c r="Q446" s="562"/>
      <c r="R446" s="562"/>
      <c r="S446" s="562"/>
      <c r="T446" s="562"/>
      <c r="U446" s="562"/>
      <c r="V446" s="562"/>
      <c r="W446" s="562"/>
      <c r="X446" s="787"/>
      <c r="Y446" s="980"/>
      <c r="Z446" s="983"/>
      <c r="AA446" s="562"/>
      <c r="AB446" s="562"/>
      <c r="AC446" s="562"/>
      <c r="AD446" s="562"/>
      <c r="AE446" s="562"/>
      <c r="AF446" s="562"/>
      <c r="AG446" s="562"/>
      <c r="AH446" s="562"/>
      <c r="AI446" s="562"/>
      <c r="AJ446" s="562"/>
      <c r="AK446" s="562"/>
      <c r="AL446" s="562"/>
      <c r="AM446" s="562"/>
      <c r="AN446" s="562"/>
      <c r="AO446" s="562"/>
      <c r="AP446" s="562"/>
      <c r="AQ446" s="562"/>
      <c r="AR446" s="562"/>
      <c r="AS446" s="562"/>
    </row>
    <row r="447" spans="1:45" x14ac:dyDescent="0.2">
      <c r="A447" s="541">
        <v>6</v>
      </c>
      <c r="B447" s="549" t="s">
        <v>2530</v>
      </c>
      <c r="C447" s="544"/>
      <c r="D447" s="544"/>
      <c r="E447" s="544" t="s">
        <v>2194</v>
      </c>
      <c r="F447" s="544" t="s">
        <v>2198</v>
      </c>
      <c r="G447" s="543" t="str">
        <f t="shared" ca="1" si="134"/>
        <v/>
      </c>
      <c r="H447" s="545" t="s">
        <v>3757</v>
      </c>
      <c r="I447" s="40"/>
      <c r="J447" s="98"/>
      <c r="K447" s="61" t="s">
        <v>2198</v>
      </c>
      <c r="L447" s="791" t="s">
        <v>2552</v>
      </c>
      <c r="M447" s="800">
        <v>2</v>
      </c>
      <c r="N447" s="668"/>
      <c r="O447" s="668"/>
      <c r="P447" s="562"/>
      <c r="Q447" s="562"/>
      <c r="R447" s="562"/>
      <c r="S447" s="562"/>
      <c r="T447" s="562"/>
      <c r="U447" s="562"/>
      <c r="V447" s="562"/>
      <c r="W447" s="562"/>
      <c r="X447" s="787"/>
      <c r="Y447" s="980"/>
      <c r="Z447" s="983"/>
      <c r="AA447" s="562"/>
      <c r="AB447" s="562"/>
      <c r="AC447" s="562"/>
      <c r="AD447" s="562"/>
      <c r="AE447" s="562"/>
      <c r="AF447" s="562"/>
      <c r="AG447" s="562"/>
      <c r="AH447" s="562"/>
      <c r="AI447" s="562"/>
      <c r="AJ447" s="562"/>
      <c r="AK447" s="562"/>
      <c r="AL447" s="190" t="str">
        <f>SUBSTITUTE(SUBSTITUTE(SUBSTITUTE("vpa"&amp;$B447&amp;$C447&amp;$D447&amp;$E447&amp;$F447,".","_"),"(","_"),")","")</f>
        <v>vpa602_1_9_5_b</v>
      </c>
      <c r="AM447" s="190">
        <f>M447</f>
        <v>2</v>
      </c>
      <c r="AN447" s="562"/>
      <c r="AO447" s="562"/>
      <c r="AP447" s="562"/>
      <c r="AQ447" s="562"/>
      <c r="AR447" s="562"/>
      <c r="AS447" s="562"/>
    </row>
    <row r="448" spans="1:45" x14ac:dyDescent="0.2">
      <c r="A448" s="541">
        <v>6</v>
      </c>
      <c r="B448" s="549" t="s">
        <v>2530</v>
      </c>
      <c r="C448" s="544"/>
      <c r="D448" s="544"/>
      <c r="E448" s="544" t="s">
        <v>2194</v>
      </c>
      <c r="F448" s="544" t="s">
        <v>2198</v>
      </c>
      <c r="G448" s="543" t="str">
        <f t="shared" ca="1" si="134"/>
        <v/>
      </c>
      <c r="H448" s="545" t="s">
        <v>3757</v>
      </c>
      <c r="I448" s="40"/>
      <c r="J448" s="165"/>
      <c r="K448" s="126"/>
      <c r="L448" s="792"/>
      <c r="M448" s="801"/>
      <c r="N448" s="669"/>
      <c r="O448" s="669"/>
      <c r="P448" s="562"/>
      <c r="Q448" s="562"/>
      <c r="R448" s="562"/>
      <c r="S448" s="562"/>
      <c r="T448" s="562"/>
      <c r="U448" s="562"/>
      <c r="V448" s="562"/>
      <c r="W448" s="562"/>
      <c r="X448" s="787"/>
      <c r="Y448" s="980"/>
      <c r="Z448" s="983"/>
      <c r="AA448" s="562"/>
      <c r="AB448" s="562"/>
      <c r="AC448" s="562"/>
      <c r="AD448" s="562"/>
      <c r="AE448" s="562"/>
      <c r="AF448" s="562"/>
      <c r="AG448" s="562"/>
      <c r="AH448" s="562"/>
      <c r="AI448" s="562"/>
      <c r="AJ448" s="562"/>
      <c r="AK448" s="562"/>
      <c r="AL448" s="562"/>
      <c r="AM448" s="562"/>
      <c r="AN448" s="562"/>
      <c r="AO448" s="562"/>
      <c r="AP448" s="562"/>
      <c r="AQ448" s="562"/>
      <c r="AR448" s="562"/>
      <c r="AS448" s="562"/>
    </row>
    <row r="449" spans="1:45" x14ac:dyDescent="0.2">
      <c r="A449" s="541">
        <v>6</v>
      </c>
      <c r="B449" s="549" t="s">
        <v>2530</v>
      </c>
      <c r="C449" s="544"/>
      <c r="D449" s="544"/>
      <c r="E449" s="544" t="s">
        <v>2221</v>
      </c>
      <c r="F449" s="549"/>
      <c r="G449" s="543" t="str">
        <f>IF(N449&gt;0,"P","")</f>
        <v/>
      </c>
      <c r="H449" s="552" t="s">
        <v>3757</v>
      </c>
      <c r="I449" s="40"/>
      <c r="J449" s="164" t="s">
        <v>2221</v>
      </c>
      <c r="K449" s="147"/>
      <c r="L449" s="831" t="s">
        <v>2553</v>
      </c>
      <c r="M449" s="824">
        <v>2</v>
      </c>
      <c r="N449" s="923">
        <f>'Ch6'!O210</f>
        <v>0</v>
      </c>
      <c r="O449" s="923">
        <f>M449*S449*W449</f>
        <v>0</v>
      </c>
      <c r="P449" s="562" t="b">
        <v>1</v>
      </c>
      <c r="Q449" s="562" t="b">
        <v>0</v>
      </c>
      <c r="R449" s="562" t="b">
        <v>0</v>
      </c>
      <c r="S449" s="562" t="b">
        <v>1</v>
      </c>
      <c r="T449" s="562" t="b">
        <v>0</v>
      </c>
      <c r="U449" s="562"/>
      <c r="V449" s="562"/>
      <c r="W449" s="18"/>
      <c r="X449" s="787"/>
      <c r="Y449" s="980" t="str">
        <f>IF(LEN('Ch6'!X210)=0,"None",'Ch6'!X210)</f>
        <v>None</v>
      </c>
      <c r="Z449" s="983"/>
      <c r="AA449" s="562"/>
      <c r="AB449" s="562"/>
      <c r="AC449" s="562"/>
      <c r="AD449" s="562"/>
      <c r="AE449" s="562"/>
      <c r="AF449" s="562"/>
      <c r="AG449" s="562"/>
      <c r="AH449" s="562"/>
      <c r="AI449" s="562"/>
      <c r="AJ449" s="562"/>
      <c r="AK449" s="562"/>
      <c r="AL449" s="190" t="str">
        <f>SUBSTITUTE(SUBSTITUTE(SUBSTITUTE("vpa"&amp;$B449&amp;$C449&amp;$D449&amp;$E449&amp;$F449,".","_"),"(","_"),")","")</f>
        <v>vpa602_1_9_6</v>
      </c>
      <c r="AM449" s="190">
        <f>M449</f>
        <v>2</v>
      </c>
      <c r="AN449" s="190" t="str">
        <f>SUBSTITUTE(SUBSTITUTE(SUBSTITUTE("vpc"&amp;$B449&amp;$C449&amp;$D449&amp;$E449&amp;$F449,".","_"),"(","_"),")","")</f>
        <v>vpc602_1_9_6</v>
      </c>
      <c r="AO449" s="190">
        <f>O449</f>
        <v>0</v>
      </c>
      <c r="AP449" s="190" t="str">
        <f>SUBSTITUTE(SUBSTITUTE(SUBSTITUTE("vch"&amp;$B449&amp;$C449&amp;$D449&amp;$E449&amp;$F449,".","_"),"(","_"),")","")</f>
        <v>vch602_1_9_6</v>
      </c>
      <c r="AQ449" s="190">
        <f>W449</f>
        <v>0</v>
      </c>
      <c r="AR449" s="190" t="str">
        <f>SUBSTITUTE(SUBSTITUTE(SUBSTITUTE("vnt"&amp;$B449&amp;$C449&amp;$D449&amp;$E449&amp;$F449,".","_"),"(","_"),")","")</f>
        <v>vnt602_1_9_6</v>
      </c>
      <c r="AS449" s="190">
        <f>X449</f>
        <v>0</v>
      </c>
    </row>
    <row r="450" spans="1:45" x14ac:dyDescent="0.2">
      <c r="A450" s="541">
        <v>6</v>
      </c>
      <c r="B450" s="549" t="s">
        <v>2530</v>
      </c>
      <c r="C450" s="544"/>
      <c r="D450" s="544"/>
      <c r="E450" s="544" t="s">
        <v>2221</v>
      </c>
      <c r="F450" s="549"/>
      <c r="G450" s="543" t="str">
        <f t="shared" ref="G450" si="135">G449</f>
        <v/>
      </c>
      <c r="H450" s="552" t="s">
        <v>3757</v>
      </c>
      <c r="I450" s="40"/>
      <c r="J450" s="165"/>
      <c r="K450" s="126"/>
      <c r="L450" s="792"/>
      <c r="M450" s="801"/>
      <c r="N450" s="942"/>
      <c r="O450" s="942"/>
      <c r="P450" s="562"/>
      <c r="Q450" s="562"/>
      <c r="R450" s="562"/>
      <c r="S450" s="562"/>
      <c r="T450" s="562"/>
      <c r="U450" s="562"/>
      <c r="V450" s="562"/>
      <c r="W450" s="562"/>
      <c r="X450" s="787"/>
      <c r="Y450" s="980"/>
      <c r="Z450" s="983"/>
      <c r="AA450" s="562"/>
      <c r="AB450" s="562"/>
      <c r="AC450" s="562"/>
      <c r="AD450" s="562"/>
      <c r="AE450" s="562"/>
      <c r="AF450" s="562"/>
      <c r="AG450" s="562"/>
      <c r="AH450" s="562"/>
      <c r="AI450" s="562"/>
      <c r="AJ450" s="562"/>
      <c r="AK450" s="562"/>
      <c r="AL450" s="562"/>
      <c r="AM450" s="562"/>
      <c r="AN450" s="562"/>
      <c r="AO450" s="562"/>
      <c r="AP450" s="562"/>
      <c r="AQ450" s="562"/>
      <c r="AR450" s="562"/>
      <c r="AS450" s="562"/>
    </row>
    <row r="451" spans="1:45" ht="17" thickBot="1" x14ac:dyDescent="0.25">
      <c r="A451" s="541">
        <v>6</v>
      </c>
      <c r="B451" s="549" t="s">
        <v>2530</v>
      </c>
      <c r="C451" s="544"/>
      <c r="D451" s="544"/>
      <c r="E451" s="544" t="s">
        <v>2223</v>
      </c>
      <c r="F451" s="553"/>
      <c r="G451" s="543" t="str">
        <f>IF(N451&gt;0,"P","")</f>
        <v/>
      </c>
      <c r="H451" s="552" t="s">
        <v>3757</v>
      </c>
      <c r="I451" s="40"/>
      <c r="J451" s="20" t="s">
        <v>2223</v>
      </c>
      <c r="K451" s="53"/>
      <c r="L451" s="53" t="s">
        <v>2554</v>
      </c>
      <c r="M451" s="616">
        <v>2</v>
      </c>
      <c r="N451" s="648">
        <f>'Ch6'!O212</f>
        <v>0</v>
      </c>
      <c r="O451" s="648">
        <f>M451*S451*W451</f>
        <v>0</v>
      </c>
      <c r="P451" s="562" t="b">
        <v>1</v>
      </c>
      <c r="Q451" s="562" t="b">
        <v>0</v>
      </c>
      <c r="R451" s="562" t="b">
        <v>0</v>
      </c>
      <c r="S451" s="562" t="b">
        <v>1</v>
      </c>
      <c r="T451" s="562" t="b">
        <v>0</v>
      </c>
      <c r="U451" s="562"/>
      <c r="V451" s="562"/>
      <c r="W451" s="18"/>
      <c r="X451" s="568"/>
      <c r="Y451" s="577" t="str">
        <f>IF(LEN('Ch6'!X212)=0,"None",'Ch6'!X212)</f>
        <v>None</v>
      </c>
      <c r="Z451" s="582"/>
      <c r="AA451" s="562"/>
      <c r="AB451" s="562"/>
      <c r="AC451" s="562"/>
      <c r="AD451" s="562"/>
      <c r="AE451" s="562"/>
      <c r="AF451" s="562"/>
      <c r="AG451" s="562"/>
      <c r="AH451" s="562"/>
      <c r="AI451" s="562"/>
      <c r="AJ451" s="562"/>
      <c r="AK451" s="562"/>
      <c r="AL451" s="190" t="str">
        <f t="shared" ref="AL451:AL452" si="136">SUBSTITUTE(SUBSTITUTE(SUBSTITUTE("vpa"&amp;$B451&amp;$C451&amp;$D451&amp;$E451&amp;$F451,".","_"),"(","_"),")","")</f>
        <v>vpa602_1_9_7</v>
      </c>
      <c r="AM451" s="190">
        <f>M451</f>
        <v>2</v>
      </c>
      <c r="AN451" s="190" t="str">
        <f t="shared" ref="AN451:AN452" si="137">SUBSTITUTE(SUBSTITUTE(SUBSTITUTE("vpc"&amp;$B451&amp;$C451&amp;$D451&amp;$E451&amp;$F451,".","_"),"(","_"),")","")</f>
        <v>vpc602_1_9_7</v>
      </c>
      <c r="AO451" s="190">
        <f>O451</f>
        <v>0</v>
      </c>
      <c r="AP451" s="190" t="str">
        <f>SUBSTITUTE(SUBSTITUTE(SUBSTITUTE("vch"&amp;$B451&amp;$C451&amp;$D451&amp;$E451&amp;$F451,".","_"),"(","_"),")","")</f>
        <v>vch602_1_9_7</v>
      </c>
      <c r="AQ451" s="190">
        <f>W451</f>
        <v>0</v>
      </c>
      <c r="AR451" s="190" t="str">
        <f>SUBSTITUTE(SUBSTITUTE(SUBSTITUTE("vnt"&amp;$B451&amp;$C451&amp;$D451&amp;$E451&amp;$F451,".","_"),"(","_"),")","")</f>
        <v>vnt602_1_9_7</v>
      </c>
      <c r="AS451" s="190">
        <f>X451</f>
        <v>0</v>
      </c>
    </row>
    <row r="452" spans="1:45" ht="16" thickTop="1" x14ac:dyDescent="0.2">
      <c r="A452" s="541">
        <v>6</v>
      </c>
      <c r="B452" s="551" t="s">
        <v>2555</v>
      </c>
      <c r="C452" s="554"/>
      <c r="D452" s="544"/>
      <c r="E452" s="544"/>
      <c r="F452" s="544"/>
      <c r="G452" s="543" t="str">
        <f ca="1">IF(N452&gt;0,"P","")</f>
        <v/>
      </c>
      <c r="H452" s="541" t="s">
        <v>3751</v>
      </c>
      <c r="I452" s="131" t="s">
        <v>2556</v>
      </c>
      <c r="J452" s="132"/>
      <c r="K452" s="133"/>
      <c r="L452" s="819" t="s">
        <v>2557</v>
      </c>
      <c r="M452" s="852" t="s">
        <v>2558</v>
      </c>
      <c r="N452" s="981">
        <f ca="1">'Ch6'!O213</f>
        <v>0</v>
      </c>
      <c r="O452" s="981">
        <f ca="1">IFERROR(INDEX({2,4,6},MATCH(W453,INDIRECT(U453),0)),0)</f>
        <v>0</v>
      </c>
      <c r="P452" s="74"/>
      <c r="Q452" s="74"/>
      <c r="R452" s="74"/>
      <c r="S452" s="74"/>
      <c r="T452" s="74"/>
      <c r="U452" s="74"/>
      <c r="V452" s="74"/>
      <c r="W452" s="74"/>
      <c r="X452" s="74"/>
      <c r="Y452" s="562"/>
      <c r="Z452" s="430"/>
      <c r="AA452" s="562">
        <f>'Photo Review'!H452</f>
        <v>0</v>
      </c>
      <c r="AB452" s="562"/>
      <c r="AC452" s="562"/>
      <c r="AD452" s="562"/>
      <c r="AE452" s="562"/>
      <c r="AF452" s="562"/>
      <c r="AG452" s="562"/>
      <c r="AH452" s="562"/>
      <c r="AI452" s="562"/>
      <c r="AJ452" s="562"/>
      <c r="AK452" s="562"/>
      <c r="AL452" s="190" t="str">
        <f t="shared" si="136"/>
        <v>vpa602_1_10</v>
      </c>
      <c r="AM452" s="190" t="str">
        <f>M452</f>
        <v>2 per exterior door
6 Max</v>
      </c>
      <c r="AN452" s="190" t="str">
        <f t="shared" si="137"/>
        <v>vpc602_1_10</v>
      </c>
      <c r="AO452" s="190">
        <f ca="1">O452</f>
        <v>0</v>
      </c>
      <c r="AP452" s="562"/>
      <c r="AQ452" s="562"/>
      <c r="AR452" s="562"/>
      <c r="AS452" s="562"/>
    </row>
    <row r="453" spans="1:45" x14ac:dyDescent="0.2">
      <c r="A453" s="541">
        <v>6</v>
      </c>
      <c r="B453" s="551" t="s">
        <v>2555</v>
      </c>
      <c r="C453" s="554"/>
      <c r="D453" s="544"/>
      <c r="E453" s="544"/>
      <c r="F453" s="544"/>
      <c r="G453" s="543" t="str">
        <f t="shared" ref="G453:G464" ca="1" si="138">G452</f>
        <v/>
      </c>
      <c r="H453" s="541" t="s">
        <v>3751</v>
      </c>
      <c r="I453" s="99"/>
      <c r="J453" s="98"/>
      <c r="K453" s="65"/>
      <c r="L453" s="820"/>
      <c r="M453" s="853"/>
      <c r="N453" s="924"/>
      <c r="O453" s="924"/>
      <c r="P453" s="64" t="b">
        <v>1</v>
      </c>
      <c r="Q453" s="64" t="b">
        <v>1</v>
      </c>
      <c r="R453" s="64" t="b">
        <v>0</v>
      </c>
      <c r="S453" s="64" t="b">
        <v>1</v>
      </c>
      <c r="T453" s="64" t="b">
        <v>0</v>
      </c>
      <c r="U453" s="64" t="str">
        <f>SUBSTITUTE(SUBSTITUTE(SUBSTITUTE("dd"&amp;B453&amp;C453&amp;D453&amp;E453&amp;F453,".","_"),"(","_"),")","")</f>
        <v>dd602_1_10</v>
      </c>
      <c r="V453" s="64"/>
      <c r="W453" s="6"/>
      <c r="X453" s="798"/>
      <c r="Y453" s="977" t="str">
        <f>IF(LEN('Ch6'!X214)=0,"None",'Ch6'!X214)</f>
        <v>None</v>
      </c>
      <c r="Z453" s="978"/>
      <c r="AA453" s="562"/>
      <c r="AB453" s="562"/>
      <c r="AC453" s="562"/>
      <c r="AD453" s="562"/>
      <c r="AE453" s="562"/>
      <c r="AF453" s="562"/>
      <c r="AG453" s="562"/>
      <c r="AH453" s="562"/>
      <c r="AI453" s="562"/>
      <c r="AJ453" s="562"/>
      <c r="AK453" s="562"/>
      <c r="AL453" s="190"/>
      <c r="AM453" s="190"/>
      <c r="AN453" s="562"/>
      <c r="AO453" s="562"/>
      <c r="AP453" s="190" t="str">
        <f>SUBSTITUTE(SUBSTITUTE(SUBSTITUTE("vch"&amp;$B453&amp;$C453&amp;$D453&amp;$E453&amp;$F453,".","_"),"(","_"),")","")</f>
        <v>vch602_1_10</v>
      </c>
      <c r="AQ453" s="190">
        <f>W453</f>
        <v>0</v>
      </c>
      <c r="AR453" s="190" t="str">
        <f>SUBSTITUTE(SUBSTITUTE(SUBSTITUTE("vnt"&amp;$B453&amp;$C453&amp;$D453&amp;$E453&amp;$F453,".","_"),"(","_"),")","")</f>
        <v>vnt602_1_10</v>
      </c>
      <c r="AS453" s="190">
        <f>X453</f>
        <v>0</v>
      </c>
    </row>
    <row r="454" spans="1:45" x14ac:dyDescent="0.2">
      <c r="A454" s="541">
        <v>6</v>
      </c>
      <c r="B454" s="551" t="s">
        <v>2555</v>
      </c>
      <c r="C454" s="554"/>
      <c r="D454" s="544"/>
      <c r="E454" s="544"/>
      <c r="F454" s="544"/>
      <c r="G454" s="543" t="str">
        <f t="shared" ca="1" si="138"/>
        <v/>
      </c>
      <c r="H454" s="541" t="s">
        <v>3751</v>
      </c>
      <c r="I454" s="99"/>
      <c r="J454" s="98"/>
      <c r="K454" s="65"/>
      <c r="L454" s="820"/>
      <c r="M454" s="853"/>
      <c r="N454" s="924"/>
      <c r="O454" s="924"/>
      <c r="P454" s="64"/>
      <c r="Q454" s="64"/>
      <c r="R454" s="64"/>
      <c r="S454" s="64"/>
      <c r="T454" s="64"/>
      <c r="U454" s="64"/>
      <c r="V454" s="64"/>
      <c r="W454" s="64"/>
      <c r="X454" s="798"/>
      <c r="Y454" s="977"/>
      <c r="Z454" s="978"/>
      <c r="AA454" s="562"/>
      <c r="AB454" s="562"/>
      <c r="AC454" s="562"/>
      <c r="AD454" s="562"/>
      <c r="AE454" s="562"/>
      <c r="AF454" s="562"/>
      <c r="AG454" s="562"/>
      <c r="AH454" s="562"/>
      <c r="AI454" s="562"/>
      <c r="AJ454" s="562"/>
      <c r="AK454" s="562"/>
      <c r="AL454" s="562"/>
      <c r="AM454" s="562"/>
      <c r="AN454" s="562"/>
      <c r="AO454" s="562"/>
      <c r="AP454" s="562"/>
      <c r="AQ454" s="562"/>
      <c r="AR454" s="562"/>
      <c r="AS454" s="562"/>
    </row>
    <row r="455" spans="1:45" x14ac:dyDescent="0.2">
      <c r="A455" s="541">
        <v>6</v>
      </c>
      <c r="B455" s="551" t="s">
        <v>2555</v>
      </c>
      <c r="C455" s="554"/>
      <c r="D455" s="544"/>
      <c r="E455" s="544"/>
      <c r="F455" s="544"/>
      <c r="G455" s="543" t="str">
        <f t="shared" ca="1" si="138"/>
        <v/>
      </c>
      <c r="H455" s="541" t="s">
        <v>3751</v>
      </c>
      <c r="I455" s="99"/>
      <c r="J455" s="98"/>
      <c r="K455" s="65"/>
      <c r="L455" s="820"/>
      <c r="M455" s="853"/>
      <c r="N455" s="924"/>
      <c r="O455" s="924"/>
      <c r="P455" s="64"/>
      <c r="Q455" s="64"/>
      <c r="R455" s="64"/>
      <c r="S455" s="64"/>
      <c r="T455" s="64"/>
      <c r="U455" s="64"/>
      <c r="V455" s="64"/>
      <c r="W455" s="64"/>
      <c r="X455" s="798"/>
      <c r="Y455" s="977"/>
      <c r="Z455" s="978"/>
      <c r="AA455" s="562"/>
      <c r="AB455" s="562"/>
      <c r="AC455" s="562"/>
      <c r="AD455" s="562"/>
      <c r="AE455" s="562"/>
      <c r="AF455" s="562"/>
      <c r="AG455" s="562"/>
      <c r="AH455" s="562"/>
      <c r="AI455" s="562"/>
      <c r="AJ455" s="562"/>
      <c r="AK455" s="562"/>
      <c r="AL455" s="562"/>
      <c r="AM455" s="562"/>
      <c r="AN455" s="562"/>
      <c r="AO455" s="562"/>
      <c r="AP455" s="562"/>
      <c r="AQ455" s="562"/>
      <c r="AR455" s="562"/>
      <c r="AS455" s="562"/>
    </row>
    <row r="456" spans="1:45" x14ac:dyDescent="0.2">
      <c r="A456" s="541">
        <v>6</v>
      </c>
      <c r="B456" s="551" t="s">
        <v>2555</v>
      </c>
      <c r="C456" s="554"/>
      <c r="D456" s="544"/>
      <c r="E456" s="544"/>
      <c r="F456" s="544"/>
      <c r="G456" s="543" t="str">
        <f t="shared" ca="1" si="138"/>
        <v/>
      </c>
      <c r="H456" s="541" t="s">
        <v>3751</v>
      </c>
      <c r="I456" s="99"/>
      <c r="J456" s="98"/>
      <c r="K456" s="65"/>
      <c r="L456" s="820"/>
      <c r="M456" s="853"/>
      <c r="N456" s="924"/>
      <c r="O456" s="924"/>
      <c r="P456" s="64"/>
      <c r="Q456" s="64"/>
      <c r="R456" s="64"/>
      <c r="S456" s="64"/>
      <c r="T456" s="64"/>
      <c r="U456" s="64"/>
      <c r="V456" s="64"/>
      <c r="W456" s="64"/>
      <c r="X456" s="798"/>
      <c r="Y456" s="977"/>
      <c r="Z456" s="978"/>
      <c r="AA456" s="562"/>
      <c r="AB456" s="562"/>
      <c r="AC456" s="562"/>
      <c r="AD456" s="562"/>
      <c r="AE456" s="562"/>
      <c r="AF456" s="562"/>
      <c r="AG456" s="562"/>
      <c r="AH456" s="562"/>
      <c r="AI456" s="562"/>
      <c r="AJ456" s="562"/>
      <c r="AK456" s="562"/>
      <c r="AL456" s="562"/>
      <c r="AM456" s="562"/>
      <c r="AN456" s="562"/>
      <c r="AO456" s="562"/>
      <c r="AP456" s="562"/>
      <c r="AQ456" s="562"/>
      <c r="AR456" s="562"/>
      <c r="AS456" s="562"/>
    </row>
    <row r="457" spans="1:45" x14ac:dyDescent="0.2">
      <c r="A457" s="541">
        <v>6</v>
      </c>
      <c r="B457" s="551" t="s">
        <v>2555</v>
      </c>
      <c r="C457" s="554"/>
      <c r="D457" s="544"/>
      <c r="E457" s="544"/>
      <c r="F457" s="544"/>
      <c r="G457" s="543" t="str">
        <f t="shared" ca="1" si="138"/>
        <v/>
      </c>
      <c r="H457" s="541" t="s">
        <v>3751</v>
      </c>
      <c r="I457" s="99"/>
      <c r="J457" s="98"/>
      <c r="K457" s="65"/>
      <c r="L457" s="820"/>
      <c r="M457" s="853"/>
      <c r="N457" s="924"/>
      <c r="O457" s="924"/>
      <c r="P457" s="64"/>
      <c r="Q457" s="64"/>
      <c r="R457" s="64"/>
      <c r="S457" s="64"/>
      <c r="T457" s="64"/>
      <c r="U457" s="64"/>
      <c r="V457" s="64"/>
      <c r="W457" s="64"/>
      <c r="X457" s="798"/>
      <c r="Y457" s="977"/>
      <c r="Z457" s="978"/>
      <c r="AA457" s="562"/>
      <c r="AB457" s="562"/>
      <c r="AC457" s="562"/>
      <c r="AD457" s="562"/>
      <c r="AE457" s="562"/>
      <c r="AF457" s="562"/>
      <c r="AG457" s="562"/>
      <c r="AH457" s="562"/>
      <c r="AI457" s="562"/>
      <c r="AJ457" s="562"/>
      <c r="AK457" s="562"/>
      <c r="AL457" s="562"/>
      <c r="AM457" s="562"/>
      <c r="AN457" s="562"/>
      <c r="AO457" s="562"/>
      <c r="AP457" s="562"/>
      <c r="AQ457" s="562"/>
      <c r="AR457" s="562"/>
      <c r="AS457" s="562"/>
    </row>
    <row r="458" spans="1:45" x14ac:dyDescent="0.2">
      <c r="A458" s="541">
        <v>6</v>
      </c>
      <c r="B458" s="551" t="s">
        <v>2555</v>
      </c>
      <c r="C458" s="554"/>
      <c r="D458" s="544"/>
      <c r="E458" s="544"/>
      <c r="F458" s="544"/>
      <c r="G458" s="543" t="str">
        <f t="shared" ca="1" si="138"/>
        <v/>
      </c>
      <c r="H458" s="541" t="s">
        <v>3751</v>
      </c>
      <c r="I458" s="99"/>
      <c r="J458" s="98"/>
      <c r="K458" s="65"/>
      <c r="L458" s="633" t="str">
        <f>"This Project's Climate Zone: "&amp;BF256</f>
        <v>This Project's Climate Zone: !!</v>
      </c>
      <c r="M458" s="853"/>
      <c r="N458" s="924"/>
      <c r="O458" s="924"/>
      <c r="P458" s="64"/>
      <c r="Q458" s="64"/>
      <c r="R458" s="64"/>
      <c r="S458" s="64"/>
      <c r="T458" s="64"/>
      <c r="U458" s="64"/>
      <c r="V458" s="64"/>
      <c r="W458" s="64"/>
      <c r="X458" s="798"/>
      <c r="Y458" s="977"/>
      <c r="Z458" s="978"/>
      <c r="AA458" s="562"/>
      <c r="AB458" s="562"/>
      <c r="AC458" s="562"/>
      <c r="AD458" s="562"/>
      <c r="AE458" s="562"/>
      <c r="AF458" s="562"/>
      <c r="AG458" s="562"/>
      <c r="AH458" s="562"/>
      <c r="AI458" s="562"/>
      <c r="AJ458" s="562"/>
      <c r="AK458" s="562"/>
      <c r="AL458" s="562"/>
      <c r="AM458" s="562"/>
      <c r="AN458" s="562"/>
      <c r="AO458" s="562"/>
      <c r="AP458" s="562"/>
      <c r="AQ458" s="562"/>
      <c r="AR458" s="562"/>
      <c r="AS458" s="562"/>
    </row>
    <row r="459" spans="1:45" x14ac:dyDescent="0.2">
      <c r="A459" s="541">
        <v>6</v>
      </c>
      <c r="B459" s="551" t="s">
        <v>2555</v>
      </c>
      <c r="C459" s="554"/>
      <c r="D459" s="544"/>
      <c r="E459" s="544"/>
      <c r="F459" s="544" t="s">
        <v>2196</v>
      </c>
      <c r="G459" s="543" t="str">
        <f t="shared" ca="1" si="138"/>
        <v/>
      </c>
      <c r="H459" s="545" t="s">
        <v>3751</v>
      </c>
      <c r="I459" s="99"/>
      <c r="J459" s="98"/>
      <c r="K459" s="61" t="s">
        <v>2196</v>
      </c>
      <c r="L459" s="65" t="s">
        <v>2559</v>
      </c>
      <c r="M459" s="853"/>
      <c r="N459" s="924"/>
      <c r="O459" s="924"/>
      <c r="P459" s="64"/>
      <c r="Q459" s="64"/>
      <c r="R459" s="64"/>
      <c r="S459" s="64"/>
      <c r="T459" s="64"/>
      <c r="U459" s="64"/>
      <c r="V459" s="64"/>
      <c r="W459" s="64"/>
      <c r="X459" s="798"/>
      <c r="Y459" s="977"/>
      <c r="Z459" s="978"/>
      <c r="AA459" s="562"/>
      <c r="AB459" s="562"/>
      <c r="AC459" s="562"/>
      <c r="AD459" s="562"/>
      <c r="AE459" s="562"/>
      <c r="AF459" s="562"/>
      <c r="AG459" s="562"/>
      <c r="AH459" s="562"/>
      <c r="AI459" s="562"/>
      <c r="AJ459" s="562"/>
      <c r="AK459" s="562"/>
      <c r="AL459" s="562"/>
      <c r="AM459" s="562"/>
      <c r="AN459" s="562"/>
      <c r="AO459" s="562"/>
      <c r="AP459" s="562"/>
      <c r="AQ459" s="562"/>
      <c r="AR459" s="562"/>
      <c r="AS459" s="562"/>
    </row>
    <row r="460" spans="1:45" x14ac:dyDescent="0.2">
      <c r="A460" s="541">
        <v>6</v>
      </c>
      <c r="B460" s="551" t="s">
        <v>2555</v>
      </c>
      <c r="C460" s="554"/>
      <c r="D460" s="544"/>
      <c r="E460" s="544"/>
      <c r="F460" s="544" t="s">
        <v>2198</v>
      </c>
      <c r="G460" s="543" t="str">
        <f t="shared" ca="1" si="138"/>
        <v/>
      </c>
      <c r="H460" s="545" t="s">
        <v>3751</v>
      </c>
      <c r="I460" s="99"/>
      <c r="J460" s="98"/>
      <c r="K460" s="61" t="s">
        <v>2198</v>
      </c>
      <c r="L460" s="65" t="s">
        <v>2560</v>
      </c>
      <c r="M460" s="853"/>
      <c r="N460" s="924"/>
      <c r="O460" s="924"/>
      <c r="P460" s="64"/>
      <c r="Q460" s="64"/>
      <c r="R460" s="64"/>
      <c r="S460" s="64"/>
      <c r="T460" s="64"/>
      <c r="U460" s="64"/>
      <c r="V460" s="64"/>
      <c r="W460" s="64"/>
      <c r="X460" s="798"/>
      <c r="Y460" s="977"/>
      <c r="Z460" s="978"/>
      <c r="AA460" s="562"/>
      <c r="AB460" s="562"/>
      <c r="AC460" s="562"/>
      <c r="AD460" s="562"/>
      <c r="AE460" s="562"/>
      <c r="AF460" s="562"/>
      <c r="AG460" s="562"/>
      <c r="AH460" s="562"/>
      <c r="AI460" s="562"/>
      <c r="AJ460" s="562"/>
      <c r="AK460" s="562"/>
      <c r="AL460" s="562"/>
      <c r="AM460" s="562"/>
      <c r="AN460" s="562"/>
      <c r="AO460" s="562"/>
      <c r="AP460" s="562"/>
      <c r="AQ460" s="562"/>
      <c r="AR460" s="562"/>
      <c r="AS460" s="562"/>
    </row>
    <row r="461" spans="1:45" x14ac:dyDescent="0.2">
      <c r="A461" s="541">
        <v>6</v>
      </c>
      <c r="B461" s="551" t="s">
        <v>2555</v>
      </c>
      <c r="C461" s="554"/>
      <c r="D461" s="544"/>
      <c r="E461" s="544"/>
      <c r="F461" s="544" t="s">
        <v>2200</v>
      </c>
      <c r="G461" s="543" t="str">
        <f t="shared" ca="1" si="138"/>
        <v/>
      </c>
      <c r="H461" s="545" t="s">
        <v>3751</v>
      </c>
      <c r="I461" s="99"/>
      <c r="J461" s="98"/>
      <c r="K461" s="79" t="s">
        <v>2200</v>
      </c>
      <c r="L461" s="65" t="s">
        <v>2561</v>
      </c>
      <c r="M461" s="853"/>
      <c r="N461" s="924"/>
      <c r="O461" s="924"/>
      <c r="P461" s="64"/>
      <c r="Q461" s="64"/>
      <c r="R461" s="64"/>
      <c r="S461" s="64"/>
      <c r="T461" s="64"/>
      <c r="U461" s="64"/>
      <c r="V461" s="64"/>
      <c r="W461" s="64"/>
      <c r="X461" s="798"/>
      <c r="Y461" s="977"/>
      <c r="Z461" s="978"/>
      <c r="AA461" s="562"/>
      <c r="AB461" s="562"/>
      <c r="AC461" s="562"/>
      <c r="AD461" s="562"/>
      <c r="AE461" s="562"/>
      <c r="AF461" s="562"/>
      <c r="AG461" s="562"/>
      <c r="AH461" s="562"/>
      <c r="AI461" s="562"/>
      <c r="AJ461" s="562"/>
      <c r="AK461" s="562"/>
      <c r="AL461" s="562"/>
      <c r="AM461" s="562"/>
      <c r="AN461" s="562"/>
      <c r="AO461" s="562"/>
      <c r="AP461" s="562"/>
      <c r="AQ461" s="562"/>
      <c r="AR461" s="562"/>
      <c r="AS461" s="562"/>
    </row>
    <row r="462" spans="1:45" x14ac:dyDescent="0.2">
      <c r="A462" s="541">
        <v>6</v>
      </c>
      <c r="B462" s="551" t="s">
        <v>2555</v>
      </c>
      <c r="C462" s="554"/>
      <c r="D462" s="544"/>
      <c r="E462" s="544"/>
      <c r="F462" s="544" t="s">
        <v>2247</v>
      </c>
      <c r="G462" s="543" t="str">
        <f t="shared" ca="1" si="138"/>
        <v/>
      </c>
      <c r="H462" s="545" t="s">
        <v>3751</v>
      </c>
      <c r="I462" s="99"/>
      <c r="J462" s="98"/>
      <c r="K462" s="140" t="s">
        <v>2247</v>
      </c>
      <c r="L462" s="65" t="s">
        <v>2562</v>
      </c>
      <c r="M462" s="853"/>
      <c r="N462" s="924"/>
      <c r="O462" s="924"/>
      <c r="P462" s="64"/>
      <c r="Q462" s="64"/>
      <c r="R462" s="64"/>
      <c r="S462" s="64"/>
      <c r="T462" s="64"/>
      <c r="U462" s="64"/>
      <c r="V462" s="64"/>
      <c r="W462" s="64"/>
      <c r="X462" s="798"/>
      <c r="Y462" s="977"/>
      <c r="Z462" s="978"/>
      <c r="AA462" s="562"/>
      <c r="AB462" s="562"/>
      <c r="AC462" s="562"/>
      <c r="AD462" s="562"/>
      <c r="AE462" s="562"/>
      <c r="AF462" s="562"/>
      <c r="AG462" s="562"/>
      <c r="AH462" s="562"/>
      <c r="AI462" s="562"/>
      <c r="AJ462" s="562"/>
      <c r="AK462" s="562"/>
      <c r="AL462" s="562"/>
      <c r="AM462" s="562"/>
      <c r="AN462" s="562"/>
      <c r="AO462" s="562"/>
      <c r="AP462" s="562"/>
      <c r="AQ462" s="562"/>
      <c r="AR462" s="562"/>
      <c r="AS462" s="562"/>
    </row>
    <row r="463" spans="1:45" x14ac:dyDescent="0.2">
      <c r="A463" s="541">
        <v>6</v>
      </c>
      <c r="B463" s="551" t="s">
        <v>2555</v>
      </c>
      <c r="C463" s="554"/>
      <c r="D463" s="544"/>
      <c r="E463" s="544"/>
      <c r="F463" s="544"/>
      <c r="G463" s="543" t="str">
        <f t="shared" ca="1" si="138"/>
        <v/>
      </c>
      <c r="H463" s="545" t="s">
        <v>3751</v>
      </c>
      <c r="I463" s="99"/>
      <c r="J463" s="98"/>
      <c r="K463" s="140"/>
      <c r="L463" s="849" t="s">
        <v>2563</v>
      </c>
      <c r="M463" s="853"/>
      <c r="N463" s="924"/>
      <c r="O463" s="924"/>
      <c r="P463" s="64"/>
      <c r="Q463" s="64"/>
      <c r="R463" s="64"/>
      <c r="S463" s="64"/>
      <c r="T463" s="64"/>
      <c r="U463" s="64"/>
      <c r="V463" s="64"/>
      <c r="W463" s="64"/>
      <c r="X463" s="798"/>
      <c r="Y463" s="977"/>
      <c r="Z463" s="978"/>
      <c r="AA463" s="562"/>
      <c r="AB463" s="562"/>
      <c r="AC463" s="562"/>
      <c r="AD463" s="562"/>
      <c r="AE463" s="562"/>
      <c r="AF463" s="562"/>
      <c r="AG463" s="562"/>
      <c r="AH463" s="562"/>
      <c r="AI463" s="562"/>
      <c r="AJ463" s="562"/>
      <c r="AK463" s="562"/>
      <c r="AL463" s="562"/>
      <c r="AM463" s="562"/>
      <c r="AN463" s="562"/>
      <c r="AO463" s="562"/>
      <c r="AP463" s="562"/>
      <c r="AQ463" s="562"/>
      <c r="AR463" s="562"/>
      <c r="AS463" s="562"/>
    </row>
    <row r="464" spans="1:45" ht="16" thickBot="1" x14ac:dyDescent="0.25">
      <c r="A464" s="541">
        <v>6</v>
      </c>
      <c r="B464" s="551" t="s">
        <v>2555</v>
      </c>
      <c r="C464" s="554"/>
      <c r="D464" s="544"/>
      <c r="E464" s="544"/>
      <c r="F464" s="544"/>
      <c r="G464" s="543" t="str">
        <f t="shared" ca="1" si="138"/>
        <v/>
      </c>
      <c r="H464" s="545" t="s">
        <v>3751</v>
      </c>
      <c r="I464" s="99"/>
      <c r="J464" s="98"/>
      <c r="K464" s="140"/>
      <c r="L464" s="833"/>
      <c r="M464" s="853"/>
      <c r="N464" s="982"/>
      <c r="O464" s="924"/>
      <c r="P464" s="64"/>
      <c r="Q464" s="64"/>
      <c r="R464" s="64"/>
      <c r="S464" s="64"/>
      <c r="T464" s="64"/>
      <c r="U464" s="64"/>
      <c r="V464" s="64"/>
      <c r="W464" s="81"/>
      <c r="X464" s="825"/>
      <c r="Y464" s="979"/>
      <c r="Z464" s="1007"/>
      <c r="AA464" s="562"/>
      <c r="AB464" s="562"/>
      <c r="AC464" s="562"/>
      <c r="AD464" s="562"/>
      <c r="AE464" s="562"/>
      <c r="AF464" s="562"/>
      <c r="AG464" s="562"/>
      <c r="AH464" s="562"/>
      <c r="AI464" s="562"/>
      <c r="AJ464" s="562"/>
      <c r="AK464" s="562"/>
      <c r="AL464" s="562"/>
      <c r="AM464" s="562"/>
      <c r="AN464" s="562"/>
      <c r="AO464" s="562"/>
      <c r="AP464" s="562"/>
      <c r="AQ464" s="562"/>
      <c r="AR464" s="562"/>
      <c r="AS464" s="562"/>
    </row>
    <row r="465" spans="1:45" ht="16" thickTop="1" x14ac:dyDescent="0.2">
      <c r="A465" s="541">
        <v>6</v>
      </c>
      <c r="B465" s="551" t="s">
        <v>2564</v>
      </c>
      <c r="C465" s="554"/>
      <c r="D465" s="544"/>
      <c r="E465" s="544"/>
      <c r="F465" s="544"/>
      <c r="G465" s="543" t="s">
        <v>3343</v>
      </c>
      <c r="H465" s="541" t="s">
        <v>3751</v>
      </c>
      <c r="I465" s="131" t="s">
        <v>2565</v>
      </c>
      <c r="J465" s="132"/>
      <c r="K465" s="133"/>
      <c r="L465" s="819" t="s">
        <v>2566</v>
      </c>
      <c r="M465" s="843" t="str">
        <f>IF(R465,"Mandatory","N/A")</f>
        <v>Mandatory</v>
      </c>
      <c r="N465" s="673"/>
      <c r="O465" s="673"/>
      <c r="P465" s="74" t="b">
        <v>1</v>
      </c>
      <c r="Q465" s="74" t="b">
        <v>1</v>
      </c>
      <c r="R465" s="74" t="b">
        <f>S465</f>
        <v>1</v>
      </c>
      <c r="S465" s="74" t="b">
        <v>1</v>
      </c>
      <c r="T465" s="74" t="b">
        <v>0</v>
      </c>
      <c r="U465" s="74" t="str">
        <f>SUBSTITUTE(SUBSTITUTE(SUBSTITUTE("dd"&amp;B465&amp;C465&amp;D465&amp;E465&amp;F465,".","_"),"(","_"),")","")</f>
        <v>dd602_1_11</v>
      </c>
      <c r="V465" s="74"/>
      <c r="W465" s="6"/>
      <c r="X465" s="796"/>
      <c r="Y465" s="985" t="str">
        <f>IF(LEN('Ch6'!X226)=0,"None",'Ch6'!X226)</f>
        <v>None</v>
      </c>
      <c r="Z465" s="1008"/>
      <c r="AA465" s="562"/>
      <c r="AB465" s="562"/>
      <c r="AC465" s="562" t="b">
        <f>OR(AD465:AE465)</f>
        <v>1</v>
      </c>
      <c r="AD465" s="562" t="b">
        <f>T465</f>
        <v>0</v>
      </c>
      <c r="AE465" s="562" t="b">
        <f>AND(R465,NOT(W465="Met"),NOT(W465="N/A"))</f>
        <v>1</v>
      </c>
      <c r="AF465" s="562" t="b">
        <f>AND(AE465,NOT(Q465))</f>
        <v>0</v>
      </c>
      <c r="AG465" s="562"/>
      <c r="AH465" s="562"/>
      <c r="AI465" s="562"/>
      <c r="AJ465" s="562"/>
      <c r="AK465" s="562"/>
      <c r="AL465" s="190" t="str">
        <f>SUBSTITUTE(SUBSTITUTE(SUBSTITUTE("vpa"&amp;$B465&amp;$C465&amp;$D465&amp;$E465&amp;$F465,".","_"),"(","_"),")","")</f>
        <v>vpa602_1_11</v>
      </c>
      <c r="AM465" s="190" t="str">
        <f>M465</f>
        <v>Mandatory</v>
      </c>
      <c r="AN465" s="562"/>
      <c r="AO465" s="562"/>
      <c r="AP465" s="190" t="str">
        <f>SUBSTITUTE(SUBSTITUTE(SUBSTITUTE("vch"&amp;$B465&amp;$C465&amp;$D465&amp;$E465&amp;$F465,".","_"),"(","_"),")","")</f>
        <v>vch602_1_11</v>
      </c>
      <c r="AQ465" s="190">
        <f>W465</f>
        <v>0</v>
      </c>
      <c r="AR465" s="190" t="str">
        <f>SUBSTITUTE(SUBSTITUTE(SUBSTITUTE("vnt"&amp;$B465&amp;$C465&amp;$D465&amp;$E465&amp;$F465,".","_"),"(","_"),")","")</f>
        <v>vnt602_1_11</v>
      </c>
      <c r="AS465" s="190">
        <f>X465</f>
        <v>0</v>
      </c>
    </row>
    <row r="466" spans="1:45" x14ac:dyDescent="0.2">
      <c r="A466" s="541">
        <v>6</v>
      </c>
      <c r="B466" s="551" t="s">
        <v>2564</v>
      </c>
      <c r="C466" s="554"/>
      <c r="D466" s="544"/>
      <c r="E466" s="544"/>
      <c r="F466" s="544"/>
      <c r="G466" s="543" t="s">
        <v>3343</v>
      </c>
      <c r="H466" s="541" t="s">
        <v>3751</v>
      </c>
      <c r="I466" s="99"/>
      <c r="J466" s="98"/>
      <c r="K466" s="65"/>
      <c r="L466" s="820"/>
      <c r="M466" s="838"/>
      <c r="N466" s="668"/>
      <c r="O466" s="668"/>
      <c r="P466" s="64"/>
      <c r="Q466" s="64"/>
      <c r="R466" s="64"/>
      <c r="S466" s="64"/>
      <c r="T466" s="64"/>
      <c r="U466" s="64"/>
      <c r="V466" s="64"/>
      <c r="W466" s="489"/>
      <c r="X466" s="797"/>
      <c r="Y466" s="970"/>
      <c r="Z466" s="973"/>
      <c r="AA466" s="562"/>
      <c r="AB466" s="562"/>
      <c r="AC466" s="562"/>
      <c r="AD466" s="562"/>
      <c r="AE466" s="562"/>
      <c r="AF466" s="562"/>
      <c r="AG466" s="562"/>
      <c r="AH466" s="562"/>
      <c r="AI466" s="562"/>
      <c r="AJ466" s="562"/>
      <c r="AK466" s="562"/>
      <c r="AL466" s="562"/>
      <c r="AM466" s="562"/>
      <c r="AN466" s="562"/>
      <c r="AO466" s="562"/>
      <c r="AP466" s="562"/>
      <c r="AQ466" s="562"/>
      <c r="AR466" s="562"/>
      <c r="AS466" s="562"/>
    </row>
    <row r="467" spans="1:45" s="484" customFormat="1" x14ac:dyDescent="0.2">
      <c r="A467" s="541">
        <v>6</v>
      </c>
      <c r="B467" s="551" t="s">
        <v>2564</v>
      </c>
      <c r="C467" s="554"/>
      <c r="D467" s="544"/>
      <c r="E467" s="544"/>
      <c r="F467" s="544"/>
      <c r="G467" s="543" t="s">
        <v>3343</v>
      </c>
      <c r="H467" s="541" t="s">
        <v>3751</v>
      </c>
      <c r="I467" s="99"/>
      <c r="J467" s="98"/>
      <c r="K467" s="65"/>
      <c r="L467" s="846" t="s">
        <v>2567</v>
      </c>
      <c r="M467" s="488"/>
      <c r="N467" s="668"/>
      <c r="O467" s="668"/>
      <c r="P467" s="64"/>
      <c r="Q467" s="64"/>
      <c r="R467" s="64"/>
      <c r="S467" s="64"/>
      <c r="T467" s="64"/>
      <c r="U467" s="64"/>
      <c r="V467" s="64"/>
      <c r="W467" s="82"/>
      <c r="X467" s="797"/>
      <c r="Y467" s="970"/>
      <c r="Z467" s="973"/>
      <c r="AA467" s="562"/>
      <c r="AB467" s="562"/>
      <c r="AC467" s="562"/>
      <c r="AD467" s="562"/>
      <c r="AE467" s="562"/>
      <c r="AF467" s="562"/>
      <c r="AG467" s="562"/>
      <c r="AH467" s="562"/>
      <c r="AI467" s="562"/>
      <c r="AJ467" s="562"/>
      <c r="AK467" s="562"/>
      <c r="AL467" s="562"/>
      <c r="AM467" s="562"/>
      <c r="AN467" s="562"/>
      <c r="AO467" s="562"/>
      <c r="AP467" s="562"/>
      <c r="AQ467" s="562"/>
      <c r="AR467" s="562"/>
      <c r="AS467" s="562"/>
    </row>
    <row r="468" spans="1:45" s="484" customFormat="1" ht="16" thickBot="1" x14ac:dyDescent="0.25">
      <c r="A468" s="541">
        <v>6</v>
      </c>
      <c r="B468" s="551" t="s">
        <v>2564</v>
      </c>
      <c r="C468" s="554"/>
      <c r="D468" s="544"/>
      <c r="E468" s="544"/>
      <c r="F468" s="544"/>
      <c r="G468" s="543" t="s">
        <v>3343</v>
      </c>
      <c r="H468" s="541" t="s">
        <v>3751</v>
      </c>
      <c r="I468" s="99"/>
      <c r="J468" s="98"/>
      <c r="K468" s="65"/>
      <c r="L468" s="860"/>
      <c r="M468" s="488"/>
      <c r="N468" s="668"/>
      <c r="O468" s="668"/>
      <c r="P468" s="64"/>
      <c r="Q468" s="64"/>
      <c r="R468" s="64"/>
      <c r="S468" s="64"/>
      <c r="T468" s="64"/>
      <c r="U468" s="64"/>
      <c r="V468" s="64"/>
      <c r="W468" s="81"/>
      <c r="X468" s="826"/>
      <c r="Y468" s="971"/>
      <c r="Z468" s="974"/>
      <c r="AA468" s="562"/>
      <c r="AB468" s="562"/>
      <c r="AC468" s="562"/>
      <c r="AD468" s="562"/>
      <c r="AE468" s="562"/>
      <c r="AF468" s="562"/>
      <c r="AG468" s="562"/>
      <c r="AH468" s="562"/>
      <c r="AI468" s="562"/>
      <c r="AJ468" s="562"/>
      <c r="AK468" s="562"/>
      <c r="AL468" s="562"/>
      <c r="AM468" s="562"/>
      <c r="AN468" s="562"/>
      <c r="AO468" s="562"/>
      <c r="AP468" s="562"/>
      <c r="AQ468" s="562"/>
      <c r="AR468" s="562"/>
      <c r="AS468" s="562"/>
    </row>
    <row r="469" spans="1:45" ht="16" thickTop="1" x14ac:dyDescent="0.2">
      <c r="A469" s="541">
        <v>6</v>
      </c>
      <c r="B469" s="551" t="s">
        <v>2568</v>
      </c>
      <c r="C469" s="554"/>
      <c r="D469" s="544"/>
      <c r="E469" s="544"/>
      <c r="F469" s="544"/>
      <c r="G469" s="543" t="e">
        <f ca="1">IF(N469&gt;0,"P","")</f>
        <v>#REF!</v>
      </c>
      <c r="H469" s="541" t="s">
        <v>3757</v>
      </c>
      <c r="I469" s="131" t="s">
        <v>2569</v>
      </c>
      <c r="J469" s="132"/>
      <c r="K469" s="133"/>
      <c r="L469" s="819" t="s">
        <v>2570</v>
      </c>
      <c r="M469" s="827">
        <v>4</v>
      </c>
      <c r="N469" s="981" t="e">
        <f ca="1">'Ch6'!O230</f>
        <v>#REF!</v>
      </c>
      <c r="O469" s="981" t="e">
        <f ca="1">M469*S469*W469</f>
        <v>#REF!</v>
      </c>
      <c r="P469" s="562" t="b">
        <v>1</v>
      </c>
      <c r="Q469" s="562" t="b">
        <v>0</v>
      </c>
      <c r="R469" s="74" t="b">
        <v>0</v>
      </c>
      <c r="S469" s="74" t="e">
        <f ca="1">OR(ISBLANK(W301),W301=INDEX(INDIRECT(U301),1))</f>
        <v>#REF!</v>
      </c>
      <c r="T469" s="74" t="e">
        <f ca="1">IF(AND(NOT(S469),W469=TRUE),TRUE,FALSE)</f>
        <v>#REF!</v>
      </c>
      <c r="U469" s="74"/>
      <c r="V469" s="74"/>
      <c r="W469" s="91"/>
      <c r="X469" s="802"/>
      <c r="Y469" s="975" t="str">
        <f>IF(LEN('Ch6'!X230)=0,"None",'Ch6'!X230)</f>
        <v>None</v>
      </c>
      <c r="Z469" s="976"/>
      <c r="AA469" s="562">
        <f>'Photo Review'!H469</f>
        <v>0</v>
      </c>
      <c r="AB469" s="562"/>
      <c r="AC469" s="562" t="e">
        <f ca="1">OR(AD469:AE469)</f>
        <v>#REF!</v>
      </c>
      <c r="AD469" s="562" t="e">
        <f ca="1">T469</f>
        <v>#REF!</v>
      </c>
      <c r="AE469" s="562" t="b">
        <v>0</v>
      </c>
      <c r="AF469" s="562" t="b">
        <f>AND(AE469,NOT(Q469))</f>
        <v>0</v>
      </c>
      <c r="AG469" s="562"/>
      <c r="AH469" s="562"/>
      <c r="AI469" s="562"/>
      <c r="AJ469" s="562"/>
      <c r="AK469" s="562"/>
      <c r="AL469" s="190" t="str">
        <f>SUBSTITUTE(SUBSTITUTE(SUBSTITUTE("vpa"&amp;$B469&amp;$C469&amp;$D469&amp;$E469&amp;$F469,".","_"),"(","_"),")","")</f>
        <v>vpa602_1_12</v>
      </c>
      <c r="AM469" s="190">
        <f>M469</f>
        <v>4</v>
      </c>
      <c r="AN469" s="190" t="str">
        <f>SUBSTITUTE(SUBSTITUTE(SUBSTITUTE("vpc"&amp;$B469&amp;$C469&amp;$D469&amp;$E469&amp;$F469,".","_"),"(","_"),")","")</f>
        <v>vpc602_1_12</v>
      </c>
      <c r="AO469" s="190" t="e">
        <f ca="1">O469</f>
        <v>#REF!</v>
      </c>
      <c r="AP469" s="190" t="str">
        <f>SUBSTITUTE(SUBSTITUTE(SUBSTITUTE("vch"&amp;$B469&amp;$C469&amp;$D469&amp;$E469&amp;$F469,".","_"),"(","_"),")","")</f>
        <v>vch602_1_12</v>
      </c>
      <c r="AQ469" s="190">
        <f>W469</f>
        <v>0</v>
      </c>
      <c r="AR469" s="190" t="str">
        <f>SUBSTITUTE(SUBSTITUTE(SUBSTITUTE("vnt"&amp;$B469&amp;$C469&amp;$D469&amp;$E469&amp;$F469,".","_"),"(","_"),")","")</f>
        <v>vnt602_1_12</v>
      </c>
      <c r="AS469" s="190">
        <f>X469</f>
        <v>0</v>
      </c>
    </row>
    <row r="470" spans="1:45" x14ac:dyDescent="0.2">
      <c r="A470" s="541">
        <v>6</v>
      </c>
      <c r="B470" s="551" t="s">
        <v>2568</v>
      </c>
      <c r="C470" s="554"/>
      <c r="D470" s="544"/>
      <c r="E470" s="544"/>
      <c r="F470" s="544"/>
      <c r="G470" s="543" t="e">
        <f t="shared" ref="G470:G471" ca="1" si="139">G469</f>
        <v>#REF!</v>
      </c>
      <c r="H470" s="541" t="s">
        <v>3757</v>
      </c>
      <c r="I470" s="99"/>
      <c r="J470" s="98"/>
      <c r="K470" s="65"/>
      <c r="L470" s="820"/>
      <c r="M470" s="800"/>
      <c r="N470" s="924"/>
      <c r="O470" s="924"/>
      <c r="P470" s="64"/>
      <c r="Q470" s="64"/>
      <c r="R470" s="64"/>
      <c r="S470" s="64"/>
      <c r="T470" s="64"/>
      <c r="U470" s="64"/>
      <c r="V470" s="64"/>
      <c r="W470" s="64"/>
      <c r="X470" s="798"/>
      <c r="Y470" s="977"/>
      <c r="Z470" s="978"/>
      <c r="AA470" s="562"/>
      <c r="AB470" s="562"/>
      <c r="AC470" s="562"/>
      <c r="AD470" s="562"/>
      <c r="AE470" s="562"/>
      <c r="AF470" s="562"/>
      <c r="AG470" s="562"/>
      <c r="AH470" s="562"/>
      <c r="AI470" s="562"/>
      <c r="AJ470" s="562"/>
      <c r="AK470" s="562"/>
      <c r="AL470" s="562"/>
      <c r="AM470" s="562"/>
      <c r="AN470" s="562"/>
      <c r="AO470" s="562"/>
      <c r="AP470" s="562"/>
      <c r="AQ470" s="562"/>
      <c r="AR470" s="562"/>
      <c r="AS470" s="562"/>
    </row>
    <row r="471" spans="1:45" ht="16" thickBot="1" x14ac:dyDescent="0.25">
      <c r="A471" s="541">
        <v>6</v>
      </c>
      <c r="B471" s="551" t="s">
        <v>2568</v>
      </c>
      <c r="C471" s="554"/>
      <c r="D471" s="544"/>
      <c r="E471" s="544"/>
      <c r="F471" s="544"/>
      <c r="G471" s="543" t="e">
        <f t="shared" ca="1" si="139"/>
        <v>#REF!</v>
      </c>
      <c r="H471" s="541" t="s">
        <v>3757</v>
      </c>
      <c r="I471" s="99"/>
      <c r="J471" s="98"/>
      <c r="K471" s="65"/>
      <c r="L471" s="195" t="s">
        <v>3429</v>
      </c>
      <c r="M471" s="800"/>
      <c r="N471" s="982"/>
      <c r="O471" s="924"/>
      <c r="P471" s="64"/>
      <c r="Q471" s="64"/>
      <c r="R471" s="64"/>
      <c r="S471" s="64"/>
      <c r="T471" s="64"/>
      <c r="U471" s="64"/>
      <c r="V471" s="64"/>
      <c r="W471" s="81"/>
      <c r="X471" s="825"/>
      <c r="Y471" s="979"/>
      <c r="Z471" s="1007"/>
      <c r="AA471" s="562"/>
      <c r="AB471" s="562"/>
      <c r="AC471" s="562"/>
      <c r="AD471" s="562"/>
      <c r="AE471" s="562"/>
      <c r="AF471" s="562"/>
      <c r="AG471" s="562"/>
      <c r="AH471" s="562"/>
      <c r="AI471" s="562"/>
      <c r="AJ471" s="562"/>
      <c r="AK471" s="562"/>
      <c r="AL471" s="562"/>
      <c r="AM471" s="562"/>
      <c r="AN471" s="562"/>
      <c r="AO471" s="562"/>
      <c r="AP471" s="562"/>
      <c r="AQ471" s="562"/>
      <c r="AR471" s="562"/>
      <c r="AS471" s="562"/>
    </row>
    <row r="472" spans="1:45" ht="16" thickTop="1" x14ac:dyDescent="0.2">
      <c r="A472" s="541">
        <v>6</v>
      </c>
      <c r="B472" s="549" t="s">
        <v>2572</v>
      </c>
      <c r="C472" s="549"/>
      <c r="D472" s="544"/>
      <c r="E472" s="544"/>
      <c r="F472" s="544"/>
      <c r="G472" s="543" t="s">
        <v>3343</v>
      </c>
      <c r="H472" s="541" t="s">
        <v>3757</v>
      </c>
      <c r="I472" s="131" t="s">
        <v>2573</v>
      </c>
      <c r="J472" s="132"/>
      <c r="K472" s="133"/>
      <c r="L472" s="819" t="s">
        <v>2574</v>
      </c>
      <c r="M472" s="843" t="str">
        <f>IF(R472,"Mandatory","N/A")</f>
        <v>Mandatory</v>
      </c>
      <c r="N472" s="673"/>
      <c r="O472" s="673"/>
      <c r="P472" s="74" t="b">
        <v>1</v>
      </c>
      <c r="Q472" s="74" t="b">
        <v>0</v>
      </c>
      <c r="R472" s="74" t="b">
        <f>S472</f>
        <v>1</v>
      </c>
      <c r="S472" s="74" t="b">
        <v>1</v>
      </c>
      <c r="T472" s="74" t="b">
        <v>0</v>
      </c>
      <c r="U472" s="74" t="str">
        <f>SUBSTITUTE(SUBSTITUTE(SUBSTITUTE("dd"&amp;B472&amp;C472&amp;D472&amp;E472&amp;F472,".","_"),"(","_"),")","")</f>
        <v>dd602_1_13</v>
      </c>
      <c r="V472" s="74"/>
      <c r="W472" s="6"/>
      <c r="X472" s="802"/>
      <c r="Y472" s="975" t="str">
        <f>IF(LEN('Ch6'!X233)=0,"None",'Ch6'!X233)</f>
        <v>None</v>
      </c>
      <c r="Z472" s="976"/>
      <c r="AA472" s="562"/>
      <c r="AB472" s="562"/>
      <c r="AC472" s="562" t="b">
        <f>OR(AD472:AE472)</f>
        <v>1</v>
      </c>
      <c r="AD472" s="562" t="b">
        <f>T472</f>
        <v>0</v>
      </c>
      <c r="AE472" s="562" t="b">
        <f>AND(R472,NOT(W472="Met"),NOT(W472="N/A"))</f>
        <v>1</v>
      </c>
      <c r="AF472" s="562" t="b">
        <f>AND(AE472,NOT(Q472))</f>
        <v>1</v>
      </c>
      <c r="AG472" s="562"/>
      <c r="AH472" s="562"/>
      <c r="AI472" s="562"/>
      <c r="AJ472" s="562"/>
      <c r="AK472" s="562"/>
      <c r="AL472" s="190" t="str">
        <f>SUBSTITUTE(SUBSTITUTE(SUBSTITUTE("vpa"&amp;$B472&amp;$C472&amp;$D472&amp;$E472&amp;$F472,".","_"),"(","_"),")","")</f>
        <v>vpa602_1_13</v>
      </c>
      <c r="AM472" s="190" t="str">
        <f>M472</f>
        <v>Mandatory</v>
      </c>
      <c r="AN472" s="562"/>
      <c r="AO472" s="562"/>
      <c r="AP472" s="190" t="str">
        <f>SUBSTITUTE(SUBSTITUTE(SUBSTITUTE("vch"&amp;$B472&amp;$C472&amp;$D472&amp;$E472&amp;$F472,".","_"),"(","_"),")","")</f>
        <v>vch602_1_13</v>
      </c>
      <c r="AQ472" s="190">
        <f>W472</f>
        <v>0</v>
      </c>
      <c r="AR472" s="190" t="str">
        <f>SUBSTITUTE(SUBSTITUTE(SUBSTITUTE("vnt"&amp;$B472&amp;$C472&amp;$D472&amp;$E472&amp;$F472,".","_"),"(","_"),")","")</f>
        <v>vnt602_1_13</v>
      </c>
      <c r="AS472" s="190">
        <f>X472</f>
        <v>0</v>
      </c>
    </row>
    <row r="473" spans="1:45" x14ac:dyDescent="0.2">
      <c r="A473" s="541">
        <v>6</v>
      </c>
      <c r="B473" s="549" t="s">
        <v>2572</v>
      </c>
      <c r="C473" s="549"/>
      <c r="D473" s="544"/>
      <c r="E473" s="544"/>
      <c r="F473" s="544"/>
      <c r="G473" s="543" t="s">
        <v>3343</v>
      </c>
      <c r="H473" s="541" t="s">
        <v>3757</v>
      </c>
      <c r="I473" s="99"/>
      <c r="J473" s="98"/>
      <c r="K473" s="65"/>
      <c r="L473" s="820"/>
      <c r="M473" s="838"/>
      <c r="N473" s="668"/>
      <c r="O473" s="668"/>
      <c r="P473" s="64"/>
      <c r="Q473" s="64"/>
      <c r="R473" s="64"/>
      <c r="S473" s="64"/>
      <c r="T473" s="64"/>
      <c r="U473" s="64"/>
      <c r="V473" s="64"/>
      <c r="W473" s="64"/>
      <c r="X473" s="798"/>
      <c r="Y473" s="977"/>
      <c r="Z473" s="978"/>
      <c r="AA473" s="562"/>
      <c r="AB473" s="562"/>
      <c r="AC473" s="562"/>
      <c r="AD473" s="562"/>
      <c r="AE473" s="562"/>
      <c r="AF473" s="562"/>
      <c r="AG473" s="562"/>
      <c r="AH473" s="562"/>
      <c r="AI473" s="562"/>
      <c r="AJ473" s="562"/>
      <c r="AK473" s="562"/>
      <c r="AL473" s="562"/>
      <c r="AM473" s="562"/>
      <c r="AN473" s="562"/>
      <c r="AO473" s="562"/>
      <c r="AP473" s="562"/>
      <c r="AQ473" s="562"/>
      <c r="AR473" s="562"/>
      <c r="AS473" s="562"/>
    </row>
    <row r="474" spans="1:45" x14ac:dyDescent="0.2">
      <c r="A474" s="541">
        <v>6</v>
      </c>
      <c r="B474" s="549" t="s">
        <v>2572</v>
      </c>
      <c r="C474" s="549"/>
      <c r="D474" s="544"/>
      <c r="E474" s="544"/>
      <c r="F474" s="544"/>
      <c r="G474" s="543" t="s">
        <v>3343</v>
      </c>
      <c r="H474" s="541" t="s">
        <v>3757</v>
      </c>
      <c r="I474" s="99"/>
      <c r="J474" s="98"/>
      <c r="K474" s="65"/>
      <c r="L474" s="820"/>
      <c r="M474" s="838"/>
      <c r="N474" s="668"/>
      <c r="O474" s="668"/>
      <c r="P474" s="64"/>
      <c r="Q474" s="64"/>
      <c r="R474" s="64"/>
      <c r="S474" s="64"/>
      <c r="T474" s="64"/>
      <c r="U474" s="64"/>
      <c r="V474" s="64"/>
      <c r="W474" s="64"/>
      <c r="X474" s="798"/>
      <c r="Y474" s="977"/>
      <c r="Z474" s="978"/>
      <c r="AA474" s="562"/>
      <c r="AB474" s="562"/>
      <c r="AC474" s="562"/>
      <c r="AD474" s="562"/>
      <c r="AE474" s="562"/>
      <c r="AF474" s="562"/>
      <c r="AG474" s="562"/>
      <c r="AH474" s="562"/>
      <c r="AI474" s="562"/>
      <c r="AJ474" s="562"/>
      <c r="AK474" s="562"/>
      <c r="AL474" s="562"/>
      <c r="AM474" s="562"/>
      <c r="AN474" s="562"/>
      <c r="AO474" s="562"/>
      <c r="AP474" s="562"/>
      <c r="AQ474" s="562"/>
      <c r="AR474" s="562"/>
      <c r="AS474" s="562"/>
    </row>
    <row r="475" spans="1:45" ht="16" thickBot="1" x14ac:dyDescent="0.25">
      <c r="A475" s="541">
        <v>6</v>
      </c>
      <c r="B475" s="549" t="s">
        <v>2572</v>
      </c>
      <c r="C475" s="549"/>
      <c r="D475" s="544"/>
      <c r="E475" s="544"/>
      <c r="F475" s="544"/>
      <c r="G475" s="543" t="s">
        <v>3343</v>
      </c>
      <c r="H475" s="541" t="s">
        <v>3757</v>
      </c>
      <c r="I475" s="99"/>
      <c r="J475" s="98"/>
      <c r="K475" s="65"/>
      <c r="L475" s="820"/>
      <c r="M475" s="838"/>
      <c r="N475" s="668"/>
      <c r="O475" s="668"/>
      <c r="P475" s="64"/>
      <c r="Q475" s="64"/>
      <c r="R475" s="64"/>
      <c r="S475" s="64"/>
      <c r="T475" s="64"/>
      <c r="U475" s="64"/>
      <c r="V475" s="64"/>
      <c r="W475" s="64"/>
      <c r="X475" s="825"/>
      <c r="Y475" s="979"/>
      <c r="Z475" s="1007"/>
      <c r="AA475" s="562"/>
      <c r="AB475" s="562"/>
      <c r="AC475" s="562"/>
      <c r="AD475" s="562"/>
      <c r="AE475" s="562"/>
      <c r="AF475" s="562"/>
      <c r="AG475" s="562"/>
      <c r="AH475" s="562"/>
      <c r="AI475" s="562"/>
      <c r="AJ475" s="562"/>
      <c r="AK475" s="562"/>
      <c r="AL475" s="562"/>
      <c r="AM475" s="562"/>
      <c r="AN475" s="562"/>
      <c r="AO475" s="562"/>
      <c r="AP475" s="562"/>
      <c r="AQ475" s="562"/>
      <c r="AR475" s="562"/>
      <c r="AS475" s="562"/>
    </row>
    <row r="476" spans="1:45" ht="16" thickTop="1" x14ac:dyDescent="0.2">
      <c r="A476" s="541">
        <v>6</v>
      </c>
      <c r="B476" s="549" t="s">
        <v>2575</v>
      </c>
      <c r="C476" s="549"/>
      <c r="D476" s="544"/>
      <c r="E476" s="544"/>
      <c r="F476" s="544"/>
      <c r="G476" s="543" t="s">
        <v>3343</v>
      </c>
      <c r="H476" s="541" t="s">
        <v>3751</v>
      </c>
      <c r="I476" s="131" t="s">
        <v>2576</v>
      </c>
      <c r="J476" s="132"/>
      <c r="K476" s="133"/>
      <c r="L476" s="819" t="s">
        <v>2577</v>
      </c>
      <c r="M476" s="625"/>
      <c r="N476" s="673"/>
      <c r="O476" s="673"/>
      <c r="P476" s="74"/>
      <c r="Q476" s="74"/>
      <c r="R476" s="74"/>
      <c r="S476" s="74"/>
      <c r="T476" s="74"/>
      <c r="U476" s="74"/>
      <c r="V476" s="74"/>
      <c r="W476" s="74"/>
      <c r="X476" s="74"/>
      <c r="Y476" s="562"/>
      <c r="Z476" s="430"/>
      <c r="AA476" s="562"/>
      <c r="AB476" s="562"/>
      <c r="AC476" s="562"/>
      <c r="AD476" s="562"/>
      <c r="AE476" s="562"/>
      <c r="AF476" s="562"/>
      <c r="AG476" s="562"/>
      <c r="AH476" s="562"/>
      <c r="AI476" s="562"/>
      <c r="AJ476" s="562"/>
      <c r="AK476" s="562"/>
      <c r="AL476" s="562"/>
      <c r="AM476" s="562"/>
      <c r="AN476" s="562"/>
      <c r="AO476" s="562"/>
      <c r="AP476" s="562"/>
      <c r="AQ476" s="562"/>
      <c r="AR476" s="562"/>
      <c r="AS476" s="562"/>
    </row>
    <row r="477" spans="1:45" x14ac:dyDescent="0.2">
      <c r="A477" s="541">
        <v>6</v>
      </c>
      <c r="B477" s="549" t="s">
        <v>2575</v>
      </c>
      <c r="C477" s="549"/>
      <c r="D477" s="544"/>
      <c r="E477" s="544"/>
      <c r="F477" s="544"/>
      <c r="G477" s="543" t="s">
        <v>3343</v>
      </c>
      <c r="H477" s="541" t="s">
        <v>3751</v>
      </c>
      <c r="I477" s="99"/>
      <c r="J477" s="98"/>
      <c r="K477" s="65"/>
      <c r="L477" s="820"/>
      <c r="M477" s="610"/>
      <c r="N477" s="668"/>
      <c r="O477" s="668"/>
      <c r="P477" s="64"/>
      <c r="Q477" s="64"/>
      <c r="R477" s="64"/>
      <c r="S477" s="64"/>
      <c r="T477" s="64"/>
      <c r="U477" s="64"/>
      <c r="V477" s="64"/>
      <c r="W477" s="64"/>
      <c r="X477" s="64"/>
      <c r="Y477" s="562"/>
      <c r="Z477" s="430"/>
      <c r="AA477" s="562"/>
      <c r="AB477" s="562"/>
      <c r="AC477" s="562"/>
      <c r="AD477" s="562"/>
      <c r="AE477" s="562"/>
      <c r="AF477" s="562"/>
      <c r="AG477" s="562"/>
      <c r="AH477" s="562"/>
      <c r="AI477" s="562"/>
      <c r="AJ477" s="562"/>
      <c r="AK477" s="562"/>
      <c r="AL477" s="562"/>
      <c r="AM477" s="562"/>
      <c r="AN477" s="562"/>
      <c r="AO477" s="562"/>
      <c r="AP477" s="562"/>
      <c r="AQ477" s="562"/>
      <c r="AR477" s="562"/>
      <c r="AS477" s="562"/>
    </row>
    <row r="478" spans="1:45" x14ac:dyDescent="0.2">
      <c r="A478" s="541">
        <v>6</v>
      </c>
      <c r="B478" s="549" t="s">
        <v>2575</v>
      </c>
      <c r="C478" s="549"/>
      <c r="D478" s="544"/>
      <c r="E478" s="544" t="s">
        <v>2181</v>
      </c>
      <c r="F478" s="544"/>
      <c r="G478" s="543" t="s">
        <v>3343</v>
      </c>
      <c r="H478" s="541" t="s">
        <v>3751</v>
      </c>
      <c r="I478" s="40"/>
      <c r="J478" s="134" t="s">
        <v>2181</v>
      </c>
      <c r="K478" s="65"/>
      <c r="L478" s="791" t="s">
        <v>2578</v>
      </c>
      <c r="M478" s="829" t="str">
        <f>IF(R478,"Mandatory
1","N/A")</f>
        <v>Mandatory
1</v>
      </c>
      <c r="N478" s="924">
        <f>'Ch6'!O239</f>
        <v>0</v>
      </c>
      <c r="O478" s="924">
        <f>IF(AND(S478,W478="Met"),1,0)</f>
        <v>0</v>
      </c>
      <c r="P478" s="562" t="b">
        <v>1</v>
      </c>
      <c r="Q478" s="562" t="b">
        <v>1</v>
      </c>
      <c r="R478" s="562" t="b">
        <f>S478</f>
        <v>1</v>
      </c>
      <c r="S478" s="562" t="b">
        <v>1</v>
      </c>
      <c r="T478" s="562" t="b">
        <v>0</v>
      </c>
      <c r="U478" s="64" t="str">
        <f>SUBSTITUTE(SUBSTITUTE(SUBSTITUTE("dd"&amp;B478&amp;C478&amp;D478&amp;E478&amp;F478,".","_"),"(","_"),")","")</f>
        <v>dd602_1_14_1</v>
      </c>
      <c r="V478" s="562"/>
      <c r="W478" s="6"/>
      <c r="X478" s="787"/>
      <c r="Y478" s="980" t="str">
        <f>IF(LEN('Ch6'!X239)=0,"None",'Ch6'!X239)</f>
        <v>None</v>
      </c>
      <c r="Z478" s="983"/>
      <c r="AA478" s="562">
        <f>'Photo Review'!H478</f>
        <v>0</v>
      </c>
      <c r="AB478" s="562"/>
      <c r="AC478" s="562" t="b">
        <f>OR(AD478:AE478)</f>
        <v>1</v>
      </c>
      <c r="AD478" s="562" t="b">
        <f>T478</f>
        <v>0</v>
      </c>
      <c r="AE478" s="562" t="b">
        <f>AND(R478,NOT(W478="Met"),NOT(W478="N/A"))</f>
        <v>1</v>
      </c>
      <c r="AF478" s="562" t="b">
        <f>AND(AE478,NOT(Q478))</f>
        <v>0</v>
      </c>
      <c r="AG478" s="562"/>
      <c r="AH478" s="562"/>
      <c r="AI478" s="562"/>
      <c r="AJ478" s="562"/>
      <c r="AK478" s="562"/>
      <c r="AL478" s="190" t="str">
        <f>SUBSTITUTE(SUBSTITUTE(SUBSTITUTE("vpa"&amp;$B478&amp;$C478&amp;$D478&amp;$E478&amp;$F478,".","_"),"(","_"),")","")</f>
        <v>vpa602_1_14_1</v>
      </c>
      <c r="AM478" s="190" t="str">
        <f>M478</f>
        <v>Mandatory
1</v>
      </c>
      <c r="AN478" s="190" t="str">
        <f>SUBSTITUTE(SUBSTITUTE(SUBSTITUTE("vpc"&amp;$B478&amp;$C478&amp;$D478&amp;$E478&amp;$F478,".","_"),"(","_"),")","")</f>
        <v>vpc602_1_14_1</v>
      </c>
      <c r="AO478" s="190">
        <f>O478</f>
        <v>0</v>
      </c>
      <c r="AP478" s="190" t="str">
        <f>SUBSTITUTE(SUBSTITUTE(SUBSTITUTE("vch"&amp;$B478&amp;$C478&amp;$D478&amp;$E478&amp;$F478,".","_"),"(","_"),")","")</f>
        <v>vch602_1_14_1</v>
      </c>
      <c r="AQ478" s="190">
        <f>W478</f>
        <v>0</v>
      </c>
      <c r="AR478" s="190" t="str">
        <f>SUBSTITUTE(SUBSTITUTE(SUBSTITUTE("vnt"&amp;$B478&amp;$C478&amp;$D478&amp;$E478&amp;$F478,".","_"),"(","_"),")","")</f>
        <v>vnt602_1_14_1</v>
      </c>
      <c r="AS478" s="190">
        <f>X478</f>
        <v>0</v>
      </c>
    </row>
    <row r="479" spans="1:45" x14ac:dyDescent="0.2">
      <c r="A479" s="541">
        <v>6</v>
      </c>
      <c r="B479" s="549" t="s">
        <v>2575</v>
      </c>
      <c r="C479" s="549"/>
      <c r="D479" s="544"/>
      <c r="E479" s="544" t="s">
        <v>2181</v>
      </c>
      <c r="F479" s="544"/>
      <c r="G479" s="543" t="s">
        <v>3343</v>
      </c>
      <c r="H479" s="541" t="s">
        <v>3751</v>
      </c>
      <c r="I479" s="40"/>
      <c r="J479" s="165"/>
      <c r="K479" s="126"/>
      <c r="L479" s="792"/>
      <c r="M479" s="830"/>
      <c r="N479" s="942"/>
      <c r="O479" s="942"/>
      <c r="P479" s="562"/>
      <c r="Q479" s="562"/>
      <c r="R479" s="562"/>
      <c r="S479" s="562"/>
      <c r="T479" s="562"/>
      <c r="U479" s="562"/>
      <c r="V479" s="562"/>
      <c r="W479" s="562"/>
      <c r="X479" s="787"/>
      <c r="Y479" s="980"/>
      <c r="Z479" s="983"/>
      <c r="AA479" s="562"/>
      <c r="AB479" s="562"/>
      <c r="AC479" s="562"/>
      <c r="AD479" s="562"/>
      <c r="AE479" s="562"/>
      <c r="AF479" s="562"/>
      <c r="AG479" s="562"/>
      <c r="AH479" s="562"/>
      <c r="AI479" s="562"/>
      <c r="AJ479" s="562"/>
      <c r="AK479" s="562"/>
      <c r="AL479" s="562"/>
      <c r="AM479" s="562"/>
      <c r="AN479" s="562"/>
      <c r="AO479" s="562"/>
      <c r="AP479" s="562"/>
      <c r="AQ479" s="562"/>
      <c r="AR479" s="562"/>
      <c r="AS479" s="562"/>
    </row>
    <row r="480" spans="1:45" ht="16" x14ac:dyDescent="0.2">
      <c r="A480" s="541">
        <v>6</v>
      </c>
      <c r="B480" s="549" t="s">
        <v>2575</v>
      </c>
      <c r="C480" s="549"/>
      <c r="D480" s="544"/>
      <c r="E480" s="544" t="s">
        <v>2183</v>
      </c>
      <c r="F480" s="544"/>
      <c r="G480" s="543" t="str">
        <f>IF(N480&gt;0,"P","")</f>
        <v/>
      </c>
      <c r="H480" s="541" t="s">
        <v>3751</v>
      </c>
      <c r="I480" s="40"/>
      <c r="J480" s="161" t="s">
        <v>2183</v>
      </c>
      <c r="K480" s="162"/>
      <c r="L480" s="162" t="s">
        <v>2579</v>
      </c>
      <c r="M480" s="249">
        <v>2</v>
      </c>
      <c r="N480" s="600">
        <f>'Ch6'!O241</f>
        <v>0</v>
      </c>
      <c r="O480" s="600">
        <f>M480*S480*W480</f>
        <v>0</v>
      </c>
      <c r="P480" s="562" t="b">
        <v>1</v>
      </c>
      <c r="Q480" s="562" t="b">
        <v>1</v>
      </c>
      <c r="R480" s="562" t="b">
        <v>0</v>
      </c>
      <c r="S480" s="562" t="b">
        <v>1</v>
      </c>
      <c r="T480" s="562" t="b">
        <v>0</v>
      </c>
      <c r="U480" s="562"/>
      <c r="V480" s="562"/>
      <c r="W480" s="18"/>
      <c r="X480" s="563"/>
      <c r="Y480" s="578" t="str">
        <f>IF(LEN('Ch6'!X241)=0,"None",'Ch6'!X241)</f>
        <v>None</v>
      </c>
      <c r="Z480" s="579"/>
      <c r="AA480" s="562">
        <f>'Photo Review'!H480</f>
        <v>0</v>
      </c>
      <c r="AB480" s="562"/>
      <c r="AC480" s="562"/>
      <c r="AD480" s="562"/>
      <c r="AE480" s="562"/>
      <c r="AF480" s="562"/>
      <c r="AG480" s="562"/>
      <c r="AH480" s="562"/>
      <c r="AI480" s="562"/>
      <c r="AJ480" s="562"/>
      <c r="AK480" s="562"/>
      <c r="AL480" s="190" t="str">
        <f t="shared" ref="AL480:AL482" si="140">SUBSTITUTE(SUBSTITUTE(SUBSTITUTE("vpa"&amp;$B480&amp;$C480&amp;$D480&amp;$E480&amp;$F480,".","_"),"(","_"),")","")</f>
        <v>vpa602_1_14_2</v>
      </c>
      <c r="AM480" s="190">
        <f>M480</f>
        <v>2</v>
      </c>
      <c r="AN480" s="190" t="str">
        <f t="shared" ref="AN480:AN482" si="141">SUBSTITUTE(SUBSTITUTE(SUBSTITUTE("vpc"&amp;$B480&amp;$C480&amp;$D480&amp;$E480&amp;$F480,".","_"),"(","_"),")","")</f>
        <v>vpc602_1_14_2</v>
      </c>
      <c r="AO480" s="190">
        <f>O480</f>
        <v>0</v>
      </c>
      <c r="AP480" s="190" t="str">
        <f t="shared" ref="AP480:AP481" si="142">SUBSTITUTE(SUBSTITUTE(SUBSTITUTE("vch"&amp;$B480&amp;$C480&amp;$D480&amp;$E480&amp;$F480,".","_"),"(","_"),")","")</f>
        <v>vch602_1_14_2</v>
      </c>
      <c r="AQ480" s="190">
        <f>W480</f>
        <v>0</v>
      </c>
      <c r="AR480" s="190" t="str">
        <f t="shared" ref="AR480:AR481" si="143">SUBSTITUTE(SUBSTITUTE(SUBSTITUTE("vnt"&amp;$B480&amp;$C480&amp;$D480&amp;$E480&amp;$F480,".","_"),"(","_"),")","")</f>
        <v>vnt602_1_14_2</v>
      </c>
      <c r="AS480" s="190">
        <f>X480</f>
        <v>0</v>
      </c>
    </row>
    <row r="481" spans="1:45" ht="17" thickBot="1" x14ac:dyDescent="0.25">
      <c r="A481" s="541">
        <v>6</v>
      </c>
      <c r="B481" s="549" t="s">
        <v>2575</v>
      </c>
      <c r="C481" s="549"/>
      <c r="D481" s="544"/>
      <c r="E481" s="544" t="s">
        <v>2185</v>
      </c>
      <c r="F481" s="544"/>
      <c r="G481" s="543" t="str">
        <f>IF(N481&gt;0,"P","")</f>
        <v/>
      </c>
      <c r="H481" s="541" t="s">
        <v>3751</v>
      </c>
      <c r="I481" s="40"/>
      <c r="J481" s="20" t="s">
        <v>2185</v>
      </c>
      <c r="K481" s="53"/>
      <c r="L481" s="53" t="s">
        <v>2580</v>
      </c>
      <c r="M481" s="616">
        <v>2</v>
      </c>
      <c r="N481" s="648">
        <f>'Ch6'!O242</f>
        <v>0</v>
      </c>
      <c r="O481" s="648">
        <f>M481*S481*W481</f>
        <v>0</v>
      </c>
      <c r="P481" s="562" t="b">
        <v>1</v>
      </c>
      <c r="Q481" s="562" t="b">
        <v>1</v>
      </c>
      <c r="R481" s="562" t="b">
        <v>0</v>
      </c>
      <c r="S481" s="562" t="b">
        <v>1</v>
      </c>
      <c r="T481" s="562" t="b">
        <v>0</v>
      </c>
      <c r="U481" s="562"/>
      <c r="V481" s="562"/>
      <c r="W481" s="18"/>
      <c r="X481" s="568"/>
      <c r="Y481" s="577" t="str">
        <f>IF(LEN('Ch6'!X242)=0,"None",'Ch6'!X242)</f>
        <v>None</v>
      </c>
      <c r="Z481" s="582"/>
      <c r="AA481" s="562">
        <f>'Photo Review'!H481</f>
        <v>0</v>
      </c>
      <c r="AB481" s="562"/>
      <c r="AC481" s="562"/>
      <c r="AD481" s="562"/>
      <c r="AE481" s="562"/>
      <c r="AF481" s="562"/>
      <c r="AG481" s="562"/>
      <c r="AH481" s="562"/>
      <c r="AI481" s="562"/>
      <c r="AJ481" s="562"/>
      <c r="AK481" s="562"/>
      <c r="AL481" s="190" t="str">
        <f t="shared" si="140"/>
        <v>vpa602_1_14_3</v>
      </c>
      <c r="AM481" s="190">
        <f>M481</f>
        <v>2</v>
      </c>
      <c r="AN481" s="190" t="str">
        <f t="shared" si="141"/>
        <v>vpc602_1_14_3</v>
      </c>
      <c r="AO481" s="190">
        <f>O481</f>
        <v>0</v>
      </c>
      <c r="AP481" s="190" t="str">
        <f t="shared" si="142"/>
        <v>vch602_1_14_3</v>
      </c>
      <c r="AQ481" s="190">
        <f>W481</f>
        <v>0</v>
      </c>
      <c r="AR481" s="190" t="str">
        <f t="shared" si="143"/>
        <v>vnt602_1_14_3</v>
      </c>
      <c r="AS481" s="190">
        <f>X481</f>
        <v>0</v>
      </c>
    </row>
    <row r="482" spans="1:45" ht="16" thickTop="1" x14ac:dyDescent="0.2">
      <c r="A482" s="541">
        <v>6</v>
      </c>
      <c r="B482" s="549">
        <v>602.20000000000005</v>
      </c>
      <c r="C482" s="544"/>
      <c r="D482" s="544"/>
      <c r="E482" s="544"/>
      <c r="F482" s="544"/>
      <c r="G482" s="543" t="str">
        <f>IF(N482&gt;0,"P","")</f>
        <v/>
      </c>
      <c r="H482" s="541" t="s">
        <v>3751</v>
      </c>
      <c r="I482" s="131" t="s">
        <v>2581</v>
      </c>
      <c r="J482" s="132"/>
      <c r="K482" s="133"/>
      <c r="L482" s="819" t="s">
        <v>2582</v>
      </c>
      <c r="M482" s="827">
        <v>3</v>
      </c>
      <c r="N482" s="981">
        <f>'Ch6'!O243</f>
        <v>0</v>
      </c>
      <c r="O482" s="981">
        <f>IFERROR(OR(W486,W488,W489),0)*M482</f>
        <v>0</v>
      </c>
      <c r="P482" s="74"/>
      <c r="Q482" s="74"/>
      <c r="R482" s="74"/>
      <c r="S482" s="74"/>
      <c r="T482" s="74"/>
      <c r="U482" s="74"/>
      <c r="V482" s="74"/>
      <c r="W482" s="74"/>
      <c r="X482" s="74"/>
      <c r="Y482" s="562"/>
      <c r="Z482" s="430"/>
      <c r="AA482" s="562"/>
      <c r="AB482" s="562"/>
      <c r="AC482" s="562"/>
      <c r="AD482" s="562"/>
      <c r="AE482" s="562"/>
      <c r="AF482" s="562"/>
      <c r="AG482" s="562"/>
      <c r="AH482" s="562"/>
      <c r="AI482" s="562"/>
      <c r="AJ482" s="562"/>
      <c r="AK482" s="562"/>
      <c r="AL482" s="190" t="str">
        <f t="shared" si="140"/>
        <v>vpa602,2</v>
      </c>
      <c r="AM482" s="190">
        <f>M482</f>
        <v>3</v>
      </c>
      <c r="AN482" s="190" t="str">
        <f t="shared" si="141"/>
        <v>vpc602,2</v>
      </c>
      <c r="AO482" s="190">
        <f>O482</f>
        <v>0</v>
      </c>
      <c r="AP482" s="562"/>
      <c r="AQ482" s="562"/>
      <c r="AR482" s="562"/>
      <c r="AS482" s="562"/>
    </row>
    <row r="483" spans="1:45" x14ac:dyDescent="0.2">
      <c r="A483" s="541">
        <v>6</v>
      </c>
      <c r="B483" s="549">
        <v>602.20000000000005</v>
      </c>
      <c r="C483" s="544"/>
      <c r="D483" s="544"/>
      <c r="E483" s="544"/>
      <c r="F483" s="544"/>
      <c r="G483" s="543" t="str">
        <f t="shared" ref="G483:G491" si="144">G482</f>
        <v/>
      </c>
      <c r="H483" s="541" t="s">
        <v>3751</v>
      </c>
      <c r="I483" s="99"/>
      <c r="J483" s="98"/>
      <c r="K483" s="65"/>
      <c r="L483" s="820"/>
      <c r="M483" s="800"/>
      <c r="N483" s="924"/>
      <c r="O483" s="924"/>
      <c r="P483" s="64"/>
      <c r="Q483" s="64"/>
      <c r="R483" s="64"/>
      <c r="S483" s="64"/>
      <c r="T483" s="64"/>
      <c r="U483" s="64"/>
      <c r="V483" s="64"/>
      <c r="W483" s="64"/>
      <c r="X483" s="64"/>
      <c r="Y483" s="562"/>
      <c r="Z483" s="430"/>
      <c r="AA483" s="562"/>
      <c r="AB483" s="562"/>
      <c r="AC483" s="562"/>
      <c r="AD483" s="562"/>
      <c r="AE483" s="562"/>
      <c r="AF483" s="562"/>
      <c r="AG483" s="562"/>
      <c r="AH483" s="562"/>
      <c r="AI483" s="562"/>
      <c r="AJ483" s="562"/>
      <c r="AK483" s="562"/>
      <c r="AL483" s="562"/>
      <c r="AM483" s="562"/>
      <c r="AN483" s="562"/>
      <c r="AO483" s="562"/>
      <c r="AP483" s="562"/>
      <c r="AQ483" s="562"/>
      <c r="AR483" s="562"/>
      <c r="AS483" s="562"/>
    </row>
    <row r="484" spans="1:45" x14ac:dyDescent="0.2">
      <c r="A484" s="541">
        <v>6</v>
      </c>
      <c r="B484" s="549">
        <v>602.20000000000005</v>
      </c>
      <c r="C484" s="544"/>
      <c r="D484" s="544"/>
      <c r="E484" s="544"/>
      <c r="F484" s="544"/>
      <c r="G484" s="543" t="str">
        <f t="shared" si="144"/>
        <v/>
      </c>
      <c r="H484" s="541" t="s">
        <v>3751</v>
      </c>
      <c r="I484" s="99"/>
      <c r="J484" s="98"/>
      <c r="K484" s="65"/>
      <c r="L484" s="820"/>
      <c r="M484" s="800"/>
      <c r="N484" s="924"/>
      <c r="O484" s="924"/>
      <c r="P484" s="64"/>
      <c r="Q484" s="64"/>
      <c r="R484" s="64"/>
      <c r="S484" s="64"/>
      <c r="T484" s="64"/>
      <c r="U484" s="64"/>
      <c r="V484" s="64"/>
      <c r="W484" s="64"/>
      <c r="X484" s="64"/>
      <c r="Y484" s="562"/>
      <c r="Z484" s="430"/>
      <c r="AA484" s="562"/>
      <c r="AB484" s="562"/>
      <c r="AC484" s="562"/>
      <c r="AD484" s="562"/>
      <c r="AE484" s="562"/>
      <c r="AF484" s="562"/>
      <c r="AG484" s="562"/>
      <c r="AH484" s="562"/>
      <c r="AI484" s="562"/>
      <c r="AJ484" s="562"/>
      <c r="AK484" s="562"/>
      <c r="AL484" s="562"/>
      <c r="AM484" s="562"/>
      <c r="AN484" s="562"/>
      <c r="AO484" s="562"/>
      <c r="AP484" s="562"/>
      <c r="AQ484" s="562"/>
      <c r="AR484" s="562"/>
      <c r="AS484" s="562"/>
    </row>
    <row r="485" spans="1:45" x14ac:dyDescent="0.2">
      <c r="A485" s="541">
        <v>6</v>
      </c>
      <c r="B485" s="549">
        <v>602.20000000000005</v>
      </c>
      <c r="C485" s="544"/>
      <c r="D485" s="544"/>
      <c r="E485" s="544"/>
      <c r="F485" s="544"/>
      <c r="G485" s="543" t="str">
        <f t="shared" si="144"/>
        <v/>
      </c>
      <c r="H485" s="541" t="s">
        <v>3751</v>
      </c>
      <c r="I485" s="99"/>
      <c r="J485" s="98"/>
      <c r="K485" s="65"/>
      <c r="L485" s="820"/>
      <c r="M485" s="800"/>
      <c r="N485" s="924"/>
      <c r="O485" s="924"/>
      <c r="P485" s="64"/>
      <c r="Q485" s="64"/>
      <c r="R485" s="64"/>
      <c r="S485" s="64"/>
      <c r="T485" s="64"/>
      <c r="U485" s="64"/>
      <c r="V485" s="64"/>
      <c r="W485" s="64"/>
      <c r="X485" s="64"/>
      <c r="Y485" s="562"/>
      <c r="Z485" s="430"/>
      <c r="AA485" s="562"/>
      <c r="AB485" s="562"/>
      <c r="AC485" s="562"/>
      <c r="AD485" s="562"/>
      <c r="AE485" s="562"/>
      <c r="AF485" s="562"/>
      <c r="AG485" s="562"/>
      <c r="AH485" s="562"/>
      <c r="AI485" s="562"/>
      <c r="AJ485" s="562"/>
      <c r="AK485" s="562"/>
      <c r="AL485" s="562"/>
      <c r="AM485" s="562"/>
      <c r="AN485" s="562"/>
      <c r="AO485" s="562"/>
      <c r="AP485" s="562"/>
      <c r="AQ485" s="562"/>
      <c r="AR485" s="562"/>
      <c r="AS485" s="562"/>
    </row>
    <row r="486" spans="1:45" x14ac:dyDescent="0.2">
      <c r="A486" s="541">
        <v>6</v>
      </c>
      <c r="B486" s="549">
        <v>602.20000000000005</v>
      </c>
      <c r="C486" s="544"/>
      <c r="D486" s="544"/>
      <c r="E486" s="544" t="s">
        <v>2181</v>
      </c>
      <c r="F486" s="544"/>
      <c r="G486" s="543" t="str">
        <f t="shared" si="144"/>
        <v/>
      </c>
      <c r="H486" s="541" t="s">
        <v>3751</v>
      </c>
      <c r="I486" s="40"/>
      <c r="J486" s="134" t="s">
        <v>2181</v>
      </c>
      <c r="K486" s="65"/>
      <c r="L486" s="776" t="s">
        <v>2583</v>
      </c>
      <c r="M486" s="616"/>
      <c r="N486" s="648"/>
      <c r="O486" s="648"/>
      <c r="P486" s="562" t="b">
        <v>1</v>
      </c>
      <c r="Q486" s="562" t="b">
        <v>1</v>
      </c>
      <c r="R486" s="562" t="b">
        <v>0</v>
      </c>
      <c r="S486" s="562" t="b">
        <v>1</v>
      </c>
      <c r="T486" s="562" t="b">
        <v>0</v>
      </c>
      <c r="U486" s="562"/>
      <c r="V486" s="562"/>
      <c r="W486" s="18"/>
      <c r="X486" s="787"/>
      <c r="Y486" s="980" t="str">
        <f>IF(LEN('Ch6'!X247)=0,"None",'Ch6'!X247)</f>
        <v>None</v>
      </c>
      <c r="Z486" s="983"/>
      <c r="AA486" s="562"/>
      <c r="AB486" s="562"/>
      <c r="AC486" s="562"/>
      <c r="AD486" s="562"/>
      <c r="AE486" s="562"/>
      <c r="AF486" s="562"/>
      <c r="AG486" s="562"/>
      <c r="AH486" s="562"/>
      <c r="AI486" s="562"/>
      <c r="AJ486" s="562"/>
      <c r="AK486" s="562"/>
      <c r="AL486" s="562"/>
      <c r="AM486" s="562"/>
      <c r="AN486" s="562"/>
      <c r="AO486" s="562"/>
      <c r="AP486" s="190" t="str">
        <f>SUBSTITUTE(SUBSTITUTE(SUBSTITUTE("vch"&amp;$B486&amp;$C486&amp;$D486&amp;$E486&amp;$F486,".","_"),"(","_"),")","")</f>
        <v>vch602,2_1</v>
      </c>
      <c r="AQ486" s="190">
        <f>W486</f>
        <v>0</v>
      </c>
      <c r="AR486" s="190" t="str">
        <f>SUBSTITUTE(SUBSTITUTE(SUBSTITUTE("vnt"&amp;$B486&amp;$C486&amp;$D486&amp;$E486&amp;$F486,".","_"),"(","_"),")","")</f>
        <v>vnt602,2_1</v>
      </c>
      <c r="AS486" s="190">
        <f>X486</f>
        <v>0</v>
      </c>
    </row>
    <row r="487" spans="1:45" x14ac:dyDescent="0.2">
      <c r="A487" s="541">
        <v>6</v>
      </c>
      <c r="B487" s="549">
        <v>602.20000000000005</v>
      </c>
      <c r="C487" s="544"/>
      <c r="D487" s="544"/>
      <c r="E487" s="544" t="s">
        <v>2181</v>
      </c>
      <c r="F487" s="544"/>
      <c r="G487" s="543" t="str">
        <f t="shared" si="144"/>
        <v/>
      </c>
      <c r="H487" s="541" t="s">
        <v>3751</v>
      </c>
      <c r="I487" s="40"/>
      <c r="J487" s="159"/>
      <c r="K487" s="126"/>
      <c r="L487" s="777"/>
      <c r="M487" s="616"/>
      <c r="N487" s="648"/>
      <c r="O487" s="648"/>
      <c r="P487" s="562"/>
      <c r="Q487" s="562"/>
      <c r="R487" s="562"/>
      <c r="S487" s="562"/>
      <c r="T487" s="562"/>
      <c r="U487" s="562"/>
      <c r="V487" s="562"/>
      <c r="W487" s="562"/>
      <c r="X487" s="787"/>
      <c r="Y487" s="980"/>
      <c r="Z487" s="983"/>
      <c r="AA487" s="562"/>
      <c r="AB487" s="562"/>
      <c r="AC487" s="562"/>
      <c r="AD487" s="562"/>
      <c r="AE487" s="562"/>
      <c r="AF487" s="562"/>
      <c r="AG487" s="562"/>
      <c r="AH487" s="562"/>
      <c r="AI487" s="562"/>
      <c r="AJ487" s="562"/>
      <c r="AK487" s="562"/>
      <c r="AL487" s="562"/>
      <c r="AM487" s="562"/>
      <c r="AN487" s="562"/>
      <c r="AO487" s="562"/>
      <c r="AP487" s="562"/>
      <c r="AQ487" s="562"/>
      <c r="AR487" s="562"/>
      <c r="AS487" s="562"/>
    </row>
    <row r="488" spans="1:45" ht="16" x14ac:dyDescent="0.2">
      <c r="A488" s="541">
        <v>6</v>
      </c>
      <c r="B488" s="549">
        <v>602.20000000000005</v>
      </c>
      <c r="C488" s="544"/>
      <c r="D488" s="544"/>
      <c r="E488" s="544" t="s">
        <v>2183</v>
      </c>
      <c r="F488" s="544"/>
      <c r="G488" s="543" t="str">
        <f t="shared" si="144"/>
        <v/>
      </c>
      <c r="H488" s="541" t="s">
        <v>3751</v>
      </c>
      <c r="I488" s="40"/>
      <c r="J488" s="161" t="s">
        <v>2183</v>
      </c>
      <c r="K488" s="162"/>
      <c r="L488" s="162" t="s">
        <v>2584</v>
      </c>
      <c r="M488" s="616"/>
      <c r="N488" s="648"/>
      <c r="O488" s="648"/>
      <c r="P488" s="562" t="b">
        <v>1</v>
      </c>
      <c r="Q488" s="562" t="b">
        <v>1</v>
      </c>
      <c r="R488" s="562" t="b">
        <v>0</v>
      </c>
      <c r="S488" s="562" t="b">
        <v>1</v>
      </c>
      <c r="T488" s="562" t="b">
        <v>0</v>
      </c>
      <c r="U488" s="562"/>
      <c r="V488" s="562"/>
      <c r="W488" s="18"/>
      <c r="X488" s="563"/>
      <c r="Y488" s="578" t="str">
        <f>IF(LEN('Ch6'!X249)=0,"None",'Ch6'!X249)</f>
        <v>None</v>
      </c>
      <c r="Z488" s="579"/>
      <c r="AA488" s="562"/>
      <c r="AB488" s="562"/>
      <c r="AC488" s="562"/>
      <c r="AD488" s="562"/>
      <c r="AE488" s="562"/>
      <c r="AF488" s="562"/>
      <c r="AG488" s="562"/>
      <c r="AH488" s="562"/>
      <c r="AI488" s="562"/>
      <c r="AJ488" s="562"/>
      <c r="AK488" s="562"/>
      <c r="AL488" s="562"/>
      <c r="AM488" s="562"/>
      <c r="AN488" s="562"/>
      <c r="AO488" s="562"/>
      <c r="AP488" s="190" t="str">
        <f t="shared" ref="AP488:AP489" si="145">SUBSTITUTE(SUBSTITUTE(SUBSTITUTE("vch"&amp;$B488&amp;$C488&amp;$D488&amp;$E488&amp;$F488,".","_"),"(","_"),")","")</f>
        <v>vch602,2_2</v>
      </c>
      <c r="AQ488" s="190">
        <f>W488</f>
        <v>0</v>
      </c>
      <c r="AR488" s="190" t="str">
        <f t="shared" ref="AR488:AR489" si="146">SUBSTITUTE(SUBSTITUTE(SUBSTITUTE("vnt"&amp;$B488&amp;$C488&amp;$D488&amp;$E488&amp;$F488,".","_"),"(","_"),")","")</f>
        <v>vnt602,2_2</v>
      </c>
      <c r="AS488" s="190">
        <f>X488</f>
        <v>0</v>
      </c>
    </row>
    <row r="489" spans="1:45" x14ac:dyDescent="0.2">
      <c r="A489" s="541">
        <v>6</v>
      </c>
      <c r="B489" s="549">
        <v>602.20000000000005</v>
      </c>
      <c r="C489" s="544"/>
      <c r="D489" s="544"/>
      <c r="E489" s="544" t="s">
        <v>2185</v>
      </c>
      <c r="F489" s="544"/>
      <c r="G489" s="543" t="str">
        <f t="shared" si="144"/>
        <v/>
      </c>
      <c r="H489" s="541" t="s">
        <v>3751</v>
      </c>
      <c r="I489" s="40"/>
      <c r="J489" s="20" t="s">
        <v>2185</v>
      </c>
      <c r="K489" s="53"/>
      <c r="L489" s="817" t="s">
        <v>2585</v>
      </c>
      <c r="M489" s="616"/>
      <c r="N489" s="648"/>
      <c r="O489" s="648"/>
      <c r="P489" s="562" t="b">
        <v>1</v>
      </c>
      <c r="Q489" s="562" t="b">
        <v>1</v>
      </c>
      <c r="R489" s="562" t="b">
        <v>0</v>
      </c>
      <c r="S489" s="562" t="b">
        <v>1</v>
      </c>
      <c r="T489" s="562" t="b">
        <v>0</v>
      </c>
      <c r="U489" s="562"/>
      <c r="V489" s="562"/>
      <c r="W489" s="18"/>
      <c r="X489" s="787"/>
      <c r="Y489" s="977" t="str">
        <f>IF(LEN('Ch6'!X250)=0,"None",'Ch6'!X250)</f>
        <v>None</v>
      </c>
      <c r="Z489" s="978"/>
      <c r="AA489" s="562"/>
      <c r="AB489" s="562"/>
      <c r="AC489" s="562"/>
      <c r="AD489" s="562"/>
      <c r="AE489" s="562"/>
      <c r="AF489" s="562"/>
      <c r="AG489" s="562"/>
      <c r="AH489" s="562"/>
      <c r="AI489" s="562"/>
      <c r="AJ489" s="562"/>
      <c r="AK489" s="562"/>
      <c r="AL489" s="562"/>
      <c r="AM489" s="562"/>
      <c r="AN489" s="562"/>
      <c r="AO489" s="562"/>
      <c r="AP489" s="190" t="str">
        <f t="shared" si="145"/>
        <v>vch602,2_3</v>
      </c>
      <c r="AQ489" s="190">
        <f>W489</f>
        <v>0</v>
      </c>
      <c r="AR489" s="190" t="str">
        <f t="shared" si="146"/>
        <v>vnt602,2_3</v>
      </c>
      <c r="AS489" s="190">
        <f>X489</f>
        <v>0</v>
      </c>
    </row>
    <row r="490" spans="1:45" x14ac:dyDescent="0.2">
      <c r="A490" s="541">
        <v>6</v>
      </c>
      <c r="B490" s="549">
        <v>602.20000000000005</v>
      </c>
      <c r="C490" s="544"/>
      <c r="D490" s="544"/>
      <c r="E490" s="544"/>
      <c r="F490" s="544"/>
      <c r="G490" s="543" t="str">
        <f t="shared" si="144"/>
        <v/>
      </c>
      <c r="H490" s="541" t="s">
        <v>3751</v>
      </c>
      <c r="I490" s="40"/>
      <c r="J490" s="3"/>
      <c r="K490" s="53"/>
      <c r="L490" s="817"/>
      <c r="M490" s="616"/>
      <c r="N490" s="648"/>
      <c r="O490" s="648"/>
      <c r="P490" s="562"/>
      <c r="Q490" s="562"/>
      <c r="R490" s="562"/>
      <c r="S490" s="562"/>
      <c r="T490" s="562"/>
      <c r="U490" s="562"/>
      <c r="V490" s="562"/>
      <c r="W490" s="562"/>
      <c r="X490" s="787"/>
      <c r="Y490" s="977"/>
      <c r="Z490" s="978"/>
      <c r="AA490" s="562"/>
      <c r="AB490" s="562"/>
      <c r="AC490" s="562"/>
      <c r="AD490" s="562"/>
      <c r="AE490" s="562"/>
      <c r="AF490" s="562"/>
      <c r="AG490" s="562"/>
      <c r="AH490" s="562"/>
      <c r="AI490" s="562"/>
      <c r="AJ490" s="562"/>
      <c r="AK490" s="562"/>
      <c r="AL490" s="562"/>
      <c r="AM490" s="562"/>
      <c r="AN490" s="562"/>
      <c r="AO490" s="562"/>
      <c r="AP490" s="562"/>
      <c r="AQ490" s="562"/>
      <c r="AR490" s="562"/>
      <c r="AS490" s="562"/>
    </row>
    <row r="491" spans="1:45" ht="16" thickBot="1" x14ac:dyDescent="0.25">
      <c r="A491" s="541">
        <v>6</v>
      </c>
      <c r="B491" s="549">
        <v>602.20000000000005</v>
      </c>
      <c r="C491" s="544"/>
      <c r="D491" s="544"/>
      <c r="E491" s="544"/>
      <c r="F491" s="544"/>
      <c r="G491" s="543" t="str">
        <f t="shared" si="144"/>
        <v/>
      </c>
      <c r="H491" s="541" t="s">
        <v>3751</v>
      </c>
      <c r="I491" s="40"/>
      <c r="J491" s="3"/>
      <c r="K491" s="53"/>
      <c r="L491" s="817"/>
      <c r="M491" s="616"/>
      <c r="N491" s="648"/>
      <c r="O491" s="648"/>
      <c r="P491" s="562"/>
      <c r="Q491" s="562"/>
      <c r="R491" s="562"/>
      <c r="S491" s="562"/>
      <c r="T491" s="562"/>
      <c r="U491" s="562"/>
      <c r="V491" s="562"/>
      <c r="W491" s="81"/>
      <c r="X491" s="825"/>
      <c r="Y491" s="979"/>
      <c r="Z491" s="1007"/>
      <c r="AA491" s="562"/>
      <c r="AB491" s="562"/>
      <c r="AC491" s="562"/>
      <c r="AD491" s="562"/>
      <c r="AE491" s="562"/>
      <c r="AF491" s="562"/>
      <c r="AG491" s="562"/>
      <c r="AH491" s="562"/>
      <c r="AI491" s="562"/>
      <c r="AJ491" s="562"/>
      <c r="AK491" s="562"/>
      <c r="AL491" s="562"/>
      <c r="AM491" s="562"/>
      <c r="AN491" s="562"/>
      <c r="AO491" s="562"/>
      <c r="AP491" s="562"/>
      <c r="AQ491" s="562"/>
      <c r="AR491" s="562"/>
      <c r="AS491" s="562"/>
    </row>
    <row r="492" spans="1:45" ht="16" thickTop="1" x14ac:dyDescent="0.2">
      <c r="A492" s="541">
        <v>6</v>
      </c>
      <c r="B492" s="549">
        <v>602.29999999999995</v>
      </c>
      <c r="C492" s="544"/>
      <c r="D492" s="544"/>
      <c r="E492" s="544"/>
      <c r="F492" s="544"/>
      <c r="G492" s="543" t="str">
        <f>IF(N492&gt;0,"P","")</f>
        <v/>
      </c>
      <c r="H492" s="541" t="s">
        <v>3758</v>
      </c>
      <c r="I492" s="131" t="s">
        <v>2586</v>
      </c>
      <c r="J492" s="132"/>
      <c r="K492" s="133"/>
      <c r="L492" s="819" t="s">
        <v>2587</v>
      </c>
      <c r="M492" s="827">
        <v>4</v>
      </c>
      <c r="N492" s="981">
        <f>'Ch6'!O253</f>
        <v>0</v>
      </c>
      <c r="O492" s="981">
        <f>M492*S492*W492</f>
        <v>0</v>
      </c>
      <c r="P492" s="562" t="b">
        <v>0</v>
      </c>
      <c r="Q492" s="562" t="b">
        <v>1</v>
      </c>
      <c r="R492" s="74" t="b">
        <v>0</v>
      </c>
      <c r="S492" s="74" t="b">
        <v>1</v>
      </c>
      <c r="T492" s="74" t="b">
        <v>0</v>
      </c>
      <c r="U492" s="74"/>
      <c r="V492" s="74"/>
      <c r="W492" s="18"/>
      <c r="X492" s="802"/>
      <c r="Y492" s="975" t="str">
        <f>IF(LEN('Ch6'!X253)=0,"None",'Ch6'!X253)</f>
        <v>None</v>
      </c>
      <c r="Z492" s="976"/>
      <c r="AA492" s="562">
        <f>'Photo Review'!H492</f>
        <v>0</v>
      </c>
      <c r="AB492" s="562"/>
      <c r="AC492" s="562"/>
      <c r="AD492" s="562"/>
      <c r="AE492" s="562"/>
      <c r="AF492" s="562"/>
      <c r="AG492" s="562"/>
      <c r="AH492" s="562"/>
      <c r="AI492" s="562"/>
      <c r="AJ492" s="562"/>
      <c r="AK492" s="562"/>
      <c r="AL492" s="190" t="str">
        <f>SUBSTITUTE(SUBSTITUTE(SUBSTITUTE("vpa"&amp;$B492&amp;$C492&amp;$D492&amp;$E492&amp;$F492,".","_"),"(","_"),")","")</f>
        <v>vpa602,3</v>
      </c>
      <c r="AM492" s="190">
        <f>M492</f>
        <v>4</v>
      </c>
      <c r="AN492" s="190" t="str">
        <f>SUBSTITUTE(SUBSTITUTE(SUBSTITUTE("vpc"&amp;$B492&amp;$C492&amp;$D492&amp;$E492&amp;$F492,".","_"),"(","_"),")","")</f>
        <v>vpc602,3</v>
      </c>
      <c r="AO492" s="190">
        <f>O492</f>
        <v>0</v>
      </c>
      <c r="AP492" s="190" t="str">
        <f>SUBSTITUTE(SUBSTITUTE(SUBSTITUTE("vch"&amp;$B492&amp;$C492&amp;$D492&amp;$E492&amp;$F492,".","_"),"(","_"),")","")</f>
        <v>vch602,3</v>
      </c>
      <c r="AQ492" s="190">
        <f>W492</f>
        <v>0</v>
      </c>
      <c r="AR492" s="190" t="str">
        <f>SUBSTITUTE(SUBSTITUTE(SUBSTITUTE("vnt"&amp;$B492&amp;$C492&amp;$D492&amp;$E492&amp;$F492,".","_"),"(","_"),")","")</f>
        <v>vnt602,3</v>
      </c>
      <c r="AS492" s="190">
        <f>X492</f>
        <v>0</v>
      </c>
    </row>
    <row r="493" spans="1:45" x14ac:dyDescent="0.2">
      <c r="A493" s="541">
        <v>6</v>
      </c>
      <c r="B493" s="549">
        <v>602.29999999999995</v>
      </c>
      <c r="C493" s="544"/>
      <c r="D493" s="544"/>
      <c r="E493" s="544"/>
      <c r="F493" s="544"/>
      <c r="G493" s="543" t="str">
        <f t="shared" ref="G493:G494" si="147">G492</f>
        <v/>
      </c>
      <c r="H493" s="541" t="s">
        <v>3758</v>
      </c>
      <c r="I493" s="99"/>
      <c r="J493" s="98"/>
      <c r="K493" s="65"/>
      <c r="L493" s="820"/>
      <c r="M493" s="800"/>
      <c r="N493" s="924"/>
      <c r="O493" s="924"/>
      <c r="P493" s="64"/>
      <c r="Q493" s="64"/>
      <c r="R493" s="64"/>
      <c r="S493" s="64"/>
      <c r="T493" s="64"/>
      <c r="U493" s="64"/>
      <c r="V493" s="64"/>
      <c r="W493" s="64"/>
      <c r="X493" s="798"/>
      <c r="Y493" s="977"/>
      <c r="Z493" s="978"/>
      <c r="AA493" s="562"/>
      <c r="AB493" s="562"/>
      <c r="AC493" s="562"/>
      <c r="AD493" s="562"/>
      <c r="AE493" s="562"/>
      <c r="AF493" s="562"/>
      <c r="AG493" s="562"/>
      <c r="AH493" s="562"/>
      <c r="AI493" s="562"/>
      <c r="AJ493" s="562"/>
      <c r="AK493" s="562"/>
      <c r="AL493" s="562"/>
      <c r="AM493" s="562"/>
      <c r="AN493" s="562"/>
      <c r="AO493" s="562"/>
      <c r="AP493" s="562"/>
      <c r="AQ493" s="562"/>
      <c r="AR493" s="562"/>
      <c r="AS493" s="562"/>
    </row>
    <row r="494" spans="1:45" ht="16" thickBot="1" x14ac:dyDescent="0.25">
      <c r="A494" s="541">
        <v>6</v>
      </c>
      <c r="B494" s="549">
        <v>602.29999999999995</v>
      </c>
      <c r="C494" s="544"/>
      <c r="D494" s="544"/>
      <c r="E494" s="544"/>
      <c r="F494" s="544"/>
      <c r="G494" s="543" t="str">
        <f t="shared" si="147"/>
        <v/>
      </c>
      <c r="H494" s="541" t="s">
        <v>3758</v>
      </c>
      <c r="I494" s="99"/>
      <c r="J494" s="98"/>
      <c r="K494" s="65"/>
      <c r="L494" s="820"/>
      <c r="M494" s="800"/>
      <c r="N494" s="982"/>
      <c r="O494" s="924"/>
      <c r="P494" s="64"/>
      <c r="Q494" s="64"/>
      <c r="R494" s="64"/>
      <c r="S494" s="64"/>
      <c r="T494" s="64"/>
      <c r="U494" s="64"/>
      <c r="V494" s="64"/>
      <c r="W494" s="64"/>
      <c r="X494" s="825"/>
      <c r="Y494" s="979"/>
      <c r="Z494" s="1007"/>
      <c r="AA494" s="562"/>
      <c r="AB494" s="562"/>
      <c r="AC494" s="562"/>
      <c r="AD494" s="562"/>
      <c r="AE494" s="562"/>
      <c r="AF494" s="562"/>
      <c r="AG494" s="562"/>
      <c r="AH494" s="562"/>
      <c r="AI494" s="562"/>
      <c r="AJ494" s="562"/>
      <c r="AK494" s="562"/>
      <c r="AL494" s="562"/>
      <c r="AM494" s="562"/>
      <c r="AN494" s="562"/>
      <c r="AO494" s="562"/>
      <c r="AP494" s="562"/>
      <c r="AQ494" s="562"/>
      <c r="AR494" s="562"/>
      <c r="AS494" s="562"/>
    </row>
    <row r="495" spans="1:45" ht="16" thickTop="1" x14ac:dyDescent="0.2">
      <c r="A495" s="541">
        <v>6</v>
      </c>
      <c r="B495" s="549">
        <v>602.4</v>
      </c>
      <c r="C495" s="544"/>
      <c r="D495" s="544"/>
      <c r="E495" s="544"/>
      <c r="F495" s="544"/>
      <c r="G495" s="543" t="s">
        <v>3343</v>
      </c>
      <c r="H495" s="541" t="s">
        <v>3751</v>
      </c>
      <c r="I495" s="131" t="s">
        <v>2588</v>
      </c>
      <c r="J495" s="132"/>
      <c r="K495" s="133"/>
      <c r="L495" s="95" t="s">
        <v>2589</v>
      </c>
      <c r="M495" s="625"/>
      <c r="N495" s="673"/>
      <c r="O495" s="673"/>
      <c r="P495" s="74"/>
      <c r="Q495" s="74"/>
      <c r="R495" s="74"/>
      <c r="S495" s="74"/>
      <c r="T495" s="74"/>
      <c r="U495" s="74"/>
      <c r="V495" s="74"/>
      <c r="W495" s="74"/>
      <c r="X495" s="74"/>
      <c r="Y495" s="562"/>
      <c r="Z495" s="430"/>
      <c r="AA495" s="562"/>
      <c r="AB495" s="562"/>
      <c r="AC495" s="562"/>
      <c r="AD495" s="562"/>
      <c r="AE495" s="562"/>
      <c r="AF495" s="562"/>
      <c r="AG495" s="562"/>
      <c r="AH495" s="562"/>
      <c r="AI495" s="562"/>
      <c r="AJ495" s="562"/>
      <c r="AK495" s="562"/>
      <c r="AL495" s="562"/>
      <c r="AM495" s="562"/>
      <c r="AN495" s="562"/>
      <c r="AO495" s="562"/>
      <c r="AP495" s="562"/>
      <c r="AQ495" s="562"/>
      <c r="AR495" s="562"/>
      <c r="AS495" s="562"/>
    </row>
    <row r="496" spans="1:45" x14ac:dyDescent="0.2">
      <c r="A496" s="541">
        <v>6</v>
      </c>
      <c r="B496" s="549" t="s">
        <v>2590</v>
      </c>
      <c r="C496" s="544"/>
      <c r="D496" s="544"/>
      <c r="E496" s="544"/>
      <c r="F496" s="544"/>
      <c r="G496" s="543" t="s">
        <v>3343</v>
      </c>
      <c r="H496" s="541" t="s">
        <v>3751</v>
      </c>
      <c r="I496" s="99" t="s">
        <v>2591</v>
      </c>
      <c r="J496" s="98"/>
      <c r="K496" s="65"/>
      <c r="L496" s="820" t="s">
        <v>2592</v>
      </c>
      <c r="M496" s="838" t="str">
        <f>IF(R496,"Mandatory","N/A")</f>
        <v>Mandatory</v>
      </c>
      <c r="N496" s="648"/>
      <c r="O496" s="648"/>
      <c r="P496" s="562" t="b">
        <v>1</v>
      </c>
      <c r="Q496" s="562" t="b">
        <v>1</v>
      </c>
      <c r="R496" s="562" t="b">
        <f>S496</f>
        <v>1</v>
      </c>
      <c r="S496" s="562" t="b">
        <v>1</v>
      </c>
      <c r="T496" s="562" t="b">
        <v>0</v>
      </c>
      <c r="U496" s="562"/>
      <c r="V496" s="562"/>
      <c r="W496" s="18"/>
      <c r="X496" s="787"/>
      <c r="Y496" s="980" t="str">
        <f>IF(LEN('Ch6'!X257)=0,"None",'Ch6'!X257)</f>
        <v>None</v>
      </c>
      <c r="Z496" s="983"/>
      <c r="AA496" s="562">
        <f>'Photo Review'!H496</f>
        <v>0</v>
      </c>
      <c r="AB496" s="562"/>
      <c r="AC496" s="562" t="b">
        <f>OR(AD496:AE496)</f>
        <v>1</v>
      </c>
      <c r="AD496" s="562" t="b">
        <f>T496</f>
        <v>0</v>
      </c>
      <c r="AE496" s="562" t="b">
        <f>NOT(W496)</f>
        <v>1</v>
      </c>
      <c r="AF496" s="562" t="b">
        <f>AND(AE496,NOT(Q496))</f>
        <v>0</v>
      </c>
      <c r="AG496" s="562"/>
      <c r="AH496" s="562"/>
      <c r="AI496" s="562"/>
      <c r="AJ496" s="562"/>
      <c r="AK496" s="562"/>
      <c r="AL496" s="190" t="str">
        <f>SUBSTITUTE(SUBSTITUTE(SUBSTITUTE("vpa"&amp;$B496&amp;$C496&amp;$D496&amp;$E496&amp;$F496,".","_"),"(","_"),")","")</f>
        <v>vpa602_4_1</v>
      </c>
      <c r="AM496" s="190" t="str">
        <f>M496</f>
        <v>Mandatory</v>
      </c>
      <c r="AN496" s="562"/>
      <c r="AO496" s="562"/>
      <c r="AP496" s="190" t="str">
        <f>SUBSTITUTE(SUBSTITUTE(SUBSTITUTE("vch"&amp;$B496&amp;$C496&amp;$D496&amp;$E496&amp;$F496,".","_"),"(","_"),")","")</f>
        <v>vch602_4_1</v>
      </c>
      <c r="AQ496" s="190">
        <f>W496</f>
        <v>0</v>
      </c>
      <c r="AR496" s="190" t="str">
        <f>SUBSTITUTE(SUBSTITUTE(SUBSTITUTE("vnt"&amp;$B496&amp;$C496&amp;$D496&amp;$E496&amp;$F496,".","_"),"(","_"),")","")</f>
        <v>vnt602_4_1</v>
      </c>
      <c r="AS496" s="190">
        <f>X496</f>
        <v>0</v>
      </c>
    </row>
    <row r="497" spans="1:45" x14ac:dyDescent="0.2">
      <c r="A497" s="541">
        <v>6</v>
      </c>
      <c r="B497" s="549" t="s">
        <v>2590</v>
      </c>
      <c r="C497" s="544"/>
      <c r="D497" s="544"/>
      <c r="E497" s="544"/>
      <c r="F497" s="544"/>
      <c r="G497" s="543" t="s">
        <v>3343</v>
      </c>
      <c r="H497" s="541" t="s">
        <v>3751</v>
      </c>
      <c r="I497" s="99"/>
      <c r="J497" s="98"/>
      <c r="K497" s="65"/>
      <c r="L497" s="820"/>
      <c r="M497" s="838"/>
      <c r="N497" s="648"/>
      <c r="O497" s="648"/>
      <c r="P497" s="562"/>
      <c r="Q497" s="562"/>
      <c r="R497" s="562"/>
      <c r="S497" s="562"/>
      <c r="T497" s="562"/>
      <c r="U497" s="562"/>
      <c r="V497" s="562"/>
      <c r="W497" s="562"/>
      <c r="X497" s="787"/>
      <c r="Y497" s="980"/>
      <c r="Z497" s="983"/>
      <c r="AA497" s="562"/>
      <c r="AB497" s="562"/>
      <c r="AC497" s="562"/>
      <c r="AD497" s="562"/>
      <c r="AE497" s="562"/>
      <c r="AF497" s="562"/>
      <c r="AG497" s="562"/>
      <c r="AH497" s="562"/>
      <c r="AI497" s="562"/>
      <c r="AJ497" s="562"/>
      <c r="AK497" s="562"/>
      <c r="AL497" s="562"/>
      <c r="AM497" s="562"/>
      <c r="AN497" s="562"/>
      <c r="AO497" s="562"/>
      <c r="AP497" s="562"/>
      <c r="AQ497" s="562"/>
      <c r="AR497" s="562"/>
      <c r="AS497" s="562"/>
    </row>
    <row r="498" spans="1:45" x14ac:dyDescent="0.2">
      <c r="A498" s="541">
        <v>6</v>
      </c>
      <c r="B498" s="549" t="s">
        <v>2590</v>
      </c>
      <c r="C498" s="544"/>
      <c r="D498" s="544"/>
      <c r="E498" s="544"/>
      <c r="F498" s="544"/>
      <c r="G498" s="543" t="s">
        <v>3343</v>
      </c>
      <c r="H498" s="541" t="s">
        <v>3751</v>
      </c>
      <c r="I498" s="99"/>
      <c r="J498" s="98"/>
      <c r="K498" s="65"/>
      <c r="L498" s="820"/>
      <c r="M498" s="838"/>
      <c r="N498" s="648"/>
      <c r="O498" s="648"/>
      <c r="P498" s="562"/>
      <c r="Q498" s="562"/>
      <c r="R498" s="562"/>
      <c r="S498" s="562"/>
      <c r="T498" s="562"/>
      <c r="U498" s="562"/>
      <c r="V498" s="562"/>
      <c r="W498" s="562"/>
      <c r="X498" s="787"/>
      <c r="Y498" s="980"/>
      <c r="Z498" s="983"/>
      <c r="AA498" s="562"/>
      <c r="AB498" s="562"/>
      <c r="AC498" s="562"/>
      <c r="AD498" s="562"/>
      <c r="AE498" s="562"/>
      <c r="AF498" s="562"/>
      <c r="AG498" s="562"/>
      <c r="AH498" s="562"/>
      <c r="AI498" s="562"/>
      <c r="AJ498" s="562"/>
      <c r="AK498" s="562"/>
      <c r="AL498" s="562"/>
      <c r="AM498" s="562"/>
      <c r="AN498" s="562"/>
      <c r="AO498" s="562"/>
      <c r="AP498" s="562"/>
      <c r="AQ498" s="562"/>
      <c r="AR498" s="562"/>
      <c r="AS498" s="562"/>
    </row>
    <row r="499" spans="1:45" x14ac:dyDescent="0.2">
      <c r="A499" s="541">
        <v>6</v>
      </c>
      <c r="B499" s="549" t="s">
        <v>2590</v>
      </c>
      <c r="C499" s="544"/>
      <c r="D499" s="544"/>
      <c r="E499" s="544"/>
      <c r="F499" s="544"/>
      <c r="G499" s="543" t="s">
        <v>3343</v>
      </c>
      <c r="H499" s="541" t="s">
        <v>3751</v>
      </c>
      <c r="I499" s="99"/>
      <c r="J499" s="98"/>
      <c r="K499" s="65"/>
      <c r="L499" s="820"/>
      <c r="M499" s="838"/>
      <c r="N499" s="648"/>
      <c r="O499" s="648"/>
      <c r="P499" s="562"/>
      <c r="Q499" s="562"/>
      <c r="R499" s="562"/>
      <c r="S499" s="562"/>
      <c r="T499" s="562"/>
      <c r="U499" s="562"/>
      <c r="V499" s="562"/>
      <c r="W499" s="562"/>
      <c r="X499" s="787"/>
      <c r="Y499" s="980"/>
      <c r="Z499" s="983"/>
      <c r="AA499" s="562"/>
      <c r="AB499" s="562"/>
      <c r="AC499" s="562"/>
      <c r="AD499" s="562"/>
      <c r="AE499" s="562"/>
      <c r="AF499" s="562"/>
      <c r="AG499" s="562"/>
      <c r="AH499" s="562"/>
      <c r="AI499" s="562"/>
      <c r="AJ499" s="562"/>
      <c r="AK499" s="562"/>
      <c r="AL499" s="562"/>
      <c r="AM499" s="562"/>
      <c r="AN499" s="562"/>
      <c r="AO499" s="562"/>
      <c r="AP499" s="562"/>
      <c r="AQ499" s="562"/>
      <c r="AR499" s="562"/>
      <c r="AS499" s="562"/>
    </row>
    <row r="500" spans="1:45" x14ac:dyDescent="0.2">
      <c r="A500" s="541">
        <v>6</v>
      </c>
      <c r="B500" s="549" t="s">
        <v>2590</v>
      </c>
      <c r="C500" s="544"/>
      <c r="D500" s="544"/>
      <c r="E500" s="544"/>
      <c r="F500" s="544"/>
      <c r="G500" s="543" t="s">
        <v>3343</v>
      </c>
      <c r="H500" s="541" t="s">
        <v>3751</v>
      </c>
      <c r="I500" s="170"/>
      <c r="J500" s="165"/>
      <c r="K500" s="126"/>
      <c r="L500" s="832"/>
      <c r="M500" s="854"/>
      <c r="N500" s="648"/>
      <c r="O500" s="648"/>
      <c r="P500" s="562"/>
      <c r="Q500" s="562"/>
      <c r="R500" s="562"/>
      <c r="S500" s="562"/>
      <c r="T500" s="562"/>
      <c r="U500" s="562"/>
      <c r="V500" s="562"/>
      <c r="W500" s="562"/>
      <c r="X500" s="787"/>
      <c r="Y500" s="980"/>
      <c r="Z500" s="983"/>
      <c r="AA500" s="562"/>
      <c r="AB500" s="562"/>
      <c r="AC500" s="562"/>
      <c r="AD500" s="562"/>
      <c r="AE500" s="562"/>
      <c r="AF500" s="562"/>
      <c r="AG500" s="562"/>
      <c r="AH500" s="562"/>
      <c r="AI500" s="562"/>
      <c r="AJ500" s="562"/>
      <c r="AK500" s="562"/>
      <c r="AL500" s="562"/>
      <c r="AM500" s="562"/>
      <c r="AN500" s="562"/>
      <c r="AO500" s="562"/>
      <c r="AP500" s="562"/>
      <c r="AQ500" s="562"/>
      <c r="AR500" s="562"/>
      <c r="AS500" s="562"/>
    </row>
    <row r="501" spans="1:45" x14ac:dyDescent="0.2">
      <c r="A501" s="541">
        <v>6</v>
      </c>
      <c r="B501" s="549" t="s">
        <v>2593</v>
      </c>
      <c r="C501" s="544"/>
      <c r="D501" s="544"/>
      <c r="E501" s="544"/>
      <c r="F501" s="544"/>
      <c r="G501" s="543" t="str">
        <f>IF(N501&gt;0,"P","")</f>
        <v/>
      </c>
      <c r="H501" s="541" t="s">
        <v>3751</v>
      </c>
      <c r="I501" s="99" t="s">
        <v>2594</v>
      </c>
      <c r="J501" s="98"/>
      <c r="K501" s="65"/>
      <c r="L501" s="820" t="s">
        <v>2595</v>
      </c>
      <c r="M501" s="800">
        <v>1</v>
      </c>
      <c r="N501" s="924">
        <f>'Ch6'!O262</f>
        <v>0</v>
      </c>
      <c r="O501" s="924">
        <f>M501*S501*W501</f>
        <v>0</v>
      </c>
      <c r="P501" s="562" t="b">
        <v>1</v>
      </c>
      <c r="Q501" s="562" t="b">
        <v>1</v>
      </c>
      <c r="R501" s="562" t="b">
        <v>0</v>
      </c>
      <c r="S501" s="562" t="b">
        <v>1</v>
      </c>
      <c r="T501" s="562" t="b">
        <v>0</v>
      </c>
      <c r="U501" s="562"/>
      <c r="V501" s="562"/>
      <c r="W501" s="18"/>
      <c r="X501" s="787"/>
      <c r="Y501" s="980" t="str">
        <f>IF(LEN('Ch6'!X262)=0,"None",'Ch6'!X262)</f>
        <v>None</v>
      </c>
      <c r="Z501" s="983"/>
      <c r="AA501" s="562">
        <f>'Photo Review'!H501</f>
        <v>0</v>
      </c>
      <c r="AB501" s="562"/>
      <c r="AC501" s="562"/>
      <c r="AD501" s="562"/>
      <c r="AE501" s="562"/>
      <c r="AF501" s="562"/>
      <c r="AG501" s="562"/>
      <c r="AH501" s="562"/>
      <c r="AI501" s="562"/>
      <c r="AJ501" s="562"/>
      <c r="AK501" s="562"/>
      <c r="AL501" s="190" t="str">
        <f>SUBSTITUTE(SUBSTITUTE(SUBSTITUTE("vpa"&amp;$B501&amp;$C501&amp;$D501&amp;$E501&amp;$F501,".","_"),"(","_"),")","")</f>
        <v>vpa602_4_2</v>
      </c>
      <c r="AM501" s="190">
        <f>M501</f>
        <v>1</v>
      </c>
      <c r="AN501" s="190" t="str">
        <f>SUBSTITUTE(SUBSTITUTE(SUBSTITUTE("vpc"&amp;$B501&amp;$C501&amp;$D501&amp;$E501&amp;$F501,".","_"),"(","_"),")","")</f>
        <v>vpc602_4_2</v>
      </c>
      <c r="AO501" s="190">
        <f>O501</f>
        <v>0</v>
      </c>
      <c r="AP501" s="190" t="str">
        <f>SUBSTITUTE(SUBSTITUTE(SUBSTITUTE("vch"&amp;$B501&amp;$C501&amp;$D501&amp;$E501&amp;$F501,".","_"),"(","_"),")","")</f>
        <v>vch602_4_2</v>
      </c>
      <c r="AQ501" s="190">
        <f>W501</f>
        <v>0</v>
      </c>
      <c r="AR501" s="190" t="str">
        <f>SUBSTITUTE(SUBSTITUTE(SUBSTITUTE("vnt"&amp;$B501&amp;$C501&amp;$D501&amp;$E501&amp;$F501,".","_"),"(","_"),")","")</f>
        <v>vnt602_4_2</v>
      </c>
      <c r="AS501" s="190">
        <f>X501</f>
        <v>0</v>
      </c>
    </row>
    <row r="502" spans="1:45" x14ac:dyDescent="0.2">
      <c r="A502" s="541">
        <v>6</v>
      </c>
      <c r="B502" s="549" t="s">
        <v>2593</v>
      </c>
      <c r="C502" s="544"/>
      <c r="D502" s="544"/>
      <c r="E502" s="544"/>
      <c r="F502" s="544"/>
      <c r="G502" s="543" t="str">
        <f t="shared" ref="G502" si="148">G501</f>
        <v/>
      </c>
      <c r="H502" s="541" t="s">
        <v>3751</v>
      </c>
      <c r="I502" s="170"/>
      <c r="J502" s="165"/>
      <c r="K502" s="126"/>
      <c r="L502" s="832"/>
      <c r="M502" s="801"/>
      <c r="N502" s="942"/>
      <c r="O502" s="942"/>
      <c r="P502" s="562"/>
      <c r="Q502" s="562"/>
      <c r="R502" s="562"/>
      <c r="S502" s="562"/>
      <c r="T502" s="562"/>
      <c r="U502" s="562"/>
      <c r="V502" s="562"/>
      <c r="W502" s="562"/>
      <c r="X502" s="787"/>
      <c r="Y502" s="980"/>
      <c r="Z502" s="983"/>
      <c r="AA502" s="562"/>
      <c r="AB502" s="562"/>
      <c r="AC502" s="562"/>
      <c r="AD502" s="562"/>
      <c r="AE502" s="562"/>
      <c r="AF502" s="562"/>
      <c r="AG502" s="562"/>
      <c r="AH502" s="562"/>
      <c r="AI502" s="562"/>
      <c r="AJ502" s="562"/>
      <c r="AK502" s="562"/>
      <c r="AL502" s="562"/>
      <c r="AM502" s="562"/>
      <c r="AN502" s="562"/>
      <c r="AO502" s="562"/>
      <c r="AP502" s="562"/>
      <c r="AQ502" s="562"/>
      <c r="AR502" s="562"/>
      <c r="AS502" s="562"/>
    </row>
    <row r="503" spans="1:45" ht="16" x14ac:dyDescent="0.2">
      <c r="A503" s="541">
        <v>6</v>
      </c>
      <c r="B503" s="549" t="s">
        <v>2596</v>
      </c>
      <c r="C503" s="544"/>
      <c r="D503" s="544"/>
      <c r="E503" s="544"/>
      <c r="F503" s="544"/>
      <c r="G503" s="543" t="str">
        <f>IF(N503&gt;0,"P","")</f>
        <v/>
      </c>
      <c r="H503" s="541" t="s">
        <v>3751</v>
      </c>
      <c r="I503" s="40" t="s">
        <v>2597</v>
      </c>
      <c r="J503" s="3"/>
      <c r="K503" s="53"/>
      <c r="L503" s="55" t="s">
        <v>2598</v>
      </c>
      <c r="M503" s="616">
        <v>1</v>
      </c>
      <c r="N503" s="648">
        <f>'Ch6'!O264</f>
        <v>0</v>
      </c>
      <c r="O503" s="648">
        <f>M503*S503*W503</f>
        <v>0</v>
      </c>
      <c r="P503" s="562" t="b">
        <v>1</v>
      </c>
      <c r="Q503" s="562" t="b">
        <v>1</v>
      </c>
      <c r="R503" s="562" t="b">
        <v>0</v>
      </c>
      <c r="S503" s="562" t="b">
        <v>1</v>
      </c>
      <c r="T503" s="562" t="b">
        <v>0</v>
      </c>
      <c r="U503" s="562"/>
      <c r="V503" s="562"/>
      <c r="W503" s="18"/>
      <c r="X503" s="563"/>
      <c r="Y503" s="578" t="str">
        <f>IF(LEN('Ch6'!X264)=0,"None",'Ch6'!X264)</f>
        <v>None</v>
      </c>
      <c r="Z503" s="579"/>
      <c r="AA503" s="562">
        <f>'Photo Review'!H503</f>
        <v>0</v>
      </c>
      <c r="AB503" s="562"/>
      <c r="AC503" s="562"/>
      <c r="AD503" s="562"/>
      <c r="AE503" s="562"/>
      <c r="AF503" s="562"/>
      <c r="AG503" s="562"/>
      <c r="AH503" s="562"/>
      <c r="AI503" s="562"/>
      <c r="AJ503" s="562"/>
      <c r="AK503" s="562"/>
      <c r="AL503" s="190" t="str">
        <f>SUBSTITUTE(SUBSTITUTE(SUBSTITUTE("vpa"&amp;$B503&amp;$C503&amp;$D503&amp;$E503&amp;$F503,".","_"),"(","_"),")","")</f>
        <v>vpa602_4_3</v>
      </c>
      <c r="AM503" s="190">
        <f>M503</f>
        <v>1</v>
      </c>
      <c r="AN503" s="190" t="str">
        <f>SUBSTITUTE(SUBSTITUTE(SUBSTITUTE("vpc"&amp;$B503&amp;$C503&amp;$D503&amp;$E503&amp;$F503,".","_"),"(","_"),")","")</f>
        <v>vpc602_4_3</v>
      </c>
      <c r="AO503" s="190">
        <f>O503</f>
        <v>0</v>
      </c>
      <c r="AP503" s="190" t="str">
        <f>SUBSTITUTE(SUBSTITUTE(SUBSTITUTE("vch"&amp;$B503&amp;$C503&amp;$D503&amp;$E503&amp;$F503,".","_"),"(","_"),")","")</f>
        <v>vch602_4_3</v>
      </c>
      <c r="AQ503" s="190">
        <f>W503</f>
        <v>0</v>
      </c>
      <c r="AR503" s="190" t="str">
        <f>SUBSTITUTE(SUBSTITUTE(SUBSTITUTE("vnt"&amp;$B503&amp;$C503&amp;$D503&amp;$E503&amp;$F503,".","_"),"(","_"),")","")</f>
        <v>vnt602_4_3</v>
      </c>
      <c r="AS503" s="190">
        <f>X503</f>
        <v>0</v>
      </c>
    </row>
    <row r="504" spans="1:45" ht="19" x14ac:dyDescent="0.25">
      <c r="A504" s="541">
        <v>6</v>
      </c>
      <c r="B504" s="549">
        <v>603</v>
      </c>
      <c r="C504" s="544"/>
      <c r="D504" s="544"/>
      <c r="E504" s="544"/>
      <c r="F504" s="544"/>
      <c r="G504" s="543" t="s">
        <v>3343</v>
      </c>
      <c r="H504" s="541" t="s">
        <v>3751</v>
      </c>
      <c r="I504" s="45" t="s">
        <v>2599</v>
      </c>
      <c r="J504" s="16"/>
      <c r="K504" s="52"/>
      <c r="L504" s="50"/>
      <c r="M504" s="44"/>
      <c r="N504" s="44"/>
      <c r="O504" s="44"/>
      <c r="P504" s="16"/>
      <c r="Q504" s="16"/>
      <c r="R504" s="16"/>
      <c r="S504" s="16"/>
      <c r="T504" s="16"/>
      <c r="U504" s="16"/>
      <c r="V504" s="16"/>
      <c r="W504" s="16"/>
      <c r="X504" s="16"/>
      <c r="Y504" s="16"/>
      <c r="Z504" s="453"/>
      <c r="AA504" s="562"/>
      <c r="AB504" s="562"/>
      <c r="AC504" s="562"/>
      <c r="AD504" s="562"/>
      <c r="AE504" s="562"/>
      <c r="AF504" s="562"/>
      <c r="AG504" s="562"/>
      <c r="AH504" s="562"/>
      <c r="AI504" s="562"/>
      <c r="AJ504" s="562"/>
      <c r="AK504" s="562"/>
      <c r="AL504" s="562"/>
      <c r="AM504" s="562"/>
      <c r="AN504" s="562"/>
      <c r="AO504" s="562"/>
      <c r="AP504" s="562"/>
      <c r="AQ504" s="562"/>
      <c r="AR504" s="562"/>
      <c r="AS504" s="562"/>
    </row>
    <row r="505" spans="1:45" x14ac:dyDescent="0.2">
      <c r="A505" s="541">
        <v>6</v>
      </c>
      <c r="B505" s="549" t="s">
        <v>2600</v>
      </c>
      <c r="C505" s="544"/>
      <c r="D505" s="544"/>
      <c r="E505" s="544"/>
      <c r="F505" s="544"/>
      <c r="G505" s="541"/>
      <c r="H505" s="541"/>
      <c r="I505" s="346" t="s">
        <v>2601</v>
      </c>
      <c r="J505" s="3"/>
      <c r="K505" s="53"/>
      <c r="L505" s="775" t="s">
        <v>2602</v>
      </c>
      <c r="M505" s="616"/>
      <c r="N505" s="648"/>
      <c r="O505" s="648"/>
      <c r="P505" s="562"/>
      <c r="Q505" s="562"/>
      <c r="R505" s="562"/>
      <c r="S505" s="562"/>
      <c r="T505" s="562"/>
      <c r="U505" s="562"/>
      <c r="V505" s="562"/>
      <c r="W505" s="562"/>
      <c r="X505" s="562"/>
      <c r="Y505" s="562"/>
      <c r="Z505" s="430"/>
      <c r="AA505" s="562"/>
      <c r="AB505" s="562"/>
      <c r="AC505" s="562"/>
      <c r="AD505" s="562"/>
      <c r="AE505" s="562"/>
      <c r="AF505" s="562"/>
      <c r="AG505" s="562"/>
      <c r="AH505" s="562"/>
      <c r="AI505" s="562"/>
      <c r="AJ505" s="562"/>
      <c r="AK505" s="562"/>
      <c r="AL505" s="562"/>
      <c r="AM505" s="562"/>
      <c r="AN505" s="562"/>
      <c r="AO505" s="562"/>
      <c r="AP505" s="562"/>
      <c r="AQ505" s="562"/>
      <c r="AR505" s="562"/>
      <c r="AS505" s="562"/>
    </row>
    <row r="506" spans="1:45" ht="16" thickBot="1" x14ac:dyDescent="0.25">
      <c r="A506" s="541">
        <v>6</v>
      </c>
      <c r="B506" s="549" t="s">
        <v>2600</v>
      </c>
      <c r="C506" s="544"/>
      <c r="D506" s="544"/>
      <c r="E506" s="544"/>
      <c r="F506" s="544"/>
      <c r="G506" s="541"/>
      <c r="H506" s="541"/>
      <c r="I506" s="40"/>
      <c r="J506" s="3"/>
      <c r="K506" s="53"/>
      <c r="L506" s="775"/>
      <c r="M506" s="616"/>
      <c r="N506" s="648"/>
      <c r="O506" s="648"/>
      <c r="P506" s="562"/>
      <c r="Q506" s="562"/>
      <c r="R506" s="562"/>
      <c r="S506" s="562"/>
      <c r="T506" s="562"/>
      <c r="U506" s="562"/>
      <c r="V506" s="562"/>
      <c r="W506" s="68"/>
      <c r="X506" s="562"/>
      <c r="Y506" s="68"/>
      <c r="Z506" s="455"/>
      <c r="AA506" s="562"/>
      <c r="AB506" s="562"/>
      <c r="AC506" s="562"/>
      <c r="AD506" s="562"/>
      <c r="AE506" s="562"/>
      <c r="AF506" s="562"/>
      <c r="AG506" s="562"/>
      <c r="AH506" s="562"/>
      <c r="AI506" s="562"/>
      <c r="AJ506" s="562"/>
      <c r="AK506" s="562"/>
      <c r="AL506" s="562"/>
      <c r="AM506" s="562"/>
      <c r="AN506" s="562"/>
      <c r="AO506" s="562"/>
      <c r="AP506" s="562"/>
      <c r="AQ506" s="562"/>
      <c r="AR506" s="562"/>
      <c r="AS506" s="562"/>
    </row>
    <row r="507" spans="1:45" ht="16" thickTop="1" x14ac:dyDescent="0.2">
      <c r="A507" s="541">
        <v>6</v>
      </c>
      <c r="B507" s="549">
        <v>603.1</v>
      </c>
      <c r="C507" s="544"/>
      <c r="D507" s="544"/>
      <c r="E507" s="544"/>
      <c r="F507" s="544"/>
      <c r="G507" s="543" t="str">
        <f>IF(N507&gt;0,"P","")</f>
        <v/>
      </c>
      <c r="H507" s="541" t="s">
        <v>3757</v>
      </c>
      <c r="I507" s="131" t="s">
        <v>2603</v>
      </c>
      <c r="J507" s="132"/>
      <c r="K507" s="133"/>
      <c r="L507" s="819" t="s">
        <v>2604</v>
      </c>
      <c r="M507" s="835" t="s">
        <v>2605</v>
      </c>
      <c r="N507" s="981">
        <f>'Ch6'!O268</f>
        <v>0</v>
      </c>
      <c r="O507" s="981">
        <f>MIN(ROUNDDOWN(W507/200,0),12)</f>
        <v>0</v>
      </c>
      <c r="P507" s="74" t="b">
        <v>1</v>
      </c>
      <c r="Q507" s="74" t="b">
        <v>0</v>
      </c>
      <c r="R507" s="74" t="b">
        <v>0</v>
      </c>
      <c r="S507" s="74" t="b">
        <v>1</v>
      </c>
      <c r="T507" s="74" t="b">
        <v>0</v>
      </c>
      <c r="U507" s="74"/>
      <c r="V507" s="74"/>
      <c r="W507" s="144"/>
      <c r="X507" s="796"/>
      <c r="Y507" s="975" t="str">
        <f>IF(LEN('Ch6'!X268)=0,"None",'Ch6'!X268)</f>
        <v>None</v>
      </c>
      <c r="Z507" s="976"/>
      <c r="AA507" s="562"/>
      <c r="AB507" s="562"/>
      <c r="AC507" s="562" t="b">
        <f>OR(AD507:AE507)</f>
        <v>0</v>
      </c>
      <c r="AD507" s="562" t="b">
        <v>0</v>
      </c>
      <c r="AE507" s="562" t="b">
        <f>AND(W507&gt;0,LEN(X507)=0)</f>
        <v>0</v>
      </c>
      <c r="AF507" s="562" t="b">
        <f>AND(AE507,NOT(Q507))</f>
        <v>0</v>
      </c>
      <c r="AG507" s="562"/>
      <c r="AH507" s="562"/>
      <c r="AI507" s="562"/>
      <c r="AJ507" s="562"/>
      <c r="AK507" s="562"/>
      <c r="AL507" s="190" t="str">
        <f>SUBSTITUTE(SUBSTITUTE(SUBSTITUTE("vpa"&amp;$B507&amp;$C507&amp;$D507&amp;$E507&amp;$F507,".","_"),"(","_"),")","")</f>
        <v>vpa603,1</v>
      </c>
      <c r="AM507" s="190" t="str">
        <f>M507</f>
        <v>1
12 Max</v>
      </c>
      <c r="AN507" s="190" t="str">
        <f>SUBSTITUTE(SUBSTITUTE(SUBSTITUTE("vpc"&amp;$B507&amp;$C507&amp;$D507&amp;$E507&amp;$F507,".","_"),"(","_"),")","")</f>
        <v>vpc603,1</v>
      </c>
      <c r="AO507" s="190">
        <f>O507</f>
        <v>0</v>
      </c>
      <c r="AP507" s="190" t="str">
        <f>SUBSTITUTE(SUBSTITUTE(SUBSTITUTE("vch"&amp;$B507&amp;$C507&amp;$D507&amp;$E507&amp;$F507,".","_"),"(","_"),")","")</f>
        <v>vch603,1</v>
      </c>
      <c r="AQ507" s="190">
        <f>W507</f>
        <v>0</v>
      </c>
      <c r="AR507" s="190" t="str">
        <f>SUBSTITUTE(SUBSTITUTE(SUBSTITUTE("vnt"&amp;$B507&amp;$C507&amp;$D507&amp;$E507&amp;$F507,".","_"),"(","_"),")","")</f>
        <v>vnt603,1</v>
      </c>
      <c r="AS507" s="190">
        <f>X507</f>
        <v>0</v>
      </c>
    </row>
    <row r="508" spans="1:45" x14ac:dyDescent="0.2">
      <c r="A508" s="541">
        <v>6</v>
      </c>
      <c r="B508" s="549">
        <v>603.1</v>
      </c>
      <c r="C508" s="544"/>
      <c r="D508" s="544"/>
      <c r="E508" s="544"/>
      <c r="F508" s="544"/>
      <c r="G508" s="543" t="str">
        <f t="shared" ref="G508:G512" si="149">G507</f>
        <v/>
      </c>
      <c r="H508" s="541" t="s">
        <v>3757</v>
      </c>
      <c r="I508" s="99"/>
      <c r="J508" s="98"/>
      <c r="K508" s="65"/>
      <c r="L508" s="820"/>
      <c r="M508" s="836"/>
      <c r="N508" s="924"/>
      <c r="O508" s="924"/>
      <c r="P508" s="64"/>
      <c r="Q508" s="64"/>
      <c r="R508" s="64"/>
      <c r="S508" s="64"/>
      <c r="T508" s="64"/>
      <c r="U508" s="64"/>
      <c r="V508" s="64"/>
      <c r="W508" s="64"/>
      <c r="X508" s="797"/>
      <c r="Y508" s="977"/>
      <c r="Z508" s="978"/>
      <c r="AA508" s="562"/>
      <c r="AB508" s="562"/>
      <c r="AC508" s="562"/>
      <c r="AD508" s="562"/>
      <c r="AE508" s="562"/>
      <c r="AF508" s="562"/>
      <c r="AG508" s="562"/>
      <c r="AH508" s="562"/>
      <c r="AI508" s="562"/>
      <c r="AJ508" s="562"/>
      <c r="AK508" s="562"/>
      <c r="AL508" s="562"/>
      <c r="AM508" s="562"/>
      <c r="AN508" s="562"/>
      <c r="AO508" s="562"/>
      <c r="AP508" s="562"/>
      <c r="AQ508" s="562"/>
      <c r="AR508" s="562"/>
      <c r="AS508" s="562"/>
    </row>
    <row r="509" spans="1:45" ht="16" x14ac:dyDescent="0.2">
      <c r="A509" s="541">
        <v>6</v>
      </c>
      <c r="B509" s="549">
        <v>603.1</v>
      </c>
      <c r="C509" s="544"/>
      <c r="D509" s="544"/>
      <c r="E509" s="544"/>
      <c r="F509" s="544"/>
      <c r="G509" s="543" t="str">
        <f t="shared" si="149"/>
        <v/>
      </c>
      <c r="H509" s="541" t="s">
        <v>3757</v>
      </c>
      <c r="I509" s="99"/>
      <c r="J509" s="98"/>
      <c r="K509" s="65"/>
      <c r="L509" s="138" t="s">
        <v>2606</v>
      </c>
      <c r="M509" s="836"/>
      <c r="N509" s="924"/>
      <c r="O509" s="924"/>
      <c r="P509" s="64"/>
      <c r="Q509" s="64"/>
      <c r="R509" s="64"/>
      <c r="S509" s="64"/>
      <c r="T509" s="64"/>
      <c r="U509" s="64"/>
      <c r="V509" s="64"/>
      <c r="W509" s="64"/>
      <c r="X509" s="797"/>
      <c r="Y509" s="977"/>
      <c r="Z509" s="978"/>
      <c r="AA509" s="562"/>
      <c r="AB509" s="562"/>
      <c r="AC509" s="562"/>
      <c r="AD509" s="562"/>
      <c r="AE509" s="562"/>
      <c r="AF509" s="562"/>
      <c r="AG509" s="562"/>
      <c r="AH509" s="562"/>
      <c r="AI509" s="562"/>
      <c r="AJ509" s="562"/>
      <c r="AK509" s="562"/>
      <c r="AL509" s="562"/>
      <c r="AM509" s="562"/>
      <c r="AN509" s="562"/>
      <c r="AO509" s="562"/>
      <c r="AP509" s="562"/>
      <c r="AQ509" s="562"/>
      <c r="AR509" s="562"/>
      <c r="AS509" s="562"/>
    </row>
    <row r="510" spans="1:45" x14ac:dyDescent="0.2">
      <c r="A510" s="541">
        <v>6</v>
      </c>
      <c r="B510" s="549">
        <v>603.1</v>
      </c>
      <c r="C510" s="544"/>
      <c r="D510" s="544"/>
      <c r="E510" s="544"/>
      <c r="F510" s="544"/>
      <c r="G510" s="543" t="str">
        <f t="shared" si="149"/>
        <v/>
      </c>
      <c r="H510" s="541" t="s">
        <v>3757</v>
      </c>
      <c r="I510" s="99"/>
      <c r="J510" s="98"/>
      <c r="K510" s="65"/>
      <c r="L510" s="833" t="s">
        <v>2607</v>
      </c>
      <c r="M510" s="836"/>
      <c r="N510" s="924"/>
      <c r="O510" s="924"/>
      <c r="P510" s="64"/>
      <c r="Q510" s="64"/>
      <c r="R510" s="64"/>
      <c r="S510" s="64"/>
      <c r="T510" s="64"/>
      <c r="U510" s="64"/>
      <c r="V510" s="64"/>
      <c r="W510" s="64"/>
      <c r="X510" s="797"/>
      <c r="Y510" s="977"/>
      <c r="Z510" s="978"/>
      <c r="AA510" s="562"/>
      <c r="AB510" s="562"/>
      <c r="AC510" s="562"/>
      <c r="AD510" s="562"/>
      <c r="AE510" s="562"/>
      <c r="AF510" s="562"/>
      <c r="AG510" s="562"/>
      <c r="AH510" s="562"/>
      <c r="AI510" s="562"/>
      <c r="AJ510" s="562"/>
      <c r="AK510" s="562"/>
      <c r="AL510" s="562"/>
      <c r="AM510" s="562"/>
      <c r="AN510" s="562"/>
      <c r="AO510" s="562"/>
      <c r="AP510" s="562"/>
      <c r="AQ510" s="562"/>
      <c r="AR510" s="562"/>
      <c r="AS510" s="562"/>
    </row>
    <row r="511" spans="1:45" x14ac:dyDescent="0.2">
      <c r="A511" s="541">
        <v>6</v>
      </c>
      <c r="B511" s="549">
        <v>603.1</v>
      </c>
      <c r="C511" s="544"/>
      <c r="D511" s="544"/>
      <c r="E511" s="544"/>
      <c r="F511" s="544"/>
      <c r="G511" s="543" t="str">
        <f t="shared" si="149"/>
        <v/>
      </c>
      <c r="H511" s="541" t="s">
        <v>3757</v>
      </c>
      <c r="I511" s="99"/>
      <c r="J511" s="98"/>
      <c r="K511" s="65"/>
      <c r="L511" s="834"/>
      <c r="M511" s="836"/>
      <c r="N511" s="924"/>
      <c r="O511" s="924"/>
      <c r="P511" s="64"/>
      <c r="Q511" s="64"/>
      <c r="R511" s="64"/>
      <c r="S511" s="64"/>
      <c r="T511" s="64"/>
      <c r="U511" s="64"/>
      <c r="V511" s="64"/>
      <c r="W511" s="64"/>
      <c r="X511" s="797"/>
      <c r="Y511" s="977"/>
      <c r="Z511" s="978"/>
      <c r="AA511" s="562"/>
      <c r="AB511" s="562"/>
      <c r="AC511" s="562"/>
      <c r="AD511" s="562"/>
      <c r="AE511" s="562"/>
      <c r="AF511" s="562"/>
      <c r="AG511" s="562"/>
      <c r="AH511" s="562"/>
      <c r="AI511" s="562"/>
      <c r="AJ511" s="562"/>
      <c r="AK511" s="562"/>
      <c r="AL511" s="562"/>
      <c r="AM511" s="562"/>
      <c r="AN511" s="562"/>
      <c r="AO511" s="562"/>
      <c r="AP511" s="562"/>
      <c r="AQ511" s="562"/>
      <c r="AR511" s="562"/>
      <c r="AS511" s="562"/>
    </row>
    <row r="512" spans="1:45" ht="16" thickBot="1" x14ac:dyDescent="0.25">
      <c r="A512" s="541">
        <v>6</v>
      </c>
      <c r="B512" s="549">
        <v>603.1</v>
      </c>
      <c r="C512" s="544"/>
      <c r="D512" s="544"/>
      <c r="E512" s="544"/>
      <c r="F512" s="544"/>
      <c r="G512" s="543" t="str">
        <f t="shared" si="149"/>
        <v/>
      </c>
      <c r="H512" s="541" t="s">
        <v>3757</v>
      </c>
      <c r="I512" s="99"/>
      <c r="J512" s="98"/>
      <c r="K512" s="65"/>
      <c r="L512" s="834"/>
      <c r="M512" s="836"/>
      <c r="N512" s="982"/>
      <c r="O512" s="924"/>
      <c r="P512" s="64"/>
      <c r="Q512" s="64"/>
      <c r="R512" s="64"/>
      <c r="S512" s="64"/>
      <c r="T512" s="64"/>
      <c r="U512" s="64"/>
      <c r="V512" s="64"/>
      <c r="W512" s="81"/>
      <c r="X512" s="797"/>
      <c r="Y512" s="979"/>
      <c r="Z512" s="1007"/>
      <c r="AA512" s="562"/>
      <c r="AB512" s="562"/>
      <c r="AC512" s="562"/>
      <c r="AD512" s="562"/>
      <c r="AE512" s="562"/>
      <c r="AF512" s="562"/>
      <c r="AG512" s="562"/>
      <c r="AH512" s="562"/>
      <c r="AI512" s="562"/>
      <c r="AJ512" s="562"/>
      <c r="AK512" s="562"/>
      <c r="AL512" s="562"/>
      <c r="AM512" s="562"/>
      <c r="AN512" s="562"/>
      <c r="AO512" s="562"/>
      <c r="AP512" s="562"/>
      <c r="AQ512" s="562"/>
      <c r="AR512" s="562"/>
      <c r="AS512" s="562"/>
    </row>
    <row r="513" spans="1:45" ht="16" thickTop="1" x14ac:dyDescent="0.2">
      <c r="A513" s="541">
        <v>6</v>
      </c>
      <c r="B513" s="549">
        <v>603.20000000000005</v>
      </c>
      <c r="C513" s="544"/>
      <c r="D513" s="544"/>
      <c r="E513" s="544"/>
      <c r="F513" s="544"/>
      <c r="G513" s="543" t="str">
        <f>IF(N513&gt;0,"P","")</f>
        <v/>
      </c>
      <c r="H513" s="541" t="s">
        <v>3751</v>
      </c>
      <c r="I513" s="131" t="s">
        <v>2608</v>
      </c>
      <c r="J513" s="132"/>
      <c r="K513" s="133"/>
      <c r="L513" s="819" t="s">
        <v>2609</v>
      </c>
      <c r="M513" s="835" t="s">
        <v>2610</v>
      </c>
      <c r="N513" s="981">
        <f>'Ch6'!O274</f>
        <v>0</v>
      </c>
      <c r="O513" s="981">
        <f>MIN(9,ROUNDDOWN(W513/0.01,0))</f>
        <v>0</v>
      </c>
      <c r="P513" s="74" t="b">
        <v>1</v>
      </c>
      <c r="Q513" s="74" t="b">
        <v>1</v>
      </c>
      <c r="R513" s="74" t="b">
        <v>0</v>
      </c>
      <c r="S513" s="74" t="b">
        <v>1</v>
      </c>
      <c r="T513" s="74" t="b">
        <v>0</v>
      </c>
      <c r="U513" s="74"/>
      <c r="V513" s="74"/>
      <c r="W513" s="149"/>
      <c r="X513" s="802"/>
      <c r="Y513" s="975" t="str">
        <f>IF(LEN('Ch6'!X274)=0,"None",'Ch6'!X274)</f>
        <v>None</v>
      </c>
      <c r="Z513" s="976"/>
      <c r="AA513" s="562"/>
      <c r="AB513" s="562"/>
      <c r="AC513" s="562" t="b">
        <f>OR(AD513:AE513)</f>
        <v>0</v>
      </c>
      <c r="AD513" s="562" t="b">
        <f>T513</f>
        <v>0</v>
      </c>
      <c r="AE513" s="562" t="b">
        <f>AND(W513&gt;0,LEN(X513)=0)</f>
        <v>0</v>
      </c>
      <c r="AF513" s="562" t="b">
        <f>AND(AE513,NOT(Q513))</f>
        <v>0</v>
      </c>
      <c r="AG513" s="562"/>
      <c r="AH513" s="562"/>
      <c r="AI513" s="562"/>
      <c r="AJ513" s="562"/>
      <c r="AK513" s="562"/>
      <c r="AL513" s="190" t="str">
        <f>SUBSTITUTE(SUBSTITUTE(SUBSTITUTE("vpa"&amp;$B513&amp;$C513&amp;$D513&amp;$E513&amp;$F513,".","_"),"(","_"),")","")</f>
        <v>vpa603,2</v>
      </c>
      <c r="AM513" s="190" t="str">
        <f>M513</f>
        <v>1
9 Max</v>
      </c>
      <c r="AN513" s="190" t="str">
        <f>SUBSTITUTE(SUBSTITUTE(SUBSTITUTE("vpc"&amp;$B513&amp;$C513&amp;$D513&amp;$E513&amp;$F513,".","_"),"(","_"),")","")</f>
        <v>vpc603,2</v>
      </c>
      <c r="AO513" s="190">
        <f>O513</f>
        <v>0</v>
      </c>
      <c r="AP513" s="190" t="str">
        <f>SUBSTITUTE(SUBSTITUTE(SUBSTITUTE("vch"&amp;$B513&amp;$C513&amp;$D513&amp;$E513&amp;$F513,".","_"),"(","_"),")","")</f>
        <v>vch603,2</v>
      </c>
      <c r="AQ513" s="190">
        <f>W513</f>
        <v>0</v>
      </c>
      <c r="AR513" s="190" t="str">
        <f>SUBSTITUTE(SUBSTITUTE(SUBSTITUTE("vnt"&amp;$B513&amp;$C513&amp;$D513&amp;$E513&amp;$F513,".","_"),"(","_"),")","")</f>
        <v>vnt603,2</v>
      </c>
      <c r="AS513" s="190">
        <f>X513</f>
        <v>0</v>
      </c>
    </row>
    <row r="514" spans="1:45" x14ac:dyDescent="0.2">
      <c r="A514" s="541">
        <v>6</v>
      </c>
      <c r="B514" s="549">
        <v>603.20000000000005</v>
      </c>
      <c r="C514" s="544"/>
      <c r="D514" s="544"/>
      <c r="E514" s="544"/>
      <c r="F514" s="544"/>
      <c r="G514" s="543" t="str">
        <f t="shared" ref="G514:G519" si="150">G513</f>
        <v/>
      </c>
      <c r="H514" s="541" t="s">
        <v>3751</v>
      </c>
      <c r="I514" s="99"/>
      <c r="J514" s="98"/>
      <c r="K514" s="65"/>
      <c r="L514" s="820"/>
      <c r="M514" s="836"/>
      <c r="N514" s="924"/>
      <c r="O514" s="924"/>
      <c r="P514" s="64"/>
      <c r="Q514" s="64"/>
      <c r="R514" s="64"/>
      <c r="S514" s="64"/>
      <c r="T514" s="64"/>
      <c r="U514" s="64"/>
      <c r="V514" s="64"/>
      <c r="W514" s="64"/>
      <c r="X514" s="798"/>
      <c r="Y514" s="977"/>
      <c r="Z514" s="978"/>
      <c r="AA514" s="562"/>
      <c r="AB514" s="562"/>
      <c r="AC514" s="562"/>
      <c r="AD514" s="562"/>
      <c r="AE514" s="562"/>
      <c r="AF514" s="562"/>
      <c r="AG514" s="562"/>
      <c r="AH514" s="562"/>
      <c r="AI514" s="562"/>
      <c r="AJ514" s="562"/>
      <c r="AK514" s="562"/>
      <c r="AL514" s="562"/>
      <c r="AM514" s="562"/>
      <c r="AN514" s="562"/>
      <c r="AO514" s="562"/>
      <c r="AP514" s="562"/>
      <c r="AQ514" s="562"/>
      <c r="AR514" s="562"/>
      <c r="AS514" s="562"/>
    </row>
    <row r="515" spans="1:45" x14ac:dyDescent="0.2">
      <c r="A515" s="541">
        <v>6</v>
      </c>
      <c r="B515" s="549">
        <v>603.20000000000005</v>
      </c>
      <c r="C515" s="544"/>
      <c r="D515" s="544"/>
      <c r="E515" s="544"/>
      <c r="F515" s="544"/>
      <c r="G515" s="543" t="str">
        <f t="shared" si="150"/>
        <v/>
      </c>
      <c r="H515" s="541" t="s">
        <v>3751</v>
      </c>
      <c r="I515" s="99"/>
      <c r="J515" s="98"/>
      <c r="K515" s="65"/>
      <c r="L515" s="820"/>
      <c r="M515" s="836"/>
      <c r="N515" s="924"/>
      <c r="O515" s="924"/>
      <c r="P515" s="64"/>
      <c r="Q515" s="64"/>
      <c r="R515" s="64"/>
      <c r="S515" s="64"/>
      <c r="T515" s="64"/>
      <c r="U515" s="64"/>
      <c r="V515" s="64"/>
      <c r="W515" s="64"/>
      <c r="X515" s="798"/>
      <c r="Y515" s="977"/>
      <c r="Z515" s="978"/>
      <c r="AA515" s="562"/>
      <c r="AB515" s="562"/>
      <c r="AC515" s="562"/>
      <c r="AD515" s="562"/>
      <c r="AE515" s="562"/>
      <c r="AF515" s="562"/>
      <c r="AG515" s="562"/>
      <c r="AH515" s="562"/>
      <c r="AI515" s="562"/>
      <c r="AJ515" s="562"/>
      <c r="AK515" s="562"/>
      <c r="AL515" s="562"/>
      <c r="AM515" s="562"/>
      <c r="AN515" s="562"/>
      <c r="AO515" s="562"/>
      <c r="AP515" s="562"/>
      <c r="AQ515" s="562"/>
      <c r="AR515" s="562"/>
      <c r="AS515" s="562"/>
    </row>
    <row r="516" spans="1:45" ht="15" customHeight="1" x14ac:dyDescent="0.2">
      <c r="A516" s="541">
        <v>6</v>
      </c>
      <c r="B516" s="549">
        <v>603.20000000000005</v>
      </c>
      <c r="C516" s="544"/>
      <c r="D516" s="544"/>
      <c r="E516" s="544"/>
      <c r="F516" s="544"/>
      <c r="G516" s="543" t="str">
        <f t="shared" si="150"/>
        <v/>
      </c>
      <c r="H516" s="541" t="s">
        <v>3751</v>
      </c>
      <c r="I516" s="99"/>
      <c r="J516" s="98"/>
      <c r="K516" s="65"/>
      <c r="L516" s="645" t="s">
        <v>2611</v>
      </c>
      <c r="M516" s="836"/>
      <c r="N516" s="924"/>
      <c r="O516" s="924"/>
      <c r="P516" s="64"/>
      <c r="Q516" s="64"/>
      <c r="R516" s="64"/>
      <c r="S516" s="64"/>
      <c r="T516" s="64"/>
      <c r="U516" s="64"/>
      <c r="V516" s="64"/>
      <c r="W516" s="64"/>
      <c r="X516" s="798"/>
      <c r="Y516" s="977"/>
      <c r="Z516" s="978"/>
      <c r="AA516" s="562"/>
      <c r="AB516" s="562"/>
      <c r="AC516" s="562"/>
      <c r="AD516" s="562"/>
      <c r="AE516" s="562"/>
      <c r="AF516" s="562"/>
      <c r="AG516" s="562"/>
      <c r="AH516" s="562"/>
      <c r="AI516" s="562"/>
      <c r="AJ516" s="562"/>
      <c r="AK516" s="562"/>
      <c r="AL516" s="562"/>
      <c r="AM516" s="562"/>
      <c r="AN516" s="562"/>
      <c r="AO516" s="562"/>
      <c r="AP516" s="562"/>
      <c r="AQ516" s="562"/>
      <c r="AR516" s="562"/>
      <c r="AS516" s="562"/>
    </row>
    <row r="517" spans="1:45" x14ac:dyDescent="0.2">
      <c r="A517" s="541">
        <v>6</v>
      </c>
      <c r="B517" s="549">
        <v>603.20000000000005</v>
      </c>
      <c r="C517" s="544"/>
      <c r="D517" s="544"/>
      <c r="E517" s="544"/>
      <c r="F517" s="544"/>
      <c r="G517" s="543" t="str">
        <f t="shared" si="150"/>
        <v/>
      </c>
      <c r="H517" s="541" t="s">
        <v>3751</v>
      </c>
      <c r="I517" s="99"/>
      <c r="J517" s="98"/>
      <c r="K517" s="65"/>
      <c r="L517" s="833" t="s">
        <v>2607</v>
      </c>
      <c r="M517" s="836"/>
      <c r="N517" s="924"/>
      <c r="O517" s="924"/>
      <c r="P517" s="64"/>
      <c r="Q517" s="64"/>
      <c r="R517" s="64"/>
      <c r="S517" s="64"/>
      <c r="T517" s="64"/>
      <c r="U517" s="64"/>
      <c r="V517" s="64"/>
      <c r="W517" s="64"/>
      <c r="X517" s="798"/>
      <c r="Y517" s="977"/>
      <c r="Z517" s="978"/>
      <c r="AA517" s="562"/>
      <c r="AB517" s="562"/>
      <c r="AC517" s="562"/>
      <c r="AD517" s="562"/>
      <c r="AE517" s="562"/>
      <c r="AF517" s="562"/>
      <c r="AG517" s="562"/>
      <c r="AH517" s="562"/>
      <c r="AI517" s="562"/>
      <c r="AJ517" s="562"/>
      <c r="AK517" s="562"/>
      <c r="AL517" s="562"/>
      <c r="AM517" s="562"/>
      <c r="AN517" s="562"/>
      <c r="AO517" s="562"/>
      <c r="AP517" s="562"/>
      <c r="AQ517" s="562"/>
      <c r="AR517" s="562"/>
      <c r="AS517" s="562"/>
    </row>
    <row r="518" spans="1:45" x14ac:dyDescent="0.2">
      <c r="A518" s="541">
        <v>6</v>
      </c>
      <c r="B518" s="549">
        <v>603.20000000000005</v>
      </c>
      <c r="C518" s="544"/>
      <c r="D518" s="544"/>
      <c r="E518" s="544"/>
      <c r="F518" s="544"/>
      <c r="G518" s="543" t="str">
        <f t="shared" si="150"/>
        <v/>
      </c>
      <c r="H518" s="541" t="s">
        <v>3751</v>
      </c>
      <c r="I518" s="99"/>
      <c r="J518" s="98"/>
      <c r="K518" s="65"/>
      <c r="L518" s="834"/>
      <c r="M518" s="836"/>
      <c r="N518" s="924"/>
      <c r="O518" s="924"/>
      <c r="P518" s="64"/>
      <c r="Q518" s="64"/>
      <c r="R518" s="64"/>
      <c r="S518" s="64"/>
      <c r="T518" s="64"/>
      <c r="U518" s="64"/>
      <c r="V518" s="64"/>
      <c r="W518" s="64"/>
      <c r="X518" s="798"/>
      <c r="Y518" s="977"/>
      <c r="Z518" s="978"/>
      <c r="AA518" s="562"/>
      <c r="AB518" s="562"/>
      <c r="AC518" s="562"/>
      <c r="AD518" s="562"/>
      <c r="AE518" s="562"/>
      <c r="AF518" s="562"/>
      <c r="AG518" s="562"/>
      <c r="AH518" s="562"/>
      <c r="AI518" s="562"/>
      <c r="AJ518" s="562"/>
      <c r="AK518" s="562"/>
      <c r="AL518" s="562"/>
      <c r="AM518" s="562"/>
      <c r="AN518" s="562"/>
      <c r="AO518" s="562"/>
      <c r="AP518" s="562"/>
      <c r="AQ518" s="562"/>
      <c r="AR518" s="562"/>
      <c r="AS518" s="562"/>
    </row>
    <row r="519" spans="1:45" ht="16" thickBot="1" x14ac:dyDescent="0.25">
      <c r="A519" s="541">
        <v>6</v>
      </c>
      <c r="B519" s="549">
        <v>603.20000000000005</v>
      </c>
      <c r="C519" s="544"/>
      <c r="D519" s="544"/>
      <c r="E519" s="544"/>
      <c r="F519" s="544"/>
      <c r="G519" s="543" t="str">
        <f t="shared" si="150"/>
        <v/>
      </c>
      <c r="H519" s="541" t="s">
        <v>3751</v>
      </c>
      <c r="I519" s="99"/>
      <c r="J519" s="98"/>
      <c r="K519" s="65"/>
      <c r="L519" s="834"/>
      <c r="M519" s="836"/>
      <c r="N519" s="982"/>
      <c r="O519" s="924"/>
      <c r="P519" s="64"/>
      <c r="Q519" s="64"/>
      <c r="R519" s="64"/>
      <c r="S519" s="64"/>
      <c r="T519" s="64"/>
      <c r="U519" s="64"/>
      <c r="V519" s="64"/>
      <c r="W519" s="81"/>
      <c r="X519" s="825"/>
      <c r="Y519" s="979"/>
      <c r="Z519" s="1007"/>
      <c r="AA519" s="562"/>
      <c r="AB519" s="562"/>
      <c r="AC519" s="562"/>
      <c r="AD519" s="562"/>
      <c r="AE519" s="562"/>
      <c r="AF519" s="562"/>
      <c r="AG519" s="562"/>
      <c r="AH519" s="562"/>
      <c r="AI519" s="562"/>
      <c r="AJ519" s="562"/>
      <c r="AK519" s="562"/>
      <c r="AL519" s="562"/>
      <c r="AM519" s="562"/>
      <c r="AN519" s="562"/>
      <c r="AO519" s="562"/>
      <c r="AP519" s="562"/>
      <c r="AQ519" s="562"/>
      <c r="AR519" s="562"/>
      <c r="AS519" s="562"/>
    </row>
    <row r="520" spans="1:45" ht="16" thickTop="1" x14ac:dyDescent="0.2">
      <c r="A520" s="541">
        <v>6</v>
      </c>
      <c r="B520" s="549">
        <v>603.29999999999995</v>
      </c>
      <c r="C520" s="544"/>
      <c r="D520" s="544"/>
      <c r="E520" s="544"/>
      <c r="F520" s="544"/>
      <c r="G520" s="543" t="str">
        <f>IF(N520&gt;0,"P","")</f>
        <v/>
      </c>
      <c r="H520" s="541" t="s">
        <v>3751</v>
      </c>
      <c r="I520" s="131" t="s">
        <v>2612</v>
      </c>
      <c r="J520" s="132"/>
      <c r="K520" s="133"/>
      <c r="L520" s="819" t="s">
        <v>2613</v>
      </c>
      <c r="M520" s="827">
        <v>4</v>
      </c>
      <c r="N520" s="981">
        <f>'Ch6'!O281</f>
        <v>0</v>
      </c>
      <c r="O520" s="981">
        <f>M520*S520*W520</f>
        <v>0</v>
      </c>
      <c r="P520" s="74" t="b">
        <v>1</v>
      </c>
      <c r="Q520" s="74" t="b">
        <v>1</v>
      </c>
      <c r="R520" s="74" t="b">
        <v>0</v>
      </c>
      <c r="S520" s="74" t="b">
        <v>1</v>
      </c>
      <c r="T520" s="74" t="b">
        <v>0</v>
      </c>
      <c r="U520" s="74"/>
      <c r="V520" s="74"/>
      <c r="W520" s="18"/>
      <c r="X520" s="802"/>
      <c r="Y520" s="975" t="str">
        <f>IF(LEN('Ch6'!X281)=0,"None",'Ch6'!X281)</f>
        <v>None</v>
      </c>
      <c r="Z520" s="976"/>
      <c r="AA520" s="562"/>
      <c r="AB520" s="562"/>
      <c r="AC520" s="562" t="b">
        <f>OR(AD520:AE520)</f>
        <v>0</v>
      </c>
      <c r="AD520" s="562" t="b">
        <f>T520</f>
        <v>0</v>
      </c>
      <c r="AE520" s="562" t="b">
        <f>AND(W520=TRUE,LEN(X520)=0)</f>
        <v>0</v>
      </c>
      <c r="AF520" s="562" t="b">
        <f>AND(AE520,NOT(Q520))</f>
        <v>0</v>
      </c>
      <c r="AG520" s="562"/>
      <c r="AH520" s="562"/>
      <c r="AI520" s="562"/>
      <c r="AJ520" s="562"/>
      <c r="AK520" s="562"/>
      <c r="AL520" s="190" t="str">
        <f>SUBSTITUTE(SUBSTITUTE(SUBSTITUTE("vpa"&amp;$B520&amp;$C520&amp;$D520&amp;$E520&amp;$F520,".","_"),"(","_"),")","")</f>
        <v>vpa603,3</v>
      </c>
      <c r="AM520" s="190">
        <f>M520</f>
        <v>4</v>
      </c>
      <c r="AN520" s="190" t="str">
        <f>SUBSTITUTE(SUBSTITUTE(SUBSTITUTE("vpc"&amp;$B520&amp;$C520&amp;$D520&amp;$E520&amp;$F520,".","_"),"(","_"),")","")</f>
        <v>vpc603,3</v>
      </c>
      <c r="AO520" s="190">
        <f>O520</f>
        <v>0</v>
      </c>
      <c r="AP520" s="190" t="str">
        <f>SUBSTITUTE(SUBSTITUTE(SUBSTITUTE("vch"&amp;$B520&amp;$C520&amp;$D520&amp;$E520&amp;$F520,".","_"),"(","_"),")","")</f>
        <v>vch603,3</v>
      </c>
      <c r="AQ520" s="190">
        <f>W520</f>
        <v>0</v>
      </c>
      <c r="AR520" s="190" t="str">
        <f>SUBSTITUTE(SUBSTITUTE(SUBSTITUTE("vnt"&amp;$B520&amp;$C520&amp;$D520&amp;$E520&amp;$F520,".","_"),"(","_"),")","")</f>
        <v>vnt603,3</v>
      </c>
      <c r="AS520" s="190">
        <f>X520</f>
        <v>0</v>
      </c>
    </row>
    <row r="521" spans="1:45" x14ac:dyDescent="0.2">
      <c r="A521" s="541">
        <v>6</v>
      </c>
      <c r="B521" s="549">
        <v>603.29999999999995</v>
      </c>
      <c r="C521" s="544"/>
      <c r="D521" s="544"/>
      <c r="E521" s="544"/>
      <c r="F521" s="544"/>
      <c r="G521" s="543" t="str">
        <f t="shared" ref="G521:G522" si="151">G520</f>
        <v/>
      </c>
      <c r="H521" s="541" t="s">
        <v>3751</v>
      </c>
      <c r="I521" s="99"/>
      <c r="J521" s="98"/>
      <c r="K521" s="65"/>
      <c r="L521" s="820"/>
      <c r="M521" s="800"/>
      <c r="N521" s="924"/>
      <c r="O521" s="924"/>
      <c r="P521" s="64"/>
      <c r="Q521" s="64"/>
      <c r="R521" s="64"/>
      <c r="S521" s="64"/>
      <c r="T521" s="64"/>
      <c r="U521" s="64"/>
      <c r="V521" s="64"/>
      <c r="W521" s="64"/>
      <c r="X521" s="798"/>
      <c r="Y521" s="980"/>
      <c r="Z521" s="983"/>
      <c r="AA521" s="562"/>
      <c r="AB521" s="562"/>
      <c r="AC521" s="562"/>
      <c r="AD521" s="562"/>
      <c r="AE521" s="562"/>
      <c r="AF521" s="562"/>
      <c r="AG521" s="562"/>
      <c r="AH521" s="562"/>
      <c r="AI521" s="562"/>
      <c r="AJ521" s="562"/>
      <c r="AK521" s="562"/>
      <c r="AL521" s="562"/>
      <c r="AM521" s="562"/>
      <c r="AN521" s="562"/>
      <c r="AO521" s="562"/>
      <c r="AP521" s="562"/>
      <c r="AQ521" s="562"/>
      <c r="AR521" s="562"/>
      <c r="AS521" s="562"/>
    </row>
    <row r="522" spans="1:45" ht="15" customHeight="1" x14ac:dyDescent="0.2">
      <c r="A522" s="541">
        <v>6</v>
      </c>
      <c r="B522" s="549">
        <v>603.29999999999995</v>
      </c>
      <c r="C522" s="544"/>
      <c r="D522" s="544"/>
      <c r="E522" s="544"/>
      <c r="F522" s="544"/>
      <c r="G522" s="543" t="str">
        <f t="shared" si="151"/>
        <v/>
      </c>
      <c r="H522" s="541" t="s">
        <v>3751</v>
      </c>
      <c r="I522" s="99"/>
      <c r="J522" s="98"/>
      <c r="K522" s="65"/>
      <c r="L522" s="633" t="s">
        <v>2614</v>
      </c>
      <c r="M522" s="800"/>
      <c r="N522" s="924"/>
      <c r="O522" s="924"/>
      <c r="P522" s="64"/>
      <c r="Q522" s="64"/>
      <c r="R522" s="64"/>
      <c r="S522" s="64"/>
      <c r="T522" s="64"/>
      <c r="U522" s="64"/>
      <c r="V522" s="64"/>
      <c r="W522" s="64"/>
      <c r="X522" s="798"/>
      <c r="Y522" s="980"/>
      <c r="Z522" s="983"/>
      <c r="AA522" s="562"/>
      <c r="AB522" s="562"/>
      <c r="AC522" s="562"/>
      <c r="AD522" s="562"/>
      <c r="AE522" s="562"/>
      <c r="AF522" s="562"/>
      <c r="AG522" s="562"/>
      <c r="AH522" s="562"/>
      <c r="AI522" s="562"/>
      <c r="AJ522" s="562"/>
      <c r="AK522" s="562"/>
      <c r="AL522" s="562"/>
      <c r="AM522" s="562"/>
      <c r="AN522" s="562"/>
      <c r="AO522" s="562"/>
      <c r="AP522" s="562"/>
      <c r="AQ522" s="562"/>
      <c r="AR522" s="562"/>
      <c r="AS522" s="562"/>
    </row>
    <row r="523" spans="1:45" ht="18.75" customHeight="1" x14ac:dyDescent="0.25">
      <c r="A523" s="541">
        <v>6</v>
      </c>
      <c r="B523" s="549">
        <v>604</v>
      </c>
      <c r="C523" s="544"/>
      <c r="D523" s="544"/>
      <c r="E523" s="544"/>
      <c r="F523" s="544"/>
      <c r="G523" s="543" t="s">
        <v>3343</v>
      </c>
      <c r="H523" s="541" t="s">
        <v>3751</v>
      </c>
      <c r="I523" s="8" t="s">
        <v>2615</v>
      </c>
      <c r="J523" s="16"/>
      <c r="K523" s="52"/>
      <c r="L523" s="50"/>
      <c r="M523" s="44"/>
      <c r="N523" s="44"/>
      <c r="O523" s="44"/>
      <c r="P523" s="16"/>
      <c r="Q523" s="16"/>
      <c r="R523" s="16"/>
      <c r="S523" s="16"/>
      <c r="T523" s="16"/>
      <c r="U523" s="16"/>
      <c r="V523" s="16"/>
      <c r="W523" s="16"/>
      <c r="X523" s="16"/>
      <c r="Y523" s="16"/>
      <c r="Z523" s="453"/>
      <c r="AA523" s="562"/>
      <c r="AB523" s="562"/>
      <c r="AC523" s="562"/>
      <c r="AD523" s="562"/>
      <c r="AE523" s="562"/>
      <c r="AF523" s="562"/>
      <c r="AG523" s="562"/>
      <c r="AH523" s="562"/>
      <c r="AI523" s="562"/>
      <c r="AJ523" s="562"/>
      <c r="AK523" s="562"/>
      <c r="AL523" s="562"/>
      <c r="AM523" s="562"/>
      <c r="AN523" s="562"/>
      <c r="AO523" s="562"/>
      <c r="AP523" s="562"/>
      <c r="AQ523" s="562"/>
      <c r="AR523" s="562"/>
      <c r="AS523" s="562"/>
    </row>
    <row r="524" spans="1:45" x14ac:dyDescent="0.2">
      <c r="A524" s="541">
        <v>6</v>
      </c>
      <c r="B524" s="549">
        <v>604.1</v>
      </c>
      <c r="C524" s="544" t="s">
        <v>2329</v>
      </c>
      <c r="D524" s="544"/>
      <c r="E524" s="544"/>
      <c r="F524" s="544"/>
      <c r="G524" s="543" t="str">
        <f>IF(N524&gt;0,"P","")</f>
        <v/>
      </c>
      <c r="H524" s="541" t="s">
        <v>3751</v>
      </c>
      <c r="I524" s="40" t="s">
        <v>2616</v>
      </c>
      <c r="J524" s="3"/>
      <c r="K524" s="53"/>
      <c r="L524" s="775" t="s">
        <v>2617</v>
      </c>
      <c r="M524" s="863" t="s">
        <v>2618</v>
      </c>
      <c r="N524" s="887">
        <f>'Ch6'!O285</f>
        <v>0</v>
      </c>
      <c r="O524" s="887">
        <f>IFERROR(INDEX({0,1,2,3},MATCH(MIN(W527+0,W525+0),{0,0.25,0.5,0.75},1)),0)+IFERROR(INDEX({0,2,4,6},MATCH(MIN(W529+0,W531+0),{0,0.25,0.5,0.75},1)),0)</f>
        <v>0</v>
      </c>
      <c r="P524" s="562"/>
      <c r="Q524" s="562"/>
      <c r="R524" s="562"/>
      <c r="S524" s="562"/>
      <c r="T524" s="562"/>
      <c r="U524" s="562"/>
      <c r="V524" s="562"/>
      <c r="W524" s="562" t="s">
        <v>2619</v>
      </c>
      <c r="X524" s="825"/>
      <c r="Y524" s="980" t="str">
        <f>IF(LEN('Ch6'!X285)=0,"None",'Ch6'!X285)</f>
        <v>None</v>
      </c>
      <c r="Z524" s="983"/>
      <c r="AA524" s="562"/>
      <c r="AB524" s="562"/>
      <c r="AC524" s="562"/>
      <c r="AD524" s="562"/>
      <c r="AE524" s="562"/>
      <c r="AF524" s="562"/>
      <c r="AG524" s="562"/>
      <c r="AH524" s="562"/>
      <c r="AI524" s="562"/>
      <c r="AJ524" s="562"/>
      <c r="AK524" s="562"/>
      <c r="AL524" s="190" t="str">
        <f>SUBSTITUTE(SUBSTITUTE(SUBSTITUTE("vpa"&amp;$B524&amp;$C524&amp;$D524&amp;$E524&amp;$F524,".","_"),"(","_"),")","")</f>
        <v>vpa604,1a</v>
      </c>
      <c r="AM524" s="190" t="str">
        <f>M524</f>
        <v>per Table
604.1</v>
      </c>
      <c r="AN524" s="190" t="str">
        <f>SUBSTITUTE(SUBSTITUTE(SUBSTITUTE("vpc"&amp;$B524&amp;$C524&amp;$D524&amp;$E524&amp;$F524,".","_"),"(","_"),")","")</f>
        <v>vpc604,1a</v>
      </c>
      <c r="AO524" s="190">
        <f>O524</f>
        <v>0</v>
      </c>
      <c r="AP524" s="562"/>
      <c r="AQ524" s="562"/>
      <c r="AR524" s="190" t="str">
        <f>SUBSTITUTE(SUBSTITUTE(SUBSTITUTE("vnt"&amp;$B524&amp;$C524&amp;$D524&amp;$E524&amp;$F524,".","_"),"(","_"),")","")</f>
        <v>vnt604,1a</v>
      </c>
      <c r="AS524" s="190">
        <f>X524</f>
        <v>0</v>
      </c>
    </row>
    <row r="525" spans="1:45" x14ac:dyDescent="0.2">
      <c r="A525" s="541">
        <v>6</v>
      </c>
      <c r="B525" s="549">
        <v>604.1</v>
      </c>
      <c r="C525" s="544" t="s">
        <v>2329</v>
      </c>
      <c r="D525" s="544"/>
      <c r="E525" s="544"/>
      <c r="F525" s="544"/>
      <c r="G525" s="543" t="str">
        <f t="shared" ref="G525:G531" si="152">G524</f>
        <v/>
      </c>
      <c r="H525" s="541" t="s">
        <v>3751</v>
      </c>
      <c r="I525" s="40"/>
      <c r="J525" s="3"/>
      <c r="K525" s="53"/>
      <c r="L525" s="775"/>
      <c r="M525" s="863"/>
      <c r="N525" s="887"/>
      <c r="O525" s="887"/>
      <c r="P525" s="562" t="b">
        <v>1</v>
      </c>
      <c r="Q525" s="562" t="b">
        <v>1</v>
      </c>
      <c r="R525" s="562" t="b">
        <v>0</v>
      </c>
      <c r="S525" s="562" t="b">
        <v>1</v>
      </c>
      <c r="T525" s="562" t="b">
        <v>0</v>
      </c>
      <c r="U525" s="64"/>
      <c r="V525" s="562"/>
      <c r="W525" s="122"/>
      <c r="X525" s="786"/>
      <c r="Y525" s="980"/>
      <c r="Z525" s="983"/>
      <c r="AA525" s="562"/>
      <c r="AB525" s="562"/>
      <c r="AC525" s="562" t="b">
        <f>OR(AD525:AE525)</f>
        <v>0</v>
      </c>
      <c r="AD525" s="562" t="b">
        <f>T525</f>
        <v>0</v>
      </c>
      <c r="AE525" s="562" t="b">
        <f>AND(W525&gt;0,LEN(X524)=0)</f>
        <v>0</v>
      </c>
      <c r="AF525" s="562" t="b">
        <f>AND(AE525,NOT(Q525))</f>
        <v>0</v>
      </c>
      <c r="AG525" s="562"/>
      <c r="AH525" s="562"/>
      <c r="AI525" s="562"/>
      <c r="AJ525" s="562"/>
      <c r="AK525" s="562"/>
      <c r="AL525" s="562"/>
      <c r="AM525" s="562"/>
      <c r="AN525" s="562"/>
      <c r="AO525" s="562"/>
      <c r="AP525" s="190" t="str">
        <f>SUBSTITUTE(SUBSTITUTE(SUBSTITUTE("vch"&amp;$B525&amp;$C525&amp;$D525&amp;$E525&amp;$F525,".","_"),"(","_"),")","")</f>
        <v>vch604,1a</v>
      </c>
      <c r="AQ525" s="190">
        <f>W525</f>
        <v>0</v>
      </c>
      <c r="AR525" s="562"/>
      <c r="AS525" s="562"/>
    </row>
    <row r="526" spans="1:45" x14ac:dyDescent="0.2">
      <c r="A526" s="541">
        <v>6</v>
      </c>
      <c r="B526" s="549">
        <v>604.1</v>
      </c>
      <c r="C526" s="544" t="s">
        <v>2331</v>
      </c>
      <c r="D526" s="544"/>
      <c r="E526" s="544"/>
      <c r="F526" s="544"/>
      <c r="G526" s="543" t="str">
        <f t="shared" si="152"/>
        <v/>
      </c>
      <c r="H526" s="541" t="s">
        <v>3751</v>
      </c>
      <c r="I526" s="40"/>
      <c r="J526" s="3"/>
      <c r="K526" s="53"/>
      <c r="L526" s="567" t="s">
        <v>2620</v>
      </c>
      <c r="M526" s="863"/>
      <c r="N526" s="887"/>
      <c r="O526" s="887"/>
      <c r="P526" s="562"/>
      <c r="Q526" s="562"/>
      <c r="R526" s="562"/>
      <c r="S526" s="562"/>
      <c r="T526" s="562"/>
      <c r="U526" s="562"/>
      <c r="V526" s="562"/>
      <c r="W526" s="562" t="s">
        <v>2621</v>
      </c>
      <c r="X526" s="787"/>
      <c r="Y526" s="980" t="str">
        <f>IF(LEN('Ch6'!X287)=0,"None",'Ch6'!X287)</f>
        <v>None</v>
      </c>
      <c r="Z526" s="983"/>
      <c r="AA526" s="562"/>
      <c r="AB526" s="562"/>
      <c r="AC526" s="562"/>
      <c r="AD526" s="562"/>
      <c r="AE526" s="562"/>
      <c r="AF526" s="562"/>
      <c r="AG526" s="562"/>
      <c r="AH526" s="562"/>
      <c r="AI526" s="562"/>
      <c r="AJ526" s="562"/>
      <c r="AK526" s="562"/>
      <c r="AL526" s="562"/>
      <c r="AM526" s="562"/>
      <c r="AN526" s="562"/>
      <c r="AO526" s="562"/>
      <c r="AP526" s="562"/>
      <c r="AQ526" s="562"/>
      <c r="AR526" s="190" t="str">
        <f>SUBSTITUTE(SUBSTITUTE(SUBSTITUTE("vnt"&amp;$B526&amp;$C526&amp;$D526&amp;$E526&amp;$F526,".","_"),"(","_"),")","")</f>
        <v>vnt604,1b</v>
      </c>
      <c r="AS526" s="190">
        <f>X526</f>
        <v>0</v>
      </c>
    </row>
    <row r="527" spans="1:45" x14ac:dyDescent="0.2">
      <c r="A527" s="541">
        <v>6</v>
      </c>
      <c r="B527" s="549">
        <v>604.1</v>
      </c>
      <c r="C527" s="544" t="s">
        <v>2331</v>
      </c>
      <c r="D527" s="544"/>
      <c r="E527" s="544"/>
      <c r="F527" s="544"/>
      <c r="G527" s="543" t="str">
        <f t="shared" si="152"/>
        <v/>
      </c>
      <c r="H527" s="541" t="s">
        <v>3751</v>
      </c>
      <c r="I527" s="40"/>
      <c r="J527" s="3"/>
      <c r="K527" s="53"/>
      <c r="L527" s="196" t="s">
        <v>3438</v>
      </c>
      <c r="M527" s="863"/>
      <c r="N527" s="887"/>
      <c r="O527" s="887"/>
      <c r="P527" s="562" t="b">
        <v>1</v>
      </c>
      <c r="Q527" s="562" t="b">
        <v>1</v>
      </c>
      <c r="R527" s="562" t="b">
        <v>0</v>
      </c>
      <c r="S527" s="562" t="b">
        <v>1</v>
      </c>
      <c r="T527" s="562" t="b">
        <v>0</v>
      </c>
      <c r="U527" s="64"/>
      <c r="V527" s="562"/>
      <c r="W527" s="122"/>
      <c r="X527" s="787"/>
      <c r="Y527" s="980"/>
      <c r="Z527" s="983"/>
      <c r="AA527" s="562"/>
      <c r="AB527" s="562"/>
      <c r="AC527" s="562" t="b">
        <f>OR(AD527:AE527)</f>
        <v>0</v>
      </c>
      <c r="AD527" s="562" t="b">
        <f>T527</f>
        <v>0</v>
      </c>
      <c r="AE527" s="562" t="b">
        <f>AND(W527&gt;0,LEN(X526)=0)</f>
        <v>0</v>
      </c>
      <c r="AF527" s="562" t="b">
        <f>AND(AE527,NOT(Q527))</f>
        <v>0</v>
      </c>
      <c r="AG527" s="562"/>
      <c r="AH527" s="562"/>
      <c r="AI527" s="562"/>
      <c r="AJ527" s="562"/>
      <c r="AK527" s="562"/>
      <c r="AL527" s="562"/>
      <c r="AM527" s="562"/>
      <c r="AN527" s="562"/>
      <c r="AO527" s="562"/>
      <c r="AP527" s="190" t="str">
        <f>SUBSTITUTE(SUBSTITUTE(SUBSTITUTE("vch"&amp;$B527&amp;$C527&amp;$D527&amp;$E527&amp;$F527,".","_"),"(","_"),")","")</f>
        <v>vch604,1b</v>
      </c>
      <c r="AQ527" s="190">
        <f>W527</f>
        <v>0</v>
      </c>
      <c r="AR527" s="562"/>
      <c r="AS527" s="562"/>
    </row>
    <row r="528" spans="1:45" x14ac:dyDescent="0.2">
      <c r="A528" s="541">
        <v>6</v>
      </c>
      <c r="B528" s="549">
        <v>604.1</v>
      </c>
      <c r="C528" s="544" t="s">
        <v>2333</v>
      </c>
      <c r="D528" s="544"/>
      <c r="E528" s="544"/>
      <c r="F528" s="544"/>
      <c r="G528" s="543" t="str">
        <f t="shared" si="152"/>
        <v/>
      </c>
      <c r="H528" s="541" t="s">
        <v>3751</v>
      </c>
      <c r="I528" s="40"/>
      <c r="J528" s="3"/>
      <c r="K528" s="53"/>
      <c r="L528" s="816" t="s">
        <v>2623</v>
      </c>
      <c r="M528" s="863"/>
      <c r="N528" s="887"/>
      <c r="O528" s="887"/>
      <c r="P528" s="562"/>
      <c r="Q528" s="562"/>
      <c r="R528" s="562"/>
      <c r="S528" s="562"/>
      <c r="T528" s="562"/>
      <c r="U528" s="562"/>
      <c r="V528" s="562"/>
      <c r="W528" s="562" t="s">
        <v>2624</v>
      </c>
      <c r="X528" s="787"/>
      <c r="Y528" s="980" t="str">
        <f>IF(LEN('Ch6'!X289)=0,"None",'Ch6'!X289)</f>
        <v>None</v>
      </c>
      <c r="Z528" s="983"/>
      <c r="AA528" s="562"/>
      <c r="AB528" s="562"/>
      <c r="AC528" s="562"/>
      <c r="AD528" s="562"/>
      <c r="AE528" s="562"/>
      <c r="AF528" s="562"/>
      <c r="AG528" s="562"/>
      <c r="AH528" s="562"/>
      <c r="AI528" s="562"/>
      <c r="AJ528" s="562"/>
      <c r="AK528" s="562"/>
      <c r="AL528" s="562"/>
      <c r="AM528" s="562"/>
      <c r="AN528" s="562"/>
      <c r="AO528" s="562"/>
      <c r="AP528" s="562"/>
      <c r="AQ528" s="562"/>
      <c r="AR528" s="190" t="str">
        <f>SUBSTITUTE(SUBSTITUTE(SUBSTITUTE("vnt"&amp;$B528&amp;$C528&amp;$D528&amp;$E528&amp;$F528,".","_"),"(","_"),")","")</f>
        <v>vnt604,1c</v>
      </c>
      <c r="AS528" s="190">
        <f>X528</f>
        <v>0</v>
      </c>
    </row>
    <row r="529" spans="1:45" ht="15" customHeight="1" x14ac:dyDescent="0.2">
      <c r="A529" s="541">
        <v>6</v>
      </c>
      <c r="B529" s="549">
        <v>604.1</v>
      </c>
      <c r="C529" s="544" t="s">
        <v>2333</v>
      </c>
      <c r="D529" s="544"/>
      <c r="E529" s="544"/>
      <c r="F529" s="544"/>
      <c r="G529" s="543" t="str">
        <f t="shared" si="152"/>
        <v/>
      </c>
      <c r="H529" s="541" t="s">
        <v>3751</v>
      </c>
      <c r="I529" s="40"/>
      <c r="J529" s="3"/>
      <c r="K529" s="53"/>
      <c r="L529" s="816"/>
      <c r="M529" s="863"/>
      <c r="N529" s="887"/>
      <c r="O529" s="887"/>
      <c r="P529" s="562" t="b">
        <v>1</v>
      </c>
      <c r="Q529" s="562" t="b">
        <v>1</v>
      </c>
      <c r="R529" s="562" t="b">
        <v>0</v>
      </c>
      <c r="S529" s="562" t="b">
        <v>1</v>
      </c>
      <c r="T529" s="562" t="b">
        <v>0</v>
      </c>
      <c r="U529" s="64"/>
      <c r="V529" s="562"/>
      <c r="W529" s="122"/>
      <c r="X529" s="787"/>
      <c r="Y529" s="980"/>
      <c r="Z529" s="983"/>
      <c r="AA529" s="562"/>
      <c r="AB529" s="562"/>
      <c r="AC529" s="562" t="b">
        <f>OR(AD529:AE529)</f>
        <v>0</v>
      </c>
      <c r="AD529" s="562" t="b">
        <f>T529</f>
        <v>0</v>
      </c>
      <c r="AE529" s="562" t="b">
        <f>AND(W529&gt;0,LEN(X528)=0)</f>
        <v>0</v>
      </c>
      <c r="AF529" s="562" t="b">
        <f>AND(AE529,NOT(Q529))</f>
        <v>0</v>
      </c>
      <c r="AG529" s="562"/>
      <c r="AH529" s="562"/>
      <c r="AI529" s="562"/>
      <c r="AJ529" s="562"/>
      <c r="AK529" s="562"/>
      <c r="AL529" s="562"/>
      <c r="AM529" s="562"/>
      <c r="AN529" s="562"/>
      <c r="AO529" s="562"/>
      <c r="AP529" s="190" t="str">
        <f>SUBSTITUTE(SUBSTITUTE(SUBSTITUTE("vch"&amp;$B529&amp;$C529&amp;$D529&amp;$E529&amp;$F529,".","_"),"(","_"),")","")</f>
        <v>vch604,1c</v>
      </c>
      <c r="AQ529" s="190">
        <f>W529</f>
        <v>0</v>
      </c>
      <c r="AR529" s="562"/>
      <c r="AS529" s="562"/>
    </row>
    <row r="530" spans="1:45" x14ac:dyDescent="0.2">
      <c r="A530" s="541">
        <v>6</v>
      </c>
      <c r="B530" s="549">
        <v>604.1</v>
      </c>
      <c r="C530" s="544" t="s">
        <v>2335</v>
      </c>
      <c r="D530" s="544"/>
      <c r="E530" s="544"/>
      <c r="F530" s="544"/>
      <c r="G530" s="543" t="str">
        <f t="shared" si="152"/>
        <v/>
      </c>
      <c r="H530" s="541" t="s">
        <v>3751</v>
      </c>
      <c r="I530" s="40"/>
      <c r="J530" s="3"/>
      <c r="K530" s="53"/>
      <c r="L530" s="562"/>
      <c r="M530" s="863"/>
      <c r="N530" s="887"/>
      <c r="O530" s="887"/>
      <c r="P530" s="562"/>
      <c r="Q530" s="562"/>
      <c r="R530" s="562"/>
      <c r="S530" s="562"/>
      <c r="T530" s="562"/>
      <c r="U530" s="562"/>
      <c r="V530" s="562"/>
      <c r="W530" s="562" t="s">
        <v>2625</v>
      </c>
      <c r="X530" s="787"/>
      <c r="Y530" s="980" t="str">
        <f>IF(LEN('Ch6'!X291)=0,"None",'Ch6'!X291)</f>
        <v>None</v>
      </c>
      <c r="Z530" s="983"/>
      <c r="AA530" s="562"/>
      <c r="AB530" s="562"/>
      <c r="AC530" s="562"/>
      <c r="AD530" s="562"/>
      <c r="AE530" s="562"/>
      <c r="AF530" s="562"/>
      <c r="AG530" s="562"/>
      <c r="AH530" s="562"/>
      <c r="AI530" s="562"/>
      <c r="AJ530" s="562"/>
      <c r="AK530" s="562"/>
      <c r="AL530" s="562"/>
      <c r="AM530" s="562"/>
      <c r="AN530" s="562"/>
      <c r="AO530" s="562"/>
      <c r="AP530" s="562"/>
      <c r="AQ530" s="562"/>
      <c r="AR530" s="190" t="str">
        <f>SUBSTITUTE(SUBSTITUTE(SUBSTITUTE("vnt"&amp;$B530&amp;$C530&amp;$D530&amp;$E530&amp;$F530,".","_"),"(","_"),")","")</f>
        <v>vnt604,1d</v>
      </c>
      <c r="AS530" s="190">
        <f>X530</f>
        <v>0</v>
      </c>
    </row>
    <row r="531" spans="1:45" x14ac:dyDescent="0.2">
      <c r="A531" s="541">
        <v>6</v>
      </c>
      <c r="B531" s="549">
        <v>604.1</v>
      </c>
      <c r="C531" s="544" t="s">
        <v>2335</v>
      </c>
      <c r="D531" s="544"/>
      <c r="E531" s="544"/>
      <c r="F531" s="544"/>
      <c r="G531" s="543" t="str">
        <f t="shared" si="152"/>
        <v/>
      </c>
      <c r="H531" s="541" t="s">
        <v>3751</v>
      </c>
      <c r="I531" s="40"/>
      <c r="J531" s="3"/>
      <c r="K531" s="53"/>
      <c r="L531" s="562"/>
      <c r="M531" s="863"/>
      <c r="N531" s="887"/>
      <c r="O531" s="887"/>
      <c r="P531" s="562" t="b">
        <v>1</v>
      </c>
      <c r="Q531" s="562" t="b">
        <v>1</v>
      </c>
      <c r="R531" s="562" t="b">
        <v>0</v>
      </c>
      <c r="S531" s="562" t="b">
        <v>1</v>
      </c>
      <c r="T531" s="562" t="b">
        <v>0</v>
      </c>
      <c r="U531" s="64"/>
      <c r="V531" s="562"/>
      <c r="W531" s="122"/>
      <c r="X531" s="787"/>
      <c r="Y531" s="980"/>
      <c r="Z531" s="983"/>
      <c r="AA531" s="562"/>
      <c r="AB531" s="562"/>
      <c r="AC531" s="562" t="b">
        <f>OR(AD531:AE531)</f>
        <v>0</v>
      </c>
      <c r="AD531" s="562" t="b">
        <f>T531</f>
        <v>0</v>
      </c>
      <c r="AE531" s="562" t="b">
        <f>AND(W531&gt;0,LEN(X530)=0)</f>
        <v>0</v>
      </c>
      <c r="AF531" s="562" t="b">
        <f>AND(AE531,NOT(Q531))</f>
        <v>0</v>
      </c>
      <c r="AG531" s="562"/>
      <c r="AH531" s="562"/>
      <c r="AI531" s="562"/>
      <c r="AJ531" s="562"/>
      <c r="AK531" s="562"/>
      <c r="AL531" s="562"/>
      <c r="AM531" s="562"/>
      <c r="AN531" s="562"/>
      <c r="AO531" s="562"/>
      <c r="AP531" s="190" t="str">
        <f>SUBSTITUTE(SUBSTITUTE(SUBSTITUTE("vch"&amp;$B531&amp;$C531&amp;$D531&amp;$E531&amp;$F531,".","_"),"(","_"),")","")</f>
        <v>vch604,1d</v>
      </c>
      <c r="AQ531" s="190">
        <f>W531</f>
        <v>0</v>
      </c>
      <c r="AR531" s="562"/>
      <c r="AS531" s="562"/>
    </row>
    <row r="532" spans="1:45" ht="19" x14ac:dyDescent="0.25">
      <c r="A532" s="541">
        <v>6</v>
      </c>
      <c r="B532" s="549">
        <v>605</v>
      </c>
      <c r="C532" s="544"/>
      <c r="D532" s="544"/>
      <c r="E532" s="544"/>
      <c r="F532" s="544"/>
      <c r="G532" s="543" t="s">
        <v>3343</v>
      </c>
      <c r="H532" s="541" t="s">
        <v>3751</v>
      </c>
      <c r="I532" s="8" t="s">
        <v>2626</v>
      </c>
      <c r="J532" s="16"/>
      <c r="K532" s="52"/>
      <c r="L532" s="45"/>
      <c r="M532" s="44"/>
      <c r="N532" s="44"/>
      <c r="O532" s="44"/>
      <c r="P532" s="16"/>
      <c r="Q532" s="16"/>
      <c r="R532" s="16"/>
      <c r="S532" s="16"/>
      <c r="T532" s="16"/>
      <c r="U532" s="16"/>
      <c r="V532" s="16"/>
      <c r="W532" s="16"/>
      <c r="X532" s="16"/>
      <c r="Y532" s="16"/>
      <c r="Z532" s="453"/>
      <c r="AA532" s="562"/>
      <c r="AB532" s="562"/>
      <c r="AC532" s="562"/>
      <c r="AD532" s="562"/>
      <c r="AE532" s="562"/>
      <c r="AF532" s="562"/>
      <c r="AG532" s="562"/>
      <c r="AH532" s="562"/>
      <c r="AI532" s="562"/>
      <c r="AJ532" s="562"/>
      <c r="AK532" s="562"/>
      <c r="AL532" s="562"/>
      <c r="AM532" s="562"/>
      <c r="AN532" s="562"/>
      <c r="AO532" s="562"/>
      <c r="AP532" s="562"/>
      <c r="AQ532" s="562"/>
      <c r="AR532" s="562"/>
      <c r="AS532" s="562"/>
    </row>
    <row r="533" spans="1:45" x14ac:dyDescent="0.2">
      <c r="A533" s="541">
        <v>6</v>
      </c>
      <c r="B533" s="549" t="s">
        <v>2627</v>
      </c>
      <c r="C533" s="544"/>
      <c r="D533" s="544"/>
      <c r="E533" s="544"/>
      <c r="F533" s="544"/>
      <c r="G533" s="541"/>
      <c r="H533" s="541"/>
      <c r="I533" s="49" t="s">
        <v>2628</v>
      </c>
      <c r="J533" s="3"/>
      <c r="K533" s="53"/>
      <c r="L533" s="775" t="s">
        <v>2629</v>
      </c>
      <c r="M533" s="616"/>
      <c r="N533" s="648"/>
      <c r="O533" s="648"/>
      <c r="P533" s="562"/>
      <c r="Q533" s="562"/>
      <c r="R533" s="562"/>
      <c r="S533" s="562"/>
      <c r="T533" s="562"/>
      <c r="U533" s="562"/>
      <c r="V533" s="562"/>
      <c r="W533" s="562"/>
      <c r="X533" s="562"/>
      <c r="Y533" s="562"/>
      <c r="Z533" s="430"/>
      <c r="AA533" s="562"/>
      <c r="AB533" s="562"/>
      <c r="AC533" s="562"/>
      <c r="AD533" s="562"/>
      <c r="AE533" s="562"/>
      <c r="AF533" s="562"/>
      <c r="AG533" s="562"/>
      <c r="AH533" s="562"/>
      <c r="AI533" s="562"/>
      <c r="AJ533" s="562"/>
      <c r="AK533" s="562"/>
      <c r="AL533" s="562"/>
      <c r="AM533" s="562"/>
      <c r="AN533" s="562"/>
      <c r="AO533" s="562"/>
      <c r="AP533" s="562"/>
      <c r="AQ533" s="562"/>
      <c r="AR533" s="562"/>
      <c r="AS533" s="562"/>
    </row>
    <row r="534" spans="1:45" ht="16" thickBot="1" x14ac:dyDescent="0.25">
      <c r="A534" s="541">
        <v>6</v>
      </c>
      <c r="B534" s="549" t="s">
        <v>2627</v>
      </c>
      <c r="C534" s="544"/>
      <c r="D534" s="544"/>
      <c r="E534" s="544"/>
      <c r="F534" s="544"/>
      <c r="G534" s="541"/>
      <c r="H534" s="541"/>
      <c r="I534" s="40"/>
      <c r="J534" s="3"/>
      <c r="K534" s="53"/>
      <c r="L534" s="775"/>
      <c r="M534" s="616"/>
      <c r="N534" s="648"/>
      <c r="O534" s="648"/>
      <c r="P534" s="562"/>
      <c r="Q534" s="562"/>
      <c r="R534" s="562"/>
      <c r="S534" s="562"/>
      <c r="T534" s="562"/>
      <c r="U534" s="562"/>
      <c r="V534" s="562"/>
      <c r="W534" s="562"/>
      <c r="X534" s="562"/>
      <c r="Y534" s="562"/>
      <c r="Z534" s="430"/>
      <c r="AA534" s="562"/>
      <c r="AB534" s="562"/>
      <c r="AC534" s="562"/>
      <c r="AD534" s="562"/>
      <c r="AE534" s="562"/>
      <c r="AF534" s="562"/>
      <c r="AG534" s="562"/>
      <c r="AH534" s="562"/>
      <c r="AI534" s="562"/>
      <c r="AJ534" s="562"/>
      <c r="AK534" s="562"/>
      <c r="AL534" s="562"/>
      <c r="AM534" s="562"/>
      <c r="AN534" s="562"/>
      <c r="AO534" s="562"/>
      <c r="AP534" s="562"/>
      <c r="AQ534" s="562"/>
      <c r="AR534" s="562"/>
      <c r="AS534" s="562"/>
    </row>
    <row r="535" spans="1:45" s="485" customFormat="1" ht="16" thickTop="1" x14ac:dyDescent="0.2">
      <c r="A535" s="541">
        <v>6</v>
      </c>
      <c r="B535" s="549">
        <v>605.1</v>
      </c>
      <c r="C535" s="544"/>
      <c r="D535" s="544"/>
      <c r="E535" s="544"/>
      <c r="F535" s="544"/>
      <c r="G535" s="541" t="s">
        <v>3343</v>
      </c>
      <c r="H535" s="541" t="s">
        <v>3757</v>
      </c>
      <c r="I535" s="490" t="s">
        <v>2630</v>
      </c>
      <c r="J535" s="132"/>
      <c r="K535" s="133"/>
      <c r="L535" s="819" t="s">
        <v>2631</v>
      </c>
      <c r="M535" s="843" t="str">
        <f>IF(R535,"Mandatory","N/A")</f>
        <v>Mandatory</v>
      </c>
      <c r="N535" s="132"/>
      <c r="O535" s="623"/>
      <c r="P535" s="491" t="b">
        <v>1</v>
      </c>
      <c r="Q535" s="491" t="b">
        <v>0</v>
      </c>
      <c r="R535" s="492" t="b">
        <f>S535</f>
        <v>1</v>
      </c>
      <c r="S535" s="492" t="b">
        <v>1</v>
      </c>
      <c r="T535" s="491" t="b">
        <v>0</v>
      </c>
      <c r="U535" s="562"/>
      <c r="V535" s="562"/>
      <c r="W535" s="18"/>
      <c r="X535" s="984"/>
      <c r="Y535" s="986" t="str">
        <f>IF(LEN('Ch6'!X297)=0,"None",'Ch6'!X297)</f>
        <v>None</v>
      </c>
      <c r="Z535" s="984"/>
      <c r="AA535" s="562"/>
      <c r="AB535" s="562"/>
      <c r="AC535" s="492" t="b">
        <f>OR(AD535:AE535)</f>
        <v>1</v>
      </c>
      <c r="AD535" s="492" t="b">
        <f>T535</f>
        <v>0</v>
      </c>
      <c r="AE535" s="492" t="b">
        <f>AND(R535,NOT(W535))</f>
        <v>1</v>
      </c>
      <c r="AF535" s="492" t="b">
        <f>AND(AE535,NOT(Q535))</f>
        <v>1</v>
      </c>
      <c r="AG535" s="562"/>
      <c r="AH535" s="562"/>
      <c r="AI535" s="562"/>
      <c r="AJ535" s="562"/>
      <c r="AK535" s="562"/>
      <c r="AL535" s="493" t="str">
        <f>SUBSTITUTE(SUBSTITUTE(SUBSTITUTE("vpa"&amp;$B535&amp;$C535&amp;$D535&amp;$E535&amp;$F535,".","_"),"(","_"),")","")</f>
        <v>vpa605,1</v>
      </c>
      <c r="AM535" s="493" t="str">
        <f>M535</f>
        <v>Mandatory</v>
      </c>
      <c r="AN535" s="562"/>
      <c r="AO535" s="562"/>
      <c r="AP535" s="493" t="str">
        <f>SUBSTITUTE(SUBSTITUTE(SUBSTITUTE("vch"&amp;$B535&amp;$C535&amp;$D535&amp;$E535&amp;$F535,".","_"),"(","_"),")","")</f>
        <v>vch605,1</v>
      </c>
      <c r="AQ535" s="493">
        <f>W535</f>
        <v>0</v>
      </c>
      <c r="AR535" s="493" t="str">
        <f>SUBSTITUTE(SUBSTITUTE(SUBSTITUTE("vnt"&amp;$B535&amp;$C535&amp;$D535&amp;$E535&amp;$F535,".","_"),"(","_"),")","")</f>
        <v>vnt605,1</v>
      </c>
      <c r="AS535" s="493">
        <f>X535</f>
        <v>0</v>
      </c>
    </row>
    <row r="536" spans="1:45" s="485" customFormat="1" x14ac:dyDescent="0.2">
      <c r="A536" s="541">
        <v>6</v>
      </c>
      <c r="B536" s="549">
        <v>605.1</v>
      </c>
      <c r="C536" s="544"/>
      <c r="D536" s="544"/>
      <c r="E536" s="544"/>
      <c r="F536" s="544"/>
      <c r="G536" s="541" t="s">
        <v>3343</v>
      </c>
      <c r="H536" s="541" t="s">
        <v>3757</v>
      </c>
      <c r="I536" s="99"/>
      <c r="J536" s="98"/>
      <c r="K536" s="65"/>
      <c r="L536" s="820"/>
      <c r="M536" s="838"/>
      <c r="N536" s="98"/>
      <c r="O536" s="607"/>
      <c r="P536" s="64"/>
      <c r="Q536" s="64"/>
      <c r="R536" s="64"/>
      <c r="S536" s="64"/>
      <c r="T536" s="64"/>
      <c r="U536" s="562"/>
      <c r="V536" s="562"/>
      <c r="W536" s="64"/>
      <c r="X536" s="977"/>
      <c r="Y536" s="987"/>
      <c r="Z536" s="977"/>
      <c r="AA536" s="562"/>
      <c r="AB536" s="562"/>
      <c r="AC536" s="562"/>
      <c r="AD536" s="562"/>
      <c r="AE536" s="562"/>
      <c r="AF536" s="562"/>
      <c r="AG536" s="562"/>
      <c r="AH536" s="562"/>
      <c r="AI536" s="562"/>
      <c r="AJ536" s="562"/>
      <c r="AK536" s="562"/>
      <c r="AL536" s="562"/>
      <c r="AM536" s="562"/>
      <c r="AN536" s="562"/>
      <c r="AO536" s="562"/>
      <c r="AP536" s="562"/>
      <c r="AQ536" s="562"/>
      <c r="AR536" s="562"/>
      <c r="AS536" s="562"/>
    </row>
    <row r="537" spans="1:45" s="485" customFormat="1" ht="16" thickBot="1" x14ac:dyDescent="0.25">
      <c r="A537" s="541">
        <v>6</v>
      </c>
      <c r="B537" s="549">
        <v>605.1</v>
      </c>
      <c r="C537" s="544"/>
      <c r="D537" s="544"/>
      <c r="E537" s="544"/>
      <c r="F537" s="544"/>
      <c r="G537" s="541" t="s">
        <v>3343</v>
      </c>
      <c r="H537" s="541" t="s">
        <v>3757</v>
      </c>
      <c r="I537" s="99"/>
      <c r="J537" s="98"/>
      <c r="K537" s="65"/>
      <c r="L537" s="822"/>
      <c r="M537" s="844"/>
      <c r="N537" s="98"/>
      <c r="O537" s="607"/>
      <c r="P537" s="64"/>
      <c r="Q537" s="64"/>
      <c r="R537" s="64"/>
      <c r="S537" s="64"/>
      <c r="T537" s="64"/>
      <c r="U537" s="562"/>
      <c r="V537" s="562"/>
      <c r="W537" s="81"/>
      <c r="X537" s="979"/>
      <c r="Y537" s="988"/>
      <c r="Z537" s="979"/>
      <c r="AA537" s="562"/>
      <c r="AB537" s="562"/>
      <c r="AC537" s="562"/>
      <c r="AD537" s="562"/>
      <c r="AE537" s="562"/>
      <c r="AF537" s="562"/>
      <c r="AG537" s="562"/>
      <c r="AH537" s="562"/>
      <c r="AI537" s="562"/>
      <c r="AJ537" s="562"/>
      <c r="AK537" s="562"/>
      <c r="AL537" s="562"/>
      <c r="AM537" s="562"/>
      <c r="AN537" s="562"/>
      <c r="AO537" s="562"/>
      <c r="AP537" s="562"/>
      <c r="AQ537" s="562"/>
      <c r="AR537" s="562"/>
      <c r="AS537" s="562"/>
    </row>
    <row r="538" spans="1:45" ht="16" thickTop="1" x14ac:dyDescent="0.2">
      <c r="A538" s="541">
        <v>6</v>
      </c>
      <c r="B538" s="549">
        <v>605.20000000000005</v>
      </c>
      <c r="C538" s="544"/>
      <c r="D538" s="544"/>
      <c r="E538" s="544"/>
      <c r="F538" s="544"/>
      <c r="G538" s="543" t="str">
        <f>IF(N538&gt;0,"P","")</f>
        <v/>
      </c>
      <c r="H538" s="541" t="s">
        <v>3751</v>
      </c>
      <c r="I538" s="131" t="s">
        <v>2632</v>
      </c>
      <c r="J538" s="132"/>
      <c r="K538" s="133"/>
      <c r="L538" s="819" t="s">
        <v>2633</v>
      </c>
      <c r="M538" s="827">
        <v>6</v>
      </c>
      <c r="N538" s="981">
        <f>'Ch6'!O299</f>
        <v>0</v>
      </c>
      <c r="O538" s="981">
        <f>M538*S538*IFERROR(OR(W538,W551),0)</f>
        <v>0</v>
      </c>
      <c r="P538" s="64" t="b">
        <v>1</v>
      </c>
      <c r="Q538" s="64" t="b">
        <v>1</v>
      </c>
      <c r="R538" s="74" t="b">
        <v>0</v>
      </c>
      <c r="S538" s="74" t="b">
        <v>1</v>
      </c>
      <c r="T538" s="74" t="b">
        <v>0</v>
      </c>
      <c r="U538" s="74"/>
      <c r="V538" s="74"/>
      <c r="W538" s="91"/>
      <c r="X538" s="786"/>
      <c r="Y538" s="975" t="str">
        <f>IF(LEN('Ch6'!X299)=0,"None",'Ch6'!X299)</f>
        <v>None</v>
      </c>
      <c r="Z538" s="976"/>
      <c r="AA538" s="562"/>
      <c r="AB538" s="562"/>
      <c r="AC538" s="562"/>
      <c r="AD538" s="562"/>
      <c r="AE538" s="562"/>
      <c r="AF538" s="562"/>
      <c r="AG538" s="562"/>
      <c r="AH538" s="562"/>
      <c r="AI538" s="562"/>
      <c r="AJ538" s="562"/>
      <c r="AK538" s="562"/>
      <c r="AL538" s="190" t="str">
        <f>SUBSTITUTE(SUBSTITUTE(SUBSTITUTE("vpa"&amp;$B538&amp;$C538&amp;$D538&amp;$E538&amp;$F538,".","_"),"(","_"),")","")</f>
        <v>vpa605,2</v>
      </c>
      <c r="AM538" s="190">
        <f>M538</f>
        <v>6</v>
      </c>
      <c r="AN538" s="190" t="str">
        <f>SUBSTITUTE(SUBSTITUTE(SUBSTITUTE("vpc"&amp;$B538&amp;$C538&amp;$D538&amp;$E538&amp;$F538,".","_"),"(","_"),")","")</f>
        <v>vpc605,2</v>
      </c>
      <c r="AO538" s="190">
        <f>O538</f>
        <v>0</v>
      </c>
      <c r="AP538" s="190" t="str">
        <f>SUBSTITUTE(SUBSTITUTE(SUBSTITUTE("vch"&amp;$B538&amp;$C538&amp;$D538&amp;$E538&amp;$F538,".","_"),"(","_"),")","")</f>
        <v>vch605,2</v>
      </c>
      <c r="AQ538" s="190">
        <f>W538</f>
        <v>0</v>
      </c>
      <c r="AR538" s="190" t="str">
        <f>SUBSTITUTE(SUBSTITUTE(SUBSTITUTE("vnt"&amp;$B538&amp;$C538&amp;$D538&amp;$E538&amp;$F538,".","_"),"(","_"),")","")</f>
        <v>vnt605,2</v>
      </c>
      <c r="AS538" s="190">
        <f>X538</f>
        <v>0</v>
      </c>
    </row>
    <row r="539" spans="1:45" x14ac:dyDescent="0.2">
      <c r="A539" s="541">
        <v>6</v>
      </c>
      <c r="B539" s="549">
        <v>605.20000000000005</v>
      </c>
      <c r="C539" s="544"/>
      <c r="D539" s="544"/>
      <c r="E539" s="544"/>
      <c r="F539" s="544"/>
      <c r="G539" s="543" t="str">
        <f t="shared" ref="G539:G552" si="153">G538</f>
        <v/>
      </c>
      <c r="H539" s="541" t="s">
        <v>3751</v>
      </c>
      <c r="I539" s="99"/>
      <c r="J539" s="98"/>
      <c r="K539" s="65"/>
      <c r="L539" s="820"/>
      <c r="M539" s="800"/>
      <c r="N539" s="924"/>
      <c r="O539" s="924"/>
      <c r="P539" s="64"/>
      <c r="Q539" s="64"/>
      <c r="R539" s="64"/>
      <c r="S539" s="64"/>
      <c r="T539" s="64"/>
      <c r="U539" s="64"/>
      <c r="V539" s="64"/>
      <c r="W539" s="64"/>
      <c r="X539" s="798"/>
      <c r="Y539" s="977"/>
      <c r="Z539" s="978"/>
      <c r="AA539" s="562"/>
      <c r="AB539" s="562"/>
      <c r="AC539" s="562"/>
      <c r="AD539" s="562"/>
      <c r="AE539" s="562"/>
      <c r="AF539" s="562"/>
      <c r="AG539" s="562"/>
      <c r="AH539" s="562"/>
      <c r="AI539" s="562"/>
      <c r="AJ539" s="562"/>
      <c r="AK539" s="562"/>
      <c r="AL539" s="562"/>
      <c r="AM539" s="562"/>
      <c r="AN539" s="562"/>
      <c r="AO539" s="562"/>
      <c r="AP539" s="562"/>
      <c r="AQ539" s="562"/>
      <c r="AR539" s="562"/>
      <c r="AS539" s="562"/>
    </row>
    <row r="540" spans="1:45" x14ac:dyDescent="0.2">
      <c r="A540" s="541">
        <v>6</v>
      </c>
      <c r="B540" s="549">
        <v>605.20000000000005</v>
      </c>
      <c r="C540" s="544"/>
      <c r="D540" s="544"/>
      <c r="E540" s="544"/>
      <c r="F540" s="544"/>
      <c r="G540" s="543" t="str">
        <f t="shared" si="153"/>
        <v/>
      </c>
      <c r="H540" s="541" t="s">
        <v>3751</v>
      </c>
      <c r="I540" s="99"/>
      <c r="J540" s="98"/>
      <c r="K540" s="65"/>
      <c r="L540" s="820"/>
      <c r="M540" s="800"/>
      <c r="N540" s="924"/>
      <c r="O540" s="924"/>
      <c r="P540" s="64"/>
      <c r="Q540" s="64"/>
      <c r="R540" s="64"/>
      <c r="S540" s="64"/>
      <c r="T540" s="64"/>
      <c r="U540" s="64"/>
      <c r="V540" s="64"/>
      <c r="W540" s="64"/>
      <c r="X540" s="798"/>
      <c r="Y540" s="977"/>
      <c r="Z540" s="978"/>
      <c r="AA540" s="562"/>
      <c r="AB540" s="562"/>
      <c r="AC540" s="562"/>
      <c r="AD540" s="562"/>
      <c r="AE540" s="562"/>
      <c r="AF540" s="562"/>
      <c r="AG540" s="562"/>
      <c r="AH540" s="562"/>
      <c r="AI540" s="562"/>
      <c r="AJ540" s="562"/>
      <c r="AK540" s="562"/>
      <c r="AL540" s="562"/>
      <c r="AM540" s="562"/>
      <c r="AN540" s="562"/>
      <c r="AO540" s="562"/>
      <c r="AP540" s="562"/>
      <c r="AQ540" s="562"/>
      <c r="AR540" s="562"/>
      <c r="AS540" s="562"/>
    </row>
    <row r="541" spans="1:45" x14ac:dyDescent="0.2">
      <c r="A541" s="541">
        <v>6</v>
      </c>
      <c r="B541" s="549">
        <v>605.20000000000005</v>
      </c>
      <c r="C541" s="544"/>
      <c r="D541" s="544"/>
      <c r="E541" s="544"/>
      <c r="F541" s="544"/>
      <c r="G541" s="543" t="str">
        <f t="shared" si="153"/>
        <v/>
      </c>
      <c r="H541" s="541" t="s">
        <v>3751</v>
      </c>
      <c r="I541" s="99"/>
      <c r="J541" s="98"/>
      <c r="K541" s="65"/>
      <c r="L541" s="820"/>
      <c r="M541" s="800"/>
      <c r="N541" s="924"/>
      <c r="O541" s="924"/>
      <c r="P541" s="64"/>
      <c r="Q541" s="64"/>
      <c r="R541" s="64"/>
      <c r="S541" s="64"/>
      <c r="T541" s="64"/>
      <c r="U541" s="64"/>
      <c r="V541" s="64"/>
      <c r="W541" s="64"/>
      <c r="X541" s="798"/>
      <c r="Y541" s="977"/>
      <c r="Z541" s="978"/>
      <c r="AA541" s="562"/>
      <c r="AB541" s="562"/>
      <c r="AC541" s="562"/>
      <c r="AD541" s="562"/>
      <c r="AE541" s="562"/>
      <c r="AF541" s="562"/>
      <c r="AG541" s="562"/>
      <c r="AH541" s="562"/>
      <c r="AI541" s="562"/>
      <c r="AJ541" s="562"/>
      <c r="AK541" s="562"/>
      <c r="AL541" s="562"/>
      <c r="AM541" s="562"/>
      <c r="AN541" s="562"/>
      <c r="AO541" s="562"/>
      <c r="AP541" s="562"/>
      <c r="AQ541" s="562"/>
      <c r="AR541" s="562"/>
      <c r="AS541" s="562"/>
    </row>
    <row r="542" spans="1:45" x14ac:dyDescent="0.2">
      <c r="A542" s="541">
        <v>6</v>
      </c>
      <c r="B542" s="549">
        <v>605.20000000000005</v>
      </c>
      <c r="C542" s="544"/>
      <c r="D542" s="544"/>
      <c r="E542" s="544"/>
      <c r="F542" s="544"/>
      <c r="G542" s="543" t="str">
        <f t="shared" si="153"/>
        <v/>
      </c>
      <c r="H542" s="541" t="s">
        <v>3751</v>
      </c>
      <c r="I542" s="99"/>
      <c r="J542" s="98"/>
      <c r="K542" s="65"/>
      <c r="L542" s="820"/>
      <c r="M542" s="800"/>
      <c r="N542" s="924"/>
      <c r="O542" s="924"/>
      <c r="P542" s="64"/>
      <c r="Q542" s="64"/>
      <c r="R542" s="64"/>
      <c r="S542" s="64"/>
      <c r="T542" s="64"/>
      <c r="U542" s="64"/>
      <c r="V542" s="64"/>
      <c r="W542" s="64"/>
      <c r="X542" s="798"/>
      <c r="Y542" s="977"/>
      <c r="Z542" s="978"/>
      <c r="AA542" s="562"/>
      <c r="AB542" s="562"/>
      <c r="AC542" s="562"/>
      <c r="AD542" s="562"/>
      <c r="AE542" s="562"/>
      <c r="AF542" s="562"/>
      <c r="AG542" s="562"/>
      <c r="AH542" s="562"/>
      <c r="AI542" s="562"/>
      <c r="AJ542" s="562"/>
      <c r="AK542" s="562"/>
      <c r="AL542" s="562"/>
      <c r="AM542" s="562"/>
      <c r="AN542" s="562"/>
      <c r="AO542" s="562"/>
      <c r="AP542" s="562"/>
      <c r="AQ542" s="562"/>
      <c r="AR542" s="562"/>
      <c r="AS542" s="562"/>
    </row>
    <row r="543" spans="1:45" x14ac:dyDescent="0.2">
      <c r="A543" s="541">
        <v>6</v>
      </c>
      <c r="B543" s="549">
        <v>605.20000000000005</v>
      </c>
      <c r="C543" s="544"/>
      <c r="D543" s="544"/>
      <c r="E543" s="544"/>
      <c r="F543" s="544"/>
      <c r="G543" s="543" t="str">
        <f t="shared" si="153"/>
        <v/>
      </c>
      <c r="H543" s="541" t="s">
        <v>3751</v>
      </c>
      <c r="I543" s="99"/>
      <c r="J543" s="98"/>
      <c r="K543" s="65"/>
      <c r="L543" s="820"/>
      <c r="M543" s="800"/>
      <c r="N543" s="924"/>
      <c r="O543" s="924"/>
      <c r="P543" s="64"/>
      <c r="Q543" s="64"/>
      <c r="R543" s="64"/>
      <c r="S543" s="64"/>
      <c r="T543" s="64"/>
      <c r="U543" s="64"/>
      <c r="V543" s="64"/>
      <c r="W543" s="64"/>
      <c r="X543" s="798"/>
      <c r="Y543" s="977"/>
      <c r="Z543" s="978"/>
      <c r="AA543" s="562"/>
      <c r="AB543" s="562"/>
      <c r="AC543" s="562"/>
      <c r="AD543" s="562"/>
      <c r="AE543" s="562"/>
      <c r="AF543" s="562"/>
      <c r="AG543" s="562"/>
      <c r="AH543" s="562"/>
      <c r="AI543" s="562"/>
      <c r="AJ543" s="562"/>
      <c r="AK543" s="562"/>
      <c r="AL543" s="562"/>
      <c r="AM543" s="562"/>
      <c r="AN543" s="562"/>
      <c r="AO543" s="562"/>
      <c r="AP543" s="562"/>
      <c r="AQ543" s="562"/>
      <c r="AR543" s="562"/>
      <c r="AS543" s="562"/>
    </row>
    <row r="544" spans="1:45" x14ac:dyDescent="0.2">
      <c r="A544" s="541">
        <v>6</v>
      </c>
      <c r="B544" s="549">
        <v>605.20000000000005</v>
      </c>
      <c r="C544" s="544"/>
      <c r="D544" s="544"/>
      <c r="E544" s="544"/>
      <c r="F544" s="544"/>
      <c r="G544" s="543" t="str">
        <f t="shared" si="153"/>
        <v/>
      </c>
      <c r="H544" s="541" t="s">
        <v>3751</v>
      </c>
      <c r="I544" s="99"/>
      <c r="J544" s="98"/>
      <c r="K544" s="65"/>
      <c r="L544" s="791" t="s">
        <v>2634</v>
      </c>
      <c r="M544" s="800"/>
      <c r="N544" s="924"/>
      <c r="O544" s="924"/>
      <c r="P544" s="64"/>
      <c r="Q544" s="64"/>
      <c r="R544" s="64"/>
      <c r="S544" s="64"/>
      <c r="T544" s="64"/>
      <c r="U544" s="64"/>
      <c r="V544" s="64"/>
      <c r="W544" s="64"/>
      <c r="X544" s="798"/>
      <c r="Y544" s="977"/>
      <c r="Z544" s="978"/>
      <c r="AA544" s="562"/>
      <c r="AB544" s="562"/>
      <c r="AC544" s="562"/>
      <c r="AD544" s="562"/>
      <c r="AE544" s="562"/>
      <c r="AF544" s="562"/>
      <c r="AG544" s="562"/>
      <c r="AH544" s="562"/>
      <c r="AI544" s="562"/>
      <c r="AJ544" s="562"/>
      <c r="AK544" s="562"/>
      <c r="AL544" s="562"/>
      <c r="AM544" s="562"/>
      <c r="AN544" s="562"/>
      <c r="AO544" s="562"/>
      <c r="AP544" s="562"/>
      <c r="AQ544" s="562"/>
      <c r="AR544" s="562"/>
      <c r="AS544" s="562"/>
    </row>
    <row r="545" spans="1:45" x14ac:dyDescent="0.2">
      <c r="A545" s="541">
        <v>6</v>
      </c>
      <c r="B545" s="549">
        <v>605.20000000000005</v>
      </c>
      <c r="C545" s="544"/>
      <c r="D545" s="544"/>
      <c r="E545" s="544"/>
      <c r="F545" s="544"/>
      <c r="G545" s="543" t="str">
        <f t="shared" si="153"/>
        <v/>
      </c>
      <c r="H545" s="541" t="s">
        <v>3751</v>
      </c>
      <c r="I545" s="99"/>
      <c r="J545" s="98"/>
      <c r="K545" s="65"/>
      <c r="L545" s="791"/>
      <c r="M545" s="800"/>
      <c r="N545" s="924"/>
      <c r="O545" s="924"/>
      <c r="P545" s="64"/>
      <c r="Q545" s="64"/>
      <c r="R545" s="64"/>
      <c r="S545" s="64"/>
      <c r="T545" s="64"/>
      <c r="U545" s="64"/>
      <c r="V545" s="64"/>
      <c r="W545" s="64"/>
      <c r="X545" s="798"/>
      <c r="Y545" s="977"/>
      <c r="Z545" s="978"/>
      <c r="AA545" s="562"/>
      <c r="AB545" s="562"/>
      <c r="AC545" s="562"/>
      <c r="AD545" s="562"/>
      <c r="AE545" s="562"/>
      <c r="AF545" s="562"/>
      <c r="AG545" s="562"/>
      <c r="AH545" s="562"/>
      <c r="AI545" s="562"/>
      <c r="AJ545" s="562"/>
      <c r="AK545" s="562"/>
      <c r="AL545" s="562"/>
      <c r="AM545" s="562"/>
      <c r="AN545" s="562"/>
      <c r="AO545" s="562"/>
      <c r="AP545" s="562"/>
      <c r="AQ545" s="562"/>
      <c r="AR545" s="562"/>
      <c r="AS545" s="562"/>
    </row>
    <row r="546" spans="1:45" x14ac:dyDescent="0.2">
      <c r="A546" s="541">
        <v>6</v>
      </c>
      <c r="B546" s="549">
        <v>605.20000000000005</v>
      </c>
      <c r="C546" s="544"/>
      <c r="D546" s="544"/>
      <c r="E546" s="544"/>
      <c r="F546" s="544"/>
      <c r="G546" s="543" t="str">
        <f t="shared" si="153"/>
        <v/>
      </c>
      <c r="H546" s="541" t="s">
        <v>3751</v>
      </c>
      <c r="I546" s="99"/>
      <c r="J546" s="98"/>
      <c r="K546" s="65"/>
      <c r="L546" s="791"/>
      <c r="M546" s="800"/>
      <c r="N546" s="924"/>
      <c r="O546" s="924"/>
      <c r="P546" s="64"/>
      <c r="Q546" s="64"/>
      <c r="R546" s="64"/>
      <c r="S546" s="64"/>
      <c r="T546" s="64"/>
      <c r="U546" s="64"/>
      <c r="V546" s="64"/>
      <c r="W546" s="64"/>
      <c r="X546" s="798"/>
      <c r="Y546" s="977"/>
      <c r="Z546" s="978"/>
      <c r="AA546" s="562"/>
      <c r="AB546" s="562"/>
      <c r="AC546" s="562"/>
      <c r="AD546" s="562"/>
      <c r="AE546" s="562"/>
      <c r="AF546" s="562"/>
      <c r="AG546" s="562"/>
      <c r="AH546" s="562"/>
      <c r="AI546" s="562"/>
      <c r="AJ546" s="562"/>
      <c r="AK546" s="562"/>
      <c r="AL546" s="562"/>
      <c r="AM546" s="562"/>
      <c r="AN546" s="562"/>
      <c r="AO546" s="562"/>
      <c r="AP546" s="562"/>
      <c r="AQ546" s="562"/>
      <c r="AR546" s="562"/>
      <c r="AS546" s="562"/>
    </row>
    <row r="547" spans="1:45" x14ac:dyDescent="0.2">
      <c r="A547" s="541">
        <v>6</v>
      </c>
      <c r="B547" s="549">
        <v>605.20000000000005</v>
      </c>
      <c r="C547" s="544"/>
      <c r="D547" s="544"/>
      <c r="E547" s="544"/>
      <c r="F547" s="544"/>
      <c r="G547" s="543" t="str">
        <f t="shared" si="153"/>
        <v/>
      </c>
      <c r="H547" s="541" t="s">
        <v>3751</v>
      </c>
      <c r="I547" s="99"/>
      <c r="J547" s="98"/>
      <c r="K547" s="65"/>
      <c r="L547" s="791"/>
      <c r="M547" s="800"/>
      <c r="N547" s="924"/>
      <c r="O547" s="924"/>
      <c r="P547" s="64"/>
      <c r="Q547" s="64"/>
      <c r="R547" s="64"/>
      <c r="S547" s="64"/>
      <c r="T547" s="64"/>
      <c r="U547" s="64"/>
      <c r="V547" s="64"/>
      <c r="W547" s="64"/>
      <c r="X547" s="798"/>
      <c r="Y547" s="977"/>
      <c r="Z547" s="978"/>
      <c r="AA547" s="562"/>
      <c r="AB547" s="562"/>
      <c r="AC547" s="562"/>
      <c r="AD547" s="562"/>
      <c r="AE547" s="562"/>
      <c r="AF547" s="562"/>
      <c r="AG547" s="562"/>
      <c r="AH547" s="562"/>
      <c r="AI547" s="562"/>
      <c r="AJ547" s="562"/>
      <c r="AK547" s="562"/>
      <c r="AL547" s="562"/>
      <c r="AM547" s="562"/>
      <c r="AN547" s="562"/>
      <c r="AO547" s="562"/>
      <c r="AP547" s="562"/>
      <c r="AQ547" s="562"/>
      <c r="AR547" s="562"/>
      <c r="AS547" s="562"/>
    </row>
    <row r="548" spans="1:45" x14ac:dyDescent="0.2">
      <c r="A548" s="541">
        <v>6</v>
      </c>
      <c r="B548" s="549">
        <v>605.20000000000005</v>
      </c>
      <c r="C548" s="544"/>
      <c r="D548" s="544"/>
      <c r="E548" s="544"/>
      <c r="F548" s="544"/>
      <c r="G548" s="543" t="str">
        <f t="shared" si="153"/>
        <v/>
      </c>
      <c r="H548" s="541" t="s">
        <v>3751</v>
      </c>
      <c r="I548" s="99"/>
      <c r="J548" s="98"/>
      <c r="K548" s="65"/>
      <c r="L548" s="140" t="s">
        <v>2635</v>
      </c>
      <c r="M548" s="800"/>
      <c r="N548" s="924"/>
      <c r="O548" s="924"/>
      <c r="P548" s="64"/>
      <c r="Q548" s="64"/>
      <c r="R548" s="64"/>
      <c r="S548" s="64"/>
      <c r="T548" s="64"/>
      <c r="U548" s="64"/>
      <c r="V548" s="64"/>
      <c r="W548" s="64"/>
      <c r="X548" s="798"/>
      <c r="Y548" s="977"/>
      <c r="Z548" s="978"/>
      <c r="AA548" s="562"/>
      <c r="AB548" s="562"/>
      <c r="AC548" s="562"/>
      <c r="AD548" s="562"/>
      <c r="AE548" s="562"/>
      <c r="AF548" s="562"/>
      <c r="AG548" s="562"/>
      <c r="AH548" s="562"/>
      <c r="AI548" s="562"/>
      <c r="AJ548" s="562"/>
      <c r="AK548" s="562"/>
      <c r="AL548" s="562"/>
      <c r="AM548" s="562"/>
      <c r="AN548" s="562"/>
      <c r="AO548" s="562"/>
      <c r="AP548" s="562"/>
      <c r="AQ548" s="562"/>
      <c r="AR548" s="562"/>
      <c r="AS548" s="562"/>
    </row>
    <row r="549" spans="1:45" x14ac:dyDescent="0.2">
      <c r="A549" s="541">
        <v>6</v>
      </c>
      <c r="B549" s="549">
        <v>605.20000000000005</v>
      </c>
      <c r="C549" s="544"/>
      <c r="D549" s="544"/>
      <c r="E549" s="544" t="s">
        <v>2181</v>
      </c>
      <c r="F549" s="544"/>
      <c r="G549" s="543" t="str">
        <f t="shared" si="153"/>
        <v/>
      </c>
      <c r="H549" s="541" t="s">
        <v>3751</v>
      </c>
      <c r="I549" s="99"/>
      <c r="J549" s="134" t="s">
        <v>2181</v>
      </c>
      <c r="K549" s="65"/>
      <c r="L549" s="791" t="s">
        <v>2636</v>
      </c>
      <c r="M549" s="800"/>
      <c r="N549" s="924"/>
      <c r="O549" s="924"/>
      <c r="P549" s="64"/>
      <c r="Q549" s="64"/>
      <c r="R549" s="64"/>
      <c r="S549" s="64"/>
      <c r="T549" s="64"/>
      <c r="U549" s="64"/>
      <c r="V549" s="64"/>
      <c r="W549" s="64"/>
      <c r="X549" s="798"/>
      <c r="Y549" s="977"/>
      <c r="Z549" s="978"/>
      <c r="AA549" s="562"/>
      <c r="AB549" s="562"/>
      <c r="AC549" s="562"/>
      <c r="AD549" s="562"/>
      <c r="AE549" s="562"/>
      <c r="AF549" s="562"/>
      <c r="AG549" s="562"/>
      <c r="AH549" s="562"/>
      <c r="AI549" s="562"/>
      <c r="AJ549" s="562"/>
      <c r="AK549" s="562"/>
      <c r="AL549" s="562"/>
      <c r="AM549" s="562"/>
      <c r="AN549" s="562"/>
      <c r="AO549" s="562"/>
      <c r="AP549" s="562"/>
      <c r="AQ549" s="562"/>
      <c r="AR549" s="562"/>
      <c r="AS549" s="562"/>
    </row>
    <row r="550" spans="1:45" x14ac:dyDescent="0.2">
      <c r="A550" s="541">
        <v>6</v>
      </c>
      <c r="B550" s="549">
        <v>605.20000000000005</v>
      </c>
      <c r="C550" s="544"/>
      <c r="D550" s="544"/>
      <c r="E550" s="544" t="s">
        <v>2181</v>
      </c>
      <c r="F550" s="544"/>
      <c r="G550" s="543" t="str">
        <f t="shared" si="153"/>
        <v/>
      </c>
      <c r="H550" s="541" t="s">
        <v>3751</v>
      </c>
      <c r="I550" s="99"/>
      <c r="J550" s="98"/>
      <c r="K550" s="65"/>
      <c r="L550" s="791"/>
      <c r="M550" s="800"/>
      <c r="N550" s="924"/>
      <c r="O550" s="924"/>
      <c r="P550" s="64"/>
      <c r="Q550" s="64"/>
      <c r="R550" s="64"/>
      <c r="S550" s="64"/>
      <c r="T550" s="64"/>
      <c r="U550" s="64"/>
      <c r="V550" s="64"/>
      <c r="W550" s="64"/>
      <c r="X550" s="798"/>
      <c r="Y550" s="977"/>
      <c r="Z550" s="978"/>
      <c r="AA550" s="562"/>
      <c r="AB550" s="562"/>
      <c r="AC550" s="562"/>
      <c r="AD550" s="562"/>
      <c r="AE550" s="562"/>
      <c r="AF550" s="562"/>
      <c r="AG550" s="562"/>
      <c r="AH550" s="562"/>
      <c r="AI550" s="562"/>
      <c r="AJ550" s="562"/>
      <c r="AK550" s="562"/>
      <c r="AL550" s="562"/>
      <c r="AM550" s="562"/>
      <c r="AN550" s="562"/>
      <c r="AO550" s="562"/>
      <c r="AP550" s="562"/>
      <c r="AQ550" s="562"/>
      <c r="AR550" s="562"/>
      <c r="AS550" s="562"/>
    </row>
    <row r="551" spans="1:45" x14ac:dyDescent="0.2">
      <c r="A551" s="541">
        <v>6</v>
      </c>
      <c r="B551" s="549">
        <v>605.20000000000005</v>
      </c>
      <c r="C551" s="544"/>
      <c r="D551" s="544"/>
      <c r="E551" s="544" t="s">
        <v>2183</v>
      </c>
      <c r="F551" s="544"/>
      <c r="G551" s="543" t="str">
        <f t="shared" si="153"/>
        <v/>
      </c>
      <c r="H551" s="541" t="s">
        <v>3751</v>
      </c>
      <c r="I551" s="99"/>
      <c r="J551" s="134" t="s">
        <v>2183</v>
      </c>
      <c r="K551" s="65"/>
      <c r="L551" s="791" t="s">
        <v>2637</v>
      </c>
      <c r="M551" s="800"/>
      <c r="N551" s="924"/>
      <c r="O551" s="924"/>
      <c r="P551" s="64" t="b">
        <v>1</v>
      </c>
      <c r="Q551" s="64" t="b">
        <v>1</v>
      </c>
      <c r="R551" s="64" t="b">
        <v>0</v>
      </c>
      <c r="S551" s="64" t="b">
        <v>1</v>
      </c>
      <c r="T551" s="64" t="b">
        <v>0</v>
      </c>
      <c r="U551" s="64"/>
      <c r="V551" s="64"/>
      <c r="W551" s="18"/>
      <c r="X551" s="798"/>
      <c r="Y551" s="977"/>
      <c r="Z551" s="978"/>
      <c r="AA551" s="562"/>
      <c r="AB551" s="562"/>
      <c r="AC551" s="562"/>
      <c r="AD551" s="562"/>
      <c r="AE551" s="562"/>
      <c r="AF551" s="562"/>
      <c r="AG551" s="562"/>
      <c r="AH551" s="562"/>
      <c r="AI551" s="562"/>
      <c r="AJ551" s="562"/>
      <c r="AK551" s="562"/>
      <c r="AL551" s="562"/>
      <c r="AM551" s="562"/>
      <c r="AN551" s="562"/>
      <c r="AO551" s="562"/>
      <c r="AP551" s="190" t="str">
        <f>SUBSTITUTE(SUBSTITUTE(SUBSTITUTE("vch"&amp;$B551&amp;$C551&amp;$D551&amp;$E551&amp;$F551,".","_"),"(","_"),")","")</f>
        <v>vch605,2_2</v>
      </c>
      <c r="AQ551" s="190">
        <f>W551</f>
        <v>0</v>
      </c>
      <c r="AR551" s="562"/>
      <c r="AS551" s="562"/>
    </row>
    <row r="552" spans="1:45" ht="16" thickBot="1" x14ac:dyDescent="0.25">
      <c r="A552" s="541">
        <v>6</v>
      </c>
      <c r="B552" s="549">
        <v>605.20000000000005</v>
      </c>
      <c r="C552" s="544"/>
      <c r="D552" s="544"/>
      <c r="E552" s="544" t="s">
        <v>2183</v>
      </c>
      <c r="F552" s="544"/>
      <c r="G552" s="543" t="str">
        <f t="shared" si="153"/>
        <v/>
      </c>
      <c r="H552" s="541" t="s">
        <v>3751</v>
      </c>
      <c r="I552" s="99"/>
      <c r="J552" s="98"/>
      <c r="K552" s="65"/>
      <c r="L552" s="791"/>
      <c r="M552" s="800"/>
      <c r="N552" s="982"/>
      <c r="O552" s="924"/>
      <c r="P552" s="64"/>
      <c r="Q552" s="64"/>
      <c r="R552" s="64"/>
      <c r="S552" s="64"/>
      <c r="T552" s="64"/>
      <c r="U552" s="64"/>
      <c r="V552" s="64"/>
      <c r="W552" s="193"/>
      <c r="X552" s="825"/>
      <c r="Y552" s="979"/>
      <c r="Z552" s="1007"/>
      <c r="AA552" s="562"/>
      <c r="AB552" s="562"/>
      <c r="AC552" s="562"/>
      <c r="AD552" s="562"/>
      <c r="AE552" s="562"/>
      <c r="AF552" s="562"/>
      <c r="AG552" s="562"/>
      <c r="AH552" s="562"/>
      <c r="AI552" s="562"/>
      <c r="AJ552" s="562"/>
      <c r="AK552" s="562"/>
      <c r="AL552" s="562"/>
      <c r="AM552" s="562"/>
      <c r="AN552" s="562"/>
      <c r="AO552" s="562"/>
      <c r="AP552" s="562"/>
      <c r="AQ552" s="562"/>
      <c r="AR552" s="562"/>
      <c r="AS552" s="562"/>
    </row>
    <row r="553" spans="1:45" ht="16" thickTop="1" x14ac:dyDescent="0.2">
      <c r="A553" s="541">
        <v>6</v>
      </c>
      <c r="B553" s="549">
        <v>605.29999999999995</v>
      </c>
      <c r="C553" s="544"/>
      <c r="D553" s="544"/>
      <c r="E553" s="544"/>
      <c r="F553" s="544"/>
      <c r="G553" s="543" t="str">
        <f>IF(N553&gt;0,"P","")</f>
        <v/>
      </c>
      <c r="H553" s="541" t="s">
        <v>3751</v>
      </c>
      <c r="I553" s="131" t="s">
        <v>2638</v>
      </c>
      <c r="J553" s="132"/>
      <c r="K553" s="133"/>
      <c r="L553" s="819" t="s">
        <v>2639</v>
      </c>
      <c r="M553" s="827">
        <v>7</v>
      </c>
      <c r="N553" s="981">
        <f>'Ch6'!O314</f>
        <v>0</v>
      </c>
      <c r="O553" s="981">
        <f>M553*S553*W553</f>
        <v>0</v>
      </c>
      <c r="P553" s="64" t="b">
        <v>1</v>
      </c>
      <c r="Q553" s="64" t="b">
        <v>1</v>
      </c>
      <c r="R553" s="74" t="b">
        <v>0</v>
      </c>
      <c r="S553" s="74" t="b">
        <v>1</v>
      </c>
      <c r="T553" s="74" t="b">
        <v>0</v>
      </c>
      <c r="U553" s="74"/>
      <c r="V553" s="74"/>
      <c r="W553" s="18"/>
      <c r="X553" s="802"/>
      <c r="Y553" s="975" t="str">
        <f>IF(LEN('Ch6'!X314)=0,"None",'Ch6'!X314)</f>
        <v>None</v>
      </c>
      <c r="Z553" s="976"/>
      <c r="AA553" s="562"/>
      <c r="AB553" s="562"/>
      <c r="AC553" s="562"/>
      <c r="AD553" s="562"/>
      <c r="AE553" s="562"/>
      <c r="AF553" s="562"/>
      <c r="AG553" s="562"/>
      <c r="AH553" s="562"/>
      <c r="AI553" s="562"/>
      <c r="AJ553" s="562"/>
      <c r="AK553" s="562"/>
      <c r="AL553" s="190" t="str">
        <f>SUBSTITUTE(SUBSTITUTE(SUBSTITUTE("vpa"&amp;$B553&amp;$C553&amp;$D553&amp;$E553&amp;$F553,".","_"),"(","_"),")","")</f>
        <v>vpa605,3</v>
      </c>
      <c r="AM553" s="190">
        <f>M553</f>
        <v>7</v>
      </c>
      <c r="AN553" s="190" t="str">
        <f>SUBSTITUTE(SUBSTITUTE(SUBSTITUTE("vpc"&amp;$B553&amp;$C553&amp;$D553&amp;$E553&amp;$F553,".","_"),"(","_"),")","")</f>
        <v>vpc605,3</v>
      </c>
      <c r="AO553" s="190">
        <f>O553</f>
        <v>0</v>
      </c>
      <c r="AP553" s="190" t="str">
        <f>SUBSTITUTE(SUBSTITUTE(SUBSTITUTE("vch"&amp;$B553&amp;$C553&amp;$D553&amp;$E553&amp;$F553,".","_"),"(","_"),")","")</f>
        <v>vch605,3</v>
      </c>
      <c r="AQ553" s="190">
        <f>W553</f>
        <v>0</v>
      </c>
      <c r="AR553" s="190" t="str">
        <f>SUBSTITUTE(SUBSTITUTE(SUBSTITUTE("vnt"&amp;$B553&amp;$C553&amp;$D553&amp;$E553&amp;$F553,".","_"),"(","_"),")","")</f>
        <v>vnt605,3</v>
      </c>
      <c r="AS553" s="190">
        <f>X553</f>
        <v>0</v>
      </c>
    </row>
    <row r="554" spans="1:45" x14ac:dyDescent="0.2">
      <c r="A554" s="541">
        <v>6</v>
      </c>
      <c r="B554" s="549">
        <v>605.29999999999995</v>
      </c>
      <c r="C554" s="544"/>
      <c r="D554" s="544"/>
      <c r="E554" s="544"/>
      <c r="F554" s="544"/>
      <c r="G554" s="543" t="str">
        <f t="shared" ref="G554:G561" si="154">G553</f>
        <v/>
      </c>
      <c r="H554" s="541" t="s">
        <v>3751</v>
      </c>
      <c r="I554" s="99"/>
      <c r="J554" s="98"/>
      <c r="K554" s="65"/>
      <c r="L554" s="820"/>
      <c r="M554" s="800"/>
      <c r="N554" s="924"/>
      <c r="O554" s="924"/>
      <c r="P554" s="64"/>
      <c r="Q554" s="64"/>
      <c r="R554" s="64"/>
      <c r="S554" s="64"/>
      <c r="T554" s="64"/>
      <c r="U554" s="64"/>
      <c r="V554" s="64"/>
      <c r="W554" s="64"/>
      <c r="X554" s="798"/>
      <c r="Y554" s="977"/>
      <c r="Z554" s="978"/>
      <c r="AA554" s="562"/>
      <c r="AB554" s="562"/>
      <c r="AC554" s="562"/>
      <c r="AD554" s="562"/>
      <c r="AE554" s="562"/>
      <c r="AF554" s="562"/>
      <c r="AG554" s="562"/>
      <c r="AH554" s="562"/>
      <c r="AI554" s="562"/>
      <c r="AJ554" s="562"/>
      <c r="AK554" s="562"/>
      <c r="AL554" s="562"/>
      <c r="AM554" s="562"/>
      <c r="AN554" s="562"/>
      <c r="AO554" s="562"/>
      <c r="AP554" s="562"/>
      <c r="AQ554" s="562"/>
      <c r="AR554" s="562"/>
      <c r="AS554" s="562"/>
    </row>
    <row r="555" spans="1:45" x14ac:dyDescent="0.2">
      <c r="A555" s="541">
        <v>6</v>
      </c>
      <c r="B555" s="549">
        <v>605.29999999999995</v>
      </c>
      <c r="C555" s="544"/>
      <c r="D555" s="544"/>
      <c r="E555" s="544"/>
      <c r="F555" s="544" t="s">
        <v>2196</v>
      </c>
      <c r="G555" s="543" t="str">
        <f t="shared" si="154"/>
        <v/>
      </c>
      <c r="H555" s="545" t="s">
        <v>3751</v>
      </c>
      <c r="I555" s="99"/>
      <c r="J555" s="98"/>
      <c r="K555" s="61" t="s">
        <v>2196</v>
      </c>
      <c r="L555" s="791" t="s">
        <v>2640</v>
      </c>
      <c r="M555" s="610"/>
      <c r="N555" s="668"/>
      <c r="O555" s="668"/>
      <c r="P555" s="64"/>
      <c r="Q555" s="64"/>
      <c r="R555" s="64"/>
      <c r="S555" s="64"/>
      <c r="T555" s="64"/>
      <c r="U555" s="64"/>
      <c r="V555" s="64"/>
      <c r="W555" s="64"/>
      <c r="X555" s="798"/>
      <c r="Y555" s="977"/>
      <c r="Z555" s="978"/>
      <c r="AA555" s="562"/>
      <c r="AB555" s="562"/>
      <c r="AC555" s="562"/>
      <c r="AD555" s="562"/>
      <c r="AE555" s="562"/>
      <c r="AF555" s="562"/>
      <c r="AG555" s="562"/>
      <c r="AH555" s="562"/>
      <c r="AI555" s="562"/>
      <c r="AJ555" s="562"/>
      <c r="AK555" s="562"/>
      <c r="AL555" s="562"/>
      <c r="AM555" s="562"/>
      <c r="AN555" s="562"/>
      <c r="AO555" s="562"/>
      <c r="AP555" s="562"/>
      <c r="AQ555" s="562"/>
      <c r="AR555" s="562"/>
      <c r="AS555" s="562"/>
    </row>
    <row r="556" spans="1:45" x14ac:dyDescent="0.2">
      <c r="A556" s="541">
        <v>6</v>
      </c>
      <c r="B556" s="549">
        <v>605.29999999999995</v>
      </c>
      <c r="C556" s="544"/>
      <c r="D556" s="544"/>
      <c r="E556" s="544"/>
      <c r="F556" s="544" t="s">
        <v>2196</v>
      </c>
      <c r="G556" s="543" t="str">
        <f t="shared" si="154"/>
        <v/>
      </c>
      <c r="H556" s="545" t="s">
        <v>3751</v>
      </c>
      <c r="I556" s="99"/>
      <c r="J556" s="98"/>
      <c r="K556" s="65"/>
      <c r="L556" s="791"/>
      <c r="M556" s="610"/>
      <c r="N556" s="668"/>
      <c r="O556" s="668"/>
      <c r="P556" s="64"/>
      <c r="Q556" s="64"/>
      <c r="R556" s="64"/>
      <c r="S556" s="64"/>
      <c r="T556" s="64"/>
      <c r="U556" s="64"/>
      <c r="V556" s="64"/>
      <c r="W556" s="64"/>
      <c r="X556" s="798"/>
      <c r="Y556" s="977"/>
      <c r="Z556" s="978"/>
      <c r="AA556" s="562"/>
      <c r="AB556" s="562"/>
      <c r="AC556" s="562"/>
      <c r="AD556" s="562"/>
      <c r="AE556" s="562"/>
      <c r="AF556" s="562"/>
      <c r="AG556" s="562"/>
      <c r="AH556" s="562"/>
      <c r="AI556" s="562"/>
      <c r="AJ556" s="562"/>
      <c r="AK556" s="562"/>
      <c r="AL556" s="562"/>
      <c r="AM556" s="562"/>
      <c r="AN556" s="562"/>
      <c r="AO556" s="562"/>
      <c r="AP556" s="562"/>
      <c r="AQ556" s="562"/>
      <c r="AR556" s="562"/>
      <c r="AS556" s="562"/>
    </row>
    <row r="557" spans="1:45" x14ac:dyDescent="0.2">
      <c r="A557" s="541">
        <v>6</v>
      </c>
      <c r="B557" s="549">
        <v>605.29999999999995</v>
      </c>
      <c r="C557" s="544"/>
      <c r="D557" s="544"/>
      <c r="E557" s="544"/>
      <c r="F557" s="544" t="s">
        <v>2196</v>
      </c>
      <c r="G557" s="543" t="str">
        <f t="shared" si="154"/>
        <v/>
      </c>
      <c r="H557" s="545" t="s">
        <v>3751</v>
      </c>
      <c r="I557" s="99"/>
      <c r="J557" s="98"/>
      <c r="K557" s="126"/>
      <c r="L557" s="792"/>
      <c r="M557" s="610"/>
      <c r="N557" s="668"/>
      <c r="O557" s="668"/>
      <c r="P557" s="64"/>
      <c r="Q557" s="64"/>
      <c r="R557" s="64"/>
      <c r="S557" s="64"/>
      <c r="T557" s="64"/>
      <c r="U557" s="64"/>
      <c r="V557" s="64"/>
      <c r="W557" s="64"/>
      <c r="X557" s="798"/>
      <c r="Y557" s="977"/>
      <c r="Z557" s="978"/>
      <c r="AA557" s="562"/>
      <c r="AB557" s="562"/>
      <c r="AC557" s="562"/>
      <c r="AD557" s="562"/>
      <c r="AE557" s="562"/>
      <c r="AF557" s="562"/>
      <c r="AG557" s="562"/>
      <c r="AH557" s="562"/>
      <c r="AI557" s="562"/>
      <c r="AJ557" s="562"/>
      <c r="AK557" s="562"/>
      <c r="AL557" s="562"/>
      <c r="AM557" s="562"/>
      <c r="AN557" s="562"/>
      <c r="AO557" s="562"/>
      <c r="AP557" s="562"/>
      <c r="AQ557" s="562"/>
      <c r="AR557" s="562"/>
      <c r="AS557" s="562"/>
    </row>
    <row r="558" spans="1:45" x14ac:dyDescent="0.2">
      <c r="A558" s="541">
        <v>6</v>
      </c>
      <c r="B558" s="549">
        <v>605.29999999999995</v>
      </c>
      <c r="C558" s="544"/>
      <c r="D558" s="544"/>
      <c r="E558" s="544"/>
      <c r="F558" s="544" t="s">
        <v>2198</v>
      </c>
      <c r="G558" s="543" t="str">
        <f t="shared" si="154"/>
        <v/>
      </c>
      <c r="H558" s="545" t="s">
        <v>3751</v>
      </c>
      <c r="I558" s="99"/>
      <c r="J558" s="98"/>
      <c r="K558" s="167" t="s">
        <v>2198</v>
      </c>
      <c r="L558" s="162" t="s">
        <v>2641</v>
      </c>
      <c r="M558" s="610"/>
      <c r="N558" s="668"/>
      <c r="O558" s="668"/>
      <c r="P558" s="64"/>
      <c r="Q558" s="64"/>
      <c r="R558" s="64"/>
      <c r="S558" s="64"/>
      <c r="T558" s="64"/>
      <c r="U558" s="64"/>
      <c r="V558" s="64"/>
      <c r="W558" s="64"/>
      <c r="X558" s="798"/>
      <c r="Y558" s="977"/>
      <c r="Z558" s="978"/>
      <c r="AA558" s="562"/>
      <c r="AB558" s="562"/>
      <c r="AC558" s="562"/>
      <c r="AD558" s="562"/>
      <c r="AE558" s="562"/>
      <c r="AF558" s="562"/>
      <c r="AG558" s="562"/>
      <c r="AH558" s="562"/>
      <c r="AI558" s="562"/>
      <c r="AJ558" s="562"/>
      <c r="AK558" s="562"/>
      <c r="AL558" s="562"/>
      <c r="AM558" s="562"/>
      <c r="AN558" s="562"/>
      <c r="AO558" s="562"/>
      <c r="AP558" s="562"/>
      <c r="AQ558" s="562"/>
      <c r="AR558" s="562"/>
      <c r="AS558" s="562"/>
    </row>
    <row r="559" spans="1:45" x14ac:dyDescent="0.2">
      <c r="A559" s="541">
        <v>6</v>
      </c>
      <c r="B559" s="549">
        <v>605.29999999999995</v>
      </c>
      <c r="C559" s="544"/>
      <c r="D559" s="544"/>
      <c r="E559" s="544"/>
      <c r="F559" s="544" t="s">
        <v>2200</v>
      </c>
      <c r="G559" s="543" t="str">
        <f t="shared" si="154"/>
        <v/>
      </c>
      <c r="H559" s="545" t="s">
        <v>3751</v>
      </c>
      <c r="I559" s="99"/>
      <c r="J559" s="98"/>
      <c r="K559" s="79" t="s">
        <v>2200</v>
      </c>
      <c r="L559" s="791" t="s">
        <v>3441</v>
      </c>
      <c r="M559" s="610"/>
      <c r="N559" s="668"/>
      <c r="O559" s="668"/>
      <c r="P559" s="64"/>
      <c r="Q559" s="64"/>
      <c r="R559" s="64"/>
      <c r="S559" s="64"/>
      <c r="T559" s="64"/>
      <c r="U559" s="64"/>
      <c r="V559" s="64"/>
      <c r="W559" s="64"/>
      <c r="X559" s="798"/>
      <c r="Y559" s="977"/>
      <c r="Z559" s="978"/>
      <c r="AA559" s="562"/>
      <c r="AB559" s="562"/>
      <c r="AC559" s="562"/>
      <c r="AD559" s="562"/>
      <c r="AE559" s="562"/>
      <c r="AF559" s="562"/>
      <c r="AG559" s="562"/>
      <c r="AH559" s="562"/>
      <c r="AI559" s="562"/>
      <c r="AJ559" s="562"/>
      <c r="AK559" s="562"/>
      <c r="AL559" s="562"/>
      <c r="AM559" s="562"/>
      <c r="AN559" s="562"/>
      <c r="AO559" s="562"/>
      <c r="AP559" s="562"/>
      <c r="AQ559" s="562"/>
      <c r="AR559" s="562"/>
      <c r="AS559" s="562"/>
    </row>
    <row r="560" spans="1:45" x14ac:dyDescent="0.2">
      <c r="A560" s="541">
        <v>6</v>
      </c>
      <c r="B560" s="549">
        <v>605.29999999999995</v>
      </c>
      <c r="C560" s="544"/>
      <c r="D560" s="544"/>
      <c r="E560" s="544"/>
      <c r="F560" s="544" t="s">
        <v>2200</v>
      </c>
      <c r="G560" s="543" t="str">
        <f t="shared" si="154"/>
        <v/>
      </c>
      <c r="H560" s="545" t="s">
        <v>3751</v>
      </c>
      <c r="I560" s="99"/>
      <c r="J560" s="98"/>
      <c r="K560" s="140"/>
      <c r="L560" s="791"/>
      <c r="M560" s="610"/>
      <c r="N560" s="668"/>
      <c r="O560" s="668"/>
      <c r="P560" s="64"/>
      <c r="Q560" s="64"/>
      <c r="R560" s="64"/>
      <c r="S560" s="64"/>
      <c r="T560" s="64"/>
      <c r="U560" s="64"/>
      <c r="V560" s="64"/>
      <c r="W560" s="64"/>
      <c r="X560" s="798"/>
      <c r="Y560" s="977"/>
      <c r="Z560" s="978"/>
      <c r="AA560" s="562"/>
      <c r="AB560" s="562"/>
      <c r="AC560" s="562"/>
      <c r="AD560" s="562"/>
      <c r="AE560" s="562"/>
      <c r="AF560" s="562"/>
      <c r="AG560" s="562"/>
      <c r="AH560" s="562"/>
      <c r="AI560" s="562"/>
      <c r="AJ560" s="562"/>
      <c r="AK560" s="562"/>
      <c r="AL560" s="562"/>
      <c r="AM560" s="562"/>
      <c r="AN560" s="562"/>
      <c r="AO560" s="562"/>
      <c r="AP560" s="562"/>
      <c r="AQ560" s="562"/>
      <c r="AR560" s="562"/>
      <c r="AS560" s="562"/>
    </row>
    <row r="561" spans="1:45" ht="16" thickBot="1" x14ac:dyDescent="0.25">
      <c r="A561" s="541">
        <v>6</v>
      </c>
      <c r="B561" s="549">
        <v>605.29999999999995</v>
      </c>
      <c r="C561" s="544"/>
      <c r="D561" s="544"/>
      <c r="E561" s="544"/>
      <c r="F561" s="544" t="s">
        <v>2200</v>
      </c>
      <c r="G561" s="543" t="str">
        <f t="shared" si="154"/>
        <v/>
      </c>
      <c r="H561" s="545" t="s">
        <v>3751</v>
      </c>
      <c r="I561" s="99"/>
      <c r="J561" s="98"/>
      <c r="K561" s="65"/>
      <c r="L561" s="791"/>
      <c r="M561" s="610"/>
      <c r="N561" s="668"/>
      <c r="O561" s="668"/>
      <c r="P561" s="64"/>
      <c r="Q561" s="64"/>
      <c r="R561" s="64"/>
      <c r="S561" s="64"/>
      <c r="T561" s="64"/>
      <c r="U561" s="64"/>
      <c r="V561" s="64"/>
      <c r="W561" s="64"/>
      <c r="X561" s="825"/>
      <c r="Y561" s="979"/>
      <c r="Z561" s="1007"/>
      <c r="AA561" s="562"/>
      <c r="AB561" s="562"/>
      <c r="AC561" s="562"/>
      <c r="AD561" s="562"/>
      <c r="AE561" s="562"/>
      <c r="AF561" s="562"/>
      <c r="AG561" s="562"/>
      <c r="AH561" s="562"/>
      <c r="AI561" s="562"/>
      <c r="AJ561" s="562"/>
      <c r="AK561" s="562"/>
      <c r="AL561" s="562"/>
      <c r="AM561" s="562"/>
      <c r="AN561" s="562"/>
      <c r="AO561" s="562"/>
      <c r="AP561" s="562"/>
      <c r="AQ561" s="562"/>
      <c r="AR561" s="562"/>
      <c r="AS561" s="562"/>
    </row>
    <row r="562" spans="1:45" ht="16" thickTop="1" x14ac:dyDescent="0.2">
      <c r="A562" s="541">
        <v>6</v>
      </c>
      <c r="B562" s="549" t="s">
        <v>2643</v>
      </c>
      <c r="C562" s="544"/>
      <c r="D562" s="544"/>
      <c r="E562" s="544"/>
      <c r="F562" s="544"/>
      <c r="G562" s="543" t="str">
        <f>IF(N562&gt;0,"P","")</f>
        <v/>
      </c>
      <c r="H562" s="541" t="s">
        <v>3751</v>
      </c>
      <c r="I562" s="131" t="s">
        <v>2644</v>
      </c>
      <c r="J562" s="132"/>
      <c r="K562" s="133"/>
      <c r="L562" s="819" t="s">
        <v>2645</v>
      </c>
      <c r="M562" s="827" t="s">
        <v>2646</v>
      </c>
      <c r="N562" s="981">
        <f>'Ch6'!O323</f>
        <v>0</v>
      </c>
      <c r="O562" s="981">
        <f>IF(COUNTIF(W566:W574,TRUE)&lt;2,0,MIN(6,(COUNTIF(W566:W574,TRUE)+1)))</f>
        <v>0</v>
      </c>
      <c r="P562" s="64" t="b">
        <v>1</v>
      </c>
      <c r="Q562" s="64" t="b">
        <v>1</v>
      </c>
      <c r="R562" s="74" t="b">
        <v>0</v>
      </c>
      <c r="S562" s="74" t="b">
        <v>1</v>
      </c>
      <c r="T562" s="74" t="b">
        <v>0</v>
      </c>
      <c r="U562" s="74"/>
      <c r="V562" s="74"/>
      <c r="W562" s="74"/>
      <c r="X562" s="74"/>
      <c r="Y562" s="562"/>
      <c r="Z562" s="430"/>
      <c r="AA562" s="562"/>
      <c r="AB562" s="562"/>
      <c r="AC562" s="562"/>
      <c r="AD562" s="562"/>
      <c r="AE562" s="562"/>
      <c r="AF562" s="562"/>
      <c r="AG562" s="562"/>
      <c r="AH562" s="562"/>
      <c r="AI562" s="562"/>
      <c r="AJ562" s="562"/>
      <c r="AK562" s="562"/>
      <c r="AL562" s="190" t="str">
        <f>SUBSTITUTE(SUBSTITUTE(SUBSTITUTE("vpa"&amp;$B562&amp;$C562&amp;$D562&amp;$E562&amp;$F562,".","_"),"(","_"),")","")</f>
        <v>vpa605_4</v>
      </c>
      <c r="AM562" s="190" t="str">
        <f>M562</f>
        <v>6 Max</v>
      </c>
      <c r="AN562" s="190" t="str">
        <f>SUBSTITUTE(SUBSTITUTE(SUBSTITUTE("vpc"&amp;$B562&amp;$C562&amp;$D562&amp;$E562&amp;$F562,".","_"),"(","_"),")","")</f>
        <v>vpc605_4</v>
      </c>
      <c r="AO562" s="190">
        <f>O562</f>
        <v>0</v>
      </c>
      <c r="AP562" s="190"/>
      <c r="AQ562" s="190"/>
      <c r="AR562" s="562"/>
      <c r="AS562" s="562"/>
    </row>
    <row r="563" spans="1:45" x14ac:dyDescent="0.2">
      <c r="A563" s="541">
        <v>6</v>
      </c>
      <c r="B563" s="549" t="s">
        <v>2643</v>
      </c>
      <c r="C563" s="544"/>
      <c r="D563" s="544"/>
      <c r="E563" s="544"/>
      <c r="F563" s="544"/>
      <c r="G563" s="543" t="str">
        <f t="shared" ref="G563:G575" si="155">G562</f>
        <v/>
      </c>
      <c r="H563" s="541" t="s">
        <v>3751</v>
      </c>
      <c r="I563" s="99"/>
      <c r="J563" s="98"/>
      <c r="K563" s="65"/>
      <c r="L563" s="820"/>
      <c r="M563" s="800"/>
      <c r="N563" s="924"/>
      <c r="O563" s="924"/>
      <c r="P563" s="64"/>
      <c r="Q563" s="64"/>
      <c r="R563" s="64"/>
      <c r="S563" s="64"/>
      <c r="T563" s="64"/>
      <c r="U563" s="64"/>
      <c r="V563" s="64"/>
      <c r="W563" s="64"/>
      <c r="X563" s="64"/>
      <c r="Y563" s="562"/>
      <c r="Z563" s="430"/>
      <c r="AA563" s="562"/>
      <c r="AB563" s="562"/>
      <c r="AC563" s="562"/>
      <c r="AD563" s="562"/>
      <c r="AE563" s="562"/>
      <c r="AF563" s="562"/>
      <c r="AG563" s="562"/>
      <c r="AH563" s="562"/>
      <c r="AI563" s="562"/>
      <c r="AJ563" s="562"/>
      <c r="AK563" s="562"/>
      <c r="AL563" s="562"/>
      <c r="AM563" s="562"/>
      <c r="AN563" s="562"/>
      <c r="AO563" s="562"/>
      <c r="AP563" s="562"/>
      <c r="AQ563" s="562"/>
      <c r="AR563" s="562"/>
      <c r="AS563" s="562"/>
    </row>
    <row r="564" spans="1:45" x14ac:dyDescent="0.2">
      <c r="A564" s="541">
        <v>6</v>
      </c>
      <c r="B564" s="549" t="s">
        <v>2643</v>
      </c>
      <c r="C564" s="544"/>
      <c r="D564" s="544"/>
      <c r="E564" s="544" t="s">
        <v>2181</v>
      </c>
      <c r="F564" s="544"/>
      <c r="G564" s="543" t="str">
        <f t="shared" si="155"/>
        <v/>
      </c>
      <c r="H564" s="541" t="s">
        <v>3751</v>
      </c>
      <c r="I564" s="40"/>
      <c r="J564" s="159" t="s">
        <v>2181</v>
      </c>
      <c r="K564" s="126"/>
      <c r="L564" s="126" t="s">
        <v>2647</v>
      </c>
      <c r="M564" s="611">
        <v>3</v>
      </c>
      <c r="N564" s="648"/>
      <c r="O564" s="648"/>
      <c r="P564" s="562"/>
      <c r="Q564" s="562"/>
      <c r="R564" s="562"/>
      <c r="S564" s="562"/>
      <c r="T564" s="562"/>
      <c r="U564" s="562"/>
      <c r="V564" s="562"/>
      <c r="W564" s="562"/>
      <c r="X564" s="562"/>
      <c r="Y564" s="562"/>
      <c r="Z564" s="430"/>
      <c r="AA564" s="562"/>
      <c r="AB564" s="562"/>
      <c r="AC564" s="562"/>
      <c r="AD564" s="562"/>
      <c r="AE564" s="562"/>
      <c r="AF564" s="562"/>
      <c r="AG564" s="562"/>
      <c r="AH564" s="562"/>
      <c r="AI564" s="562"/>
      <c r="AJ564" s="562"/>
      <c r="AK564" s="562"/>
      <c r="AL564" s="190" t="str">
        <f t="shared" ref="AL564:AL565" si="156">SUBSTITUTE(SUBSTITUTE(SUBSTITUTE("vpa"&amp;$B564&amp;$C564&amp;$D564&amp;$E564&amp;$F564,".","_"),"(","_"),")","")</f>
        <v>vpa605_4_1</v>
      </c>
      <c r="AM564" s="190">
        <f>M564</f>
        <v>3</v>
      </c>
      <c r="AN564" s="562"/>
      <c r="AO564" s="562"/>
      <c r="AP564" s="562"/>
      <c r="AQ564" s="562"/>
      <c r="AR564" s="562"/>
      <c r="AS564" s="562"/>
    </row>
    <row r="565" spans="1:45" x14ac:dyDescent="0.2">
      <c r="A565" s="541">
        <v>6</v>
      </c>
      <c r="B565" s="549" t="s">
        <v>2643</v>
      </c>
      <c r="C565" s="544"/>
      <c r="D565" s="544"/>
      <c r="E565" s="544" t="s">
        <v>2183</v>
      </c>
      <c r="F565" s="544"/>
      <c r="G565" s="543" t="str">
        <f t="shared" si="155"/>
        <v/>
      </c>
      <c r="H565" s="541" t="s">
        <v>3751</v>
      </c>
      <c r="I565" s="40"/>
      <c r="J565" s="20" t="s">
        <v>2183</v>
      </c>
      <c r="K565" s="53"/>
      <c r="L565" s="53" t="s">
        <v>2648</v>
      </c>
      <c r="M565" s="616">
        <v>1</v>
      </c>
      <c r="N565" s="648"/>
      <c r="O565" s="648"/>
      <c r="P565" s="562"/>
      <c r="Q565" s="562"/>
      <c r="R565" s="562"/>
      <c r="S565" s="562"/>
      <c r="T565" s="562"/>
      <c r="U565" s="562"/>
      <c r="V565" s="562"/>
      <c r="W565" s="562"/>
      <c r="X565" s="562"/>
      <c r="Y565" s="562"/>
      <c r="Z565" s="430"/>
      <c r="AA565" s="562"/>
      <c r="AB565" s="562"/>
      <c r="AC565" s="562"/>
      <c r="AD565" s="562"/>
      <c r="AE565" s="562"/>
      <c r="AF565" s="562"/>
      <c r="AG565" s="562"/>
      <c r="AH565" s="562"/>
      <c r="AI565" s="562"/>
      <c r="AJ565" s="562"/>
      <c r="AK565" s="562"/>
      <c r="AL565" s="190" t="str">
        <f t="shared" si="156"/>
        <v>vpa605_4_2</v>
      </c>
      <c r="AM565" s="190">
        <f>M565</f>
        <v>1</v>
      </c>
      <c r="AN565" s="562"/>
      <c r="AO565" s="562"/>
      <c r="AP565" s="562"/>
      <c r="AQ565" s="562"/>
      <c r="AR565" s="562"/>
      <c r="AS565" s="562"/>
    </row>
    <row r="566" spans="1:45" x14ac:dyDescent="0.2">
      <c r="A566" s="541">
        <v>6</v>
      </c>
      <c r="B566" s="549" t="s">
        <v>2643</v>
      </c>
      <c r="C566" s="544"/>
      <c r="D566" s="544"/>
      <c r="E566" s="544" t="s">
        <v>2183</v>
      </c>
      <c r="F566" s="544" t="s">
        <v>2196</v>
      </c>
      <c r="G566" s="543" t="str">
        <f t="shared" si="155"/>
        <v/>
      </c>
      <c r="H566" s="541" t="s">
        <v>3751</v>
      </c>
      <c r="I566" s="40"/>
      <c r="J566" s="3"/>
      <c r="K566" s="125" t="s">
        <v>2196</v>
      </c>
      <c r="L566" s="126" t="s">
        <v>2649</v>
      </c>
      <c r="M566" s="616"/>
      <c r="N566" s="648"/>
      <c r="O566" s="648"/>
      <c r="P566" s="64" t="b">
        <v>1</v>
      </c>
      <c r="Q566" s="64" t="b">
        <v>1</v>
      </c>
      <c r="R566" s="562" t="b">
        <v>0</v>
      </c>
      <c r="S566" s="562" t="b">
        <v>1</v>
      </c>
      <c r="T566" s="562" t="b">
        <v>0</v>
      </c>
      <c r="U566" s="562"/>
      <c r="V566" s="562"/>
      <c r="W566" s="18"/>
      <c r="X566" s="787"/>
      <c r="Y566" s="980" t="str">
        <f>IF(LEN('Ch6'!X327)=0,"None",'Ch6'!X327)</f>
        <v>None</v>
      </c>
      <c r="Z566" s="983"/>
      <c r="AA566" s="562"/>
      <c r="AB566" s="562"/>
      <c r="AC566" s="562"/>
      <c r="AD566" s="562"/>
      <c r="AE566" s="562"/>
      <c r="AF566" s="562"/>
      <c r="AG566" s="562"/>
      <c r="AH566" s="562"/>
      <c r="AI566" s="562"/>
      <c r="AJ566" s="562"/>
      <c r="AK566" s="562"/>
      <c r="AL566" s="562"/>
      <c r="AM566" s="562"/>
      <c r="AN566" s="562"/>
      <c r="AO566" s="562"/>
      <c r="AP566" s="190" t="str">
        <f t="shared" ref="AP566:AP574" si="157">SUBSTITUTE(SUBSTITUTE(SUBSTITUTE("vch"&amp;$B566&amp;$C566&amp;$D566&amp;$E566&amp;$F566,".","_"),"(","_"),")","")</f>
        <v>vch605_4_2_a</v>
      </c>
      <c r="AQ566" s="190">
        <f t="shared" ref="AQ566:AQ574" si="158">W566</f>
        <v>0</v>
      </c>
      <c r="AR566" s="190" t="str">
        <f>SUBSTITUTE(SUBSTITUTE(SUBSTITUTE("vnt"&amp;$B566&amp;$C566&amp;$D566&amp;$E566&amp;$F566,".","_"),"(","_"),")","")</f>
        <v>vnt605_4_2_a</v>
      </c>
      <c r="AS566" s="190">
        <f>X566</f>
        <v>0</v>
      </c>
    </row>
    <row r="567" spans="1:45" x14ac:dyDescent="0.2">
      <c r="A567" s="541">
        <v>6</v>
      </c>
      <c r="B567" s="549" t="s">
        <v>2643</v>
      </c>
      <c r="C567" s="544"/>
      <c r="D567" s="544"/>
      <c r="E567" s="544" t="s">
        <v>2183</v>
      </c>
      <c r="F567" s="544" t="s">
        <v>2198</v>
      </c>
      <c r="G567" s="543" t="str">
        <f t="shared" si="155"/>
        <v/>
      </c>
      <c r="H567" s="541" t="s">
        <v>3751</v>
      </c>
      <c r="I567" s="40"/>
      <c r="J567" s="3"/>
      <c r="K567" s="167" t="s">
        <v>2198</v>
      </c>
      <c r="L567" s="162" t="s">
        <v>2650</v>
      </c>
      <c r="M567" s="616"/>
      <c r="N567" s="648"/>
      <c r="O567" s="648"/>
      <c r="P567" s="64" t="b">
        <v>1</v>
      </c>
      <c r="Q567" s="64" t="b">
        <v>1</v>
      </c>
      <c r="R567" s="562" t="b">
        <v>0</v>
      </c>
      <c r="S567" s="562" t="b">
        <v>1</v>
      </c>
      <c r="T567" s="562" t="b">
        <v>0</v>
      </c>
      <c r="U567" s="562"/>
      <c r="V567" s="562"/>
      <c r="W567" s="18"/>
      <c r="X567" s="787"/>
      <c r="Y567" s="980"/>
      <c r="Z567" s="983"/>
      <c r="AA567" s="562"/>
      <c r="AB567" s="562"/>
      <c r="AC567" s="562"/>
      <c r="AD567" s="562"/>
      <c r="AE567" s="562"/>
      <c r="AF567" s="562"/>
      <c r="AG567" s="562"/>
      <c r="AH567" s="562"/>
      <c r="AI567" s="562"/>
      <c r="AJ567" s="562"/>
      <c r="AK567" s="562"/>
      <c r="AL567" s="562"/>
      <c r="AM567" s="562"/>
      <c r="AN567" s="562"/>
      <c r="AO567" s="562"/>
      <c r="AP567" s="190" t="str">
        <f t="shared" si="157"/>
        <v>vch605_4_2_b</v>
      </c>
      <c r="AQ567" s="190">
        <f t="shared" si="158"/>
        <v>0</v>
      </c>
      <c r="AR567" s="562"/>
      <c r="AS567" s="562"/>
    </row>
    <row r="568" spans="1:45" x14ac:dyDescent="0.2">
      <c r="A568" s="541">
        <v>6</v>
      </c>
      <c r="B568" s="549" t="s">
        <v>2643</v>
      </c>
      <c r="C568" s="544"/>
      <c r="D568" s="544"/>
      <c r="E568" s="544" t="s">
        <v>2183</v>
      </c>
      <c r="F568" s="544" t="s">
        <v>2200</v>
      </c>
      <c r="G568" s="543" t="str">
        <f t="shared" si="155"/>
        <v/>
      </c>
      <c r="H568" s="541" t="s">
        <v>3751</v>
      </c>
      <c r="I568" s="40"/>
      <c r="J568" s="3"/>
      <c r="K568" s="172" t="s">
        <v>2200</v>
      </c>
      <c r="L568" s="162" t="s">
        <v>2651</v>
      </c>
      <c r="M568" s="616"/>
      <c r="N568" s="648"/>
      <c r="O568" s="648"/>
      <c r="P568" s="64" t="b">
        <v>1</v>
      </c>
      <c r="Q568" s="64" t="b">
        <v>1</v>
      </c>
      <c r="R568" s="562" t="b">
        <v>0</v>
      </c>
      <c r="S568" s="562" t="b">
        <v>1</v>
      </c>
      <c r="T568" s="562" t="b">
        <v>0</v>
      </c>
      <c r="U568" s="562"/>
      <c r="V568" s="562"/>
      <c r="W568" s="18"/>
      <c r="X568" s="787"/>
      <c r="Y568" s="980"/>
      <c r="Z568" s="983"/>
      <c r="AA568" s="562"/>
      <c r="AB568" s="562"/>
      <c r="AC568" s="562"/>
      <c r="AD568" s="562"/>
      <c r="AE568" s="562"/>
      <c r="AF568" s="562"/>
      <c r="AG568" s="562"/>
      <c r="AH568" s="562"/>
      <c r="AI568" s="562"/>
      <c r="AJ568" s="562"/>
      <c r="AK568" s="562"/>
      <c r="AL568" s="562"/>
      <c r="AM568" s="562"/>
      <c r="AN568" s="562"/>
      <c r="AO568" s="562"/>
      <c r="AP568" s="190" t="str">
        <f t="shared" si="157"/>
        <v>vch605_4_2_c</v>
      </c>
      <c r="AQ568" s="190">
        <f t="shared" si="158"/>
        <v>0</v>
      </c>
      <c r="AR568" s="562"/>
      <c r="AS568" s="562"/>
    </row>
    <row r="569" spans="1:45" x14ac:dyDescent="0.2">
      <c r="A569" s="541">
        <v>6</v>
      </c>
      <c r="B569" s="549" t="s">
        <v>2643</v>
      </c>
      <c r="C569" s="544"/>
      <c r="D569" s="544"/>
      <c r="E569" s="544" t="s">
        <v>2183</v>
      </c>
      <c r="F569" s="544" t="s">
        <v>2247</v>
      </c>
      <c r="G569" s="543" t="str">
        <f t="shared" si="155"/>
        <v/>
      </c>
      <c r="H569" s="541" t="s">
        <v>3751</v>
      </c>
      <c r="I569" s="40"/>
      <c r="J569" s="3"/>
      <c r="K569" s="173" t="s">
        <v>2247</v>
      </c>
      <c r="L569" s="162" t="s">
        <v>2652</v>
      </c>
      <c r="M569" s="616"/>
      <c r="N569" s="648"/>
      <c r="O569" s="648"/>
      <c r="P569" s="64" t="b">
        <v>1</v>
      </c>
      <c r="Q569" s="64" t="b">
        <v>1</v>
      </c>
      <c r="R569" s="562" t="b">
        <v>0</v>
      </c>
      <c r="S569" s="562" t="b">
        <v>1</v>
      </c>
      <c r="T569" s="562" t="b">
        <v>0</v>
      </c>
      <c r="U569" s="562"/>
      <c r="V569" s="562"/>
      <c r="W569" s="18"/>
      <c r="X569" s="787"/>
      <c r="Y569" s="980"/>
      <c r="Z569" s="983"/>
      <c r="AA569" s="562"/>
      <c r="AB569" s="562"/>
      <c r="AC569" s="562"/>
      <c r="AD569" s="562"/>
      <c r="AE569" s="562"/>
      <c r="AF569" s="562"/>
      <c r="AG569" s="562"/>
      <c r="AH569" s="562"/>
      <c r="AI569" s="562"/>
      <c r="AJ569" s="562"/>
      <c r="AK569" s="562"/>
      <c r="AL569" s="562"/>
      <c r="AM569" s="562"/>
      <c r="AN569" s="562"/>
      <c r="AO569" s="562"/>
      <c r="AP569" s="190" t="str">
        <f t="shared" si="157"/>
        <v>vch605_4_2_d</v>
      </c>
      <c r="AQ569" s="190">
        <f t="shared" si="158"/>
        <v>0</v>
      </c>
      <c r="AR569" s="562"/>
      <c r="AS569" s="562"/>
    </row>
    <row r="570" spans="1:45" x14ac:dyDescent="0.2">
      <c r="A570" s="541">
        <v>6</v>
      </c>
      <c r="B570" s="549" t="s">
        <v>2643</v>
      </c>
      <c r="C570" s="544"/>
      <c r="D570" s="544"/>
      <c r="E570" s="544" t="s">
        <v>2183</v>
      </c>
      <c r="F570" s="544" t="s">
        <v>2444</v>
      </c>
      <c r="G570" s="543" t="str">
        <f t="shared" si="155"/>
        <v/>
      </c>
      <c r="H570" s="541" t="s">
        <v>3751</v>
      </c>
      <c r="I570" s="40"/>
      <c r="J570" s="3"/>
      <c r="K570" s="167" t="s">
        <v>2444</v>
      </c>
      <c r="L570" s="162" t="s">
        <v>2653</v>
      </c>
      <c r="M570" s="616"/>
      <c r="N570" s="648"/>
      <c r="O570" s="648"/>
      <c r="P570" s="64" t="b">
        <v>1</v>
      </c>
      <c r="Q570" s="64" t="b">
        <v>1</v>
      </c>
      <c r="R570" s="562" t="b">
        <v>0</v>
      </c>
      <c r="S570" s="562" t="b">
        <v>1</v>
      </c>
      <c r="T570" s="562" t="b">
        <v>0</v>
      </c>
      <c r="U570" s="562"/>
      <c r="V570" s="562"/>
      <c r="W570" s="18"/>
      <c r="X570" s="787"/>
      <c r="Y570" s="980"/>
      <c r="Z570" s="983"/>
      <c r="AA570" s="562"/>
      <c r="AB570" s="562"/>
      <c r="AC570" s="562"/>
      <c r="AD570" s="562"/>
      <c r="AE570" s="562"/>
      <c r="AF570" s="562"/>
      <c r="AG570" s="562"/>
      <c r="AH570" s="562"/>
      <c r="AI570" s="562"/>
      <c r="AJ570" s="562"/>
      <c r="AK570" s="562"/>
      <c r="AL570" s="562"/>
      <c r="AM570" s="562"/>
      <c r="AN570" s="562"/>
      <c r="AO570" s="562"/>
      <c r="AP570" s="190" t="str">
        <f t="shared" si="157"/>
        <v>vch605_4_2_e</v>
      </c>
      <c r="AQ570" s="190">
        <f t="shared" si="158"/>
        <v>0</v>
      </c>
      <c r="AR570" s="562"/>
      <c r="AS570" s="562"/>
    </row>
    <row r="571" spans="1:45" x14ac:dyDescent="0.2">
      <c r="A571" s="541">
        <v>6</v>
      </c>
      <c r="B571" s="549" t="s">
        <v>2643</v>
      </c>
      <c r="C571" s="544"/>
      <c r="D571" s="544"/>
      <c r="E571" s="544" t="s">
        <v>2183</v>
      </c>
      <c r="F571" s="544" t="s">
        <v>2540</v>
      </c>
      <c r="G571" s="543" t="str">
        <f t="shared" si="155"/>
        <v/>
      </c>
      <c r="H571" s="541" t="s">
        <v>3751</v>
      </c>
      <c r="I571" s="40"/>
      <c r="J571" s="3"/>
      <c r="K571" s="167" t="s">
        <v>2540</v>
      </c>
      <c r="L571" s="162" t="s">
        <v>2654</v>
      </c>
      <c r="M571" s="616"/>
      <c r="N571" s="648"/>
      <c r="O571" s="648"/>
      <c r="P571" s="64" t="b">
        <v>1</v>
      </c>
      <c r="Q571" s="64" t="b">
        <v>1</v>
      </c>
      <c r="R571" s="562" t="b">
        <v>0</v>
      </c>
      <c r="S571" s="562" t="b">
        <v>1</v>
      </c>
      <c r="T571" s="562" t="b">
        <v>0</v>
      </c>
      <c r="U571" s="562"/>
      <c r="V571" s="562"/>
      <c r="W571" s="18"/>
      <c r="X571" s="787"/>
      <c r="Y571" s="980"/>
      <c r="Z571" s="983"/>
      <c r="AA571" s="562"/>
      <c r="AB571" s="562"/>
      <c r="AC571" s="562"/>
      <c r="AD571" s="562"/>
      <c r="AE571" s="562"/>
      <c r="AF571" s="562"/>
      <c r="AG571" s="562"/>
      <c r="AH571" s="562"/>
      <c r="AI571" s="562"/>
      <c r="AJ571" s="562"/>
      <c r="AK571" s="562"/>
      <c r="AL571" s="562"/>
      <c r="AM571" s="562"/>
      <c r="AN571" s="562"/>
      <c r="AO571" s="562"/>
      <c r="AP571" s="190" t="str">
        <f t="shared" si="157"/>
        <v>vch605_4_2_f</v>
      </c>
      <c r="AQ571" s="190">
        <f t="shared" si="158"/>
        <v>0</v>
      </c>
      <c r="AR571" s="562"/>
      <c r="AS571" s="562"/>
    </row>
    <row r="572" spans="1:45" x14ac:dyDescent="0.2">
      <c r="A572" s="541">
        <v>6</v>
      </c>
      <c r="B572" s="549" t="s">
        <v>2643</v>
      </c>
      <c r="C572" s="544"/>
      <c r="D572" s="544"/>
      <c r="E572" s="544" t="s">
        <v>2183</v>
      </c>
      <c r="F572" s="544" t="s">
        <v>2542</v>
      </c>
      <c r="G572" s="543" t="str">
        <f t="shared" si="155"/>
        <v/>
      </c>
      <c r="H572" s="541" t="s">
        <v>3751</v>
      </c>
      <c r="I572" s="40"/>
      <c r="J572" s="3"/>
      <c r="K572" s="172" t="s">
        <v>2542</v>
      </c>
      <c r="L572" s="162" t="s">
        <v>2655</v>
      </c>
      <c r="M572" s="616"/>
      <c r="N572" s="648"/>
      <c r="O572" s="648"/>
      <c r="P572" s="64" t="b">
        <v>1</v>
      </c>
      <c r="Q572" s="64" t="b">
        <v>1</v>
      </c>
      <c r="R572" s="562" t="b">
        <v>0</v>
      </c>
      <c r="S572" s="562" t="b">
        <v>1</v>
      </c>
      <c r="T572" s="562" t="b">
        <v>0</v>
      </c>
      <c r="U572" s="562"/>
      <c r="V572" s="562"/>
      <c r="W572" s="18"/>
      <c r="X572" s="787"/>
      <c r="Y572" s="980"/>
      <c r="Z572" s="983"/>
      <c r="AA572" s="562"/>
      <c r="AB572" s="562"/>
      <c r="AC572" s="562"/>
      <c r="AD572" s="562"/>
      <c r="AE572" s="562"/>
      <c r="AF572" s="562"/>
      <c r="AG572" s="562"/>
      <c r="AH572" s="562"/>
      <c r="AI572" s="562"/>
      <c r="AJ572" s="562"/>
      <c r="AK572" s="562"/>
      <c r="AL572" s="562"/>
      <c r="AM572" s="562"/>
      <c r="AN572" s="562"/>
      <c r="AO572" s="562"/>
      <c r="AP572" s="190" t="str">
        <f t="shared" si="157"/>
        <v>vch605_4_2_g</v>
      </c>
      <c r="AQ572" s="190">
        <f t="shared" si="158"/>
        <v>0</v>
      </c>
      <c r="AR572" s="562"/>
      <c r="AS572" s="562"/>
    </row>
    <row r="573" spans="1:45" ht="16" x14ac:dyDescent="0.2">
      <c r="A573" s="541">
        <v>6</v>
      </c>
      <c r="B573" s="549" t="s">
        <v>2643</v>
      </c>
      <c r="C573" s="544"/>
      <c r="D573" s="544"/>
      <c r="E573" s="544" t="s">
        <v>2183</v>
      </c>
      <c r="F573" s="544" t="s">
        <v>2544</v>
      </c>
      <c r="G573" s="543" t="str">
        <f t="shared" si="155"/>
        <v/>
      </c>
      <c r="H573" s="541" t="s">
        <v>3751</v>
      </c>
      <c r="I573" s="40"/>
      <c r="J573" s="562"/>
      <c r="K573" s="173" t="s">
        <v>2544</v>
      </c>
      <c r="L573" s="162" t="s">
        <v>2656</v>
      </c>
      <c r="M573" s="562"/>
      <c r="N573" s="648"/>
      <c r="O573" s="648"/>
      <c r="P573" s="64" t="b">
        <v>1</v>
      </c>
      <c r="Q573" s="64" t="b">
        <v>1</v>
      </c>
      <c r="R573" s="562" t="b">
        <v>0</v>
      </c>
      <c r="S573" s="562" t="b">
        <v>1</v>
      </c>
      <c r="T573" s="562" t="b">
        <v>0</v>
      </c>
      <c r="U573" s="562"/>
      <c r="V573" s="562"/>
      <c r="W573" s="18"/>
      <c r="X573" s="563"/>
      <c r="Y573" s="578" t="str">
        <f>IF(LEN('Ch6'!X334)=0,"None",'Ch6'!X334)</f>
        <v>None</v>
      </c>
      <c r="Z573" s="579"/>
      <c r="AA573" s="562"/>
      <c r="AB573" s="562"/>
      <c r="AC573" s="562" t="b">
        <f>OR(AD573:AE573)</f>
        <v>0</v>
      </c>
      <c r="AD573" s="562" t="b">
        <f>T573</f>
        <v>0</v>
      </c>
      <c r="AE573" s="562" t="b">
        <f>AND(W573=TRUE,LEN(X573)=0)</f>
        <v>0</v>
      </c>
      <c r="AF573" s="562" t="b">
        <f>AND(AE573,NOT(Q573))</f>
        <v>0</v>
      </c>
      <c r="AG573" s="562"/>
      <c r="AH573" s="562"/>
      <c r="AI573" s="562"/>
      <c r="AJ573" s="562"/>
      <c r="AK573" s="562"/>
      <c r="AL573" s="562"/>
      <c r="AM573" s="562"/>
      <c r="AN573" s="562"/>
      <c r="AO573" s="562"/>
      <c r="AP573" s="190" t="str">
        <f t="shared" si="157"/>
        <v>vch605_4_2_h</v>
      </c>
      <c r="AQ573" s="190">
        <f t="shared" si="158"/>
        <v>0</v>
      </c>
      <c r="AR573" s="190" t="str">
        <f t="shared" ref="AR573:AR574" si="159">SUBSTITUTE(SUBSTITUTE(SUBSTITUTE("vnt"&amp;$B573&amp;$C573&amp;$D573&amp;$E573&amp;$F573,".","_"),"(","_"),")","")</f>
        <v>vnt605_4_2_h</v>
      </c>
      <c r="AS573" s="190">
        <f>X573</f>
        <v>0</v>
      </c>
    </row>
    <row r="574" spans="1:45" ht="16" x14ac:dyDescent="0.2">
      <c r="A574" s="541">
        <v>6</v>
      </c>
      <c r="B574" s="549" t="s">
        <v>2643</v>
      </c>
      <c r="C574" s="544"/>
      <c r="D574" s="544"/>
      <c r="E574" s="544" t="s">
        <v>2183</v>
      </c>
      <c r="F574" s="544" t="s">
        <v>2657</v>
      </c>
      <c r="G574" s="543" t="str">
        <f t="shared" si="155"/>
        <v/>
      </c>
      <c r="H574" s="541" t="s">
        <v>3751</v>
      </c>
      <c r="I574" s="40"/>
      <c r="J574" s="562"/>
      <c r="K574" s="55" t="s">
        <v>2657</v>
      </c>
      <c r="L574" s="53" t="s">
        <v>2656</v>
      </c>
      <c r="M574" s="562"/>
      <c r="N574" s="648"/>
      <c r="O574" s="648"/>
      <c r="P574" s="64" t="b">
        <v>1</v>
      </c>
      <c r="Q574" s="64" t="b">
        <v>1</v>
      </c>
      <c r="R574" s="562" t="b">
        <v>0</v>
      </c>
      <c r="S574" s="562" t="b">
        <v>1</v>
      </c>
      <c r="T574" s="562" t="b">
        <v>0</v>
      </c>
      <c r="U574" s="562"/>
      <c r="V574" s="562"/>
      <c r="W574" s="18"/>
      <c r="X574" s="563"/>
      <c r="Y574" s="578" t="str">
        <f>IF(LEN('Ch6'!X335)=0,"None",'Ch6'!X335)</f>
        <v>None</v>
      </c>
      <c r="Z574" s="579"/>
      <c r="AA574" s="562"/>
      <c r="AB574" s="562"/>
      <c r="AC574" s="562" t="b">
        <f>OR(AD574:AE574)</f>
        <v>0</v>
      </c>
      <c r="AD574" s="562" t="b">
        <f>T574</f>
        <v>0</v>
      </c>
      <c r="AE574" s="562" t="b">
        <f>AND(W574=TRUE,LEN(X574)=0)</f>
        <v>0</v>
      </c>
      <c r="AF574" s="562" t="b">
        <f>AND(AE574,NOT(Q574))</f>
        <v>0</v>
      </c>
      <c r="AG574" s="562"/>
      <c r="AH574" s="562"/>
      <c r="AI574" s="562"/>
      <c r="AJ574" s="562"/>
      <c r="AK574" s="562"/>
      <c r="AL574" s="562"/>
      <c r="AM574" s="562"/>
      <c r="AN574" s="562"/>
      <c r="AO574" s="562"/>
      <c r="AP574" s="190" t="str">
        <f t="shared" si="157"/>
        <v>vch605_4_2_i</v>
      </c>
      <c r="AQ574" s="190">
        <f t="shared" si="158"/>
        <v>0</v>
      </c>
      <c r="AR574" s="190" t="str">
        <f t="shared" si="159"/>
        <v>vnt605_4_2_i</v>
      </c>
      <c r="AS574" s="190">
        <f>X574</f>
        <v>0</v>
      </c>
    </row>
    <row r="575" spans="1:45" x14ac:dyDescent="0.2">
      <c r="A575" s="541">
        <v>6</v>
      </c>
      <c r="B575" s="549" t="s">
        <v>2643</v>
      </c>
      <c r="C575" s="544"/>
      <c r="D575" s="544"/>
      <c r="E575" s="544"/>
      <c r="F575" s="544"/>
      <c r="G575" s="543" t="str">
        <f t="shared" si="155"/>
        <v/>
      </c>
      <c r="H575" s="541" t="s">
        <v>3751</v>
      </c>
      <c r="I575" s="40"/>
      <c r="J575" s="562"/>
      <c r="K575" s="55"/>
      <c r="L575" s="567" t="s">
        <v>2658</v>
      </c>
      <c r="M575" s="562"/>
      <c r="N575" s="648"/>
      <c r="O575" s="648"/>
      <c r="P575" s="562"/>
      <c r="Q575" s="562"/>
      <c r="R575" s="562"/>
      <c r="S575" s="562"/>
      <c r="T575" s="562"/>
      <c r="U575" s="562"/>
      <c r="V575" s="562"/>
      <c r="W575" s="562"/>
      <c r="X575" s="562"/>
      <c r="Y575" s="562"/>
      <c r="Z575" s="430"/>
      <c r="AA575" s="562"/>
      <c r="AB575" s="562"/>
      <c r="AC575" s="562"/>
      <c r="AD575" s="562"/>
      <c r="AE575" s="562"/>
      <c r="AF575" s="562"/>
      <c r="AG575" s="562"/>
      <c r="AH575" s="562"/>
      <c r="AI575" s="562"/>
      <c r="AJ575" s="562"/>
      <c r="AK575" s="562"/>
      <c r="AL575" s="562"/>
      <c r="AM575" s="562"/>
      <c r="AN575" s="562"/>
      <c r="AO575" s="562"/>
      <c r="AP575" s="562"/>
      <c r="AQ575" s="562"/>
      <c r="AR575" s="562"/>
      <c r="AS575" s="562"/>
    </row>
    <row r="576" spans="1:45" ht="19" x14ac:dyDescent="0.25">
      <c r="A576" s="541">
        <v>6</v>
      </c>
      <c r="B576" s="549">
        <v>606</v>
      </c>
      <c r="C576" s="544"/>
      <c r="D576" s="544"/>
      <c r="E576" s="544"/>
      <c r="F576" s="544"/>
      <c r="G576" s="543" t="s">
        <v>3343</v>
      </c>
      <c r="H576" s="541" t="s">
        <v>3751</v>
      </c>
      <c r="I576" s="8" t="s">
        <v>2659</v>
      </c>
      <c r="J576" s="16"/>
      <c r="K576" s="52"/>
      <c r="L576" s="50"/>
      <c r="M576" s="44"/>
      <c r="N576" s="44"/>
      <c r="O576" s="44"/>
      <c r="P576" s="16"/>
      <c r="Q576" s="16"/>
      <c r="R576" s="16"/>
      <c r="S576" s="16"/>
      <c r="T576" s="16"/>
      <c r="U576" s="16"/>
      <c r="V576" s="16"/>
      <c r="W576" s="16"/>
      <c r="X576" s="16"/>
      <c r="Y576" s="16"/>
      <c r="Z576" s="453"/>
      <c r="AA576" s="562"/>
      <c r="AB576" s="562"/>
      <c r="AC576" s="562"/>
      <c r="AD576" s="562"/>
      <c r="AE576" s="562"/>
      <c r="AF576" s="562"/>
      <c r="AG576" s="562"/>
      <c r="AH576" s="562"/>
      <c r="AI576" s="562"/>
      <c r="AJ576" s="562"/>
      <c r="AK576" s="562"/>
      <c r="AL576" s="562"/>
      <c r="AM576" s="562"/>
      <c r="AN576" s="562"/>
      <c r="AO576" s="562"/>
      <c r="AP576" s="562"/>
      <c r="AQ576" s="562"/>
      <c r="AR576" s="562"/>
      <c r="AS576" s="562"/>
    </row>
    <row r="577" spans="1:45" ht="16" thickBot="1" x14ac:dyDescent="0.25">
      <c r="A577" s="541">
        <v>6</v>
      </c>
      <c r="B577" s="549" t="s">
        <v>2660</v>
      </c>
      <c r="C577" s="544"/>
      <c r="D577" s="544"/>
      <c r="E577" s="544"/>
      <c r="F577" s="544"/>
      <c r="G577" s="541"/>
      <c r="H577" s="541"/>
      <c r="I577" s="49" t="s">
        <v>2661</v>
      </c>
      <c r="J577" s="3"/>
      <c r="K577" s="53"/>
      <c r="L577" s="55" t="s">
        <v>2662</v>
      </c>
      <c r="M577" s="616"/>
      <c r="N577" s="648"/>
      <c r="O577" s="648"/>
      <c r="P577" s="562"/>
      <c r="Q577" s="562"/>
      <c r="R577" s="562"/>
      <c r="S577" s="562"/>
      <c r="T577" s="562"/>
      <c r="U577" s="562"/>
      <c r="V577" s="562"/>
      <c r="W577" s="562"/>
      <c r="X577" s="562"/>
      <c r="Y577" s="68"/>
      <c r="Z577" s="455"/>
      <c r="AA577" s="562"/>
      <c r="AB577" s="562"/>
      <c r="AC577" s="562"/>
      <c r="AD577" s="562"/>
      <c r="AE577" s="562"/>
      <c r="AF577" s="562"/>
      <c r="AG577" s="562"/>
      <c r="AH577" s="562"/>
      <c r="AI577" s="562"/>
      <c r="AJ577" s="562"/>
      <c r="AK577" s="562"/>
      <c r="AL577" s="562"/>
      <c r="AM577" s="562"/>
      <c r="AN577" s="562"/>
      <c r="AO577" s="562"/>
      <c r="AP577" s="562"/>
      <c r="AQ577" s="562"/>
      <c r="AR577" s="562"/>
      <c r="AS577" s="562"/>
    </row>
    <row r="578" spans="1:45" ht="16" thickTop="1" x14ac:dyDescent="0.2">
      <c r="A578" s="541">
        <v>6</v>
      </c>
      <c r="B578" s="549">
        <v>606.1</v>
      </c>
      <c r="C578" s="544"/>
      <c r="D578" s="544"/>
      <c r="E578" s="544"/>
      <c r="F578" s="544"/>
      <c r="G578" s="543" t="e">
        <f ca="1">IF(N578&gt;0,"P","")</f>
        <v>#REF!</v>
      </c>
      <c r="H578" s="541" t="s">
        <v>3751</v>
      </c>
      <c r="I578" s="131" t="s">
        <v>2663</v>
      </c>
      <c r="J578" s="132"/>
      <c r="K578" s="133"/>
      <c r="L578" s="95" t="s">
        <v>2664</v>
      </c>
      <c r="M578" s="625"/>
      <c r="N578" s="981" t="e">
        <f ca="1">'Ch6'!O339</f>
        <v>#REF!</v>
      </c>
      <c r="O578" s="981" t="e">
        <f ca="1">MIN(8,IF(R591&gt;1,6+R591+R589-2,IF(R591+R589&gt;1,3+MIN(2,R589+R591-2),0)))</f>
        <v>#REF!</v>
      </c>
      <c r="P578" s="74"/>
      <c r="Q578" s="74"/>
      <c r="R578" s="74"/>
      <c r="S578" s="74"/>
      <c r="T578" s="74"/>
      <c r="U578" s="74"/>
      <c r="V578" s="74"/>
      <c r="W578" s="74"/>
      <c r="X578" s="74"/>
      <c r="Y578" s="562"/>
      <c r="Z578" s="430"/>
      <c r="AA578" s="562"/>
      <c r="AB578" s="562"/>
      <c r="AC578" s="562"/>
      <c r="AD578" s="562"/>
      <c r="AE578" s="562"/>
      <c r="AF578" s="562"/>
      <c r="AG578" s="562"/>
      <c r="AH578" s="562"/>
      <c r="AI578" s="562"/>
      <c r="AJ578" s="562"/>
      <c r="AK578" s="562"/>
      <c r="AL578" s="562"/>
      <c r="AM578" s="562"/>
      <c r="AN578" s="190" t="str">
        <f>SUBSTITUTE(SUBSTITUTE(SUBSTITUTE("vpc"&amp;$B578&amp;$C578&amp;$D578&amp;$E578&amp;$F578,".","_"),"(","_"),")","")</f>
        <v>vpc606,1</v>
      </c>
      <c r="AO578" s="190" t="e">
        <f ca="1">O578</f>
        <v>#REF!</v>
      </c>
      <c r="AP578" s="562"/>
      <c r="AQ578" s="562"/>
      <c r="AR578" s="562"/>
      <c r="AS578" s="562"/>
    </row>
    <row r="579" spans="1:45" x14ac:dyDescent="0.2">
      <c r="A579" s="541">
        <v>6</v>
      </c>
      <c r="B579" s="549">
        <v>606.1</v>
      </c>
      <c r="C579" s="544"/>
      <c r="D579" s="544"/>
      <c r="E579" s="544"/>
      <c r="F579" s="544" t="s">
        <v>2196</v>
      </c>
      <c r="G579" s="543" t="e">
        <f t="shared" ref="G579:G594" ca="1" si="160">G578</f>
        <v>#REF!</v>
      </c>
      <c r="H579" s="545" t="s">
        <v>3751</v>
      </c>
      <c r="I579" s="99"/>
      <c r="J579" s="98"/>
      <c r="K579" s="61" t="s">
        <v>2196</v>
      </c>
      <c r="L579" s="65" t="s">
        <v>2665</v>
      </c>
      <c r="M579" s="610"/>
      <c r="N579" s="924"/>
      <c r="O579" s="924"/>
      <c r="P579" s="64" t="b">
        <v>1</v>
      </c>
      <c r="Q579" s="64" t="b">
        <v>1</v>
      </c>
      <c r="R579" s="64" t="b">
        <v>0</v>
      </c>
      <c r="S579" s="64" t="b">
        <f>OR(NOT(ISBLANK(W606)),NOT(ISBLANK(W607)),NOT(ISBLANK(W609)),NOT(ISBLANK(W610)))</f>
        <v>0</v>
      </c>
      <c r="T579" s="64" t="b">
        <f>IF(AND(NOT(S579),LEN(W579)&gt;0),TRUE,FALSE)</f>
        <v>0</v>
      </c>
      <c r="U579" s="64" t="str">
        <f t="shared" ref="U579:U586" si="161">SUBSTITUTE(SUBSTITUTE(SUBSTITUTE("dd"&amp;B579&amp;C579&amp;D579&amp;E579&amp;F579,".","_"),"(","_"),")","")</f>
        <v>dd606,1_a</v>
      </c>
      <c r="V579" s="64"/>
      <c r="W579" s="6"/>
      <c r="X579" s="798"/>
      <c r="Y579" s="977" t="str">
        <f>IF(LEN('Ch6'!X340)=0,"None",'Ch6'!X340)</f>
        <v>None</v>
      </c>
      <c r="Z579" s="978"/>
      <c r="AA579" s="562"/>
      <c r="AB579" s="562"/>
      <c r="AC579" s="562" t="b">
        <f>OR(AD579:AE579)</f>
        <v>0</v>
      </c>
      <c r="AD579" s="562" t="b">
        <f>T579</f>
        <v>0</v>
      </c>
      <c r="AE579" s="562"/>
      <c r="AF579" s="562"/>
      <c r="AG579" s="562"/>
      <c r="AH579" s="562"/>
      <c r="AI579" s="562"/>
      <c r="AJ579" s="562"/>
      <c r="AK579" s="562"/>
      <c r="AL579" s="562"/>
      <c r="AM579" s="562"/>
      <c r="AN579" s="562"/>
      <c r="AO579" s="562"/>
      <c r="AP579" s="190" t="str">
        <f t="shared" ref="AP579:AP586" si="162">SUBSTITUTE(SUBSTITUTE(SUBSTITUTE("vch"&amp;$B579&amp;$C579&amp;$D579&amp;$E579&amp;$F579,".","_"),"(","_"),")","")</f>
        <v>vch606,1_a</v>
      </c>
      <c r="AQ579" s="190">
        <f t="shared" ref="AQ579:AQ586" si="163">W579</f>
        <v>0</v>
      </c>
      <c r="AR579" s="190" t="str">
        <f>SUBSTITUTE(SUBSTITUTE(SUBSTITUTE("vnt"&amp;$B579&amp;$C579&amp;$D579&amp;$E579&amp;$F579,".","_"),"(","_"),")","")</f>
        <v>vnt606,1_a</v>
      </c>
      <c r="AS579" s="190">
        <f>X579</f>
        <v>0</v>
      </c>
    </row>
    <row r="580" spans="1:45" x14ac:dyDescent="0.2">
      <c r="A580" s="541">
        <v>6</v>
      </c>
      <c r="B580" s="549">
        <v>606.1</v>
      </c>
      <c r="C580" s="544"/>
      <c r="D580" s="544"/>
      <c r="E580" s="544"/>
      <c r="F580" s="544" t="s">
        <v>2198</v>
      </c>
      <c r="G580" s="543" t="e">
        <f t="shared" ca="1" si="160"/>
        <v>#REF!</v>
      </c>
      <c r="H580" s="545" t="s">
        <v>3751</v>
      </c>
      <c r="I580" s="99"/>
      <c r="J580" s="98"/>
      <c r="K580" s="61" t="s">
        <v>2198</v>
      </c>
      <c r="L580" s="65" t="s">
        <v>2666</v>
      </c>
      <c r="M580" s="610"/>
      <c r="N580" s="924"/>
      <c r="O580" s="924"/>
      <c r="P580" s="64" t="b">
        <v>1</v>
      </c>
      <c r="Q580" s="64" t="b">
        <v>1</v>
      </c>
      <c r="R580" s="64" t="b">
        <v>0</v>
      </c>
      <c r="S580" s="64" t="b">
        <v>1</v>
      </c>
      <c r="T580" s="64" t="b">
        <v>0</v>
      </c>
      <c r="U580" s="64" t="str">
        <f t="shared" si="161"/>
        <v>dd606,1_b</v>
      </c>
      <c r="V580" s="64"/>
      <c r="W580" s="6"/>
      <c r="X580" s="798"/>
      <c r="Y580" s="977"/>
      <c r="Z580" s="978"/>
      <c r="AA580" s="562"/>
      <c r="AB580" s="562"/>
      <c r="AC580" s="562"/>
      <c r="AD580" s="562"/>
      <c r="AE580" s="562"/>
      <c r="AF580" s="562"/>
      <c r="AG580" s="562"/>
      <c r="AH580" s="562"/>
      <c r="AI580" s="562"/>
      <c r="AJ580" s="562"/>
      <c r="AK580" s="562"/>
      <c r="AL580" s="562"/>
      <c r="AM580" s="562"/>
      <c r="AN580" s="562"/>
      <c r="AO580" s="562"/>
      <c r="AP580" s="190" t="str">
        <f t="shared" si="162"/>
        <v>vch606,1_b</v>
      </c>
      <c r="AQ580" s="190">
        <f t="shared" si="163"/>
        <v>0</v>
      </c>
      <c r="AR580" s="562"/>
      <c r="AS580" s="562"/>
    </row>
    <row r="581" spans="1:45" x14ac:dyDescent="0.2">
      <c r="A581" s="541">
        <v>6</v>
      </c>
      <c r="B581" s="549">
        <v>606.1</v>
      </c>
      <c r="C581" s="544"/>
      <c r="D581" s="544"/>
      <c r="E581" s="544"/>
      <c r="F581" s="546" t="s">
        <v>2200</v>
      </c>
      <c r="G581" s="543" t="e">
        <f t="shared" ca="1" si="160"/>
        <v>#REF!</v>
      </c>
      <c r="H581" s="547" t="s">
        <v>3751</v>
      </c>
      <c r="I581" s="99"/>
      <c r="J581" s="98"/>
      <c r="K581" s="79" t="s">
        <v>2200</v>
      </c>
      <c r="L581" s="65" t="s">
        <v>2667</v>
      </c>
      <c r="M581" s="610"/>
      <c r="N581" s="924"/>
      <c r="O581" s="924"/>
      <c r="P581" s="64" t="b">
        <v>1</v>
      </c>
      <c r="Q581" s="64" t="b">
        <v>1</v>
      </c>
      <c r="R581" s="64" t="b">
        <v>0</v>
      </c>
      <c r="S581" s="64" t="b">
        <v>1</v>
      </c>
      <c r="T581" s="64" t="b">
        <v>0</v>
      </c>
      <c r="U581" s="64" t="str">
        <f t="shared" si="161"/>
        <v>dd606,1_c</v>
      </c>
      <c r="V581" s="64"/>
      <c r="W581" s="6"/>
      <c r="X581" s="798"/>
      <c r="Y581" s="977"/>
      <c r="Z581" s="978"/>
      <c r="AA581" s="562"/>
      <c r="AB581" s="562"/>
      <c r="AC581" s="562"/>
      <c r="AD581" s="562"/>
      <c r="AE581" s="562"/>
      <c r="AF581" s="562"/>
      <c r="AG581" s="562"/>
      <c r="AH581" s="562"/>
      <c r="AI581" s="562"/>
      <c r="AJ581" s="562"/>
      <c r="AK581" s="562"/>
      <c r="AL581" s="562"/>
      <c r="AM581" s="562"/>
      <c r="AN581" s="562"/>
      <c r="AO581" s="562"/>
      <c r="AP581" s="190" t="str">
        <f t="shared" si="162"/>
        <v>vch606,1_c</v>
      </c>
      <c r="AQ581" s="190">
        <f t="shared" si="163"/>
        <v>0</v>
      </c>
      <c r="AR581" s="562"/>
      <c r="AS581" s="562"/>
    </row>
    <row r="582" spans="1:45" x14ac:dyDescent="0.2">
      <c r="A582" s="541">
        <v>6</v>
      </c>
      <c r="B582" s="549">
        <v>606.1</v>
      </c>
      <c r="C582" s="544"/>
      <c r="D582" s="544"/>
      <c r="E582" s="544"/>
      <c r="F582" s="544" t="s">
        <v>2247</v>
      </c>
      <c r="G582" s="543" t="e">
        <f t="shared" ca="1" si="160"/>
        <v>#REF!</v>
      </c>
      <c r="H582" s="541" t="s">
        <v>3751</v>
      </c>
      <c r="I582" s="99"/>
      <c r="J582" s="98"/>
      <c r="K582" s="140" t="s">
        <v>2247</v>
      </c>
      <c r="L582" s="65" t="s">
        <v>2668</v>
      </c>
      <c r="M582" s="610"/>
      <c r="N582" s="924"/>
      <c r="O582" s="924"/>
      <c r="P582" s="64" t="b">
        <v>1</v>
      </c>
      <c r="Q582" s="64" t="b">
        <v>1</v>
      </c>
      <c r="R582" s="64" t="b">
        <v>0</v>
      </c>
      <c r="S582" s="64" t="b">
        <v>1</v>
      </c>
      <c r="T582" s="64" t="b">
        <v>0</v>
      </c>
      <c r="U582" s="64" t="str">
        <f t="shared" si="161"/>
        <v>dd606,1_d</v>
      </c>
      <c r="V582" s="64"/>
      <c r="W582" s="6"/>
      <c r="X582" s="798"/>
      <c r="Y582" s="977"/>
      <c r="Z582" s="978"/>
      <c r="AA582" s="562"/>
      <c r="AB582" s="562"/>
      <c r="AC582" s="562"/>
      <c r="AD582" s="562"/>
      <c r="AE582" s="562"/>
      <c r="AF582" s="562"/>
      <c r="AG582" s="562"/>
      <c r="AH582" s="562"/>
      <c r="AI582" s="562"/>
      <c r="AJ582" s="562"/>
      <c r="AK582" s="562"/>
      <c r="AL582" s="562"/>
      <c r="AM582" s="562"/>
      <c r="AN582" s="562"/>
      <c r="AO582" s="562"/>
      <c r="AP582" s="190" t="str">
        <f t="shared" si="162"/>
        <v>vch606,1_d</v>
      </c>
      <c r="AQ582" s="190">
        <f t="shared" si="163"/>
        <v>0</v>
      </c>
      <c r="AR582" s="562"/>
      <c r="AS582" s="562"/>
    </row>
    <row r="583" spans="1:45" x14ac:dyDescent="0.2">
      <c r="A583" s="541">
        <v>6</v>
      </c>
      <c r="B583" s="549">
        <v>606.1</v>
      </c>
      <c r="C583" s="544"/>
      <c r="D583" s="544"/>
      <c r="E583" s="544"/>
      <c r="F583" s="544" t="s">
        <v>2444</v>
      </c>
      <c r="G583" s="543" t="e">
        <f t="shared" ca="1" si="160"/>
        <v>#REF!</v>
      </c>
      <c r="H583" s="545" t="s">
        <v>3751</v>
      </c>
      <c r="I583" s="99"/>
      <c r="J583" s="98"/>
      <c r="K583" s="61" t="s">
        <v>2444</v>
      </c>
      <c r="L583" s="65" t="s">
        <v>2669</v>
      </c>
      <c r="M583" s="610"/>
      <c r="N583" s="924"/>
      <c r="O583" s="924"/>
      <c r="P583" s="64" t="b">
        <v>1</v>
      </c>
      <c r="Q583" s="64" t="b">
        <v>1</v>
      </c>
      <c r="R583" s="64" t="b">
        <v>0</v>
      </c>
      <c r="S583" s="64" t="b">
        <v>1</v>
      </c>
      <c r="T583" s="64" t="b">
        <v>0</v>
      </c>
      <c r="U583" s="64" t="str">
        <f t="shared" si="161"/>
        <v>dd606,1_e</v>
      </c>
      <c r="V583" s="64"/>
      <c r="W583" s="6"/>
      <c r="X583" s="798"/>
      <c r="Y583" s="977"/>
      <c r="Z583" s="978"/>
      <c r="AA583" s="562"/>
      <c r="AB583" s="562"/>
      <c r="AC583" s="562"/>
      <c r="AD583" s="562"/>
      <c r="AE583" s="562"/>
      <c r="AF583" s="562"/>
      <c r="AG583" s="562"/>
      <c r="AH583" s="562"/>
      <c r="AI583" s="562"/>
      <c r="AJ583" s="562"/>
      <c r="AK583" s="562"/>
      <c r="AL583" s="562"/>
      <c r="AM583" s="562"/>
      <c r="AN583" s="562"/>
      <c r="AO583" s="562"/>
      <c r="AP583" s="190" t="str">
        <f t="shared" si="162"/>
        <v>vch606,1_e</v>
      </c>
      <c r="AQ583" s="190">
        <f t="shared" si="163"/>
        <v>0</v>
      </c>
      <c r="AR583" s="562"/>
      <c r="AS583" s="562"/>
    </row>
    <row r="584" spans="1:45" x14ac:dyDescent="0.2">
      <c r="A584" s="541">
        <v>6</v>
      </c>
      <c r="B584" s="549">
        <v>606.1</v>
      </c>
      <c r="C584" s="544"/>
      <c r="D584" s="544"/>
      <c r="E584" s="544"/>
      <c r="F584" s="544" t="s">
        <v>2540</v>
      </c>
      <c r="G584" s="543" t="e">
        <f t="shared" ca="1" si="160"/>
        <v>#REF!</v>
      </c>
      <c r="H584" s="545" t="s">
        <v>3751</v>
      </c>
      <c r="I584" s="99"/>
      <c r="J584" s="98"/>
      <c r="K584" s="61" t="s">
        <v>2540</v>
      </c>
      <c r="L584" s="65" t="s">
        <v>2670</v>
      </c>
      <c r="M584" s="610"/>
      <c r="N584" s="924"/>
      <c r="O584" s="924"/>
      <c r="P584" s="64" t="b">
        <v>1</v>
      </c>
      <c r="Q584" s="64" t="b">
        <v>1</v>
      </c>
      <c r="R584" s="64" t="b">
        <v>0</v>
      </c>
      <c r="S584" s="64" t="b">
        <v>1</v>
      </c>
      <c r="T584" s="64" t="b">
        <v>0</v>
      </c>
      <c r="U584" s="64" t="str">
        <f t="shared" si="161"/>
        <v>dd606,1_f</v>
      </c>
      <c r="V584" s="64"/>
      <c r="W584" s="6"/>
      <c r="X584" s="798"/>
      <c r="Y584" s="977"/>
      <c r="Z584" s="978"/>
      <c r="AA584" s="562"/>
      <c r="AB584" s="562"/>
      <c r="AC584" s="562"/>
      <c r="AD584" s="562"/>
      <c r="AE584" s="562"/>
      <c r="AF584" s="562"/>
      <c r="AG584" s="562"/>
      <c r="AH584" s="562"/>
      <c r="AI584" s="562"/>
      <c r="AJ584" s="562"/>
      <c r="AK584" s="562"/>
      <c r="AL584" s="562"/>
      <c r="AM584" s="562"/>
      <c r="AN584" s="562"/>
      <c r="AO584" s="562"/>
      <c r="AP584" s="190" t="str">
        <f t="shared" si="162"/>
        <v>vch606,1_f</v>
      </c>
      <c r="AQ584" s="190">
        <f t="shared" si="163"/>
        <v>0</v>
      </c>
      <c r="AR584" s="562"/>
      <c r="AS584" s="562"/>
    </row>
    <row r="585" spans="1:45" x14ac:dyDescent="0.2">
      <c r="A585" s="541">
        <v>6</v>
      </c>
      <c r="B585" s="549">
        <v>606.1</v>
      </c>
      <c r="C585" s="544"/>
      <c r="D585" s="544"/>
      <c r="E585" s="544"/>
      <c r="F585" s="546" t="s">
        <v>2542</v>
      </c>
      <c r="G585" s="543" t="e">
        <f t="shared" ca="1" si="160"/>
        <v>#REF!</v>
      </c>
      <c r="H585" s="547" t="s">
        <v>3751</v>
      </c>
      <c r="I585" s="99"/>
      <c r="J585" s="98"/>
      <c r="K585" s="79" t="s">
        <v>2542</v>
      </c>
      <c r="L585" s="65" t="s">
        <v>2671</v>
      </c>
      <c r="M585" s="610"/>
      <c r="N585" s="924"/>
      <c r="O585" s="924"/>
      <c r="P585" s="64" t="b">
        <v>1</v>
      </c>
      <c r="Q585" s="64" t="b">
        <v>1</v>
      </c>
      <c r="R585" s="64" t="b">
        <v>0</v>
      </c>
      <c r="S585" s="64" t="b">
        <v>1</v>
      </c>
      <c r="T585" s="64" t="b">
        <v>0</v>
      </c>
      <c r="U585" s="64" t="str">
        <f t="shared" si="161"/>
        <v>dd606,1_g</v>
      </c>
      <c r="V585" s="64"/>
      <c r="W585" s="6"/>
      <c r="X585" s="798"/>
      <c r="Y585" s="977"/>
      <c r="Z585" s="978"/>
      <c r="AA585" s="562"/>
      <c r="AB585" s="562"/>
      <c r="AC585" s="562"/>
      <c r="AD585" s="562"/>
      <c r="AE585" s="562"/>
      <c r="AF585" s="562"/>
      <c r="AG585" s="562"/>
      <c r="AH585" s="562"/>
      <c r="AI585" s="562"/>
      <c r="AJ585" s="562"/>
      <c r="AK585" s="562"/>
      <c r="AL585" s="562"/>
      <c r="AM585" s="562"/>
      <c r="AN585" s="562"/>
      <c r="AO585" s="562"/>
      <c r="AP585" s="190" t="str">
        <f t="shared" si="162"/>
        <v>vch606,1_g</v>
      </c>
      <c r="AQ585" s="190">
        <f t="shared" si="163"/>
        <v>0</v>
      </c>
      <c r="AR585" s="562"/>
      <c r="AS585" s="562"/>
    </row>
    <row r="586" spans="1:45" x14ac:dyDescent="0.2">
      <c r="A586" s="541">
        <v>6</v>
      </c>
      <c r="B586" s="549">
        <v>606.1</v>
      </c>
      <c r="C586" s="544"/>
      <c r="D586" s="544"/>
      <c r="E586" s="544"/>
      <c r="F586" s="544" t="s">
        <v>2544</v>
      </c>
      <c r="G586" s="543" t="e">
        <f t="shared" ca="1" si="160"/>
        <v>#REF!</v>
      </c>
      <c r="H586" s="541" t="s">
        <v>3751</v>
      </c>
      <c r="I586" s="99"/>
      <c r="J586" s="98"/>
      <c r="K586" s="140" t="s">
        <v>2544</v>
      </c>
      <c r="L586" s="791" t="s">
        <v>2672</v>
      </c>
      <c r="M586" s="610"/>
      <c r="N586" s="924"/>
      <c r="O586" s="924"/>
      <c r="P586" s="64" t="b">
        <v>1</v>
      </c>
      <c r="Q586" s="64" t="b">
        <v>1</v>
      </c>
      <c r="R586" s="64" t="b">
        <v>0</v>
      </c>
      <c r="S586" s="64" t="b">
        <v>1</v>
      </c>
      <c r="T586" s="64" t="b">
        <v>0</v>
      </c>
      <c r="U586" s="64" t="str">
        <f t="shared" si="161"/>
        <v>dd606,1_h</v>
      </c>
      <c r="V586" s="64"/>
      <c r="W586" s="6"/>
      <c r="X586" s="798"/>
      <c r="Y586" s="977"/>
      <c r="Z586" s="978"/>
      <c r="AA586" s="562"/>
      <c r="AB586" s="562"/>
      <c r="AC586" s="562" t="b">
        <f>OR(AD586:AE586)</f>
        <v>0</v>
      </c>
      <c r="AD586" s="562" t="b">
        <f>T586</f>
        <v>0</v>
      </c>
      <c r="AE586" s="562" t="b">
        <f>AND(NOT(ISBLANK(W586)),LEN(X579)=0)</f>
        <v>0</v>
      </c>
      <c r="AF586" s="562" t="b">
        <f>AND(AE586,NOT(Q586))</f>
        <v>0</v>
      </c>
      <c r="AG586" s="562"/>
      <c r="AH586" s="562"/>
      <c r="AI586" s="562"/>
      <c r="AJ586" s="562"/>
      <c r="AK586" s="562"/>
      <c r="AL586" s="562"/>
      <c r="AM586" s="562"/>
      <c r="AN586" s="562"/>
      <c r="AO586" s="562"/>
      <c r="AP586" s="190" t="str">
        <f t="shared" si="162"/>
        <v>vch606,1_h</v>
      </c>
      <c r="AQ586" s="190">
        <f t="shared" si="163"/>
        <v>0</v>
      </c>
      <c r="AR586" s="562"/>
      <c r="AS586" s="562"/>
    </row>
    <row r="587" spans="1:45" x14ac:dyDescent="0.2">
      <c r="A587" s="541">
        <v>6</v>
      </c>
      <c r="B587" s="549">
        <v>606.1</v>
      </c>
      <c r="C587" s="544"/>
      <c r="D587" s="544"/>
      <c r="E587" s="544"/>
      <c r="F587" s="544" t="s">
        <v>2544</v>
      </c>
      <c r="G587" s="543" t="e">
        <f t="shared" ca="1" si="160"/>
        <v>#REF!</v>
      </c>
      <c r="H587" s="545" t="s">
        <v>3751</v>
      </c>
      <c r="I587" s="99"/>
      <c r="J587" s="98"/>
      <c r="K587" s="140"/>
      <c r="L587" s="791"/>
      <c r="M587" s="610"/>
      <c r="N587" s="924"/>
      <c r="O587" s="924"/>
      <c r="P587" s="64"/>
      <c r="Q587" s="64"/>
      <c r="R587" s="64"/>
      <c r="S587" s="64"/>
      <c r="T587" s="64"/>
      <c r="U587" s="64"/>
      <c r="V587" s="64"/>
      <c r="W587" s="64"/>
      <c r="X587" s="798"/>
      <c r="Y587" s="977"/>
      <c r="Z587" s="978"/>
      <c r="AA587" s="562"/>
      <c r="AB587" s="562"/>
      <c r="AC587" s="562"/>
      <c r="AD587" s="562"/>
      <c r="AE587" s="562"/>
      <c r="AF587" s="562"/>
      <c r="AG587" s="562"/>
      <c r="AH587" s="562"/>
      <c r="AI587" s="562"/>
      <c r="AJ587" s="562"/>
      <c r="AK587" s="562"/>
      <c r="AL587" s="562"/>
      <c r="AM587" s="562"/>
      <c r="AN587" s="562"/>
      <c r="AO587" s="562"/>
      <c r="AP587" s="562"/>
      <c r="AQ587" s="562"/>
      <c r="AR587" s="562"/>
      <c r="AS587" s="562"/>
    </row>
    <row r="588" spans="1:45" x14ac:dyDescent="0.2">
      <c r="A588" s="541">
        <v>6</v>
      </c>
      <c r="B588" s="549">
        <v>606.1</v>
      </c>
      <c r="C588" s="544"/>
      <c r="D588" s="544"/>
      <c r="E588" s="544"/>
      <c r="F588" s="544"/>
      <c r="G588" s="543" t="e">
        <f t="shared" ca="1" si="160"/>
        <v>#REF!</v>
      </c>
      <c r="H588" s="545" t="s">
        <v>3751</v>
      </c>
      <c r="I588" s="99"/>
      <c r="J588" s="98"/>
      <c r="K588" s="140"/>
      <c r="L588" s="570" t="s">
        <v>2673</v>
      </c>
      <c r="M588" s="610"/>
      <c r="N588" s="668"/>
      <c r="O588" s="668"/>
      <c r="P588" s="64"/>
      <c r="Q588" s="64"/>
      <c r="R588" s="64"/>
      <c r="S588" s="64"/>
      <c r="T588" s="64"/>
      <c r="U588" s="64"/>
      <c r="V588" s="64"/>
      <c r="W588" s="64"/>
      <c r="X588" s="798"/>
      <c r="Y588" s="977"/>
      <c r="Z588" s="978"/>
      <c r="AA588" s="562"/>
      <c r="AB588" s="562"/>
      <c r="AC588" s="562"/>
      <c r="AD588" s="562"/>
      <c r="AE588" s="562"/>
      <c r="AF588" s="562"/>
      <c r="AG588" s="562"/>
      <c r="AH588" s="562"/>
      <c r="AI588" s="562"/>
      <c r="AJ588" s="562"/>
      <c r="AK588" s="562"/>
      <c r="AL588" s="562"/>
      <c r="AM588" s="562"/>
      <c r="AN588" s="562"/>
      <c r="AO588" s="562"/>
      <c r="AP588" s="562"/>
      <c r="AQ588" s="562"/>
      <c r="AR588" s="562"/>
      <c r="AS588" s="562"/>
    </row>
    <row r="589" spans="1:45" x14ac:dyDescent="0.2">
      <c r="A589" s="541">
        <v>6</v>
      </c>
      <c r="B589" s="549">
        <v>606.1</v>
      </c>
      <c r="C589" s="544"/>
      <c r="D589" s="544"/>
      <c r="E589" s="544" t="s">
        <v>2181</v>
      </c>
      <c r="F589" s="544"/>
      <c r="G589" s="543" t="e">
        <f t="shared" ca="1" si="160"/>
        <v>#REF!</v>
      </c>
      <c r="H589" s="541" t="s">
        <v>3751</v>
      </c>
      <c r="I589" s="99"/>
      <c r="J589" s="134" t="s">
        <v>2181</v>
      </c>
      <c r="K589" s="65"/>
      <c r="L589" s="791" t="s">
        <v>2674</v>
      </c>
      <c r="M589" s="800">
        <v>3</v>
      </c>
      <c r="N589" s="668"/>
      <c r="O589" s="668"/>
      <c r="P589" s="64"/>
      <c r="Q589" s="64"/>
      <c r="R589" s="150" t="e">
        <f ca="1">COUNTIF(W580:W586,INDEX(INDIRECT(U579),1))+IF(AND(S579,W579=INDEX(INDIRECT(U579),1)),1,0)</f>
        <v>#REF!</v>
      </c>
      <c r="S589" s="64"/>
      <c r="T589" s="64"/>
      <c r="U589" s="64"/>
      <c r="V589" s="64"/>
      <c r="W589" s="64"/>
      <c r="X589" s="798"/>
      <c r="Y589" s="977"/>
      <c r="Z589" s="978"/>
      <c r="AA589" s="562"/>
      <c r="AB589" s="562"/>
      <c r="AC589" s="562"/>
      <c r="AD589" s="562"/>
      <c r="AE589" s="562"/>
      <c r="AF589" s="562"/>
      <c r="AG589" s="562"/>
      <c r="AH589" s="562"/>
      <c r="AI589" s="562"/>
      <c r="AJ589" s="562"/>
      <c r="AK589" s="562"/>
      <c r="AL589" s="190" t="str">
        <f t="shared" ref="AL589" si="164">SUBSTITUTE(SUBSTITUTE(SUBSTITUTE("vpa"&amp;$B589&amp;$C589&amp;$D589&amp;$E589&amp;$F589,".","_"),"(","_"),")","")</f>
        <v>vpa606,1_1</v>
      </c>
      <c r="AM589" s="190">
        <f>M589</f>
        <v>3</v>
      </c>
      <c r="AN589" s="562"/>
      <c r="AO589" s="562"/>
      <c r="AP589" s="562"/>
      <c r="AQ589" s="562"/>
      <c r="AR589" s="562"/>
      <c r="AS589" s="562"/>
    </row>
    <row r="590" spans="1:45" x14ac:dyDescent="0.2">
      <c r="A590" s="541">
        <v>6</v>
      </c>
      <c r="B590" s="549">
        <v>606.1</v>
      </c>
      <c r="C590" s="544"/>
      <c r="D590" s="544"/>
      <c r="E590" s="544" t="s">
        <v>2181</v>
      </c>
      <c r="F590" s="544"/>
      <c r="G590" s="543" t="e">
        <f t="shared" ca="1" si="160"/>
        <v>#REF!</v>
      </c>
      <c r="H590" s="541" t="s">
        <v>3751</v>
      </c>
      <c r="I590" s="99"/>
      <c r="J590" s="165"/>
      <c r="K590" s="126"/>
      <c r="L590" s="792"/>
      <c r="M590" s="801"/>
      <c r="N590" s="668"/>
      <c r="O590" s="668"/>
      <c r="P590" s="64"/>
      <c r="Q590" s="64"/>
      <c r="R590" s="64"/>
      <c r="S590" s="64"/>
      <c r="T590" s="64"/>
      <c r="U590" s="64"/>
      <c r="V590" s="64"/>
      <c r="W590" s="64"/>
      <c r="X590" s="798"/>
      <c r="Y590" s="977"/>
      <c r="Z590" s="978"/>
      <c r="AA590" s="562"/>
      <c r="AB590" s="562"/>
      <c r="AC590" s="562"/>
      <c r="AD590" s="562"/>
      <c r="AE590" s="562"/>
      <c r="AF590" s="562"/>
      <c r="AG590" s="562"/>
      <c r="AH590" s="562"/>
      <c r="AI590" s="562"/>
      <c r="AJ590" s="562"/>
      <c r="AK590" s="562"/>
      <c r="AL590" s="562"/>
      <c r="AM590" s="562"/>
      <c r="AN590" s="562"/>
      <c r="AO590" s="562"/>
      <c r="AP590" s="562"/>
      <c r="AQ590" s="562"/>
      <c r="AR590" s="562"/>
      <c r="AS590" s="562"/>
    </row>
    <row r="591" spans="1:45" x14ac:dyDescent="0.2">
      <c r="A591" s="541">
        <v>6</v>
      </c>
      <c r="B591" s="549">
        <v>606.1</v>
      </c>
      <c r="C591" s="544"/>
      <c r="D591" s="544"/>
      <c r="E591" s="544" t="s">
        <v>2183</v>
      </c>
      <c r="F591" s="544"/>
      <c r="G591" s="543" t="e">
        <f t="shared" ca="1" si="160"/>
        <v>#REF!</v>
      </c>
      <c r="H591" s="541" t="s">
        <v>3751</v>
      </c>
      <c r="I591" s="99"/>
      <c r="J591" s="164" t="s">
        <v>2183</v>
      </c>
      <c r="K591" s="147"/>
      <c r="L591" s="831" t="s">
        <v>2675</v>
      </c>
      <c r="M591" s="824">
        <v>6</v>
      </c>
      <c r="N591" s="668"/>
      <c r="O591" s="668"/>
      <c r="P591" s="64"/>
      <c r="Q591" s="64"/>
      <c r="R591" s="150" t="e">
        <f ca="1">COUNTIF(W580:W586,INDEX(INDIRECT(U579),2))+IF(AND(S579,W579=INDEX(INDIRECT(U579),2)),1,0)</f>
        <v>#REF!</v>
      </c>
      <c r="S591" s="64"/>
      <c r="T591" s="64"/>
      <c r="U591" s="64"/>
      <c r="V591" s="64"/>
      <c r="W591" s="64"/>
      <c r="X591" s="798"/>
      <c r="Y591" s="977"/>
      <c r="Z591" s="978"/>
      <c r="AA591" s="562"/>
      <c r="AB591" s="562"/>
      <c r="AC591" s="562"/>
      <c r="AD591" s="562"/>
      <c r="AE591" s="562"/>
      <c r="AF591" s="562"/>
      <c r="AG591" s="562"/>
      <c r="AH591" s="562"/>
      <c r="AI591" s="562"/>
      <c r="AJ591" s="562"/>
      <c r="AK591" s="562"/>
      <c r="AL591" s="190" t="str">
        <f t="shared" ref="AL591" si="165">SUBSTITUTE(SUBSTITUTE(SUBSTITUTE("vpa"&amp;$B591&amp;$C591&amp;$D591&amp;$E591&amp;$F591,".","_"),"(","_"),")","")</f>
        <v>vpa606,1_2</v>
      </c>
      <c r="AM591" s="190">
        <f>M591</f>
        <v>6</v>
      </c>
      <c r="AN591" s="562"/>
      <c r="AO591" s="562"/>
      <c r="AP591" s="562"/>
      <c r="AQ591" s="562"/>
      <c r="AR591" s="562"/>
      <c r="AS591" s="562"/>
    </row>
    <row r="592" spans="1:45" x14ac:dyDescent="0.2">
      <c r="A592" s="541">
        <v>6</v>
      </c>
      <c r="B592" s="549">
        <v>606.1</v>
      </c>
      <c r="C592" s="544"/>
      <c r="D592" s="544"/>
      <c r="E592" s="544" t="s">
        <v>2183</v>
      </c>
      <c r="F592" s="544"/>
      <c r="G592" s="543" t="e">
        <f t="shared" ca="1" si="160"/>
        <v>#REF!</v>
      </c>
      <c r="H592" s="541" t="s">
        <v>3751</v>
      </c>
      <c r="I592" s="99"/>
      <c r="J592" s="165"/>
      <c r="K592" s="126"/>
      <c r="L592" s="792"/>
      <c r="M592" s="801"/>
      <c r="N592" s="668"/>
      <c r="O592" s="668"/>
      <c r="P592" s="64"/>
      <c r="Q592" s="64"/>
      <c r="R592" s="64"/>
      <c r="S592" s="64"/>
      <c r="T592" s="64"/>
      <c r="U592" s="64"/>
      <c r="V592" s="64"/>
      <c r="W592" s="64"/>
      <c r="X592" s="798"/>
      <c r="Y592" s="977"/>
      <c r="Z592" s="978"/>
      <c r="AA592" s="562"/>
      <c r="AB592" s="562"/>
      <c r="AC592" s="562"/>
      <c r="AD592" s="562"/>
      <c r="AE592" s="562"/>
      <c r="AF592" s="562"/>
      <c r="AG592" s="562"/>
      <c r="AH592" s="562"/>
      <c r="AI592" s="562"/>
      <c r="AJ592" s="562"/>
      <c r="AK592" s="562"/>
      <c r="AL592" s="562"/>
      <c r="AM592" s="562"/>
      <c r="AN592" s="562"/>
      <c r="AO592" s="562"/>
      <c r="AP592" s="562"/>
      <c r="AQ592" s="562"/>
      <c r="AR592" s="562"/>
      <c r="AS592" s="562"/>
    </row>
    <row r="593" spans="1:45" x14ac:dyDescent="0.2">
      <c r="A593" s="541">
        <v>6</v>
      </c>
      <c r="B593" s="549">
        <v>606.1</v>
      </c>
      <c r="C593" s="544"/>
      <c r="D593" s="544"/>
      <c r="E593" s="544" t="s">
        <v>2185</v>
      </c>
      <c r="F593" s="544"/>
      <c r="G593" s="543" t="e">
        <f t="shared" ca="1" si="160"/>
        <v>#REF!</v>
      </c>
      <c r="H593" s="541" t="s">
        <v>3751</v>
      </c>
      <c r="I593" s="99"/>
      <c r="J593" s="134" t="s">
        <v>2185</v>
      </c>
      <c r="K593" s="65"/>
      <c r="L593" s="791" t="s">
        <v>2676</v>
      </c>
      <c r="M593" s="836" t="s">
        <v>2677</v>
      </c>
      <c r="N593" s="668"/>
      <c r="O593" s="668"/>
      <c r="P593" s="64"/>
      <c r="Q593" s="64"/>
      <c r="R593" s="64"/>
      <c r="S593" s="64"/>
      <c r="T593" s="64"/>
      <c r="U593" s="64"/>
      <c r="V593" s="64"/>
      <c r="W593" s="64"/>
      <c r="X593" s="798"/>
      <c r="Y593" s="977"/>
      <c r="Z593" s="978"/>
      <c r="AA593" s="562"/>
      <c r="AB593" s="562"/>
      <c r="AC593" s="562"/>
      <c r="AD593" s="562"/>
      <c r="AE593" s="562"/>
      <c r="AF593" s="562"/>
      <c r="AG593" s="562"/>
      <c r="AH593" s="562"/>
      <c r="AI593" s="562"/>
      <c r="AJ593" s="562"/>
      <c r="AK593" s="562"/>
      <c r="AL593" s="190" t="str">
        <f t="shared" ref="AL593" si="166">SUBSTITUTE(SUBSTITUTE(SUBSTITUTE("vpa"&amp;$B593&amp;$C593&amp;$D593&amp;$E593&amp;$F593,".","_"),"(","_"),")","")</f>
        <v>vpa606,1_3</v>
      </c>
      <c r="AM593" s="190" t="str">
        <f>M593</f>
        <v>1
2 Max</v>
      </c>
      <c r="AN593" s="562"/>
      <c r="AO593" s="562"/>
      <c r="AP593" s="562"/>
      <c r="AQ593" s="562"/>
      <c r="AR593" s="562"/>
      <c r="AS593" s="562"/>
    </row>
    <row r="594" spans="1:45" ht="16" thickBot="1" x14ac:dyDescent="0.25">
      <c r="A594" s="541">
        <v>6</v>
      </c>
      <c r="B594" s="549">
        <v>606.1</v>
      </c>
      <c r="C594" s="544"/>
      <c r="D594" s="544"/>
      <c r="E594" s="544" t="s">
        <v>2185</v>
      </c>
      <c r="F594" s="544"/>
      <c r="G594" s="543" t="e">
        <f t="shared" ca="1" si="160"/>
        <v>#REF!</v>
      </c>
      <c r="H594" s="541" t="s">
        <v>3751</v>
      </c>
      <c r="I594" s="99"/>
      <c r="J594" s="98"/>
      <c r="K594" s="65"/>
      <c r="L594" s="791"/>
      <c r="M594" s="836"/>
      <c r="N594" s="668"/>
      <c r="O594" s="668"/>
      <c r="P594" s="64"/>
      <c r="Q594" s="64"/>
      <c r="R594" s="64"/>
      <c r="S594" s="64"/>
      <c r="T594" s="64"/>
      <c r="U594" s="64"/>
      <c r="V594" s="64"/>
      <c r="W594" s="64"/>
      <c r="X594" s="825"/>
      <c r="Y594" s="979"/>
      <c r="Z594" s="1007"/>
      <c r="AA594" s="562"/>
      <c r="AB594" s="562"/>
      <c r="AC594" s="562"/>
      <c r="AD594" s="562"/>
      <c r="AE594" s="562"/>
      <c r="AF594" s="562"/>
      <c r="AG594" s="562"/>
      <c r="AH594" s="562"/>
      <c r="AI594" s="562"/>
      <c r="AJ594" s="562"/>
      <c r="AK594" s="562"/>
      <c r="AL594" s="562"/>
      <c r="AM594" s="562"/>
      <c r="AN594" s="562"/>
      <c r="AO594" s="562"/>
      <c r="AP594" s="562"/>
      <c r="AQ594" s="562"/>
      <c r="AR594" s="562"/>
      <c r="AS594" s="562"/>
    </row>
    <row r="595" spans="1:45" ht="16" thickTop="1" x14ac:dyDescent="0.2">
      <c r="A595" s="541">
        <v>6</v>
      </c>
      <c r="B595" s="549">
        <v>606.20000000000005</v>
      </c>
      <c r="C595" s="544"/>
      <c r="D595" s="544"/>
      <c r="E595" s="544"/>
      <c r="F595" s="544"/>
      <c r="G595" s="539" t="str">
        <f>IF(COUNTIF(G606:G609,"P")&gt;0,"P","")</f>
        <v/>
      </c>
      <c r="H595" s="541" t="s">
        <v>3751</v>
      </c>
      <c r="I595" s="131" t="s">
        <v>2678</v>
      </c>
      <c r="J595" s="132"/>
      <c r="K595" s="133"/>
      <c r="L595" s="819" t="s">
        <v>2679</v>
      </c>
      <c r="M595" s="625"/>
      <c r="N595" s="673"/>
      <c r="O595" s="673"/>
      <c r="P595" s="74"/>
      <c r="Q595" s="74"/>
      <c r="R595" s="74"/>
      <c r="S595" s="74"/>
      <c r="T595" s="74"/>
      <c r="U595" s="74"/>
      <c r="V595" s="74"/>
      <c r="W595" s="74"/>
      <c r="X595" s="74"/>
      <c r="Y595" s="562"/>
      <c r="Z595" s="430"/>
      <c r="AA595" s="562"/>
      <c r="AB595" s="562"/>
      <c r="AC595" s="562"/>
      <c r="AD595" s="562"/>
      <c r="AE595" s="562"/>
      <c r="AF595" s="562"/>
      <c r="AG595" s="562"/>
      <c r="AH595" s="562"/>
      <c r="AI595" s="562"/>
      <c r="AJ595" s="562"/>
      <c r="AK595" s="562"/>
      <c r="AL595" s="562"/>
      <c r="AM595" s="562"/>
      <c r="AN595" s="562"/>
      <c r="AO595" s="562"/>
      <c r="AP595" s="562"/>
      <c r="AQ595" s="562"/>
      <c r="AR595" s="562"/>
      <c r="AS595" s="562"/>
    </row>
    <row r="596" spans="1:45" x14ac:dyDescent="0.2">
      <c r="A596" s="541">
        <v>6</v>
      </c>
      <c r="B596" s="549">
        <v>606.20000000000005</v>
      </c>
      <c r="C596" s="544"/>
      <c r="D596" s="544"/>
      <c r="E596" s="544"/>
      <c r="F596" s="544"/>
      <c r="G596" s="543" t="str">
        <f t="shared" ref="G596:G605" si="167">G595</f>
        <v/>
      </c>
      <c r="H596" s="541" t="s">
        <v>3751</v>
      </c>
      <c r="I596" s="99"/>
      <c r="J596" s="98"/>
      <c r="K596" s="65"/>
      <c r="L596" s="820"/>
      <c r="M596" s="610"/>
      <c r="N596" s="668"/>
      <c r="O596" s="668"/>
      <c r="P596" s="64"/>
      <c r="Q596" s="64"/>
      <c r="R596" s="64"/>
      <c r="S596" s="64"/>
      <c r="T596" s="64"/>
      <c r="U596" s="64"/>
      <c r="V596" s="64"/>
      <c r="W596" s="64"/>
      <c r="X596" s="64"/>
      <c r="Y596" s="562"/>
      <c r="Z596" s="430"/>
      <c r="AA596" s="562"/>
      <c r="AB596" s="562"/>
      <c r="AC596" s="562"/>
      <c r="AD596" s="562"/>
      <c r="AE596" s="562"/>
      <c r="AF596" s="562"/>
      <c r="AG596" s="562"/>
      <c r="AH596" s="562"/>
      <c r="AI596" s="562"/>
      <c r="AJ596" s="562"/>
      <c r="AK596" s="562"/>
      <c r="AL596" s="562"/>
      <c r="AM596" s="562"/>
      <c r="AN596" s="562"/>
      <c r="AO596" s="562"/>
      <c r="AP596" s="562"/>
      <c r="AQ596" s="562"/>
      <c r="AR596" s="562"/>
      <c r="AS596" s="562"/>
    </row>
    <row r="597" spans="1:45" x14ac:dyDescent="0.2">
      <c r="A597" s="541">
        <v>6</v>
      </c>
      <c r="B597" s="549">
        <v>606.20000000000005</v>
      </c>
      <c r="C597" s="544"/>
      <c r="D597" s="544"/>
      <c r="E597" s="544"/>
      <c r="F597" s="544" t="s">
        <v>2196</v>
      </c>
      <c r="G597" s="543" t="str">
        <f t="shared" si="167"/>
        <v/>
      </c>
      <c r="H597" s="545" t="s">
        <v>3751</v>
      </c>
      <c r="I597" s="40"/>
      <c r="J597" s="3"/>
      <c r="K597" s="57" t="s">
        <v>2196</v>
      </c>
      <c r="L597" s="53" t="s">
        <v>2680</v>
      </c>
      <c r="M597" s="616"/>
      <c r="N597" s="648"/>
      <c r="O597" s="648"/>
      <c r="P597" s="562"/>
      <c r="Q597" s="562"/>
      <c r="R597" s="562"/>
      <c r="S597" s="562"/>
      <c r="T597" s="562"/>
      <c r="U597" s="562"/>
      <c r="V597" s="562"/>
      <c r="W597" s="562"/>
      <c r="X597" s="562"/>
      <c r="Y597" s="562"/>
      <c r="Z597" s="430"/>
      <c r="AA597" s="562"/>
      <c r="AB597" s="562"/>
      <c r="AC597" s="562"/>
      <c r="AD597" s="562"/>
      <c r="AE597" s="562"/>
      <c r="AF597" s="562"/>
      <c r="AG597" s="562"/>
      <c r="AH597" s="562"/>
      <c r="AI597" s="562"/>
      <c r="AJ597" s="562"/>
      <c r="AK597" s="562"/>
      <c r="AL597" s="562"/>
      <c r="AM597" s="562"/>
      <c r="AN597" s="562"/>
      <c r="AO597" s="562"/>
      <c r="AP597" s="562"/>
      <c r="AQ597" s="562"/>
      <c r="AR597" s="562"/>
      <c r="AS597" s="562"/>
    </row>
    <row r="598" spans="1:45" x14ac:dyDescent="0.2">
      <c r="A598" s="541">
        <v>6</v>
      </c>
      <c r="B598" s="549">
        <v>606.20000000000005</v>
      </c>
      <c r="C598" s="544"/>
      <c r="D598" s="544"/>
      <c r="E598" s="544"/>
      <c r="F598" s="544" t="s">
        <v>2198</v>
      </c>
      <c r="G598" s="543" t="str">
        <f t="shared" si="167"/>
        <v/>
      </c>
      <c r="H598" s="545" t="s">
        <v>3751</v>
      </c>
      <c r="I598" s="40"/>
      <c r="J598" s="3"/>
      <c r="K598" s="57" t="s">
        <v>2198</v>
      </c>
      <c r="L598" s="817" t="s">
        <v>2681</v>
      </c>
      <c r="M598" s="616"/>
      <c r="N598" s="648"/>
      <c r="O598" s="648"/>
      <c r="P598" s="562"/>
      <c r="Q598" s="562"/>
      <c r="R598" s="562"/>
      <c r="S598" s="562"/>
      <c r="T598" s="562"/>
      <c r="U598" s="562"/>
      <c r="V598" s="562"/>
      <c r="W598" s="562"/>
      <c r="X598" s="562"/>
      <c r="Y598" s="562"/>
      <c r="Z598" s="430"/>
      <c r="AA598" s="562"/>
      <c r="AB598" s="562"/>
      <c r="AC598" s="562"/>
      <c r="AD598" s="562"/>
      <c r="AE598" s="562"/>
      <c r="AF598" s="562"/>
      <c r="AG598" s="562"/>
      <c r="AH598" s="562"/>
      <c r="AI598" s="562"/>
      <c r="AJ598" s="562"/>
      <c r="AK598" s="562"/>
      <c r="AL598" s="562"/>
      <c r="AM598" s="562"/>
      <c r="AN598" s="562"/>
      <c r="AO598" s="562"/>
      <c r="AP598" s="562"/>
      <c r="AQ598" s="562"/>
      <c r="AR598" s="562"/>
      <c r="AS598" s="562"/>
    </row>
    <row r="599" spans="1:45" x14ac:dyDescent="0.2">
      <c r="A599" s="541">
        <v>6</v>
      </c>
      <c r="B599" s="549">
        <v>606.20000000000005</v>
      </c>
      <c r="C599" s="544"/>
      <c r="D599" s="544"/>
      <c r="E599" s="544"/>
      <c r="F599" s="544" t="s">
        <v>2198</v>
      </c>
      <c r="G599" s="543" t="str">
        <f t="shared" si="167"/>
        <v/>
      </c>
      <c r="H599" s="545" t="s">
        <v>3751</v>
      </c>
      <c r="I599" s="40"/>
      <c r="J599" s="3"/>
      <c r="K599" s="57"/>
      <c r="L599" s="817"/>
      <c r="M599" s="616"/>
      <c r="N599" s="648"/>
      <c r="O599" s="648"/>
      <c r="P599" s="562"/>
      <c r="Q599" s="562"/>
      <c r="R599" s="562"/>
      <c r="S599" s="562"/>
      <c r="T599" s="562"/>
      <c r="U599" s="562"/>
      <c r="V599" s="562"/>
      <c r="W599" s="562"/>
      <c r="X599" s="562"/>
      <c r="Y599" s="562"/>
      <c r="Z599" s="430"/>
      <c r="AA599" s="562"/>
      <c r="AB599" s="562"/>
      <c r="AC599" s="562"/>
      <c r="AD599" s="562"/>
      <c r="AE599" s="562"/>
      <c r="AF599" s="562"/>
      <c r="AG599" s="562"/>
      <c r="AH599" s="562"/>
      <c r="AI599" s="562"/>
      <c r="AJ599" s="562"/>
      <c r="AK599" s="562"/>
      <c r="AL599" s="562"/>
      <c r="AM599" s="562"/>
      <c r="AN599" s="562"/>
      <c r="AO599" s="562"/>
      <c r="AP599" s="562"/>
      <c r="AQ599" s="562"/>
      <c r="AR599" s="562"/>
      <c r="AS599" s="562"/>
    </row>
    <row r="600" spans="1:45" x14ac:dyDescent="0.2">
      <c r="A600" s="541">
        <v>6</v>
      </c>
      <c r="B600" s="549">
        <v>606.20000000000005</v>
      </c>
      <c r="C600" s="544"/>
      <c r="D600" s="544"/>
      <c r="E600" s="544"/>
      <c r="F600" s="544" t="s">
        <v>2200</v>
      </c>
      <c r="G600" s="543" t="str">
        <f t="shared" si="167"/>
        <v/>
      </c>
      <c r="H600" s="545" t="s">
        <v>3751</v>
      </c>
      <c r="I600" s="40"/>
      <c r="J600" s="3"/>
      <c r="K600" s="57" t="s">
        <v>2200</v>
      </c>
      <c r="L600" s="118" t="s">
        <v>2682</v>
      </c>
      <c r="M600" s="616"/>
      <c r="N600" s="648"/>
      <c r="O600" s="648"/>
      <c r="P600" s="562"/>
      <c r="Q600" s="562"/>
      <c r="R600" s="562"/>
      <c r="S600" s="562"/>
      <c r="T600" s="562"/>
      <c r="U600" s="562"/>
      <c r="V600" s="562"/>
      <c r="W600" s="562"/>
      <c r="X600" s="562"/>
      <c r="Y600" s="562"/>
      <c r="Z600" s="430"/>
      <c r="AA600" s="562"/>
      <c r="AB600" s="562"/>
      <c r="AC600" s="562"/>
      <c r="AD600" s="562"/>
      <c r="AE600" s="562"/>
      <c r="AF600" s="562"/>
      <c r="AG600" s="562"/>
      <c r="AH600" s="562"/>
      <c r="AI600" s="562"/>
      <c r="AJ600" s="562"/>
      <c r="AK600" s="562"/>
      <c r="AL600" s="562"/>
      <c r="AM600" s="562"/>
      <c r="AN600" s="562"/>
      <c r="AO600" s="562"/>
      <c r="AP600" s="562"/>
      <c r="AQ600" s="562"/>
      <c r="AR600" s="562"/>
      <c r="AS600" s="562"/>
    </row>
    <row r="601" spans="1:45" x14ac:dyDescent="0.2">
      <c r="A601" s="541">
        <v>6</v>
      </c>
      <c r="B601" s="549">
        <v>606.20000000000005</v>
      </c>
      <c r="C601" s="544"/>
      <c r="D601" s="544"/>
      <c r="E601" s="544"/>
      <c r="F601" s="546" t="s">
        <v>2247</v>
      </c>
      <c r="G601" s="543" t="str">
        <f t="shared" si="167"/>
        <v/>
      </c>
      <c r="H601" s="547" t="s">
        <v>3751</v>
      </c>
      <c r="I601" s="40"/>
      <c r="J601" s="3"/>
      <c r="K601" s="59" t="s">
        <v>2247</v>
      </c>
      <c r="L601" s="118" t="s">
        <v>2683</v>
      </c>
      <c r="M601" s="616"/>
      <c r="N601" s="648"/>
      <c r="O601" s="648"/>
      <c r="P601" s="562"/>
      <c r="Q601" s="562"/>
      <c r="R601" s="562"/>
      <c r="S601" s="562"/>
      <c r="T601" s="562"/>
      <c r="U601" s="562"/>
      <c r="V601" s="562"/>
      <c r="W601" s="562"/>
      <c r="X601" s="562"/>
      <c r="Y601" s="562"/>
      <c r="Z601" s="430"/>
      <c r="AA601" s="562"/>
      <c r="AB601" s="562"/>
      <c r="AC601" s="562"/>
      <c r="AD601" s="562"/>
      <c r="AE601" s="562"/>
      <c r="AF601" s="562"/>
      <c r="AG601" s="562"/>
      <c r="AH601" s="562"/>
      <c r="AI601" s="562"/>
      <c r="AJ601" s="562"/>
      <c r="AK601" s="562"/>
      <c r="AL601" s="562"/>
      <c r="AM601" s="562"/>
      <c r="AN601" s="562"/>
      <c r="AO601" s="562"/>
      <c r="AP601" s="562"/>
      <c r="AQ601" s="562"/>
      <c r="AR601" s="562"/>
      <c r="AS601" s="562"/>
    </row>
    <row r="602" spans="1:45" x14ac:dyDescent="0.2">
      <c r="A602" s="541">
        <v>6</v>
      </c>
      <c r="B602" s="549">
        <v>606.20000000000005</v>
      </c>
      <c r="C602" s="544"/>
      <c r="D602" s="544"/>
      <c r="E602" s="544"/>
      <c r="F602" s="544" t="s">
        <v>2444</v>
      </c>
      <c r="G602" s="543" t="str">
        <f t="shared" si="167"/>
        <v/>
      </c>
      <c r="H602" s="541" t="s">
        <v>3751</v>
      </c>
      <c r="I602" s="40"/>
      <c r="J602" s="3"/>
      <c r="K602" s="55" t="s">
        <v>2444</v>
      </c>
      <c r="L602" s="118" t="s">
        <v>2684</v>
      </c>
      <c r="M602" s="616"/>
      <c r="N602" s="648"/>
      <c r="O602" s="648"/>
      <c r="P602" s="562"/>
      <c r="Q602" s="562"/>
      <c r="R602" s="562"/>
      <c r="S602" s="562"/>
      <c r="T602" s="562"/>
      <c r="U602" s="562"/>
      <c r="V602" s="562"/>
      <c r="W602" s="562"/>
      <c r="X602" s="562"/>
      <c r="Y602" s="562"/>
      <c r="Z602" s="430"/>
      <c r="AA602" s="562"/>
      <c r="AB602" s="562"/>
      <c r="AC602" s="562"/>
      <c r="AD602" s="562"/>
      <c r="AE602" s="562"/>
      <c r="AF602" s="562"/>
      <c r="AG602" s="562"/>
      <c r="AH602" s="562"/>
      <c r="AI602" s="562"/>
      <c r="AJ602" s="562"/>
      <c r="AK602" s="562"/>
      <c r="AL602" s="562"/>
      <c r="AM602" s="562"/>
      <c r="AN602" s="562"/>
      <c r="AO602" s="562"/>
      <c r="AP602" s="562"/>
      <c r="AQ602" s="562"/>
      <c r="AR602" s="562"/>
      <c r="AS602" s="562"/>
    </row>
    <row r="603" spans="1:45" x14ac:dyDescent="0.2">
      <c r="A603" s="541">
        <v>6</v>
      </c>
      <c r="B603" s="549">
        <v>606.20000000000005</v>
      </c>
      <c r="C603" s="544"/>
      <c r="D603" s="544"/>
      <c r="E603" s="544"/>
      <c r="F603" s="544" t="s">
        <v>2540</v>
      </c>
      <c r="G603" s="543" t="str">
        <f t="shared" si="167"/>
        <v/>
      </c>
      <c r="H603" s="545" t="s">
        <v>3751</v>
      </c>
      <c r="I603" s="40"/>
      <c r="J603" s="3"/>
      <c r="K603" s="57" t="s">
        <v>2540</v>
      </c>
      <c r="L603" s="53" t="s">
        <v>2685</v>
      </c>
      <c r="M603" s="616"/>
      <c r="N603" s="648"/>
      <c r="O603" s="648"/>
      <c r="P603" s="562"/>
      <c r="Q603" s="562"/>
      <c r="R603" s="562"/>
      <c r="S603" s="562"/>
      <c r="T603" s="562"/>
      <c r="U603" s="562"/>
      <c r="V603" s="562"/>
      <c r="W603" s="562"/>
      <c r="X603" s="562"/>
      <c r="Y603" s="562"/>
      <c r="Z603" s="430"/>
      <c r="AA603" s="562"/>
      <c r="AB603" s="562"/>
      <c r="AC603" s="562"/>
      <c r="AD603" s="562"/>
      <c r="AE603" s="562"/>
      <c r="AF603" s="562"/>
      <c r="AG603" s="562"/>
      <c r="AH603" s="562"/>
      <c r="AI603" s="562"/>
      <c r="AJ603" s="562"/>
      <c r="AK603" s="562"/>
      <c r="AL603" s="562"/>
      <c r="AM603" s="562"/>
      <c r="AN603" s="562"/>
      <c r="AO603" s="562"/>
      <c r="AP603" s="562"/>
      <c r="AQ603" s="562"/>
      <c r="AR603" s="562"/>
      <c r="AS603" s="562"/>
    </row>
    <row r="604" spans="1:45" x14ac:dyDescent="0.2">
      <c r="A604" s="541">
        <v>6</v>
      </c>
      <c r="B604" s="549">
        <v>606.20000000000005</v>
      </c>
      <c r="C604" s="544"/>
      <c r="D604" s="544"/>
      <c r="E604" s="544"/>
      <c r="F604" s="544" t="s">
        <v>2542</v>
      </c>
      <c r="G604" s="543" t="str">
        <f t="shared" si="167"/>
        <v/>
      </c>
      <c r="H604" s="545" t="s">
        <v>3751</v>
      </c>
      <c r="I604" s="40"/>
      <c r="J604" s="3"/>
      <c r="K604" s="57" t="s">
        <v>2542</v>
      </c>
      <c r="L604" s="53" t="s">
        <v>2686</v>
      </c>
      <c r="M604" s="616"/>
      <c r="N604" s="648"/>
      <c r="O604" s="648"/>
      <c r="P604" s="562"/>
      <c r="Q604" s="562"/>
      <c r="R604" s="562"/>
      <c r="S604" s="562"/>
      <c r="T604" s="562"/>
      <c r="U604" s="562"/>
      <c r="V604" s="562"/>
      <c r="W604" s="562"/>
      <c r="X604" s="562"/>
      <c r="Y604" s="562"/>
      <c r="Z604" s="430"/>
      <c r="AA604" s="562"/>
      <c r="AB604" s="562"/>
      <c r="AC604" s="562"/>
      <c r="AD604" s="562"/>
      <c r="AE604" s="562"/>
      <c r="AF604" s="562"/>
      <c r="AG604" s="562"/>
      <c r="AH604" s="562"/>
      <c r="AI604" s="562"/>
      <c r="AJ604" s="562"/>
      <c r="AK604" s="562"/>
      <c r="AL604" s="562"/>
      <c r="AM604" s="562"/>
      <c r="AN604" s="562"/>
      <c r="AO604" s="562"/>
      <c r="AP604" s="562"/>
      <c r="AQ604" s="562"/>
      <c r="AR604" s="562"/>
      <c r="AS604" s="562"/>
    </row>
    <row r="605" spans="1:45" x14ac:dyDescent="0.2">
      <c r="A605" s="541">
        <v>6</v>
      </c>
      <c r="B605" s="549">
        <v>606.20000000000005</v>
      </c>
      <c r="C605" s="544"/>
      <c r="D605" s="544"/>
      <c r="E605" s="544"/>
      <c r="F605" s="544" t="s">
        <v>2544</v>
      </c>
      <c r="G605" s="543" t="str">
        <f t="shared" si="167"/>
        <v/>
      </c>
      <c r="H605" s="545" t="s">
        <v>3751</v>
      </c>
      <c r="I605" s="40"/>
      <c r="J605" s="3"/>
      <c r="K605" s="57"/>
      <c r="L605" s="53"/>
      <c r="M605" s="616"/>
      <c r="N605" s="648"/>
      <c r="O605" s="648"/>
      <c r="P605" s="562"/>
      <c r="Q605" s="562"/>
      <c r="R605" s="562"/>
      <c r="S605" s="562"/>
      <c r="T605" s="562"/>
      <c r="U605" s="562"/>
      <c r="V605" s="562"/>
      <c r="W605" s="562" t="s">
        <v>2687</v>
      </c>
      <c r="X605" s="562"/>
      <c r="Y605" s="562"/>
      <c r="Z605" s="430"/>
      <c r="AA605" s="562"/>
      <c r="AB605" s="562"/>
      <c r="AC605" s="562"/>
      <c r="AD605" s="562"/>
      <c r="AE605" s="562"/>
      <c r="AF605" s="562"/>
      <c r="AG605" s="562"/>
      <c r="AH605" s="562"/>
      <c r="AI605" s="562"/>
      <c r="AJ605" s="562"/>
      <c r="AK605" s="562"/>
      <c r="AL605" s="562"/>
      <c r="AM605" s="562"/>
      <c r="AN605" s="562"/>
      <c r="AO605" s="562"/>
      <c r="AP605" s="562"/>
      <c r="AQ605" s="562"/>
      <c r="AR605" s="562"/>
      <c r="AS605" s="562"/>
    </row>
    <row r="606" spans="1:45" ht="16" x14ac:dyDescent="0.2">
      <c r="A606" s="541">
        <v>6</v>
      </c>
      <c r="B606" s="549">
        <v>606.20000000000005</v>
      </c>
      <c r="C606" s="544"/>
      <c r="D606" s="544"/>
      <c r="E606" s="544" t="s">
        <v>2181</v>
      </c>
      <c r="F606" s="553" t="s">
        <v>2329</v>
      </c>
      <c r="G606" s="543" t="str">
        <f>IF(N606&gt;0,"P","")</f>
        <v/>
      </c>
      <c r="H606" s="552" t="s">
        <v>3751</v>
      </c>
      <c r="I606" s="40"/>
      <c r="J606" s="134" t="s">
        <v>2181</v>
      </c>
      <c r="K606" s="65"/>
      <c r="L606" s="791" t="s">
        <v>2688</v>
      </c>
      <c r="M606" s="800">
        <v>3</v>
      </c>
      <c r="N606" s="924">
        <f>'Ch6'!O367</f>
        <v>0</v>
      </c>
      <c r="O606" s="924">
        <f>IF(AND(S606,NOT(ISBLANK(W606)),NOT(ISBLANK(W607))),M606,0)</f>
        <v>0</v>
      </c>
      <c r="P606" s="562" t="b">
        <v>1</v>
      </c>
      <c r="Q606" s="562" t="b">
        <v>1</v>
      </c>
      <c r="R606" s="562" t="b">
        <v>0</v>
      </c>
      <c r="S606" s="562" t="b">
        <v>1</v>
      </c>
      <c r="T606" s="562" t="b">
        <v>0</v>
      </c>
      <c r="U606" s="64" t="str">
        <f>SUBSTITUTE(SUBSTITUTE(SUBSTITUTE("dd"&amp;B606&amp;C606&amp;D606&amp;E606&amp;F606,".","_"),"(","_"),")","")</f>
        <v>dd606,2_1a</v>
      </c>
      <c r="V606" s="562"/>
      <c r="W606" s="6"/>
      <c r="X606" s="563"/>
      <c r="Y606" s="578" t="str">
        <f>IF(LEN('Ch6'!X367)=0,"None",'Ch6'!X367)</f>
        <v>None</v>
      </c>
      <c r="Z606" s="579"/>
      <c r="AA606" s="562"/>
      <c r="AB606" s="562"/>
      <c r="AC606" s="562" t="b">
        <f>OR(AD606:AE606)</f>
        <v>0</v>
      </c>
      <c r="AD606" s="562" t="b">
        <f>T606</f>
        <v>0</v>
      </c>
      <c r="AE606" s="562" t="b">
        <f>AND(NOT(ISBLANK(W606)),LEN(X606)=0)</f>
        <v>0</v>
      </c>
      <c r="AF606" s="562" t="b">
        <f>AND(AE606,NOT(Q606))</f>
        <v>0</v>
      </c>
      <c r="AG606" s="562"/>
      <c r="AH606" s="562"/>
      <c r="AI606" s="562"/>
      <c r="AJ606" s="562"/>
      <c r="AK606" s="562"/>
      <c r="AL606" s="190" t="str">
        <f t="shared" ref="AL606" si="168">SUBSTITUTE(SUBSTITUTE(SUBSTITUTE("vpa"&amp;$B606&amp;$C606&amp;$D606&amp;$E606&amp;$F606,".","_"),"(","_"),")","")</f>
        <v>vpa606,2_1a</v>
      </c>
      <c r="AM606" s="190">
        <f>M606</f>
        <v>3</v>
      </c>
      <c r="AN606" s="190" t="str">
        <f>SUBSTITUTE(SUBSTITUTE(SUBSTITUTE("vpc"&amp;$B606&amp;$C606&amp;$D606&amp;$E606&amp;$F606,".","_"),"(","_"),")","")</f>
        <v>vpc606,2_1a</v>
      </c>
      <c r="AO606" s="190">
        <f>O606</f>
        <v>0</v>
      </c>
      <c r="AP606" s="190" t="str">
        <f t="shared" ref="AP606:AP607" si="169">SUBSTITUTE(SUBSTITUTE(SUBSTITUTE("vch"&amp;$B606&amp;$C606&amp;$D606&amp;$E606&amp;$F606,".","_"),"(","_"),")","")</f>
        <v>vch606,2_1a</v>
      </c>
      <c r="AQ606" s="190">
        <f>W606</f>
        <v>0</v>
      </c>
      <c r="AR606" s="190" t="str">
        <f t="shared" ref="AR606:AR607" si="170">SUBSTITUTE(SUBSTITUTE(SUBSTITUTE("vnt"&amp;$B606&amp;$C606&amp;$D606&amp;$E606&amp;$F606,".","_"),"(","_"),")","")</f>
        <v>vnt606,2_1a</v>
      </c>
      <c r="AS606" s="190">
        <f>X606</f>
        <v>0</v>
      </c>
    </row>
    <row r="607" spans="1:45" x14ac:dyDescent="0.2">
      <c r="A607" s="541">
        <v>6</v>
      </c>
      <c r="B607" s="549">
        <v>606.20000000000005</v>
      </c>
      <c r="C607" s="544"/>
      <c r="D607" s="544"/>
      <c r="E607" s="544" t="s">
        <v>2181</v>
      </c>
      <c r="F607" s="553" t="s">
        <v>2331</v>
      </c>
      <c r="G607" s="543" t="str">
        <f t="shared" ref="G607:G608" si="171">G606</f>
        <v/>
      </c>
      <c r="H607" s="552" t="s">
        <v>3751</v>
      </c>
      <c r="I607" s="40"/>
      <c r="J607" s="134"/>
      <c r="K607" s="65"/>
      <c r="L607" s="791"/>
      <c r="M607" s="800"/>
      <c r="N607" s="924"/>
      <c r="O607" s="924"/>
      <c r="P607" s="562" t="b">
        <v>1</v>
      </c>
      <c r="Q607" s="562" t="b">
        <v>1</v>
      </c>
      <c r="R607" s="562" t="b">
        <v>0</v>
      </c>
      <c r="S607" s="562" t="b">
        <v>1</v>
      </c>
      <c r="T607" s="562" t="b">
        <v>0</v>
      </c>
      <c r="U607" s="64" t="str">
        <f>SUBSTITUTE(SUBSTITUTE(SUBSTITUTE("dd"&amp;B607&amp;C607&amp;D607&amp;E607&amp;F607,".","_"),"(","_"),")","")</f>
        <v>dd606,2_1b</v>
      </c>
      <c r="V607" s="562"/>
      <c r="W607" s="6"/>
      <c r="X607" s="787"/>
      <c r="Y607" s="980" t="str">
        <f>IF(LEN('Ch6'!X368)=0,"None",'Ch6'!X368)</f>
        <v>None</v>
      </c>
      <c r="Z607" s="983"/>
      <c r="AA607" s="562"/>
      <c r="AB607" s="562"/>
      <c r="AC607" s="562" t="b">
        <f>OR(AD607:AE607)</f>
        <v>0</v>
      </c>
      <c r="AD607" s="562" t="b">
        <f>T607</f>
        <v>0</v>
      </c>
      <c r="AE607" s="562" t="b">
        <f>AND(NOT(ISBLANK(W607)),LEN(X607)=0)</f>
        <v>0</v>
      </c>
      <c r="AF607" s="562" t="b">
        <f>AND(AE607,NOT(Q607))</f>
        <v>0</v>
      </c>
      <c r="AG607" s="562"/>
      <c r="AH607" s="562"/>
      <c r="AI607" s="562"/>
      <c r="AJ607" s="562"/>
      <c r="AK607" s="562"/>
      <c r="AL607" s="562"/>
      <c r="AM607" s="562"/>
      <c r="AN607" s="562"/>
      <c r="AO607" s="562"/>
      <c r="AP607" s="190" t="str">
        <f t="shared" si="169"/>
        <v>vch606,2_1b</v>
      </c>
      <c r="AQ607" s="190">
        <f>W607</f>
        <v>0</v>
      </c>
      <c r="AR607" s="190" t="str">
        <f t="shared" si="170"/>
        <v>vnt606,2_1b</v>
      </c>
      <c r="AS607" s="190">
        <f>X607</f>
        <v>0</v>
      </c>
    </row>
    <row r="608" spans="1:45" x14ac:dyDescent="0.2">
      <c r="A608" s="541">
        <v>6</v>
      </c>
      <c r="B608" s="549">
        <v>606.20000000000005</v>
      </c>
      <c r="C608" s="544"/>
      <c r="D608" s="544"/>
      <c r="E608" s="544" t="s">
        <v>2181</v>
      </c>
      <c r="F608" s="553"/>
      <c r="G608" s="543" t="str">
        <f t="shared" si="171"/>
        <v/>
      </c>
      <c r="H608" s="552" t="s">
        <v>3751</v>
      </c>
      <c r="I608" s="40"/>
      <c r="J608" s="159"/>
      <c r="K608" s="126"/>
      <c r="L608" s="571" t="s">
        <v>2689</v>
      </c>
      <c r="M608" s="801"/>
      <c r="N608" s="942"/>
      <c r="O608" s="942"/>
      <c r="P608" s="562"/>
      <c r="Q608" s="562"/>
      <c r="R608" s="562"/>
      <c r="S608" s="562"/>
      <c r="T608" s="562"/>
      <c r="U608" s="64"/>
      <c r="V608" s="562"/>
      <c r="W608" s="562"/>
      <c r="X608" s="787"/>
      <c r="Y608" s="980"/>
      <c r="Z608" s="983"/>
      <c r="AA608" s="562"/>
      <c r="AB608" s="562"/>
      <c r="AC608" s="562"/>
      <c r="AD608" s="562"/>
      <c r="AE608" s="562"/>
      <c r="AF608" s="562"/>
      <c r="AG608" s="562"/>
      <c r="AH608" s="562"/>
      <c r="AI608" s="562"/>
      <c r="AJ608" s="562"/>
      <c r="AK608" s="562"/>
      <c r="AL608" s="562"/>
      <c r="AM608" s="562"/>
      <c r="AN608" s="562"/>
      <c r="AO608" s="562"/>
      <c r="AP608" s="562"/>
      <c r="AQ608" s="562"/>
      <c r="AR608" s="562"/>
      <c r="AS608" s="562"/>
    </row>
    <row r="609" spans="1:45" ht="16" x14ac:dyDescent="0.2">
      <c r="A609" s="541">
        <v>6</v>
      </c>
      <c r="B609" s="549">
        <v>606.20000000000005</v>
      </c>
      <c r="C609" s="544"/>
      <c r="D609" s="544"/>
      <c r="E609" s="544" t="s">
        <v>2183</v>
      </c>
      <c r="F609" s="553" t="s">
        <v>2329</v>
      </c>
      <c r="G609" s="543" t="str">
        <f>IF(N609&gt;0,"P","")</f>
        <v/>
      </c>
      <c r="H609" s="552" t="s">
        <v>3751</v>
      </c>
      <c r="I609" s="40"/>
      <c r="J609" s="20" t="s">
        <v>2183</v>
      </c>
      <c r="K609" s="53"/>
      <c r="L609" s="817" t="s">
        <v>2690</v>
      </c>
      <c r="M609" s="814">
        <v>4</v>
      </c>
      <c r="N609" s="923">
        <f>'Ch6'!O370</f>
        <v>0</v>
      </c>
      <c r="O609" s="887">
        <f>IF(AND(S609,NOT(ISBLANK(W609)),NOT(ISBLANK(W610))),M609,0)</f>
        <v>0</v>
      </c>
      <c r="P609" s="562" t="b">
        <v>1</v>
      </c>
      <c r="Q609" s="562" t="b">
        <v>1</v>
      </c>
      <c r="R609" s="562" t="b">
        <v>0</v>
      </c>
      <c r="S609" s="562" t="b">
        <v>1</v>
      </c>
      <c r="T609" s="562" t="b">
        <v>0</v>
      </c>
      <c r="U609" s="64" t="str">
        <f>SUBSTITUTE(SUBSTITUTE(SUBSTITUTE("dd"&amp;B609&amp;C609&amp;D609&amp;E609&amp;F609,".","_"),"(","_"),")","")</f>
        <v>dd606,2_2a</v>
      </c>
      <c r="V609" s="562"/>
      <c r="W609" s="6"/>
      <c r="X609" s="563"/>
      <c r="Y609" s="578" t="str">
        <f>IF(LEN('Ch6'!X370)=0,"None",'Ch6'!X370)</f>
        <v>None</v>
      </c>
      <c r="Z609" s="579"/>
      <c r="AA609" s="562"/>
      <c r="AB609" s="562"/>
      <c r="AC609" s="562" t="b">
        <f>OR(AD609:AE609)</f>
        <v>0</v>
      </c>
      <c r="AD609" s="562" t="b">
        <f>T609</f>
        <v>0</v>
      </c>
      <c r="AE609" s="562" t="b">
        <f>AND(NOT(ISBLANK(W609)),LEN(X609)=0)</f>
        <v>0</v>
      </c>
      <c r="AF609" s="562" t="b">
        <f>AND(AE609,NOT(Q609))</f>
        <v>0</v>
      </c>
      <c r="AG609" s="562"/>
      <c r="AH609" s="562"/>
      <c r="AI609" s="562"/>
      <c r="AJ609" s="562"/>
      <c r="AK609" s="562"/>
      <c r="AL609" s="190" t="str">
        <f t="shared" ref="AL609" si="172">SUBSTITUTE(SUBSTITUTE(SUBSTITUTE("vpa"&amp;$B609&amp;$C609&amp;$D609&amp;$E609&amp;$F609,".","_"),"(","_"),")","")</f>
        <v>vpa606,2_2a</v>
      </c>
      <c r="AM609" s="190">
        <f>M609</f>
        <v>4</v>
      </c>
      <c r="AN609" s="190" t="str">
        <f>SUBSTITUTE(SUBSTITUTE(SUBSTITUTE("vpc"&amp;$B609&amp;$C609&amp;$D609&amp;$E609&amp;$F609,".","_"),"(","_"),")","")</f>
        <v>vpc606,2_2a</v>
      </c>
      <c r="AO609" s="190">
        <f>O609</f>
        <v>0</v>
      </c>
      <c r="AP609" s="190" t="str">
        <f t="shared" ref="AP609:AP610" si="173">SUBSTITUTE(SUBSTITUTE(SUBSTITUTE("vch"&amp;$B609&amp;$C609&amp;$D609&amp;$E609&amp;$F609,".","_"),"(","_"),")","")</f>
        <v>vch606,2_2a</v>
      </c>
      <c r="AQ609" s="190">
        <f>W609</f>
        <v>0</v>
      </c>
      <c r="AR609" s="190" t="str">
        <f t="shared" ref="AR609:AR610" si="174">SUBSTITUTE(SUBSTITUTE(SUBSTITUTE("vnt"&amp;$B609&amp;$C609&amp;$D609&amp;$E609&amp;$F609,".","_"),"(","_"),")","")</f>
        <v>vnt606,2_2a</v>
      </c>
      <c r="AS609" s="190">
        <f>X609</f>
        <v>0</v>
      </c>
    </row>
    <row r="610" spans="1:45" x14ac:dyDescent="0.2">
      <c r="A610" s="541">
        <v>6</v>
      </c>
      <c r="B610" s="549">
        <v>606.20000000000005</v>
      </c>
      <c r="C610" s="544"/>
      <c r="D610" s="544"/>
      <c r="E610" s="544" t="s">
        <v>2183</v>
      </c>
      <c r="F610" s="553" t="s">
        <v>2331</v>
      </c>
      <c r="G610" s="543" t="str">
        <f t="shared" ref="G610:G617" si="175">G609</f>
        <v/>
      </c>
      <c r="H610" s="552" t="s">
        <v>3751</v>
      </c>
      <c r="I610" s="40"/>
      <c r="J610" s="3"/>
      <c r="K610" s="53"/>
      <c r="L610" s="817"/>
      <c r="M610" s="814"/>
      <c r="N610" s="887"/>
      <c r="O610" s="887"/>
      <c r="P610" s="562" t="b">
        <v>1</v>
      </c>
      <c r="Q610" s="562" t="b">
        <v>1</v>
      </c>
      <c r="R610" s="562" t="b">
        <v>0</v>
      </c>
      <c r="S610" s="562" t="b">
        <v>1</v>
      </c>
      <c r="T610" s="562" t="b">
        <v>0</v>
      </c>
      <c r="U610" s="64" t="str">
        <f>SUBSTITUTE(SUBSTITUTE(SUBSTITUTE("dd"&amp;B610&amp;C610&amp;D610&amp;E610&amp;F610,".","_"),"(","_"),")","")</f>
        <v>dd606,2_2b</v>
      </c>
      <c r="V610" s="562"/>
      <c r="W610" s="6"/>
      <c r="X610" s="787"/>
      <c r="Y610" s="977" t="str">
        <f>IF(LEN('Ch6'!X371)=0,"None",'Ch6'!X371)</f>
        <v>None</v>
      </c>
      <c r="Z610" s="978"/>
      <c r="AA610" s="562"/>
      <c r="AB610" s="562"/>
      <c r="AC610" s="562" t="b">
        <f>OR(AD610:AE610)</f>
        <v>0</v>
      </c>
      <c r="AD610" s="562" t="b">
        <f>T610</f>
        <v>0</v>
      </c>
      <c r="AE610" s="562" t="b">
        <f>AND(NOT(ISBLANK(W610)),LEN(X610)=0)</f>
        <v>0</v>
      </c>
      <c r="AF610" s="562" t="b">
        <f>AND(AE610,NOT(Q610))</f>
        <v>0</v>
      </c>
      <c r="AG610" s="562"/>
      <c r="AH610" s="562"/>
      <c r="AI610" s="562"/>
      <c r="AJ610" s="562"/>
      <c r="AK610" s="562"/>
      <c r="AL610" s="562"/>
      <c r="AM610" s="562"/>
      <c r="AN610" s="562"/>
      <c r="AO610" s="562"/>
      <c r="AP610" s="190" t="str">
        <f t="shared" si="173"/>
        <v>vch606,2_2b</v>
      </c>
      <c r="AQ610" s="190">
        <f>W610</f>
        <v>0</v>
      </c>
      <c r="AR610" s="190" t="str">
        <f t="shared" si="174"/>
        <v>vnt606,2_2b</v>
      </c>
      <c r="AS610" s="190">
        <f>X610</f>
        <v>0</v>
      </c>
    </row>
    <row r="611" spans="1:45" ht="16" thickBot="1" x14ac:dyDescent="0.25">
      <c r="A611" s="541">
        <v>6</v>
      </c>
      <c r="B611" s="549">
        <v>606.20000000000005</v>
      </c>
      <c r="C611" s="544"/>
      <c r="D611" s="544"/>
      <c r="E611" s="544" t="s">
        <v>2183</v>
      </c>
      <c r="F611" s="553"/>
      <c r="G611" s="543" t="str">
        <f t="shared" si="175"/>
        <v/>
      </c>
      <c r="H611" s="552" t="s">
        <v>3751</v>
      </c>
      <c r="I611" s="40"/>
      <c r="J611" s="3"/>
      <c r="K611" s="53"/>
      <c r="L611" s="580" t="s">
        <v>2689</v>
      </c>
      <c r="M611" s="814"/>
      <c r="N611" s="982"/>
      <c r="O611" s="887"/>
      <c r="P611" s="562"/>
      <c r="Q611" s="562"/>
      <c r="R611" s="562"/>
      <c r="S611" s="562"/>
      <c r="T611" s="562"/>
      <c r="U611" s="64"/>
      <c r="V611" s="562"/>
      <c r="W611" s="193"/>
      <c r="X611" s="825"/>
      <c r="Y611" s="979"/>
      <c r="Z611" s="1007"/>
      <c r="AA611" s="562"/>
      <c r="AB611" s="562"/>
      <c r="AC611" s="562"/>
      <c r="AD611" s="562"/>
      <c r="AE611" s="562"/>
      <c r="AF611" s="562"/>
      <c r="AG611" s="562"/>
      <c r="AH611" s="562"/>
      <c r="AI611" s="562"/>
      <c r="AJ611" s="562"/>
      <c r="AK611" s="562"/>
      <c r="AL611" s="562"/>
      <c r="AM611" s="562"/>
      <c r="AN611" s="562"/>
      <c r="AO611" s="562"/>
      <c r="AP611" s="562"/>
      <c r="AQ611" s="562"/>
      <c r="AR611" s="562"/>
      <c r="AS611" s="562"/>
    </row>
    <row r="612" spans="1:45" ht="16" thickTop="1" x14ac:dyDescent="0.2">
      <c r="A612" s="541">
        <v>6</v>
      </c>
      <c r="B612" s="549">
        <v>606.29999999999995</v>
      </c>
      <c r="C612" s="544"/>
      <c r="D612" s="544"/>
      <c r="E612" s="544"/>
      <c r="F612" s="544"/>
      <c r="G612" s="543" t="str">
        <f ca="1">IF(N612&gt;0,"P","")</f>
        <v/>
      </c>
      <c r="H612" s="541" t="s">
        <v>3751</v>
      </c>
      <c r="I612" s="131" t="s">
        <v>2691</v>
      </c>
      <c r="J612" s="132"/>
      <c r="K612" s="133"/>
      <c r="L612" s="819" t="s">
        <v>2692</v>
      </c>
      <c r="M612" s="827" t="s">
        <v>2646</v>
      </c>
      <c r="N612" s="981">
        <f ca="1">'Ch6'!O373</f>
        <v>0</v>
      </c>
      <c r="O612" s="981">
        <f ca="1">IFERROR(MATCH(W612,INDIRECT(U612),0),0)*2</f>
        <v>0</v>
      </c>
      <c r="P612" s="74" t="b">
        <v>1</v>
      </c>
      <c r="Q612" s="74" t="b">
        <v>1</v>
      </c>
      <c r="R612" s="74" t="b">
        <v>0</v>
      </c>
      <c r="S612" s="74" t="b">
        <v>1</v>
      </c>
      <c r="T612" s="74" t="b">
        <v>0</v>
      </c>
      <c r="U612" s="74" t="str">
        <f>SUBSTITUTE(SUBSTITUTE(SUBSTITUTE("dd"&amp;B612&amp;C612&amp;D612&amp;E612&amp;F612,".","_"),"(","_"),")","")</f>
        <v>dd606,3</v>
      </c>
      <c r="V612" s="74"/>
      <c r="W612" s="192"/>
      <c r="X612" s="796"/>
      <c r="Y612" s="975" t="str">
        <f>IF(LEN('Ch6'!X373)=0,"None",'Ch6'!X373)</f>
        <v>None</v>
      </c>
      <c r="Z612" s="976"/>
      <c r="AA612" s="562"/>
      <c r="AB612" s="562"/>
      <c r="AC612" s="562" t="b">
        <f>OR(AD612:AE612)</f>
        <v>0</v>
      </c>
      <c r="AD612" s="562" t="b">
        <f>T612</f>
        <v>0</v>
      </c>
      <c r="AE612" s="562" t="b">
        <f>AND(NOT(ISBLANK(W612)),LEN(X612)=0)</f>
        <v>0</v>
      </c>
      <c r="AF612" s="562" t="b">
        <f>AND(AE612,NOT(Q612))</f>
        <v>0</v>
      </c>
      <c r="AG612" s="562"/>
      <c r="AH612" s="562"/>
      <c r="AI612" s="562"/>
      <c r="AJ612" s="562"/>
      <c r="AK612" s="562"/>
      <c r="AL612" s="190" t="str">
        <f t="shared" ref="AL612" si="176">SUBSTITUTE(SUBSTITUTE(SUBSTITUTE("vpa"&amp;$B612&amp;$C612&amp;$D612&amp;$E612&amp;$F612,".","_"),"(","_"),")","")</f>
        <v>vpa606,3</v>
      </c>
      <c r="AM612" s="190" t="str">
        <f>M612</f>
        <v>6 Max</v>
      </c>
      <c r="AN612" s="190" t="str">
        <f>SUBSTITUTE(SUBSTITUTE(SUBSTITUTE("vpc"&amp;$B612&amp;$C612&amp;$D612&amp;$E612&amp;$F612,".","_"),"(","_"),")","")</f>
        <v>vpc606,3</v>
      </c>
      <c r="AO612" s="190">
        <f ca="1">O612</f>
        <v>0</v>
      </c>
      <c r="AP612" s="190" t="str">
        <f>SUBSTITUTE(SUBSTITUTE(SUBSTITUTE("vch"&amp;$B612&amp;$C612&amp;$D612&amp;$E612&amp;$F612,".","_"),"(","_"),")","")</f>
        <v>vch606,3</v>
      </c>
      <c r="AQ612" s="190">
        <f>W612</f>
        <v>0</v>
      </c>
      <c r="AR612" s="190" t="str">
        <f>SUBSTITUTE(SUBSTITUTE(SUBSTITUTE("vnt"&amp;$B612&amp;$C612&amp;$D612&amp;$E612&amp;$F612,".","_"),"(","_"),")","")</f>
        <v>vnt606,3</v>
      </c>
      <c r="AS612" s="190">
        <f>X612</f>
        <v>0</v>
      </c>
    </row>
    <row r="613" spans="1:45" x14ac:dyDescent="0.2">
      <c r="A613" s="541">
        <v>6</v>
      </c>
      <c r="B613" s="549">
        <v>606.29999999999995</v>
      </c>
      <c r="C613" s="544"/>
      <c r="D613" s="544"/>
      <c r="E613" s="544"/>
      <c r="F613" s="544"/>
      <c r="G613" s="543" t="str">
        <f t="shared" ca="1" si="175"/>
        <v/>
      </c>
      <c r="H613" s="541" t="s">
        <v>3751</v>
      </c>
      <c r="I613" s="99"/>
      <c r="J613" s="98"/>
      <c r="K613" s="65"/>
      <c r="L613" s="820"/>
      <c r="M613" s="800"/>
      <c r="N613" s="924"/>
      <c r="O613" s="924"/>
      <c r="P613" s="64"/>
      <c r="Q613" s="64"/>
      <c r="R613" s="64"/>
      <c r="S613" s="64"/>
      <c r="T613" s="64"/>
      <c r="U613" s="64"/>
      <c r="V613" s="64"/>
      <c r="W613" s="64"/>
      <c r="X613" s="797"/>
      <c r="Y613" s="980"/>
      <c r="Z613" s="983"/>
      <c r="AA613" s="562"/>
      <c r="AB613" s="562"/>
      <c r="AC613" s="562"/>
      <c r="AD613" s="562"/>
      <c r="AE613" s="562"/>
      <c r="AF613" s="562"/>
      <c r="AG613" s="562"/>
      <c r="AH613" s="562"/>
      <c r="AI613" s="562"/>
      <c r="AJ613" s="562"/>
      <c r="AK613" s="562"/>
      <c r="AL613" s="562"/>
      <c r="AM613" s="562"/>
      <c r="AN613" s="562"/>
      <c r="AO613" s="562"/>
      <c r="AP613" s="562"/>
      <c r="AQ613" s="562"/>
      <c r="AR613" s="562"/>
      <c r="AS613" s="562"/>
    </row>
    <row r="614" spans="1:45" x14ac:dyDescent="0.2">
      <c r="A614" s="541">
        <v>6</v>
      </c>
      <c r="B614" s="549">
        <v>606.29999999999995</v>
      </c>
      <c r="C614" s="544"/>
      <c r="D614" s="544"/>
      <c r="E614" s="544"/>
      <c r="F614" s="544"/>
      <c r="G614" s="543" t="str">
        <f t="shared" ca="1" si="175"/>
        <v/>
      </c>
      <c r="H614" s="541" t="s">
        <v>3751</v>
      </c>
      <c r="I614" s="99"/>
      <c r="J614" s="98"/>
      <c r="K614" s="65"/>
      <c r="L614" s="820"/>
      <c r="M614" s="800"/>
      <c r="N614" s="924"/>
      <c r="O614" s="924"/>
      <c r="P614" s="64"/>
      <c r="Q614" s="64"/>
      <c r="R614" s="64"/>
      <c r="S614" s="64"/>
      <c r="T614" s="64"/>
      <c r="U614" s="64"/>
      <c r="V614" s="64"/>
      <c r="W614" s="64"/>
      <c r="X614" s="797"/>
      <c r="Y614" s="980"/>
      <c r="Z614" s="983"/>
      <c r="AA614" s="562"/>
      <c r="AB614" s="562"/>
      <c r="AC614" s="562"/>
      <c r="AD614" s="562"/>
      <c r="AE614" s="562"/>
      <c r="AF614" s="562"/>
      <c r="AG614" s="562"/>
      <c r="AH614" s="562"/>
      <c r="AI614" s="562"/>
      <c r="AJ614" s="562"/>
      <c r="AK614" s="562"/>
      <c r="AL614" s="562"/>
      <c r="AM614" s="562"/>
      <c r="AN614" s="562"/>
      <c r="AO614" s="562"/>
      <c r="AP614" s="562"/>
      <c r="AQ614" s="562"/>
      <c r="AR614" s="562"/>
      <c r="AS614" s="562"/>
    </row>
    <row r="615" spans="1:45" x14ac:dyDescent="0.2">
      <c r="A615" s="541">
        <v>6</v>
      </c>
      <c r="B615" s="549">
        <v>606.29999999999995</v>
      </c>
      <c r="C615" s="544"/>
      <c r="D615" s="544"/>
      <c r="E615" s="544"/>
      <c r="F615" s="544"/>
      <c r="G615" s="543" t="str">
        <f t="shared" ca="1" si="175"/>
        <v/>
      </c>
      <c r="H615" s="541" t="s">
        <v>3751</v>
      </c>
      <c r="I615" s="99"/>
      <c r="J615" s="98"/>
      <c r="K615" s="65"/>
      <c r="L615" s="820"/>
      <c r="M615" s="800"/>
      <c r="N615" s="924"/>
      <c r="O615" s="924"/>
      <c r="P615" s="64"/>
      <c r="Q615" s="64"/>
      <c r="R615" s="64"/>
      <c r="S615" s="64"/>
      <c r="T615" s="64"/>
      <c r="U615" s="64"/>
      <c r="V615" s="64"/>
      <c r="W615" s="64"/>
      <c r="X615" s="797"/>
      <c r="Y615" s="980"/>
      <c r="Z615" s="983"/>
      <c r="AA615" s="562"/>
      <c r="AB615" s="562"/>
      <c r="AC615" s="562"/>
      <c r="AD615" s="562"/>
      <c r="AE615" s="562"/>
      <c r="AF615" s="562"/>
      <c r="AG615" s="562"/>
      <c r="AH615" s="562"/>
      <c r="AI615" s="562"/>
      <c r="AJ615" s="562"/>
      <c r="AK615" s="562"/>
      <c r="AL615" s="562"/>
      <c r="AM615" s="562"/>
      <c r="AN615" s="562"/>
      <c r="AO615" s="562"/>
      <c r="AP615" s="562"/>
      <c r="AQ615" s="562"/>
      <c r="AR615" s="562"/>
      <c r="AS615" s="562"/>
    </row>
    <row r="616" spans="1:45" x14ac:dyDescent="0.2">
      <c r="A616" s="541">
        <v>6</v>
      </c>
      <c r="B616" s="549">
        <v>606.29999999999995</v>
      </c>
      <c r="C616" s="544"/>
      <c r="D616" s="544"/>
      <c r="E616" s="544"/>
      <c r="F616" s="544"/>
      <c r="G616" s="543" t="str">
        <f t="shared" ca="1" si="175"/>
        <v/>
      </c>
      <c r="H616" s="541" t="s">
        <v>3751</v>
      </c>
      <c r="I616" s="99"/>
      <c r="J616" s="98"/>
      <c r="K616" s="65"/>
      <c r="L616" s="138" t="s">
        <v>2693</v>
      </c>
      <c r="M616" s="800"/>
      <c r="N616" s="924"/>
      <c r="O616" s="924"/>
      <c r="P616" s="64"/>
      <c r="Q616" s="64"/>
      <c r="R616" s="64"/>
      <c r="S616" s="64"/>
      <c r="T616" s="64"/>
      <c r="U616" s="64"/>
      <c r="V616" s="64"/>
      <c r="W616" s="64"/>
      <c r="X616" s="797"/>
      <c r="Y616" s="980"/>
      <c r="Z616" s="983"/>
      <c r="AA616" s="562"/>
      <c r="AB616" s="562"/>
      <c r="AC616" s="562"/>
      <c r="AD616" s="562"/>
      <c r="AE616" s="562"/>
      <c r="AF616" s="562"/>
      <c r="AG616" s="562"/>
      <c r="AH616" s="562"/>
      <c r="AI616" s="562"/>
      <c r="AJ616" s="562"/>
      <c r="AK616" s="562"/>
      <c r="AL616" s="562"/>
      <c r="AM616" s="562"/>
      <c r="AN616" s="562"/>
      <c r="AO616" s="562"/>
      <c r="AP616" s="562"/>
      <c r="AQ616" s="562"/>
      <c r="AR616" s="562"/>
      <c r="AS616" s="562"/>
    </row>
    <row r="617" spans="1:45" x14ac:dyDescent="0.2">
      <c r="A617" s="541">
        <v>6</v>
      </c>
      <c r="B617" s="549">
        <v>606.29999999999995</v>
      </c>
      <c r="C617" s="544"/>
      <c r="D617" s="544"/>
      <c r="E617" s="544"/>
      <c r="F617" s="544"/>
      <c r="G617" s="543" t="str">
        <f t="shared" ca="1" si="175"/>
        <v/>
      </c>
      <c r="H617" s="541" t="s">
        <v>3751</v>
      </c>
      <c r="I617" s="99"/>
      <c r="J617" s="98"/>
      <c r="K617" s="65"/>
      <c r="L617" s="570" t="s">
        <v>2694</v>
      </c>
      <c r="M617" s="800"/>
      <c r="N617" s="924"/>
      <c r="O617" s="924"/>
      <c r="P617" s="64"/>
      <c r="Q617" s="64"/>
      <c r="R617" s="64"/>
      <c r="S617" s="64"/>
      <c r="T617" s="64"/>
      <c r="U617" s="64"/>
      <c r="V617" s="64"/>
      <c r="W617" s="64"/>
      <c r="X617" s="786"/>
      <c r="Y617" s="980"/>
      <c r="Z617" s="983"/>
      <c r="AA617" s="562"/>
      <c r="AB617" s="562"/>
      <c r="AC617" s="562"/>
      <c r="AD617" s="562"/>
      <c r="AE617" s="562"/>
      <c r="AF617" s="562"/>
      <c r="AG617" s="562"/>
      <c r="AH617" s="562"/>
      <c r="AI617" s="562"/>
      <c r="AJ617" s="562"/>
      <c r="AK617" s="562"/>
      <c r="AL617" s="562"/>
      <c r="AM617" s="562"/>
      <c r="AN617" s="562"/>
      <c r="AO617" s="562"/>
      <c r="AP617" s="562"/>
      <c r="AQ617" s="562"/>
      <c r="AR617" s="562"/>
      <c r="AS617" s="562"/>
    </row>
    <row r="618" spans="1:45" ht="19" x14ac:dyDescent="0.25">
      <c r="A618" s="541">
        <v>6</v>
      </c>
      <c r="B618" s="549">
        <v>607</v>
      </c>
      <c r="C618" s="544"/>
      <c r="D618" s="544"/>
      <c r="E618" s="544"/>
      <c r="F618" s="544"/>
      <c r="G618" s="543" t="s">
        <v>3343</v>
      </c>
      <c r="H618" s="541" t="s">
        <v>3751</v>
      </c>
      <c r="I618" s="8" t="s">
        <v>2695</v>
      </c>
      <c r="J618" s="16"/>
      <c r="K618" s="52"/>
      <c r="L618" s="50"/>
      <c r="M618" s="44"/>
      <c r="N618" s="44"/>
      <c r="O618" s="44"/>
      <c r="P618" s="16"/>
      <c r="Q618" s="16"/>
      <c r="R618" s="16"/>
      <c r="S618" s="16"/>
      <c r="T618" s="16"/>
      <c r="U618" s="16"/>
      <c r="V618" s="16"/>
      <c r="W618" s="16"/>
      <c r="X618" s="16"/>
      <c r="Y618" s="16"/>
      <c r="Z618" s="453"/>
      <c r="AA618" s="562"/>
      <c r="AB618" s="562"/>
      <c r="AC618" s="562"/>
      <c r="AD618" s="562"/>
      <c r="AE618" s="562"/>
      <c r="AF618" s="562"/>
      <c r="AG618" s="562"/>
      <c r="AH618" s="562"/>
      <c r="AI618" s="562"/>
      <c r="AJ618" s="562"/>
      <c r="AK618" s="562"/>
      <c r="AL618" s="562"/>
      <c r="AM618" s="562"/>
      <c r="AN618" s="562"/>
      <c r="AO618" s="562"/>
      <c r="AP618" s="562"/>
      <c r="AQ618" s="562"/>
      <c r="AR618" s="562"/>
      <c r="AS618" s="562"/>
    </row>
    <row r="619" spans="1:45" x14ac:dyDescent="0.2">
      <c r="A619" s="541">
        <v>6</v>
      </c>
      <c r="B619" s="549">
        <v>607.1</v>
      </c>
      <c r="C619" s="544"/>
      <c r="D619" s="544"/>
      <c r="E619" s="544"/>
      <c r="F619" s="544"/>
      <c r="G619" s="539" t="str">
        <f>IF(COUNTIF(G621:G623,"P")&gt;0,"P","")</f>
        <v/>
      </c>
      <c r="H619" s="541" t="s">
        <v>3758</v>
      </c>
      <c r="I619" s="40" t="s">
        <v>2696</v>
      </c>
      <c r="J619" s="3"/>
      <c r="K619" s="53"/>
      <c r="L619" s="775" t="s">
        <v>2697</v>
      </c>
      <c r="M619" s="616"/>
      <c r="N619" s="648"/>
      <c r="O619" s="648"/>
      <c r="P619" s="562"/>
      <c r="Q619" s="562"/>
      <c r="R619" s="562"/>
      <c r="S619" s="562"/>
      <c r="T619" s="562"/>
      <c r="U619" s="562"/>
      <c r="V619" s="562"/>
      <c r="W619" s="562"/>
      <c r="X619" s="562"/>
      <c r="Y619" s="562"/>
      <c r="Z619" s="430"/>
      <c r="AA619" s="562"/>
      <c r="AB619" s="562"/>
      <c r="AC619" s="562"/>
      <c r="AD619" s="562"/>
      <c r="AE619" s="562"/>
      <c r="AF619" s="562"/>
      <c r="AG619" s="562"/>
      <c r="AH619" s="562"/>
      <c r="AI619" s="562"/>
      <c r="AJ619" s="562"/>
      <c r="AK619" s="562"/>
      <c r="AL619" s="562"/>
      <c r="AM619" s="562"/>
      <c r="AN619" s="562"/>
      <c r="AO619" s="562"/>
      <c r="AP619" s="562"/>
      <c r="AQ619" s="562"/>
      <c r="AR619" s="562"/>
      <c r="AS619" s="562"/>
    </row>
    <row r="620" spans="1:45" x14ac:dyDescent="0.2">
      <c r="A620" s="541">
        <v>6</v>
      </c>
      <c r="B620" s="549">
        <v>607.1</v>
      </c>
      <c r="C620" s="544"/>
      <c r="D620" s="544"/>
      <c r="E620" s="544"/>
      <c r="F620" s="544"/>
      <c r="G620" s="543" t="str">
        <f t="shared" ref="G620" si="177">G619</f>
        <v/>
      </c>
      <c r="H620" s="541" t="s">
        <v>3758</v>
      </c>
      <c r="I620" s="40"/>
      <c r="J620" s="3"/>
      <c r="K620" s="53"/>
      <c r="L620" s="775"/>
      <c r="M620" s="616"/>
      <c r="N620" s="648"/>
      <c r="O620" s="648"/>
      <c r="P620" s="562"/>
      <c r="Q620" s="562"/>
      <c r="R620" s="562"/>
      <c r="S620" s="562"/>
      <c r="T620" s="562"/>
      <c r="U620" s="562"/>
      <c r="V620" s="562"/>
      <c r="W620" s="562"/>
      <c r="X620" s="562"/>
      <c r="Y620" s="562"/>
      <c r="Z620" s="430"/>
      <c r="AA620" s="562"/>
      <c r="AB620" s="562"/>
      <c r="AC620" s="562"/>
      <c r="AD620" s="562"/>
      <c r="AE620" s="562"/>
      <c r="AF620" s="562"/>
      <c r="AG620" s="562"/>
      <c r="AH620" s="562"/>
      <c r="AI620" s="562"/>
      <c r="AJ620" s="562"/>
      <c r="AK620" s="562"/>
      <c r="AL620" s="562"/>
      <c r="AM620" s="562"/>
      <c r="AN620" s="562"/>
      <c r="AO620" s="562"/>
      <c r="AP620" s="562"/>
      <c r="AQ620" s="562"/>
      <c r="AR620" s="562"/>
      <c r="AS620" s="562"/>
    </row>
    <row r="621" spans="1:45" x14ac:dyDescent="0.2">
      <c r="A621" s="541">
        <v>6</v>
      </c>
      <c r="B621" s="549">
        <v>607.1</v>
      </c>
      <c r="C621" s="544"/>
      <c r="D621" s="544"/>
      <c r="E621" s="544" t="s">
        <v>2181</v>
      </c>
      <c r="F621" s="544"/>
      <c r="G621" s="543" t="str">
        <f>IF(N621&gt;0,"P","")</f>
        <v/>
      </c>
      <c r="H621" s="541" t="s">
        <v>3758</v>
      </c>
      <c r="I621" s="40"/>
      <c r="J621" s="134" t="s">
        <v>2181</v>
      </c>
      <c r="K621" s="65"/>
      <c r="L621" s="791" t="s">
        <v>2698</v>
      </c>
      <c r="M621" s="800">
        <v>3</v>
      </c>
      <c r="N621" s="924">
        <f>'Ch6'!O382</f>
        <v>0</v>
      </c>
      <c r="O621" s="924">
        <f>M621*S621*W621</f>
        <v>0</v>
      </c>
      <c r="P621" s="562" t="b">
        <v>0</v>
      </c>
      <c r="Q621" s="562" t="b">
        <v>1</v>
      </c>
      <c r="R621" s="562" t="b">
        <v>0</v>
      </c>
      <c r="S621" s="562" t="b">
        <v>1</v>
      </c>
      <c r="T621" s="562" t="b">
        <v>0</v>
      </c>
      <c r="U621" s="562"/>
      <c r="V621" s="562"/>
      <c r="W621" s="18"/>
      <c r="X621" s="787"/>
      <c r="Y621" s="980" t="str">
        <f>IF(LEN('Ch6'!X382)=0,"None",'Ch6'!X382)</f>
        <v>None</v>
      </c>
      <c r="Z621" s="983"/>
      <c r="AA621" s="562"/>
      <c r="AB621" s="562"/>
      <c r="AC621" s="562"/>
      <c r="AD621" s="562"/>
      <c r="AE621" s="562"/>
      <c r="AF621" s="562"/>
      <c r="AG621" s="562"/>
      <c r="AH621" s="562"/>
      <c r="AI621" s="562"/>
      <c r="AJ621" s="562"/>
      <c r="AK621" s="562"/>
      <c r="AL621" s="190" t="str">
        <f t="shared" ref="AL621" si="178">SUBSTITUTE(SUBSTITUTE(SUBSTITUTE("vpa"&amp;$B621&amp;$C621&amp;$D621&amp;$E621&amp;$F621,".","_"),"(","_"),")","")</f>
        <v>vpa607,1_1</v>
      </c>
      <c r="AM621" s="190">
        <f>M621</f>
        <v>3</v>
      </c>
      <c r="AN621" s="190" t="str">
        <f>SUBSTITUTE(SUBSTITUTE(SUBSTITUTE("vpc"&amp;$B621&amp;$C621&amp;$D621&amp;$E621&amp;$F621,".","_"),"(","_"),")","")</f>
        <v>vpc607,1_1</v>
      </c>
      <c r="AO621" s="190">
        <f>O621</f>
        <v>0</v>
      </c>
      <c r="AP621" s="190" t="str">
        <f>SUBSTITUTE(SUBSTITUTE(SUBSTITUTE("vch"&amp;$B621&amp;$C621&amp;$D621&amp;$E621&amp;$F621,".","_"),"(","_"),")","")</f>
        <v>vch607,1_1</v>
      </c>
      <c r="AQ621" s="190">
        <f>W621</f>
        <v>0</v>
      </c>
      <c r="AR621" s="190" t="str">
        <f>SUBSTITUTE(SUBSTITUTE(SUBSTITUTE("vnt"&amp;$B621&amp;$C621&amp;$D621&amp;$E621&amp;$F621,".","_"),"(","_"),")","")</f>
        <v>vnt607,1_1</v>
      </c>
      <c r="AS621" s="190">
        <f>X621</f>
        <v>0</v>
      </c>
    </row>
    <row r="622" spans="1:45" x14ac:dyDescent="0.2">
      <c r="A622" s="541">
        <v>6</v>
      </c>
      <c r="B622" s="549">
        <v>607.1</v>
      </c>
      <c r="C622" s="544"/>
      <c r="D622" s="544"/>
      <c r="E622" s="544" t="s">
        <v>2181</v>
      </c>
      <c r="F622" s="544"/>
      <c r="G622" s="543" t="str">
        <f t="shared" ref="G622" si="179">G621</f>
        <v/>
      </c>
      <c r="H622" s="541" t="s">
        <v>3758</v>
      </c>
      <c r="I622" s="40"/>
      <c r="J622" s="159"/>
      <c r="K622" s="126"/>
      <c r="L622" s="792"/>
      <c r="M622" s="801"/>
      <c r="N622" s="942"/>
      <c r="O622" s="942"/>
      <c r="P622" s="562"/>
      <c r="Q622" s="562"/>
      <c r="R622" s="562"/>
      <c r="S622" s="562"/>
      <c r="T622" s="562"/>
      <c r="U622" s="562"/>
      <c r="V622" s="562"/>
      <c r="W622" s="562"/>
      <c r="X622" s="787"/>
      <c r="Y622" s="980"/>
      <c r="Z622" s="983"/>
      <c r="AA622" s="562"/>
      <c r="AB622" s="562"/>
      <c r="AC622" s="562"/>
      <c r="AD622" s="562"/>
      <c r="AE622" s="562"/>
      <c r="AF622" s="562"/>
      <c r="AG622" s="562"/>
      <c r="AH622" s="562"/>
      <c r="AI622" s="562"/>
      <c r="AJ622" s="562"/>
      <c r="AK622" s="562"/>
      <c r="AL622" s="562"/>
      <c r="AM622" s="562"/>
      <c r="AN622" s="562"/>
      <c r="AO622" s="562"/>
      <c r="AP622" s="562"/>
      <c r="AQ622" s="562"/>
      <c r="AR622" s="562"/>
      <c r="AS622" s="562"/>
    </row>
    <row r="623" spans="1:45" ht="17" thickBot="1" x14ac:dyDescent="0.25">
      <c r="A623" s="541">
        <v>6</v>
      </c>
      <c r="B623" s="549">
        <v>607.1</v>
      </c>
      <c r="C623" s="544"/>
      <c r="D623" s="544"/>
      <c r="E623" s="544" t="s">
        <v>2183</v>
      </c>
      <c r="F623" s="544"/>
      <c r="G623" s="543" t="str">
        <f>IF(N623&gt;0,"P","")</f>
        <v/>
      </c>
      <c r="H623" s="541" t="s">
        <v>3758</v>
      </c>
      <c r="I623" s="40"/>
      <c r="J623" s="20" t="s">
        <v>2183</v>
      </c>
      <c r="K623" s="53"/>
      <c r="L623" s="53" t="s">
        <v>2699</v>
      </c>
      <c r="M623" s="616">
        <v>3</v>
      </c>
      <c r="N623" s="648">
        <f>'Ch6'!O384</f>
        <v>0</v>
      </c>
      <c r="O623" s="648">
        <f>M623*S623*W623</f>
        <v>0</v>
      </c>
      <c r="P623" s="562" t="b">
        <v>0</v>
      </c>
      <c r="Q623" s="562" t="b">
        <v>1</v>
      </c>
      <c r="R623" s="562" t="b">
        <v>0</v>
      </c>
      <c r="S623" s="562" t="b">
        <v>1</v>
      </c>
      <c r="T623" s="562" t="b">
        <v>0</v>
      </c>
      <c r="U623" s="562"/>
      <c r="V623" s="562"/>
      <c r="W623" s="69"/>
      <c r="X623" s="568"/>
      <c r="Y623" s="577" t="str">
        <f>IF(LEN('Ch6'!X384)=0,"None",'Ch6'!X384)</f>
        <v>None</v>
      </c>
      <c r="Z623" s="582"/>
      <c r="AA623" s="562"/>
      <c r="AB623" s="562"/>
      <c r="AC623" s="562"/>
      <c r="AD623" s="562"/>
      <c r="AE623" s="562"/>
      <c r="AF623" s="562"/>
      <c r="AG623" s="562"/>
      <c r="AH623" s="562"/>
      <c r="AI623" s="562"/>
      <c r="AJ623" s="562"/>
      <c r="AK623" s="562"/>
      <c r="AL623" s="190" t="str">
        <f t="shared" ref="AL623:AL624" si="180">SUBSTITUTE(SUBSTITUTE(SUBSTITUTE("vpa"&amp;$B623&amp;$C623&amp;$D623&amp;$E623&amp;$F623,".","_"),"(","_"),")","")</f>
        <v>vpa607,1_2</v>
      </c>
      <c r="AM623" s="190">
        <f>M623</f>
        <v>3</v>
      </c>
      <c r="AN623" s="190" t="str">
        <f t="shared" ref="AN623:AN624" si="181">SUBSTITUTE(SUBSTITUTE(SUBSTITUTE("vpc"&amp;$B623&amp;$C623&amp;$D623&amp;$E623&amp;$F623,".","_"),"(","_"),")","")</f>
        <v>vpc607,1_2</v>
      </c>
      <c r="AO623" s="190">
        <f>O623</f>
        <v>0</v>
      </c>
      <c r="AP623" s="190" t="str">
        <f>SUBSTITUTE(SUBSTITUTE(SUBSTITUTE("vch"&amp;$B623&amp;$C623&amp;$D623&amp;$E623&amp;$F623,".","_"),"(","_"),")","")</f>
        <v>vch607,1_2</v>
      </c>
      <c r="AQ623" s="190">
        <f>W623</f>
        <v>0</v>
      </c>
      <c r="AR623" s="190" t="str">
        <f t="shared" ref="AR623:AR624" si="182">SUBSTITUTE(SUBSTITUTE(SUBSTITUTE("vnt"&amp;$B623&amp;$C623&amp;$D623&amp;$E623&amp;$F623,".","_"),"(","_"),")","")</f>
        <v>vnt607,1_2</v>
      </c>
      <c r="AS623" s="190">
        <f>X623</f>
        <v>0</v>
      </c>
    </row>
    <row r="624" spans="1:45" ht="16" thickTop="1" x14ac:dyDescent="0.2">
      <c r="A624" s="541">
        <v>6</v>
      </c>
      <c r="B624" s="549">
        <v>607.20000000000005</v>
      </c>
      <c r="C624" s="544"/>
      <c r="D624" s="544"/>
      <c r="E624" s="544"/>
      <c r="F624" s="544"/>
      <c r="G624" s="543" t="str">
        <f>IF(N624&gt;0,"P","")</f>
        <v/>
      </c>
      <c r="H624" s="541" t="s">
        <v>3758</v>
      </c>
      <c r="I624" s="131" t="s">
        <v>2700</v>
      </c>
      <c r="J624" s="132"/>
      <c r="K624" s="133"/>
      <c r="L624" s="819" t="s">
        <v>2701</v>
      </c>
      <c r="M624" s="827">
        <v>1</v>
      </c>
      <c r="N624" s="981">
        <f>'Ch6'!O385</f>
        <v>0</v>
      </c>
      <c r="O624" s="981">
        <f>M624*S624*W624</f>
        <v>0</v>
      </c>
      <c r="P624" s="562" t="b">
        <v>0</v>
      </c>
      <c r="Q624" s="562" t="b">
        <v>1</v>
      </c>
      <c r="R624" s="74" t="b">
        <v>0</v>
      </c>
      <c r="S624" s="74" t="b">
        <v>1</v>
      </c>
      <c r="T624" s="74" t="b">
        <v>0</v>
      </c>
      <c r="U624" s="74"/>
      <c r="V624" s="74"/>
      <c r="W624" s="91"/>
      <c r="X624" s="802"/>
      <c r="Y624" s="975" t="str">
        <f>IF(LEN('Ch6'!X385)=0,"None",'Ch6'!X385)</f>
        <v>None</v>
      </c>
      <c r="Z624" s="976"/>
      <c r="AA624" s="562"/>
      <c r="AB624" s="562"/>
      <c r="AC624" s="562"/>
      <c r="AD624" s="562"/>
      <c r="AE624" s="562"/>
      <c r="AF624" s="562"/>
      <c r="AG624" s="562"/>
      <c r="AH624" s="562"/>
      <c r="AI624" s="562"/>
      <c r="AJ624" s="562"/>
      <c r="AK624" s="562"/>
      <c r="AL624" s="190" t="str">
        <f t="shared" si="180"/>
        <v>vpa607,2</v>
      </c>
      <c r="AM624" s="190">
        <f>M624</f>
        <v>1</v>
      </c>
      <c r="AN624" s="190" t="str">
        <f t="shared" si="181"/>
        <v>vpc607,2</v>
      </c>
      <c r="AO624" s="190">
        <f>O624</f>
        <v>0</v>
      </c>
      <c r="AP624" s="190" t="str">
        <f>SUBSTITUTE(SUBSTITUTE(SUBSTITUTE("vch"&amp;$B624&amp;$C624&amp;$D624&amp;$E624&amp;$F624,".","_"),"(","_"),")","")</f>
        <v>vch607,2</v>
      </c>
      <c r="AQ624" s="190">
        <f>W624</f>
        <v>0</v>
      </c>
      <c r="AR624" s="190" t="str">
        <f t="shared" si="182"/>
        <v>vnt607,2</v>
      </c>
      <c r="AS624" s="190">
        <f>X624</f>
        <v>0</v>
      </c>
    </row>
    <row r="625" spans="1:45" x14ac:dyDescent="0.2">
      <c r="A625" s="541">
        <v>6</v>
      </c>
      <c r="B625" s="549">
        <v>607.20000000000005</v>
      </c>
      <c r="C625" s="544"/>
      <c r="D625" s="544"/>
      <c r="E625" s="544"/>
      <c r="F625" s="544"/>
      <c r="G625" s="543" t="str">
        <f t="shared" ref="G625" si="183">G624</f>
        <v/>
      </c>
      <c r="H625" s="541" t="s">
        <v>3758</v>
      </c>
      <c r="I625" s="99"/>
      <c r="J625" s="98"/>
      <c r="K625" s="65"/>
      <c r="L625" s="820"/>
      <c r="M625" s="800"/>
      <c r="N625" s="924"/>
      <c r="O625" s="924"/>
      <c r="P625" s="64"/>
      <c r="Q625" s="64"/>
      <c r="R625" s="64"/>
      <c r="S625" s="64"/>
      <c r="T625" s="64"/>
      <c r="U625" s="64"/>
      <c r="V625" s="64"/>
      <c r="W625" s="64"/>
      <c r="X625" s="798"/>
      <c r="Y625" s="980"/>
      <c r="Z625" s="983"/>
      <c r="AA625" s="562"/>
      <c r="AB625" s="562"/>
      <c r="AC625" s="562"/>
      <c r="AD625" s="562"/>
      <c r="AE625" s="562"/>
      <c r="AF625" s="562"/>
      <c r="AG625" s="562"/>
      <c r="AH625" s="562"/>
      <c r="AI625" s="562"/>
      <c r="AJ625" s="562"/>
      <c r="AK625" s="562"/>
      <c r="AL625" s="562"/>
      <c r="AM625" s="562"/>
      <c r="AN625" s="562"/>
      <c r="AO625" s="562"/>
      <c r="AP625" s="562"/>
      <c r="AQ625" s="562"/>
      <c r="AR625" s="562"/>
      <c r="AS625" s="562"/>
    </row>
    <row r="626" spans="1:45" ht="19" x14ac:dyDescent="0.25">
      <c r="A626" s="541">
        <v>6</v>
      </c>
      <c r="B626" s="549">
        <v>608</v>
      </c>
      <c r="C626" s="544"/>
      <c r="D626" s="544"/>
      <c r="E626" s="544"/>
      <c r="F626" s="544"/>
      <c r="G626" s="543" t="s">
        <v>3343</v>
      </c>
      <c r="H626" s="541" t="s">
        <v>3751</v>
      </c>
      <c r="I626" s="8" t="s">
        <v>2702</v>
      </c>
      <c r="J626" s="16"/>
      <c r="K626" s="52"/>
      <c r="L626" s="50"/>
      <c r="M626" s="44"/>
      <c r="N626" s="44"/>
      <c r="O626" s="44"/>
      <c r="P626" s="16"/>
      <c r="Q626" s="16"/>
      <c r="R626" s="16"/>
      <c r="S626" s="16"/>
      <c r="T626" s="16"/>
      <c r="U626" s="16"/>
      <c r="V626" s="16"/>
      <c r="W626" s="16"/>
      <c r="X626" s="16"/>
      <c r="Y626" s="16"/>
      <c r="Z626" s="453"/>
      <c r="AA626" s="562"/>
      <c r="AB626" s="562"/>
      <c r="AC626" s="562"/>
      <c r="AD626" s="562"/>
      <c r="AE626" s="562"/>
      <c r="AF626" s="562"/>
      <c r="AG626" s="562"/>
      <c r="AH626" s="562"/>
      <c r="AI626" s="562"/>
      <c r="AJ626" s="562"/>
      <c r="AK626" s="562"/>
      <c r="AL626" s="562"/>
      <c r="AM626" s="562"/>
      <c r="AN626" s="562"/>
      <c r="AO626" s="562"/>
      <c r="AP626" s="562"/>
      <c r="AQ626" s="562"/>
      <c r="AR626" s="562"/>
      <c r="AS626" s="562"/>
    </row>
    <row r="627" spans="1:45" x14ac:dyDescent="0.2">
      <c r="A627" s="541">
        <v>6</v>
      </c>
      <c r="B627" s="549">
        <v>608.1</v>
      </c>
      <c r="C627" s="544"/>
      <c r="D627" s="544"/>
      <c r="E627" s="544"/>
      <c r="F627" s="544"/>
      <c r="G627" s="543" t="str">
        <f ca="1">IF(N627&gt;0,"P","")</f>
        <v/>
      </c>
      <c r="H627" s="541" t="s">
        <v>3751</v>
      </c>
      <c r="I627" s="40" t="s">
        <v>2703</v>
      </c>
      <c r="J627" s="3"/>
      <c r="K627" s="53"/>
      <c r="L627" s="775" t="s">
        <v>2704</v>
      </c>
      <c r="M627" s="864" t="s">
        <v>2705</v>
      </c>
      <c r="N627" s="887">
        <f ca="1">'Ch6'!O388</f>
        <v>0</v>
      </c>
      <c r="O627" s="887">
        <f ca="1">IFERROR(MATCH(W627,INDIRECT(U627),0),0)*3</f>
        <v>0</v>
      </c>
      <c r="P627" s="562" t="b">
        <v>1</v>
      </c>
      <c r="Q627" s="562" t="b">
        <v>1</v>
      </c>
      <c r="R627" s="562" t="b">
        <v>0</v>
      </c>
      <c r="S627" s="562" t="b">
        <v>1</v>
      </c>
      <c r="T627" s="562" t="b">
        <v>0</v>
      </c>
      <c r="U627" s="64" t="str">
        <f>SUBSTITUTE(SUBSTITUTE(SUBSTITUTE("dd"&amp;B627&amp;C627&amp;D627&amp;E627&amp;F627,".","_"),"(","_"),")","")</f>
        <v>dd608,1</v>
      </c>
      <c r="V627" s="562"/>
      <c r="W627" s="6"/>
      <c r="X627" s="825"/>
      <c r="Y627" s="980" t="str">
        <f>IF(LEN('Ch6'!X388)=0,"None",'Ch6'!X388)</f>
        <v>None</v>
      </c>
      <c r="Z627" s="983"/>
      <c r="AA627" s="562"/>
      <c r="AB627" s="562"/>
      <c r="AC627" s="562" t="b">
        <f>OR(AD627:AE627)</f>
        <v>0</v>
      </c>
      <c r="AD627" s="562" t="b">
        <f>T627</f>
        <v>0</v>
      </c>
      <c r="AE627" s="562" t="b">
        <f>AND(NOT(ISBLANK(W627)),LEN(X627)=0)</f>
        <v>0</v>
      </c>
      <c r="AF627" s="562" t="b">
        <f>AND(AE627,NOT(Q627))</f>
        <v>0</v>
      </c>
      <c r="AG627" s="562"/>
      <c r="AH627" s="562"/>
      <c r="AI627" s="562"/>
      <c r="AJ627" s="562"/>
      <c r="AK627" s="562"/>
      <c r="AL627" s="190" t="str">
        <f t="shared" ref="AL627" si="184">SUBSTITUTE(SUBSTITUTE(SUBSTITUTE("vpa"&amp;$B627&amp;$C627&amp;$D627&amp;$E627&amp;$F627,".","_"),"(","_"),")","")</f>
        <v>vpa608,1</v>
      </c>
      <c r="AM627" s="190" t="str">
        <f>M627</f>
        <v>9 Max
3 per material</v>
      </c>
      <c r="AN627" s="190" t="str">
        <f>SUBSTITUTE(SUBSTITUTE(SUBSTITUTE("vpc"&amp;$B627&amp;$C627&amp;$D627&amp;$E627&amp;$F627,".","_"),"(","_"),")","")</f>
        <v>vpc608,1</v>
      </c>
      <c r="AO627" s="190">
        <f ca="1">O627</f>
        <v>0</v>
      </c>
      <c r="AP627" s="190" t="str">
        <f>SUBSTITUTE(SUBSTITUTE(SUBSTITUTE("vch"&amp;$B627&amp;$C627&amp;$D627&amp;$E627&amp;$F627,".","_"),"(","_"),")","")</f>
        <v>vch608,1</v>
      </c>
      <c r="AQ627" s="190">
        <f>W627</f>
        <v>0</v>
      </c>
      <c r="AR627" s="190" t="str">
        <f>SUBSTITUTE(SUBSTITUTE(SUBSTITUTE("vnt"&amp;$B627&amp;$C627&amp;$D627&amp;$E627&amp;$F627,".","_"),"(","_"),")","")</f>
        <v>vnt608,1</v>
      </c>
      <c r="AS627" s="190">
        <f>X627</f>
        <v>0</v>
      </c>
    </row>
    <row r="628" spans="1:45" x14ac:dyDescent="0.2">
      <c r="A628" s="541">
        <v>6</v>
      </c>
      <c r="B628" s="549">
        <v>608.1</v>
      </c>
      <c r="C628" s="544"/>
      <c r="D628" s="544"/>
      <c r="E628" s="544"/>
      <c r="F628" s="544"/>
      <c r="G628" s="543" t="str">
        <f t="shared" ref="G628:G634" ca="1" si="185">G627</f>
        <v/>
      </c>
      <c r="H628" s="541" t="s">
        <v>3751</v>
      </c>
      <c r="I628" s="40"/>
      <c r="J628" s="3"/>
      <c r="K628" s="53"/>
      <c r="L628" s="775"/>
      <c r="M628" s="864"/>
      <c r="N628" s="887"/>
      <c r="O628" s="887"/>
      <c r="P628" s="562"/>
      <c r="Q628" s="562"/>
      <c r="R628" s="562"/>
      <c r="S628" s="562"/>
      <c r="T628" s="562"/>
      <c r="U628" s="562"/>
      <c r="V628" s="562"/>
      <c r="W628" s="562"/>
      <c r="X628" s="797"/>
      <c r="Y628" s="980"/>
      <c r="Z628" s="983"/>
      <c r="AA628" s="562"/>
      <c r="AB628" s="562"/>
      <c r="AC628" s="562"/>
      <c r="AD628" s="562"/>
      <c r="AE628" s="562"/>
      <c r="AF628" s="562"/>
      <c r="AG628" s="562"/>
      <c r="AH628" s="562"/>
      <c r="AI628" s="562"/>
      <c r="AJ628" s="562"/>
      <c r="AK628" s="562"/>
      <c r="AL628" s="562"/>
      <c r="AM628" s="562"/>
      <c r="AN628" s="562"/>
      <c r="AO628" s="562"/>
      <c r="AP628" s="562"/>
      <c r="AQ628" s="562"/>
      <c r="AR628" s="562"/>
      <c r="AS628" s="562"/>
    </row>
    <row r="629" spans="1:45" x14ac:dyDescent="0.2">
      <c r="A629" s="541">
        <v>6</v>
      </c>
      <c r="B629" s="549">
        <v>608.1</v>
      </c>
      <c r="C629" s="544"/>
      <c r="D629" s="544"/>
      <c r="E629" s="544"/>
      <c r="F629" s="544"/>
      <c r="G629" s="543" t="str">
        <f t="shared" ca="1" si="185"/>
        <v/>
      </c>
      <c r="H629" s="541" t="s">
        <v>3751</v>
      </c>
      <c r="I629" s="40"/>
      <c r="J629" s="3"/>
      <c r="K629" s="53"/>
      <c r="L629" s="775"/>
      <c r="M629" s="864"/>
      <c r="N629" s="887"/>
      <c r="O629" s="887"/>
      <c r="P629" s="562"/>
      <c r="Q629" s="562"/>
      <c r="R629" s="562"/>
      <c r="S629" s="562"/>
      <c r="T629" s="562"/>
      <c r="U629" s="562"/>
      <c r="V629" s="562"/>
      <c r="W629" s="562"/>
      <c r="X629" s="797"/>
      <c r="Y629" s="980"/>
      <c r="Z629" s="983"/>
      <c r="AA629" s="562"/>
      <c r="AB629" s="562"/>
      <c r="AC629" s="562"/>
      <c r="AD629" s="562"/>
      <c r="AE629" s="562"/>
      <c r="AF629" s="562"/>
      <c r="AG629" s="562"/>
      <c r="AH629" s="562"/>
      <c r="AI629" s="562"/>
      <c r="AJ629" s="562"/>
      <c r="AK629" s="562"/>
      <c r="AL629" s="562"/>
      <c r="AM629" s="562"/>
      <c r="AN629" s="562"/>
      <c r="AO629" s="562"/>
      <c r="AP629" s="562"/>
      <c r="AQ629" s="562"/>
      <c r="AR629" s="562"/>
      <c r="AS629" s="562"/>
    </row>
    <row r="630" spans="1:45" x14ac:dyDescent="0.2">
      <c r="A630" s="541">
        <v>6</v>
      </c>
      <c r="B630" s="549">
        <v>608.1</v>
      </c>
      <c r="C630" s="544"/>
      <c r="D630" s="544"/>
      <c r="E630" s="544" t="s">
        <v>2181</v>
      </c>
      <c r="F630" s="544"/>
      <c r="G630" s="543" t="str">
        <f t="shared" ca="1" si="185"/>
        <v/>
      </c>
      <c r="H630" s="541" t="s">
        <v>3751</v>
      </c>
      <c r="I630" s="40"/>
      <c r="J630" s="20" t="s">
        <v>2181</v>
      </c>
      <c r="K630" s="53"/>
      <c r="L630" s="817" t="s">
        <v>2706</v>
      </c>
      <c r="M630" s="864"/>
      <c r="N630" s="887"/>
      <c r="O630" s="887"/>
      <c r="P630" s="562"/>
      <c r="Q630" s="562"/>
      <c r="R630" s="562"/>
      <c r="S630" s="562"/>
      <c r="T630" s="562"/>
      <c r="U630" s="562"/>
      <c r="V630" s="562"/>
      <c r="W630" s="562"/>
      <c r="X630" s="797"/>
      <c r="Y630" s="980"/>
      <c r="Z630" s="983"/>
      <c r="AA630" s="562"/>
      <c r="AB630" s="562"/>
      <c r="AC630" s="562"/>
      <c r="AD630" s="562"/>
      <c r="AE630" s="562"/>
      <c r="AF630" s="562"/>
      <c r="AG630" s="562"/>
      <c r="AH630" s="562"/>
      <c r="AI630" s="562"/>
      <c r="AJ630" s="562"/>
      <c r="AK630" s="562"/>
      <c r="AL630" s="562"/>
      <c r="AM630" s="562"/>
      <c r="AN630" s="562"/>
      <c r="AO630" s="562"/>
      <c r="AP630" s="562"/>
      <c r="AQ630" s="562"/>
      <c r="AR630" s="562"/>
      <c r="AS630" s="562"/>
    </row>
    <row r="631" spans="1:45" x14ac:dyDescent="0.2">
      <c r="A631" s="541">
        <v>6</v>
      </c>
      <c r="B631" s="549">
        <v>608.1</v>
      </c>
      <c r="C631" s="544"/>
      <c r="D631" s="544"/>
      <c r="E631" s="544" t="s">
        <v>2181</v>
      </c>
      <c r="F631" s="544"/>
      <c r="G631" s="543" t="str">
        <f t="shared" ca="1" si="185"/>
        <v/>
      </c>
      <c r="H631" s="541" t="s">
        <v>3751</v>
      </c>
      <c r="I631" s="40"/>
      <c r="J631" s="20"/>
      <c r="K631" s="53"/>
      <c r="L631" s="817"/>
      <c r="M631" s="864"/>
      <c r="N631" s="887"/>
      <c r="O631" s="887"/>
      <c r="P631" s="562"/>
      <c r="Q631" s="562"/>
      <c r="R631" s="562"/>
      <c r="S631" s="562"/>
      <c r="T631" s="562"/>
      <c r="U631" s="562"/>
      <c r="V631" s="562"/>
      <c r="W631" s="562"/>
      <c r="X631" s="797"/>
      <c r="Y631" s="980"/>
      <c r="Z631" s="983"/>
      <c r="AA631" s="562"/>
      <c r="AB631" s="562"/>
      <c r="AC631" s="562"/>
      <c r="AD631" s="562"/>
      <c r="AE631" s="562"/>
      <c r="AF631" s="562"/>
      <c r="AG631" s="562"/>
      <c r="AH631" s="562"/>
      <c r="AI631" s="562"/>
      <c r="AJ631" s="562"/>
      <c r="AK631" s="562"/>
      <c r="AL631" s="562"/>
      <c r="AM631" s="562"/>
      <c r="AN631" s="562"/>
      <c r="AO631" s="562"/>
      <c r="AP631" s="562"/>
      <c r="AQ631" s="562"/>
      <c r="AR631" s="562"/>
      <c r="AS631" s="562"/>
    </row>
    <row r="632" spans="1:45" x14ac:dyDescent="0.2">
      <c r="A632" s="541">
        <v>6</v>
      </c>
      <c r="B632" s="549">
        <v>608.1</v>
      </c>
      <c r="C632" s="544"/>
      <c r="D632" s="544"/>
      <c r="E632" s="544" t="s">
        <v>2183</v>
      </c>
      <c r="F632" s="544"/>
      <c r="G632" s="543" t="str">
        <f t="shared" ca="1" si="185"/>
        <v/>
      </c>
      <c r="H632" s="541" t="s">
        <v>3751</v>
      </c>
      <c r="I632" s="40"/>
      <c r="J632" s="20" t="s">
        <v>2183</v>
      </c>
      <c r="K632" s="53"/>
      <c r="L632" s="53" t="s">
        <v>2707</v>
      </c>
      <c r="M632" s="864"/>
      <c r="N632" s="887"/>
      <c r="O632" s="887"/>
      <c r="P632" s="562"/>
      <c r="Q632" s="562"/>
      <c r="R632" s="562"/>
      <c r="S632" s="562"/>
      <c r="T632" s="562"/>
      <c r="U632" s="562"/>
      <c r="V632" s="562"/>
      <c r="W632" s="562"/>
      <c r="X632" s="797"/>
      <c r="Y632" s="980"/>
      <c r="Z632" s="983"/>
      <c r="AA632" s="562"/>
      <c r="AB632" s="562"/>
      <c r="AC632" s="562"/>
      <c r="AD632" s="562"/>
      <c r="AE632" s="562"/>
      <c r="AF632" s="562"/>
      <c r="AG632" s="562"/>
      <c r="AH632" s="562"/>
      <c r="AI632" s="562"/>
      <c r="AJ632" s="562"/>
      <c r="AK632" s="562"/>
      <c r="AL632" s="562"/>
      <c r="AM632" s="562"/>
      <c r="AN632" s="562"/>
      <c r="AO632" s="562"/>
      <c r="AP632" s="562"/>
      <c r="AQ632" s="562"/>
      <c r="AR632" s="562"/>
      <c r="AS632" s="562"/>
    </row>
    <row r="633" spans="1:45" x14ac:dyDescent="0.2">
      <c r="A633" s="541">
        <v>6</v>
      </c>
      <c r="B633" s="549">
        <v>608.1</v>
      </c>
      <c r="C633" s="544"/>
      <c r="D633" s="544"/>
      <c r="E633" s="544" t="s">
        <v>2185</v>
      </c>
      <c r="F633" s="544"/>
      <c r="G633" s="543" t="str">
        <f t="shared" ca="1" si="185"/>
        <v/>
      </c>
      <c r="H633" s="541" t="s">
        <v>3751</v>
      </c>
      <c r="I633" s="40"/>
      <c r="J633" s="20" t="s">
        <v>2185</v>
      </c>
      <c r="K633" s="53"/>
      <c r="L633" s="53" t="s">
        <v>2708</v>
      </c>
      <c r="M633" s="864"/>
      <c r="N633" s="887"/>
      <c r="O633" s="887"/>
      <c r="P633" s="562"/>
      <c r="Q633" s="562"/>
      <c r="R633" s="562"/>
      <c r="S633" s="562"/>
      <c r="T633" s="562"/>
      <c r="U633" s="562"/>
      <c r="V633" s="562"/>
      <c r="W633" s="562"/>
      <c r="X633" s="797"/>
      <c r="Y633" s="980"/>
      <c r="Z633" s="983"/>
      <c r="AA633" s="562"/>
      <c r="AB633" s="562"/>
      <c r="AC633" s="562"/>
      <c r="AD633" s="562"/>
      <c r="AE633" s="562"/>
      <c r="AF633" s="562"/>
      <c r="AG633" s="562"/>
      <c r="AH633" s="562"/>
      <c r="AI633" s="562"/>
      <c r="AJ633" s="562"/>
      <c r="AK633" s="562"/>
      <c r="AL633" s="562"/>
      <c r="AM633" s="562"/>
      <c r="AN633" s="562"/>
      <c r="AO633" s="562"/>
      <c r="AP633" s="562"/>
      <c r="AQ633" s="562"/>
      <c r="AR633" s="562"/>
      <c r="AS633" s="562"/>
    </row>
    <row r="634" spans="1:45" ht="15" customHeight="1" x14ac:dyDescent="0.2">
      <c r="A634" s="541">
        <v>6</v>
      </c>
      <c r="B634" s="549">
        <v>608.1</v>
      </c>
      <c r="C634" s="544"/>
      <c r="D634" s="544"/>
      <c r="E634" s="544"/>
      <c r="F634" s="544"/>
      <c r="G634" s="543" t="str">
        <f t="shared" ca="1" si="185"/>
        <v/>
      </c>
      <c r="H634" s="541" t="s">
        <v>3751</v>
      </c>
      <c r="I634" s="40"/>
      <c r="J634" s="20"/>
      <c r="K634" s="53"/>
      <c r="L634" s="567" t="s">
        <v>2709</v>
      </c>
      <c r="M634" s="864"/>
      <c r="N634" s="887"/>
      <c r="O634" s="887"/>
      <c r="P634" s="562"/>
      <c r="Q634" s="562"/>
      <c r="R634" s="562"/>
      <c r="S634" s="562"/>
      <c r="T634" s="562"/>
      <c r="U634" s="562"/>
      <c r="V634" s="562"/>
      <c r="W634" s="562"/>
      <c r="X634" s="786"/>
      <c r="Y634" s="980"/>
      <c r="Z634" s="983"/>
      <c r="AA634" s="562"/>
      <c r="AB634" s="562"/>
      <c r="AC634" s="562"/>
      <c r="AD634" s="562"/>
      <c r="AE634" s="562"/>
      <c r="AF634" s="562"/>
      <c r="AG634" s="562"/>
      <c r="AH634" s="562"/>
      <c r="AI634" s="562"/>
      <c r="AJ634" s="562"/>
      <c r="AK634" s="562"/>
      <c r="AL634" s="562"/>
      <c r="AM634" s="562"/>
      <c r="AN634" s="562"/>
      <c r="AO634" s="562"/>
      <c r="AP634" s="562"/>
      <c r="AQ634" s="562"/>
      <c r="AR634" s="562"/>
      <c r="AS634" s="562"/>
    </row>
    <row r="635" spans="1:45" ht="19" x14ac:dyDescent="0.25">
      <c r="A635" s="541">
        <v>6</v>
      </c>
      <c r="B635" s="549">
        <v>609</v>
      </c>
      <c r="C635" s="544"/>
      <c r="D635" s="544"/>
      <c r="E635" s="544"/>
      <c r="F635" s="544"/>
      <c r="G635" s="543" t="s">
        <v>3343</v>
      </c>
      <c r="H635" s="541" t="s">
        <v>3751</v>
      </c>
      <c r="I635" s="8" t="s">
        <v>2710</v>
      </c>
      <c r="J635" s="16"/>
      <c r="K635" s="52"/>
      <c r="L635" s="50"/>
      <c r="M635" s="44"/>
      <c r="N635" s="44"/>
      <c r="O635" s="44"/>
      <c r="P635" s="16"/>
      <c r="Q635" s="16"/>
      <c r="R635" s="16"/>
      <c r="S635" s="16"/>
      <c r="T635" s="16"/>
      <c r="U635" s="16"/>
      <c r="V635" s="16"/>
      <c r="W635" s="16"/>
      <c r="X635" s="16"/>
      <c r="Y635" s="16"/>
      <c r="Z635" s="453"/>
      <c r="AA635" s="562"/>
      <c r="AB635" s="562"/>
      <c r="AC635" s="562"/>
      <c r="AD635" s="562"/>
      <c r="AE635" s="562"/>
      <c r="AF635" s="562"/>
      <c r="AG635" s="562"/>
      <c r="AH635" s="562"/>
      <c r="AI635" s="562"/>
      <c r="AJ635" s="562"/>
      <c r="AK635" s="562"/>
      <c r="AL635" s="562"/>
      <c r="AM635" s="562"/>
      <c r="AN635" s="562"/>
      <c r="AO635" s="562"/>
      <c r="AP635" s="562"/>
      <c r="AQ635" s="562"/>
      <c r="AR635" s="562"/>
      <c r="AS635" s="562"/>
    </row>
    <row r="636" spans="1:45" x14ac:dyDescent="0.2">
      <c r="A636" s="541">
        <v>6</v>
      </c>
      <c r="B636" s="549">
        <v>609.1</v>
      </c>
      <c r="C636" s="544" t="s">
        <v>2329</v>
      </c>
      <c r="D636" s="544"/>
      <c r="E636" s="544"/>
      <c r="F636" s="544"/>
      <c r="G636" s="543" t="str">
        <f ca="1">IF(N636&gt;0,"P","")</f>
        <v/>
      </c>
      <c r="H636" s="541" t="s">
        <v>3751</v>
      </c>
      <c r="I636" s="40" t="s">
        <v>2711</v>
      </c>
      <c r="J636" s="3"/>
      <c r="K636" s="53"/>
      <c r="L636" s="775" t="s">
        <v>2712</v>
      </c>
      <c r="M636" s="864" t="s">
        <v>2713</v>
      </c>
      <c r="N636" s="887">
        <f ca="1">'Ch6'!O397</f>
        <v>0</v>
      </c>
      <c r="O636" s="887">
        <f ca="1">MIN(10,IFERROR(MATCH(W637,INDIRECT(U637),0),0)*2+IFERROR(MATCH(W640,INDIRECT(U640),0),0))</f>
        <v>0</v>
      </c>
      <c r="P636" s="562"/>
      <c r="Q636" s="562"/>
      <c r="R636" s="562"/>
      <c r="S636" s="562"/>
      <c r="T636" s="562"/>
      <c r="U636" s="562"/>
      <c r="V636" s="562"/>
      <c r="W636" s="562" t="s">
        <v>2714</v>
      </c>
      <c r="X636" s="787"/>
      <c r="Y636" s="980" t="str">
        <f>IF(LEN('Ch6'!X397)=0,"None",'Ch6'!X397)</f>
        <v>None</v>
      </c>
      <c r="Z636" s="983"/>
      <c r="AA636" s="562"/>
      <c r="AB636" s="562"/>
      <c r="AC636" s="562"/>
      <c r="AD636" s="562"/>
      <c r="AE636" s="562"/>
      <c r="AF636" s="562"/>
      <c r="AG636" s="562"/>
      <c r="AH636" s="562"/>
      <c r="AI636" s="562"/>
      <c r="AJ636" s="562"/>
      <c r="AK636" s="562"/>
      <c r="AL636" s="190" t="str">
        <f t="shared" ref="AL636" si="186">SUBSTITUTE(SUBSTITUTE(SUBSTITUTE("vpa"&amp;$B636&amp;$C636&amp;$D636&amp;$E636&amp;$F636,".","_"),"(","_"),")","")</f>
        <v>vpa609,1a</v>
      </c>
      <c r="AM636" s="190" t="str">
        <f>M636</f>
        <v>10 Max
2 per each major comp. 
and 
1 per each minor comp.</v>
      </c>
      <c r="AN636" s="190" t="str">
        <f>SUBSTITUTE(SUBSTITUTE(SUBSTITUTE("vpc"&amp;$B636&amp;$C636&amp;$D636&amp;$E636&amp;$F636,".","_"),"(","_"),")","")</f>
        <v>vpc609,1a</v>
      </c>
      <c r="AO636" s="190">
        <f ca="1">O636</f>
        <v>0</v>
      </c>
      <c r="AP636" s="562"/>
      <c r="AQ636" s="562"/>
      <c r="AR636" s="190" t="str">
        <f>SUBSTITUTE(SUBSTITUTE(SUBSTITUTE("vnt"&amp;$B636&amp;$C636&amp;$D636&amp;$E636&amp;$F636,".","_"),"(","_"),")","")</f>
        <v>vnt609,1a</v>
      </c>
      <c r="AS636" s="190">
        <f>X636</f>
        <v>0</v>
      </c>
    </row>
    <row r="637" spans="1:45" x14ac:dyDescent="0.2">
      <c r="A637" s="541">
        <v>6</v>
      </c>
      <c r="B637" s="549">
        <v>609.1</v>
      </c>
      <c r="C637" s="544" t="s">
        <v>2329</v>
      </c>
      <c r="D637" s="544"/>
      <c r="E637" s="544"/>
      <c r="F637" s="544"/>
      <c r="G637" s="543" t="str">
        <f t="shared" ref="G637:G642" ca="1" si="187">G636</f>
        <v/>
      </c>
      <c r="H637" s="541" t="s">
        <v>3751</v>
      </c>
      <c r="I637" s="40"/>
      <c r="J637" s="3"/>
      <c r="K637" s="53"/>
      <c r="L637" s="775"/>
      <c r="M637" s="864"/>
      <c r="N637" s="887"/>
      <c r="O637" s="887"/>
      <c r="P637" s="562" t="b">
        <v>1</v>
      </c>
      <c r="Q637" s="562" t="b">
        <v>1</v>
      </c>
      <c r="R637" s="562" t="b">
        <v>0</v>
      </c>
      <c r="S637" s="562" t="b">
        <v>1</v>
      </c>
      <c r="T637" s="562" t="b">
        <v>0</v>
      </c>
      <c r="U637" s="64" t="str">
        <f>SUBSTITUTE(SUBSTITUTE(SUBSTITUTE("dd"&amp;B637&amp;C637&amp;D637&amp;E637&amp;F637,".","_"),"(","_"),")","")</f>
        <v>dd609,1a</v>
      </c>
      <c r="V637" s="562"/>
      <c r="W637" s="6"/>
      <c r="X637" s="787"/>
      <c r="Y637" s="980"/>
      <c r="Z637" s="983"/>
      <c r="AA637" s="562"/>
      <c r="AB637" s="562"/>
      <c r="AC637" s="562" t="b">
        <f>OR(AD637:AE637)</f>
        <v>0</v>
      </c>
      <c r="AD637" s="562" t="b">
        <f>T637</f>
        <v>0</v>
      </c>
      <c r="AE637" s="562" t="b">
        <f>AND(NOT(ISBLANK(W637)),LEN(X636)=0)</f>
        <v>0</v>
      </c>
      <c r="AF637" s="562" t="b">
        <f>AND(AE637,NOT(Q637))</f>
        <v>0</v>
      </c>
      <c r="AG637" s="562"/>
      <c r="AH637" s="562"/>
      <c r="AI637" s="562"/>
      <c r="AJ637" s="562"/>
      <c r="AK637" s="562"/>
      <c r="AL637" s="562"/>
      <c r="AM637" s="562"/>
      <c r="AN637" s="562"/>
      <c r="AO637" s="562"/>
      <c r="AP637" s="190" t="str">
        <f>SUBSTITUTE(SUBSTITUTE(SUBSTITUTE("vch"&amp;$B637&amp;$C637&amp;$D637&amp;$E637&amp;$F637,".","_"),"(","_"),")","")</f>
        <v>vch609,1a</v>
      </c>
      <c r="AQ637" s="190">
        <f>W637</f>
        <v>0</v>
      </c>
      <c r="AR637" s="562"/>
      <c r="AS637" s="562"/>
    </row>
    <row r="638" spans="1:45" x14ac:dyDescent="0.2">
      <c r="A638" s="541">
        <v>6</v>
      </c>
      <c r="B638" s="549">
        <v>609.1</v>
      </c>
      <c r="C638" s="544"/>
      <c r="D638" s="544"/>
      <c r="E638" s="544"/>
      <c r="F638" s="544"/>
      <c r="G638" s="543" t="str">
        <f t="shared" ca="1" si="187"/>
        <v/>
      </c>
      <c r="H638" s="541" t="s">
        <v>3751</v>
      </c>
      <c r="I638" s="40"/>
      <c r="J638" s="3"/>
      <c r="K638" s="53"/>
      <c r="L638" s="851" t="s">
        <v>2715</v>
      </c>
      <c r="M638" s="864"/>
      <c r="N638" s="887"/>
      <c r="O638" s="887"/>
      <c r="P638" s="562"/>
      <c r="Q638" s="562"/>
      <c r="R638" s="562"/>
      <c r="S638" s="562"/>
      <c r="T638" s="562"/>
      <c r="U638" s="562"/>
      <c r="V638" s="562"/>
      <c r="W638" s="562"/>
      <c r="X638" s="787"/>
      <c r="Y638" s="980"/>
      <c r="Z638" s="983"/>
      <c r="AA638" s="562"/>
      <c r="AB638" s="562"/>
      <c r="AC638" s="562"/>
      <c r="AD638" s="562"/>
      <c r="AE638" s="562"/>
      <c r="AF638" s="562"/>
      <c r="AG638" s="562"/>
      <c r="AH638" s="562"/>
      <c r="AI638" s="562"/>
      <c r="AJ638" s="562"/>
      <c r="AK638" s="562"/>
      <c r="AL638" s="562"/>
      <c r="AM638" s="562"/>
      <c r="AN638" s="562"/>
      <c r="AO638" s="562"/>
      <c r="AP638" s="562"/>
      <c r="AQ638" s="562"/>
      <c r="AR638" s="562"/>
      <c r="AS638" s="562"/>
    </row>
    <row r="639" spans="1:45" x14ac:dyDescent="0.2">
      <c r="A639" s="541">
        <v>6</v>
      </c>
      <c r="B639" s="549">
        <v>609.1</v>
      </c>
      <c r="C639" s="544" t="s">
        <v>2331</v>
      </c>
      <c r="D639" s="544"/>
      <c r="E639" s="544"/>
      <c r="F639" s="544"/>
      <c r="G639" s="543" t="str">
        <f t="shared" ca="1" si="187"/>
        <v/>
      </c>
      <c r="H639" s="541" t="s">
        <v>3751</v>
      </c>
      <c r="I639" s="40"/>
      <c r="J639" s="3"/>
      <c r="K639" s="53"/>
      <c r="L639" s="851"/>
      <c r="M639" s="864"/>
      <c r="N639" s="887"/>
      <c r="O639" s="887"/>
      <c r="P639" s="562"/>
      <c r="Q639" s="562"/>
      <c r="R639" s="562"/>
      <c r="S639" s="562"/>
      <c r="T639" s="562"/>
      <c r="U639" s="562"/>
      <c r="V639" s="562"/>
      <c r="W639" s="562" t="s">
        <v>2716</v>
      </c>
      <c r="X639" s="825"/>
      <c r="Y639" s="980" t="str">
        <f>IF(LEN('Ch6'!X400)=0,"None",'Ch6'!X400)</f>
        <v>None</v>
      </c>
      <c r="Z639" s="983"/>
      <c r="AA639" s="562"/>
      <c r="AB639" s="562"/>
      <c r="AC639" s="562"/>
      <c r="AD639" s="562"/>
      <c r="AE639" s="562"/>
      <c r="AF639" s="562"/>
      <c r="AG639" s="562"/>
      <c r="AH639" s="562"/>
      <c r="AI639" s="562"/>
      <c r="AJ639" s="562"/>
      <c r="AK639" s="562"/>
      <c r="AL639" s="562"/>
      <c r="AM639" s="562"/>
      <c r="AN639" s="562"/>
      <c r="AO639" s="562"/>
      <c r="AP639" s="562"/>
      <c r="AQ639" s="562"/>
      <c r="AR639" s="190" t="str">
        <f>SUBSTITUTE(SUBSTITUTE(SUBSTITUTE("vnt"&amp;$B639&amp;$C639&amp;$D639&amp;$E639&amp;$F639,".","_"),"(","_"),")","")</f>
        <v>vnt609,1b</v>
      </c>
      <c r="AS639" s="190">
        <f>X639</f>
        <v>0</v>
      </c>
    </row>
    <row r="640" spans="1:45" x14ac:dyDescent="0.2">
      <c r="A640" s="541">
        <v>6</v>
      </c>
      <c r="B640" s="549">
        <v>609.1</v>
      </c>
      <c r="C640" s="544" t="s">
        <v>2331</v>
      </c>
      <c r="D640" s="544"/>
      <c r="E640" s="544"/>
      <c r="F640" s="544"/>
      <c r="G640" s="543" t="str">
        <f t="shared" ca="1" si="187"/>
        <v/>
      </c>
      <c r="H640" s="541" t="s">
        <v>3751</v>
      </c>
      <c r="I640" s="40"/>
      <c r="J640" s="3"/>
      <c r="K640" s="53"/>
      <c r="L640" s="851"/>
      <c r="M640" s="864"/>
      <c r="N640" s="887"/>
      <c r="O640" s="887"/>
      <c r="P640" s="562" t="b">
        <v>1</v>
      </c>
      <c r="Q640" s="562" t="b">
        <v>1</v>
      </c>
      <c r="R640" s="562" t="b">
        <v>0</v>
      </c>
      <c r="S640" s="562" t="b">
        <v>1</v>
      </c>
      <c r="T640" s="562" t="b">
        <v>0</v>
      </c>
      <c r="U640" s="64" t="str">
        <f>SUBSTITUTE(SUBSTITUTE(SUBSTITUTE("dd"&amp;B640&amp;C640&amp;D640&amp;E640&amp;F640,".","_"),"(","_"),")","")</f>
        <v>dd609,1b</v>
      </c>
      <c r="V640" s="562"/>
      <c r="W640" s="6"/>
      <c r="X640" s="797"/>
      <c r="Y640" s="980"/>
      <c r="Z640" s="983"/>
      <c r="AA640" s="562"/>
      <c r="AB640" s="562"/>
      <c r="AC640" s="562" t="b">
        <f>OR(AD640:AE640)</f>
        <v>0</v>
      </c>
      <c r="AD640" s="562" t="b">
        <f>T640</f>
        <v>0</v>
      </c>
      <c r="AE640" s="562" t="b">
        <f>AND(NOT(ISBLANK(W640)),LEN(X639)=0)</f>
        <v>0</v>
      </c>
      <c r="AF640" s="562" t="b">
        <f>AND(AE640,NOT(Q640))</f>
        <v>0</v>
      </c>
      <c r="AG640" s="562"/>
      <c r="AH640" s="562"/>
      <c r="AI640" s="562"/>
      <c r="AJ640" s="562"/>
      <c r="AK640" s="562"/>
      <c r="AL640" s="562"/>
      <c r="AM640" s="562"/>
      <c r="AN640" s="562"/>
      <c r="AO640" s="562"/>
      <c r="AP640" s="190" t="str">
        <f>SUBSTITUTE(SUBSTITUTE(SUBSTITUTE("vch"&amp;$B640&amp;$C640&amp;$D640&amp;$E640&amp;$F640,".","_"),"(","_"),")","")</f>
        <v>vch609,1b</v>
      </c>
      <c r="AQ640" s="190">
        <f>W640</f>
        <v>0</v>
      </c>
      <c r="AR640" s="562"/>
      <c r="AS640" s="562"/>
    </row>
    <row r="641" spans="1:45" ht="15" customHeight="1" x14ac:dyDescent="0.2">
      <c r="A641" s="541">
        <v>6</v>
      </c>
      <c r="B641" s="549">
        <v>609.1</v>
      </c>
      <c r="C641" s="544"/>
      <c r="D641" s="544"/>
      <c r="E641" s="544"/>
      <c r="F641" s="544"/>
      <c r="G641" s="543" t="str">
        <f t="shared" ca="1" si="187"/>
        <v/>
      </c>
      <c r="H641" s="541" t="s">
        <v>3751</v>
      </c>
      <c r="I641" s="40"/>
      <c r="J641" s="3"/>
      <c r="K641" s="53"/>
      <c r="L641" s="833" t="s">
        <v>2717</v>
      </c>
      <c r="M641" s="864"/>
      <c r="N641" s="887"/>
      <c r="O641" s="887"/>
      <c r="P641" s="562"/>
      <c r="Q641" s="562"/>
      <c r="R641" s="562"/>
      <c r="S641" s="562"/>
      <c r="T641" s="562"/>
      <c r="U641" s="562"/>
      <c r="V641" s="562"/>
      <c r="W641" s="562"/>
      <c r="X641" s="797"/>
      <c r="Y641" s="980"/>
      <c r="Z641" s="983"/>
      <c r="AA641" s="562"/>
      <c r="AB641" s="562"/>
      <c r="AC641" s="562"/>
      <c r="AD641" s="562"/>
      <c r="AE641" s="562"/>
      <c r="AF641" s="562"/>
      <c r="AG641" s="562"/>
      <c r="AH641" s="562"/>
      <c r="AI641" s="562"/>
      <c r="AJ641" s="562"/>
      <c r="AK641" s="562"/>
      <c r="AL641" s="562"/>
      <c r="AM641" s="562"/>
      <c r="AN641" s="562"/>
      <c r="AO641" s="562"/>
      <c r="AP641" s="562"/>
      <c r="AQ641" s="562"/>
      <c r="AR641" s="562"/>
      <c r="AS641" s="562"/>
    </row>
    <row r="642" spans="1:45" x14ac:dyDescent="0.2">
      <c r="A642" s="541">
        <v>6</v>
      </c>
      <c r="B642" s="549">
        <v>609.1</v>
      </c>
      <c r="C642" s="544"/>
      <c r="D642" s="544"/>
      <c r="E642" s="544"/>
      <c r="F642" s="544"/>
      <c r="G642" s="543" t="str">
        <f t="shared" ca="1" si="187"/>
        <v/>
      </c>
      <c r="H642" s="541" t="s">
        <v>3751</v>
      </c>
      <c r="I642" s="40"/>
      <c r="J642" s="3"/>
      <c r="K642" s="53"/>
      <c r="L642" s="845"/>
      <c r="M642" s="864"/>
      <c r="N642" s="887"/>
      <c r="O642" s="887"/>
      <c r="P642" s="562"/>
      <c r="Q642" s="562"/>
      <c r="R642" s="562"/>
      <c r="S642" s="562"/>
      <c r="T642" s="562"/>
      <c r="U642" s="562"/>
      <c r="V642" s="562"/>
      <c r="W642" s="562"/>
      <c r="X642" s="786"/>
      <c r="Y642" s="980"/>
      <c r="Z642" s="983"/>
      <c r="AA642" s="562"/>
      <c r="AB642" s="562"/>
      <c r="AC642" s="562"/>
      <c r="AD642" s="562"/>
      <c r="AE642" s="562"/>
      <c r="AF642" s="562"/>
      <c r="AG642" s="562"/>
      <c r="AH642" s="562"/>
      <c r="AI642" s="562"/>
      <c r="AJ642" s="562"/>
      <c r="AK642" s="562"/>
      <c r="AL642" s="562"/>
      <c r="AM642" s="562"/>
      <c r="AN642" s="562"/>
      <c r="AO642" s="562"/>
      <c r="AP642" s="562"/>
      <c r="AQ642" s="562"/>
      <c r="AR642" s="562"/>
      <c r="AS642" s="562"/>
    </row>
    <row r="643" spans="1:45" ht="19" x14ac:dyDescent="0.25">
      <c r="A643" s="541">
        <v>6</v>
      </c>
      <c r="B643" s="549">
        <v>610</v>
      </c>
      <c r="C643" s="544"/>
      <c r="D643" s="544"/>
      <c r="E643" s="544"/>
      <c r="F643" s="544"/>
      <c r="G643" s="543" t="s">
        <v>3343</v>
      </c>
      <c r="H643" s="541" t="s">
        <v>3751</v>
      </c>
      <c r="I643" s="8" t="s">
        <v>2718</v>
      </c>
      <c r="J643" s="16"/>
      <c r="K643" s="52"/>
      <c r="L643" s="50"/>
      <c r="M643" s="44"/>
      <c r="N643" s="44"/>
      <c r="O643" s="44"/>
      <c r="P643" s="16"/>
      <c r="Q643" s="16"/>
      <c r="R643" s="16"/>
      <c r="S643" s="16"/>
      <c r="T643" s="16"/>
      <c r="U643" s="16"/>
      <c r="V643" s="16"/>
      <c r="W643" s="16"/>
      <c r="X643" s="16"/>
      <c r="Y643" s="16"/>
      <c r="Z643" s="453"/>
      <c r="AA643" s="562"/>
      <c r="AB643" s="562"/>
      <c r="AC643" s="562"/>
      <c r="AD643" s="562"/>
      <c r="AE643" s="562"/>
      <c r="AF643" s="562"/>
      <c r="AG643" s="562"/>
      <c r="AH643" s="562"/>
      <c r="AI643" s="562"/>
      <c r="AJ643" s="562"/>
      <c r="AK643" s="562"/>
      <c r="AL643" s="562"/>
      <c r="AM643" s="562"/>
      <c r="AN643" s="562"/>
      <c r="AO643" s="562"/>
      <c r="AP643" s="562"/>
      <c r="AQ643" s="562"/>
      <c r="AR643" s="562"/>
      <c r="AS643" s="562"/>
    </row>
    <row r="644" spans="1:45" x14ac:dyDescent="0.2">
      <c r="A644" s="541">
        <v>6</v>
      </c>
      <c r="B644" s="549">
        <v>610.1</v>
      </c>
      <c r="C644" s="544"/>
      <c r="D644" s="544"/>
      <c r="E644" s="544"/>
      <c r="F644" s="544"/>
      <c r="G644" s="545"/>
      <c r="H644" s="541"/>
      <c r="I644" s="40" t="s">
        <v>2719</v>
      </c>
      <c r="J644" s="3"/>
      <c r="K644" s="53"/>
      <c r="L644" s="775" t="s">
        <v>2720</v>
      </c>
      <c r="M644" s="562"/>
      <c r="N644" s="648"/>
      <c r="O644" s="648"/>
      <c r="P644" s="562"/>
      <c r="Q644" s="562"/>
      <c r="R644" s="562"/>
      <c r="S644" s="562"/>
      <c r="T644" s="562"/>
      <c r="U644" s="562"/>
      <c r="V644" s="562"/>
      <c r="W644" s="562"/>
      <c r="X644" s="562"/>
      <c r="Y644" s="562"/>
      <c r="Z644" s="430"/>
      <c r="AA644" s="562"/>
      <c r="AB644" s="562"/>
      <c r="AC644" s="562"/>
      <c r="AD644" s="562"/>
      <c r="AE644" s="562"/>
      <c r="AF644" s="562"/>
      <c r="AG644" s="562"/>
      <c r="AH644" s="562"/>
      <c r="AI644" s="562"/>
      <c r="AJ644" s="562"/>
      <c r="AK644" s="562"/>
      <c r="AL644" s="562"/>
      <c r="AM644" s="562"/>
      <c r="AN644" s="562"/>
      <c r="AO644" s="562"/>
      <c r="AP644" s="562"/>
      <c r="AQ644" s="562"/>
      <c r="AR644" s="562"/>
      <c r="AS644" s="562"/>
    </row>
    <row r="645" spans="1:45" x14ac:dyDescent="0.2">
      <c r="A645" s="541">
        <v>6</v>
      </c>
      <c r="B645" s="549">
        <v>610.1</v>
      </c>
      <c r="C645" s="544"/>
      <c r="D645" s="544"/>
      <c r="E645" s="544"/>
      <c r="F645" s="544"/>
      <c r="G645" s="545"/>
      <c r="H645" s="541"/>
      <c r="I645" s="40"/>
      <c r="J645" s="3"/>
      <c r="K645" s="53"/>
      <c r="L645" s="775"/>
      <c r="M645" s="562"/>
      <c r="N645" s="648"/>
      <c r="O645" s="648"/>
      <c r="P645" s="562"/>
      <c r="Q645" s="562"/>
      <c r="R645" s="562"/>
      <c r="S645" s="562"/>
      <c r="T645" s="562"/>
      <c r="U645" s="562"/>
      <c r="V645" s="562"/>
      <c r="W645" s="562"/>
      <c r="X645" s="562"/>
      <c r="Y645" s="562"/>
      <c r="Z645" s="430"/>
      <c r="AA645" s="562"/>
      <c r="AB645" s="562"/>
      <c r="AC645" s="562"/>
      <c r="AD645" s="562"/>
      <c r="AE645" s="562"/>
      <c r="AF645" s="562"/>
      <c r="AG645" s="562"/>
      <c r="AH645" s="562"/>
      <c r="AI645" s="562"/>
      <c r="AJ645" s="562"/>
      <c r="AK645" s="562"/>
      <c r="AL645" s="562"/>
      <c r="AM645" s="562"/>
      <c r="AN645" s="562"/>
      <c r="AO645" s="562"/>
      <c r="AP645" s="562"/>
      <c r="AQ645" s="562"/>
      <c r="AR645" s="562"/>
      <c r="AS645" s="562"/>
    </row>
    <row r="646" spans="1:45" x14ac:dyDescent="0.2">
      <c r="A646" s="541">
        <v>6</v>
      </c>
      <c r="B646" s="549">
        <v>610.1</v>
      </c>
      <c r="C646" s="544"/>
      <c r="D646" s="544"/>
      <c r="E646" s="544"/>
      <c r="F646" s="544"/>
      <c r="G646" s="545"/>
      <c r="H646" s="541"/>
      <c r="I646" s="40"/>
      <c r="J646" s="3"/>
      <c r="K646" s="53"/>
      <c r="L646" s="775"/>
      <c r="M646" s="562"/>
      <c r="N646" s="648"/>
      <c r="O646" s="648"/>
      <c r="P646" s="562"/>
      <c r="Q646" s="562"/>
      <c r="R646" s="562"/>
      <c r="S646" s="562"/>
      <c r="T646" s="562"/>
      <c r="U646" s="562"/>
      <c r="V646" s="562"/>
      <c r="W646" s="562"/>
      <c r="X646" s="562"/>
      <c r="Y646" s="562"/>
      <c r="Z646" s="430"/>
      <c r="AA646" s="562"/>
      <c r="AB646" s="562"/>
      <c r="AC646" s="562"/>
      <c r="AD646" s="562"/>
      <c r="AE646" s="562"/>
      <c r="AF646" s="562"/>
      <c r="AG646" s="562"/>
      <c r="AH646" s="562"/>
      <c r="AI646" s="562"/>
      <c r="AJ646" s="562"/>
      <c r="AK646" s="562"/>
      <c r="AL646" s="562"/>
      <c r="AM646" s="562"/>
      <c r="AN646" s="562"/>
      <c r="AO646" s="562"/>
      <c r="AP646" s="562"/>
      <c r="AQ646" s="562"/>
      <c r="AR646" s="562"/>
      <c r="AS646" s="562"/>
    </row>
    <row r="647" spans="1:45" x14ac:dyDescent="0.2">
      <c r="A647" s="541">
        <v>6</v>
      </c>
      <c r="B647" s="549">
        <v>610.1</v>
      </c>
      <c r="C647" s="544"/>
      <c r="D647" s="544"/>
      <c r="E647" s="544"/>
      <c r="F647" s="544"/>
      <c r="G647" s="545"/>
      <c r="H647" s="541"/>
      <c r="I647" s="40"/>
      <c r="J647" s="3"/>
      <c r="K647" s="53"/>
      <c r="L647" s="775"/>
      <c r="M647" s="562"/>
      <c r="N647" s="648"/>
      <c r="O647" s="648"/>
      <c r="P647" s="562"/>
      <c r="Q647" s="562"/>
      <c r="R647" s="562"/>
      <c r="S647" s="562"/>
      <c r="T647" s="562"/>
      <c r="U647" s="562"/>
      <c r="V647" s="562"/>
      <c r="W647" s="562"/>
      <c r="X647" s="562"/>
      <c r="Y647" s="562"/>
      <c r="Z647" s="430"/>
      <c r="AA647" s="562"/>
      <c r="AB647" s="562"/>
      <c r="AC647" s="562"/>
      <c r="AD647" s="562"/>
      <c r="AE647" s="562"/>
      <c r="AF647" s="562"/>
      <c r="AG647" s="562"/>
      <c r="AH647" s="562"/>
      <c r="AI647" s="562"/>
      <c r="AJ647" s="562"/>
      <c r="AK647" s="562"/>
      <c r="AL647" s="562"/>
      <c r="AM647" s="562"/>
      <c r="AN647" s="562"/>
      <c r="AO647" s="562"/>
      <c r="AP647" s="562"/>
      <c r="AQ647" s="562"/>
      <c r="AR647" s="562"/>
      <c r="AS647" s="562"/>
    </row>
    <row r="648" spans="1:45" x14ac:dyDescent="0.2">
      <c r="A648" s="541">
        <v>6</v>
      </c>
      <c r="B648" s="549">
        <v>610.1</v>
      </c>
      <c r="C648" s="544"/>
      <c r="D648" s="544"/>
      <c r="E648" s="544"/>
      <c r="F648" s="544"/>
      <c r="G648" s="545"/>
      <c r="H648" s="541"/>
      <c r="I648" s="40"/>
      <c r="J648" s="3"/>
      <c r="K648" s="53"/>
      <c r="L648" s="775"/>
      <c r="M648" s="562"/>
      <c r="N648" s="648"/>
      <c r="O648" s="648"/>
      <c r="P648" s="562"/>
      <c r="Q648" s="562"/>
      <c r="R648" s="562"/>
      <c r="S648" s="562"/>
      <c r="T648" s="562"/>
      <c r="U648" s="562"/>
      <c r="V648" s="562"/>
      <c r="W648" s="562"/>
      <c r="X648" s="562"/>
      <c r="Y648" s="562"/>
      <c r="Z648" s="430"/>
      <c r="AA648" s="562"/>
      <c r="AB648" s="562"/>
      <c r="AC648" s="562"/>
      <c r="AD648" s="562"/>
      <c r="AE648" s="562"/>
      <c r="AF648" s="562"/>
      <c r="AG648" s="562"/>
      <c r="AH648" s="562"/>
      <c r="AI648" s="562"/>
      <c r="AJ648" s="562"/>
      <c r="AK648" s="562"/>
      <c r="AL648" s="562"/>
      <c r="AM648" s="562"/>
      <c r="AN648" s="562"/>
      <c r="AO648" s="562"/>
      <c r="AP648" s="562"/>
      <c r="AQ648" s="562"/>
      <c r="AR648" s="562"/>
      <c r="AS648" s="562"/>
    </row>
    <row r="649" spans="1:45" ht="16" thickBot="1" x14ac:dyDescent="0.25">
      <c r="A649" s="541">
        <v>6</v>
      </c>
      <c r="B649" s="549">
        <v>610.1</v>
      </c>
      <c r="C649" s="544"/>
      <c r="D649" s="544"/>
      <c r="E649" s="544"/>
      <c r="F649" s="544"/>
      <c r="G649" s="545"/>
      <c r="H649" s="541"/>
      <c r="I649" s="40"/>
      <c r="J649" s="3"/>
      <c r="K649" s="53"/>
      <c r="L649" s="775"/>
      <c r="M649" s="562"/>
      <c r="N649" s="648"/>
      <c r="O649" s="648"/>
      <c r="P649" s="562"/>
      <c r="Q649" s="562"/>
      <c r="R649" s="562"/>
      <c r="S649" s="562"/>
      <c r="T649" s="562"/>
      <c r="U649" s="562"/>
      <c r="V649" s="562"/>
      <c r="W649" s="562"/>
      <c r="X649" s="562"/>
      <c r="Y649" s="68"/>
      <c r="Z649" s="455"/>
      <c r="AA649" s="562"/>
      <c r="AB649" s="562"/>
      <c r="AC649" s="562"/>
      <c r="AD649" s="562"/>
      <c r="AE649" s="562"/>
      <c r="AF649" s="562"/>
      <c r="AG649" s="562"/>
      <c r="AH649" s="562"/>
      <c r="AI649" s="562"/>
      <c r="AJ649" s="562"/>
      <c r="AK649" s="562"/>
      <c r="AL649" s="562"/>
      <c r="AM649" s="562"/>
      <c r="AN649" s="562"/>
      <c r="AO649" s="562"/>
      <c r="AP649" s="562"/>
      <c r="AQ649" s="562"/>
      <c r="AR649" s="562"/>
      <c r="AS649" s="562"/>
    </row>
    <row r="650" spans="1:45" ht="16" thickTop="1" x14ac:dyDescent="0.2">
      <c r="A650" s="541">
        <v>6</v>
      </c>
      <c r="B650" s="549" t="s">
        <v>2721</v>
      </c>
      <c r="C650" s="544"/>
      <c r="D650" s="544"/>
      <c r="E650" s="544"/>
      <c r="F650" s="544"/>
      <c r="G650" s="539" t="str">
        <f>IF(COUNTIF(G652:G668,"P")&gt;0,"P","")</f>
        <v/>
      </c>
      <c r="H650" s="541" t="s">
        <v>3757</v>
      </c>
      <c r="I650" s="131" t="s">
        <v>2722</v>
      </c>
      <c r="J650" s="132"/>
      <c r="K650" s="133"/>
      <c r="L650" s="819" t="s">
        <v>2723</v>
      </c>
      <c r="M650" s="74"/>
      <c r="N650" s="673"/>
      <c r="O650" s="673"/>
      <c r="P650" s="74"/>
      <c r="Q650" s="74"/>
      <c r="R650" s="74"/>
      <c r="S650" s="74"/>
      <c r="T650" s="74"/>
      <c r="U650" s="74"/>
      <c r="V650" s="74"/>
      <c r="W650" s="74"/>
      <c r="X650" s="74"/>
      <c r="Y650" s="562"/>
      <c r="Z650" s="430"/>
      <c r="AA650" s="562"/>
      <c r="AB650" s="562"/>
      <c r="AC650" s="562"/>
      <c r="AD650" s="562"/>
      <c r="AE650" s="562"/>
      <c r="AF650" s="562"/>
      <c r="AG650" s="562"/>
      <c r="AH650" s="562"/>
      <c r="AI650" s="562"/>
      <c r="AJ650" s="562"/>
      <c r="AK650" s="562"/>
      <c r="AL650" s="562"/>
      <c r="AM650" s="562"/>
      <c r="AN650" s="562"/>
      <c r="AO650" s="562"/>
      <c r="AP650" s="562"/>
      <c r="AQ650" s="562"/>
      <c r="AR650" s="562"/>
      <c r="AS650" s="562"/>
    </row>
    <row r="651" spans="1:45" x14ac:dyDescent="0.2">
      <c r="A651" s="541">
        <v>6</v>
      </c>
      <c r="B651" s="549" t="s">
        <v>2721</v>
      </c>
      <c r="C651" s="544"/>
      <c r="D651" s="544"/>
      <c r="E651" s="544"/>
      <c r="F651" s="544"/>
      <c r="G651" s="543" t="str">
        <f t="shared" ref="G651" si="188">G650</f>
        <v/>
      </c>
      <c r="H651" s="541" t="s">
        <v>3757</v>
      </c>
      <c r="I651" s="99"/>
      <c r="J651" s="98"/>
      <c r="K651" s="65"/>
      <c r="L651" s="820"/>
      <c r="M651" s="64"/>
      <c r="N651" s="668"/>
      <c r="O651" s="668"/>
      <c r="P651" s="64"/>
      <c r="Q651" s="64"/>
      <c r="R651" s="64"/>
      <c r="S651" s="64"/>
      <c r="T651" s="64"/>
      <c r="U651" s="64"/>
      <c r="V651" s="64"/>
      <c r="W651" s="64"/>
      <c r="X651" s="64"/>
      <c r="Y651" s="562"/>
      <c r="Z651" s="430"/>
      <c r="AA651" s="562"/>
      <c r="AB651" s="562"/>
      <c r="AC651" s="562"/>
      <c r="AD651" s="562"/>
      <c r="AE651" s="562"/>
      <c r="AF651" s="562"/>
      <c r="AG651" s="562"/>
      <c r="AH651" s="562"/>
      <c r="AI651" s="562"/>
      <c r="AJ651" s="562"/>
      <c r="AK651" s="562"/>
      <c r="AL651" s="562"/>
      <c r="AM651" s="562"/>
      <c r="AN651" s="562"/>
      <c r="AO651" s="562"/>
      <c r="AP651" s="562"/>
      <c r="AQ651" s="562"/>
      <c r="AR651" s="562"/>
      <c r="AS651" s="562"/>
    </row>
    <row r="652" spans="1:45" x14ac:dyDescent="0.2">
      <c r="A652" s="541">
        <v>6</v>
      </c>
      <c r="B652" s="549" t="s">
        <v>2721</v>
      </c>
      <c r="C652" s="544"/>
      <c r="D652" s="544"/>
      <c r="E652" s="544" t="s">
        <v>2181</v>
      </c>
      <c r="F652" s="553"/>
      <c r="G652" s="543" t="str">
        <f>IF(N652&gt;0,"P","")</f>
        <v/>
      </c>
      <c r="H652" s="552" t="s">
        <v>3757</v>
      </c>
      <c r="I652" s="40"/>
      <c r="J652" s="134" t="s">
        <v>2181</v>
      </c>
      <c r="K652" s="65"/>
      <c r="L652" s="791" t="s">
        <v>2724</v>
      </c>
      <c r="M652" s="800">
        <v>8</v>
      </c>
      <c r="N652" s="924">
        <f>'Ch6'!O413</f>
        <v>0</v>
      </c>
      <c r="O652" s="924">
        <f>M652*S652*W652</f>
        <v>0</v>
      </c>
      <c r="P652" s="562" t="b">
        <v>1</v>
      </c>
      <c r="Q652" s="562" t="b">
        <v>0</v>
      </c>
      <c r="R652" s="562" t="b">
        <v>0</v>
      </c>
      <c r="S652" s="562" t="b">
        <f>NOT(OR(NOT(ISBLANK(W676)),NOT(ISBLANK(W683)),NOT(ISBLANK(W689)),NOT(ISBLANK(W695)),NOT(ISBLANK(W701)),NOT(ISBLANK(W707))))</f>
        <v>1</v>
      </c>
      <c r="T652" s="64" t="b">
        <f>IF(AND(NOT(S652),W652=TRUE),TRUE,FALSE)</f>
        <v>0</v>
      </c>
      <c r="U652" s="562"/>
      <c r="V652" s="562"/>
      <c r="W652" s="18"/>
      <c r="X652" s="787"/>
      <c r="Y652" s="980" t="str">
        <f>IF(LEN('Ch6'!X413)=0,"None",'Ch6'!X413)</f>
        <v>None</v>
      </c>
      <c r="Z652" s="983"/>
      <c r="AA652" s="562"/>
      <c r="AB652" s="562"/>
      <c r="AC652" s="562" t="b">
        <f>OR(AD652:AE652)</f>
        <v>0</v>
      </c>
      <c r="AD652" s="562" t="b">
        <f>T652</f>
        <v>0</v>
      </c>
      <c r="AE652" s="562"/>
      <c r="AF652" s="562"/>
      <c r="AG652" s="562"/>
      <c r="AH652" s="562"/>
      <c r="AI652" s="562"/>
      <c r="AJ652" s="562"/>
      <c r="AK652" s="562"/>
      <c r="AL652" s="190" t="str">
        <f t="shared" ref="AL652" si="189">SUBSTITUTE(SUBSTITUTE(SUBSTITUTE("vpa"&amp;$B652&amp;$C652&amp;$D652&amp;$E652&amp;$F652,".","_"),"(","_"),")","")</f>
        <v>vpa610_1_1_1</v>
      </c>
      <c r="AM652" s="190">
        <f>M652</f>
        <v>8</v>
      </c>
      <c r="AN652" s="190" t="str">
        <f>SUBSTITUTE(SUBSTITUTE(SUBSTITUTE("vpc"&amp;$B652&amp;$C652&amp;$D652&amp;$E652&amp;$F652,".","_"),"(","_"),")","")</f>
        <v>vpc610_1_1_1</v>
      </c>
      <c r="AO652" s="190">
        <f>O652</f>
        <v>0</v>
      </c>
      <c r="AP652" s="190" t="str">
        <f>SUBSTITUTE(SUBSTITUTE(SUBSTITUTE("vch"&amp;$B652&amp;$C652&amp;$D652&amp;$E652&amp;$F652,".","_"),"(","_"),")","")</f>
        <v>vch610_1_1_1</v>
      </c>
      <c r="AQ652" s="190">
        <f>W652</f>
        <v>0</v>
      </c>
      <c r="AR652" s="190" t="str">
        <f>SUBSTITUTE(SUBSTITUTE(SUBSTITUTE("vnt"&amp;$B652&amp;$C652&amp;$D652&amp;$E652&amp;$F652,".","_"),"(","_"),")","")</f>
        <v>vnt610_1_1_1</v>
      </c>
      <c r="AS652" s="190">
        <f>X652</f>
        <v>0</v>
      </c>
    </row>
    <row r="653" spans="1:45" x14ac:dyDescent="0.2">
      <c r="A653" s="541">
        <v>6</v>
      </c>
      <c r="B653" s="549" t="s">
        <v>2721</v>
      </c>
      <c r="C653" s="544"/>
      <c r="D653" s="544"/>
      <c r="E653" s="544"/>
      <c r="F653" s="553"/>
      <c r="G653" s="543" t="str">
        <f t="shared" ref="G653:G660" si="190">G652</f>
        <v/>
      </c>
      <c r="H653" s="552" t="s">
        <v>3757</v>
      </c>
      <c r="I653" s="40"/>
      <c r="J653" s="98"/>
      <c r="K653" s="65"/>
      <c r="L653" s="791"/>
      <c r="M653" s="800"/>
      <c r="N653" s="924"/>
      <c r="O653" s="924"/>
      <c r="P653" s="562"/>
      <c r="Q653" s="562"/>
      <c r="R653" s="562"/>
      <c r="S653" s="562"/>
      <c r="T653" s="562"/>
      <c r="U653" s="562"/>
      <c r="V653" s="562"/>
      <c r="W653" s="562"/>
      <c r="X653" s="787"/>
      <c r="Y653" s="980"/>
      <c r="Z653" s="983"/>
      <c r="AA653" s="562"/>
      <c r="AB653" s="562"/>
      <c r="AC653" s="562"/>
      <c r="AD653" s="562"/>
      <c r="AE653" s="562"/>
      <c r="AF653" s="562"/>
      <c r="AG653" s="562"/>
      <c r="AH653" s="562"/>
      <c r="AI653" s="562"/>
      <c r="AJ653" s="562"/>
      <c r="AK653" s="562"/>
      <c r="AL653" s="562"/>
      <c r="AM653" s="562"/>
      <c r="AN653" s="562"/>
      <c r="AO653" s="562"/>
      <c r="AP653" s="562"/>
      <c r="AQ653" s="562"/>
      <c r="AR653" s="562"/>
      <c r="AS653" s="562"/>
    </row>
    <row r="654" spans="1:45" x14ac:dyDescent="0.2">
      <c r="A654" s="541">
        <v>6</v>
      </c>
      <c r="B654" s="549" t="s">
        <v>2721</v>
      </c>
      <c r="C654" s="544"/>
      <c r="D654" s="544"/>
      <c r="E654" s="544"/>
      <c r="F654" s="553"/>
      <c r="G654" s="543" t="str">
        <f t="shared" si="190"/>
        <v/>
      </c>
      <c r="H654" s="552" t="s">
        <v>3757</v>
      </c>
      <c r="I654" s="40"/>
      <c r="J654" s="98"/>
      <c r="K654" s="65"/>
      <c r="L654" s="791"/>
      <c r="M654" s="800"/>
      <c r="N654" s="924"/>
      <c r="O654" s="924"/>
      <c r="P654" s="562"/>
      <c r="Q654" s="562"/>
      <c r="R654" s="562"/>
      <c r="S654" s="562"/>
      <c r="T654" s="562"/>
      <c r="U654" s="562"/>
      <c r="V654" s="562"/>
      <c r="W654" s="562"/>
      <c r="X654" s="787"/>
      <c r="Y654" s="980"/>
      <c r="Z654" s="983"/>
      <c r="AA654" s="562"/>
      <c r="AB654" s="562"/>
      <c r="AC654" s="562"/>
      <c r="AD654" s="562"/>
      <c r="AE654" s="562"/>
      <c r="AF654" s="562"/>
      <c r="AG654" s="562"/>
      <c r="AH654" s="562"/>
      <c r="AI654" s="562"/>
      <c r="AJ654" s="562"/>
      <c r="AK654" s="562"/>
      <c r="AL654" s="562"/>
      <c r="AM654" s="562"/>
      <c r="AN654" s="562"/>
      <c r="AO654" s="562"/>
      <c r="AP654" s="562"/>
      <c r="AQ654" s="562"/>
      <c r="AR654" s="562"/>
      <c r="AS654" s="562"/>
    </row>
    <row r="655" spans="1:45" x14ac:dyDescent="0.2">
      <c r="A655" s="541">
        <v>6</v>
      </c>
      <c r="B655" s="549" t="s">
        <v>2721</v>
      </c>
      <c r="C655" s="544"/>
      <c r="D655" s="544"/>
      <c r="E655" s="544" t="s">
        <v>2181</v>
      </c>
      <c r="F655" s="544" t="s">
        <v>2196</v>
      </c>
      <c r="G655" s="543" t="str">
        <f t="shared" si="190"/>
        <v/>
      </c>
      <c r="H655" s="545" t="s">
        <v>3757</v>
      </c>
      <c r="I655" s="40"/>
      <c r="J655" s="98"/>
      <c r="K655" s="61" t="s">
        <v>2196</v>
      </c>
      <c r="L655" s="65" t="s">
        <v>2725</v>
      </c>
      <c r="M655" s="800"/>
      <c r="N655" s="924"/>
      <c r="O655" s="924"/>
      <c r="P655" s="562"/>
      <c r="Q655" s="562"/>
      <c r="R655" s="562"/>
      <c r="S655" s="562"/>
      <c r="T655" s="562"/>
      <c r="U655" s="562"/>
      <c r="V655" s="562"/>
      <c r="W655" s="562"/>
      <c r="X655" s="787"/>
      <c r="Y655" s="980"/>
      <c r="Z655" s="983"/>
      <c r="AA655" s="562"/>
      <c r="AB655" s="562"/>
      <c r="AC655" s="562"/>
      <c r="AD655" s="562"/>
      <c r="AE655" s="562"/>
      <c r="AF655" s="562"/>
      <c r="AG655" s="562"/>
      <c r="AH655" s="562"/>
      <c r="AI655" s="562"/>
      <c r="AJ655" s="562"/>
      <c r="AK655" s="562"/>
      <c r="AL655" s="562"/>
      <c r="AM655" s="562"/>
      <c r="AN655" s="562"/>
      <c r="AO655" s="562"/>
      <c r="AP655" s="562"/>
      <c r="AQ655" s="562"/>
      <c r="AR655" s="562"/>
      <c r="AS655" s="562"/>
    </row>
    <row r="656" spans="1:45" x14ac:dyDescent="0.2">
      <c r="A656" s="541">
        <v>6</v>
      </c>
      <c r="B656" s="549" t="s">
        <v>2721</v>
      </c>
      <c r="C656" s="544"/>
      <c r="D656" s="544"/>
      <c r="E656" s="544" t="s">
        <v>2181</v>
      </c>
      <c r="F656" s="544" t="s">
        <v>2198</v>
      </c>
      <c r="G656" s="543" t="str">
        <f t="shared" si="190"/>
        <v/>
      </c>
      <c r="H656" s="545" t="s">
        <v>3757</v>
      </c>
      <c r="I656" s="40"/>
      <c r="J656" s="98"/>
      <c r="K656" s="61" t="s">
        <v>2198</v>
      </c>
      <c r="L656" s="65" t="s">
        <v>2726</v>
      </c>
      <c r="M656" s="800"/>
      <c r="N656" s="924"/>
      <c r="O656" s="924"/>
      <c r="P656" s="562"/>
      <c r="Q656" s="562"/>
      <c r="R656" s="562"/>
      <c r="S656" s="562"/>
      <c r="T656" s="562"/>
      <c r="U656" s="562"/>
      <c r="V656" s="562"/>
      <c r="W656" s="562"/>
      <c r="X656" s="787"/>
      <c r="Y656" s="980"/>
      <c r="Z656" s="983"/>
      <c r="AA656" s="562"/>
      <c r="AB656" s="562"/>
      <c r="AC656" s="562"/>
      <c r="AD656" s="562"/>
      <c r="AE656" s="562"/>
      <c r="AF656" s="562"/>
      <c r="AG656" s="562"/>
      <c r="AH656" s="562"/>
      <c r="AI656" s="562"/>
      <c r="AJ656" s="562"/>
      <c r="AK656" s="562"/>
      <c r="AL656" s="562"/>
      <c r="AM656" s="562"/>
      <c r="AN656" s="562"/>
      <c r="AO656" s="562"/>
      <c r="AP656" s="562"/>
      <c r="AQ656" s="562"/>
      <c r="AR656" s="562"/>
      <c r="AS656" s="562"/>
    </row>
    <row r="657" spans="1:45" x14ac:dyDescent="0.2">
      <c r="A657" s="541">
        <v>6</v>
      </c>
      <c r="B657" s="549" t="s">
        <v>2721</v>
      </c>
      <c r="C657" s="544"/>
      <c r="D657" s="544"/>
      <c r="E657" s="544" t="s">
        <v>2181</v>
      </c>
      <c r="F657" s="544" t="s">
        <v>2200</v>
      </c>
      <c r="G657" s="543" t="str">
        <f t="shared" si="190"/>
        <v/>
      </c>
      <c r="H657" s="545" t="s">
        <v>3757</v>
      </c>
      <c r="I657" s="40"/>
      <c r="J657" s="98"/>
      <c r="K657" s="61" t="s">
        <v>2200</v>
      </c>
      <c r="L657" s="65" t="s">
        <v>2727</v>
      </c>
      <c r="M657" s="800"/>
      <c r="N657" s="924"/>
      <c r="O657" s="924"/>
      <c r="P657" s="562"/>
      <c r="Q657" s="562"/>
      <c r="R657" s="562"/>
      <c r="S657" s="562"/>
      <c r="T657" s="562"/>
      <c r="U657" s="562"/>
      <c r="V657" s="562"/>
      <c r="W657" s="562"/>
      <c r="X657" s="787"/>
      <c r="Y657" s="980"/>
      <c r="Z657" s="983"/>
      <c r="AA657" s="562"/>
      <c r="AB657" s="562"/>
      <c r="AC657" s="562"/>
      <c r="AD657" s="562"/>
      <c r="AE657" s="562"/>
      <c r="AF657" s="562"/>
      <c r="AG657" s="562"/>
      <c r="AH657" s="562"/>
      <c r="AI657" s="562"/>
      <c r="AJ657" s="562"/>
      <c r="AK657" s="562"/>
      <c r="AL657" s="562"/>
      <c r="AM657" s="562"/>
      <c r="AN657" s="562"/>
      <c r="AO657" s="562"/>
      <c r="AP657" s="562"/>
      <c r="AQ657" s="562"/>
      <c r="AR657" s="562"/>
      <c r="AS657" s="562"/>
    </row>
    <row r="658" spans="1:45" x14ac:dyDescent="0.2">
      <c r="A658" s="541">
        <v>6</v>
      </c>
      <c r="B658" s="549" t="s">
        <v>2721</v>
      </c>
      <c r="C658" s="544"/>
      <c r="D658" s="544"/>
      <c r="E658" s="544" t="s">
        <v>2181</v>
      </c>
      <c r="F658" s="546" t="s">
        <v>2247</v>
      </c>
      <c r="G658" s="543" t="str">
        <f t="shared" si="190"/>
        <v/>
      </c>
      <c r="H658" s="547" t="s">
        <v>3757</v>
      </c>
      <c r="I658" s="40"/>
      <c r="J658" s="98"/>
      <c r="K658" s="79" t="s">
        <v>2247</v>
      </c>
      <c r="L658" s="65" t="s">
        <v>2728</v>
      </c>
      <c r="M658" s="800"/>
      <c r="N658" s="924"/>
      <c r="O658" s="924"/>
      <c r="P658" s="562"/>
      <c r="Q658" s="562"/>
      <c r="R658" s="562"/>
      <c r="S658" s="562"/>
      <c r="T658" s="562"/>
      <c r="U658" s="562"/>
      <c r="V658" s="562"/>
      <c r="W658" s="562"/>
      <c r="X658" s="787"/>
      <c r="Y658" s="980"/>
      <c r="Z658" s="983"/>
      <c r="AA658" s="562"/>
      <c r="AB658" s="562"/>
      <c r="AC658" s="562"/>
      <c r="AD658" s="562"/>
      <c r="AE658" s="562"/>
      <c r="AF658" s="562"/>
      <c r="AG658" s="562"/>
      <c r="AH658" s="562"/>
      <c r="AI658" s="562"/>
      <c r="AJ658" s="562"/>
      <c r="AK658" s="562"/>
      <c r="AL658" s="562"/>
      <c r="AM658" s="562"/>
      <c r="AN658" s="562"/>
      <c r="AO658" s="562"/>
      <c r="AP658" s="562"/>
      <c r="AQ658" s="562"/>
      <c r="AR658" s="562"/>
      <c r="AS658" s="562"/>
    </row>
    <row r="659" spans="1:45" x14ac:dyDescent="0.2">
      <c r="A659" s="541">
        <v>6</v>
      </c>
      <c r="B659" s="549" t="s">
        <v>2721</v>
      </c>
      <c r="C659" s="544"/>
      <c r="D659" s="544"/>
      <c r="E659" s="544" t="s">
        <v>2181</v>
      </c>
      <c r="F659" s="544" t="s">
        <v>2444</v>
      </c>
      <c r="G659" s="543" t="str">
        <f t="shared" si="190"/>
        <v/>
      </c>
      <c r="H659" s="541" t="s">
        <v>3757</v>
      </c>
      <c r="I659" s="40"/>
      <c r="J659" s="98"/>
      <c r="K659" s="140" t="s">
        <v>2444</v>
      </c>
      <c r="L659" s="65" t="s">
        <v>2729</v>
      </c>
      <c r="M659" s="800"/>
      <c r="N659" s="924"/>
      <c r="O659" s="924"/>
      <c r="P659" s="562"/>
      <c r="Q659" s="562"/>
      <c r="R659" s="562"/>
      <c r="S659" s="562"/>
      <c r="T659" s="562"/>
      <c r="U659" s="562"/>
      <c r="V659" s="562"/>
      <c r="W659" s="562"/>
      <c r="X659" s="787"/>
      <c r="Y659" s="980"/>
      <c r="Z659" s="983"/>
      <c r="AA659" s="562"/>
      <c r="AB659" s="562"/>
      <c r="AC659" s="562"/>
      <c r="AD659" s="562"/>
      <c r="AE659" s="562"/>
      <c r="AF659" s="562"/>
      <c r="AG659" s="562"/>
      <c r="AH659" s="562"/>
      <c r="AI659" s="562"/>
      <c r="AJ659" s="562"/>
      <c r="AK659" s="562"/>
      <c r="AL659" s="562"/>
      <c r="AM659" s="562"/>
      <c r="AN659" s="562"/>
      <c r="AO659" s="562"/>
      <c r="AP659" s="562"/>
      <c r="AQ659" s="562"/>
      <c r="AR659" s="562"/>
      <c r="AS659" s="562"/>
    </row>
    <row r="660" spans="1:45" x14ac:dyDescent="0.2">
      <c r="A660" s="541">
        <v>6</v>
      </c>
      <c r="B660" s="549" t="s">
        <v>2721</v>
      </c>
      <c r="C660" s="544"/>
      <c r="D660" s="544"/>
      <c r="E660" s="544" t="s">
        <v>2181</v>
      </c>
      <c r="F660" s="544" t="s">
        <v>2540</v>
      </c>
      <c r="G660" s="543" t="str">
        <f t="shared" si="190"/>
        <v/>
      </c>
      <c r="H660" s="545" t="s">
        <v>3757</v>
      </c>
      <c r="I660" s="40"/>
      <c r="J660" s="165"/>
      <c r="K660" s="125" t="s">
        <v>2540</v>
      </c>
      <c r="L660" s="126" t="s">
        <v>2730</v>
      </c>
      <c r="M660" s="801"/>
      <c r="N660" s="942"/>
      <c r="O660" s="942"/>
      <c r="P660" s="562"/>
      <c r="Q660" s="562"/>
      <c r="R660" s="562"/>
      <c r="S660" s="562"/>
      <c r="T660" s="562"/>
      <c r="U660" s="562"/>
      <c r="V660" s="562"/>
      <c r="W660" s="562"/>
      <c r="X660" s="787"/>
      <c r="Y660" s="980"/>
      <c r="Z660" s="983"/>
      <c r="AA660" s="562"/>
      <c r="AB660" s="562"/>
      <c r="AC660" s="562"/>
      <c r="AD660" s="562"/>
      <c r="AE660" s="562"/>
      <c r="AF660" s="562"/>
      <c r="AG660" s="562"/>
      <c r="AH660" s="562"/>
      <c r="AI660" s="562"/>
      <c r="AJ660" s="562"/>
      <c r="AK660" s="562"/>
      <c r="AL660" s="562"/>
      <c r="AM660" s="562"/>
      <c r="AN660" s="562"/>
      <c r="AO660" s="562"/>
      <c r="AP660" s="562"/>
      <c r="AQ660" s="562"/>
      <c r="AR660" s="562"/>
      <c r="AS660" s="562"/>
    </row>
    <row r="661" spans="1:45" x14ac:dyDescent="0.2">
      <c r="A661" s="541">
        <v>6</v>
      </c>
      <c r="B661" s="549" t="s">
        <v>2721</v>
      </c>
      <c r="C661" s="544"/>
      <c r="D661" s="544"/>
      <c r="E661" s="544" t="s">
        <v>2183</v>
      </c>
      <c r="F661" s="553"/>
      <c r="G661" s="543" t="str">
        <f>IF(N661&gt;0,"P","")</f>
        <v/>
      </c>
      <c r="H661" s="552" t="s">
        <v>3757</v>
      </c>
      <c r="I661" s="40"/>
      <c r="J661" s="164" t="s">
        <v>2183</v>
      </c>
      <c r="K661" s="147"/>
      <c r="L661" s="831" t="s">
        <v>2731</v>
      </c>
      <c r="M661" s="824">
        <v>5</v>
      </c>
      <c r="N661" s="923">
        <f>'Ch6'!O422</f>
        <v>0</v>
      </c>
      <c r="O661" s="923">
        <f>M661*S661*W661</f>
        <v>0</v>
      </c>
      <c r="P661" s="562" t="b">
        <v>1</v>
      </c>
      <c r="Q661" s="562" t="b">
        <v>0</v>
      </c>
      <c r="R661" s="562" t="b">
        <v>0</v>
      </c>
      <c r="S661" s="562" t="b">
        <f>NOT(OR(NOT(ISBLANK(W676)),NOT(ISBLANK(W683)),NOT(ISBLANK(W689)),NOT(ISBLANK(W695)),NOT(ISBLANK(W701)),NOT(ISBLANK(W707))))</f>
        <v>1</v>
      </c>
      <c r="T661" s="64" t="b">
        <f>IF(AND(NOT(S661),W661=TRUE),TRUE,FALSE)</f>
        <v>0</v>
      </c>
      <c r="U661" s="562"/>
      <c r="V661" s="562"/>
      <c r="W661" s="18"/>
      <c r="X661" s="787"/>
      <c r="Y661" s="980" t="str">
        <f>IF(LEN('Ch6'!X422)=0,"None",'Ch6'!X422)</f>
        <v>None</v>
      </c>
      <c r="Z661" s="983"/>
      <c r="AA661" s="562"/>
      <c r="AB661" s="562"/>
      <c r="AC661" s="562" t="b">
        <f>OR(AD661:AE661)</f>
        <v>0</v>
      </c>
      <c r="AD661" s="562" t="b">
        <f>T661</f>
        <v>0</v>
      </c>
      <c r="AE661" s="562"/>
      <c r="AF661" s="562"/>
      <c r="AG661" s="562"/>
      <c r="AH661" s="562"/>
      <c r="AI661" s="562"/>
      <c r="AJ661" s="562"/>
      <c r="AK661" s="562"/>
      <c r="AL661" s="190" t="str">
        <f t="shared" ref="AL661" si="191">SUBSTITUTE(SUBSTITUTE(SUBSTITUTE("vpa"&amp;$B661&amp;$C661&amp;$D661&amp;$E661&amp;$F661,".","_"),"(","_"),")","")</f>
        <v>vpa610_1_1_2</v>
      </c>
      <c r="AM661" s="190">
        <f>M661</f>
        <v>5</v>
      </c>
      <c r="AN661" s="190" t="str">
        <f>SUBSTITUTE(SUBSTITUTE(SUBSTITUTE("vpc"&amp;$B661&amp;$C661&amp;$D661&amp;$E661&amp;$F661,".","_"),"(","_"),")","")</f>
        <v>vpc610_1_1_2</v>
      </c>
      <c r="AO661" s="190">
        <f>O661</f>
        <v>0</v>
      </c>
      <c r="AP661" s="190" t="str">
        <f>SUBSTITUTE(SUBSTITUTE(SUBSTITUTE("vch"&amp;$B661&amp;$C661&amp;$D661&amp;$E661&amp;$F661,".","_"),"(","_"),")","")</f>
        <v>vch610_1_1_2</v>
      </c>
      <c r="AQ661" s="190">
        <f>W661</f>
        <v>0</v>
      </c>
      <c r="AR661" s="190" t="str">
        <f>SUBSTITUTE(SUBSTITUTE(SUBSTITUTE("vnt"&amp;$B661&amp;$C661&amp;$D661&amp;$E661&amp;$F661,".","_"),"(","_"),")","")</f>
        <v>vnt610_1_1_2</v>
      </c>
      <c r="AS661" s="190">
        <f>X661</f>
        <v>0</v>
      </c>
    </row>
    <row r="662" spans="1:45" x14ac:dyDescent="0.2">
      <c r="A662" s="541">
        <v>6</v>
      </c>
      <c r="B662" s="549" t="s">
        <v>2721</v>
      </c>
      <c r="C662" s="544"/>
      <c r="D662" s="544"/>
      <c r="E662" s="544" t="s">
        <v>2183</v>
      </c>
      <c r="F662" s="553"/>
      <c r="G662" s="543" t="str">
        <f t="shared" ref="G662:G667" si="192">G661</f>
        <v/>
      </c>
      <c r="H662" s="552" t="s">
        <v>3757</v>
      </c>
      <c r="I662" s="40"/>
      <c r="J662" s="98"/>
      <c r="K662" s="65"/>
      <c r="L662" s="791"/>
      <c r="M662" s="800"/>
      <c r="N662" s="924"/>
      <c r="O662" s="924"/>
      <c r="P662" s="562"/>
      <c r="Q662" s="562"/>
      <c r="R662" s="562"/>
      <c r="S662" s="562"/>
      <c r="T662" s="562"/>
      <c r="U662" s="562"/>
      <c r="V662" s="562"/>
      <c r="W662" s="562"/>
      <c r="X662" s="787"/>
      <c r="Y662" s="980"/>
      <c r="Z662" s="983"/>
      <c r="AA662" s="562"/>
      <c r="AB662" s="562"/>
      <c r="AC662" s="562"/>
      <c r="AD662" s="562"/>
      <c r="AE662" s="562"/>
      <c r="AF662" s="562"/>
      <c r="AG662" s="562"/>
      <c r="AH662" s="562"/>
      <c r="AI662" s="562"/>
      <c r="AJ662" s="562"/>
      <c r="AK662" s="562"/>
      <c r="AL662" s="562"/>
      <c r="AM662" s="562"/>
      <c r="AN662" s="562"/>
      <c r="AO662" s="562"/>
      <c r="AP662" s="562"/>
      <c r="AQ662" s="562"/>
      <c r="AR662" s="562"/>
      <c r="AS662" s="562"/>
    </row>
    <row r="663" spans="1:45" x14ac:dyDescent="0.2">
      <c r="A663" s="541">
        <v>6</v>
      </c>
      <c r="B663" s="549" t="s">
        <v>2721</v>
      </c>
      <c r="C663" s="544"/>
      <c r="D663" s="544"/>
      <c r="E663" s="544" t="s">
        <v>2183</v>
      </c>
      <c r="F663" s="553"/>
      <c r="G663" s="543" t="str">
        <f t="shared" si="192"/>
        <v/>
      </c>
      <c r="H663" s="552" t="s">
        <v>3757</v>
      </c>
      <c r="I663" s="40"/>
      <c r="J663" s="98"/>
      <c r="K663" s="65"/>
      <c r="L663" s="791"/>
      <c r="M663" s="800"/>
      <c r="N663" s="924"/>
      <c r="O663" s="924"/>
      <c r="P663" s="562"/>
      <c r="Q663" s="562"/>
      <c r="R663" s="562"/>
      <c r="S663" s="562"/>
      <c r="T663" s="562"/>
      <c r="U663" s="562"/>
      <c r="V663" s="562"/>
      <c r="W663" s="562"/>
      <c r="X663" s="787"/>
      <c r="Y663" s="980"/>
      <c r="Z663" s="983"/>
      <c r="AA663" s="562"/>
      <c r="AB663" s="562"/>
      <c r="AC663" s="562"/>
      <c r="AD663" s="562"/>
      <c r="AE663" s="562"/>
      <c r="AF663" s="562"/>
      <c r="AG663" s="562"/>
      <c r="AH663" s="562"/>
      <c r="AI663" s="562"/>
      <c r="AJ663" s="562"/>
      <c r="AK663" s="562"/>
      <c r="AL663" s="562"/>
      <c r="AM663" s="562"/>
      <c r="AN663" s="562"/>
      <c r="AO663" s="562"/>
      <c r="AP663" s="562"/>
      <c r="AQ663" s="562"/>
      <c r="AR663" s="562"/>
      <c r="AS663" s="562"/>
    </row>
    <row r="664" spans="1:45" x14ac:dyDescent="0.2">
      <c r="A664" s="541">
        <v>6</v>
      </c>
      <c r="B664" s="549" t="s">
        <v>2721</v>
      </c>
      <c r="C664" s="544"/>
      <c r="D664" s="544"/>
      <c r="E664" s="544" t="s">
        <v>2183</v>
      </c>
      <c r="F664" s="553"/>
      <c r="G664" s="543" t="str">
        <f t="shared" si="192"/>
        <v/>
      </c>
      <c r="H664" s="552" t="s">
        <v>3757</v>
      </c>
      <c r="I664" s="40"/>
      <c r="J664" s="98"/>
      <c r="K664" s="65"/>
      <c r="L664" s="791"/>
      <c r="M664" s="800"/>
      <c r="N664" s="924"/>
      <c r="O664" s="924"/>
      <c r="P664" s="562"/>
      <c r="Q664" s="562"/>
      <c r="R664" s="562"/>
      <c r="S664" s="562"/>
      <c r="T664" s="562"/>
      <c r="U664" s="562"/>
      <c r="V664" s="562"/>
      <c r="W664" s="562"/>
      <c r="X664" s="787"/>
      <c r="Y664" s="980"/>
      <c r="Z664" s="983"/>
      <c r="AA664" s="562"/>
      <c r="AB664" s="562"/>
      <c r="AC664" s="562"/>
      <c r="AD664" s="562"/>
      <c r="AE664" s="562"/>
      <c r="AF664" s="562"/>
      <c r="AG664" s="562"/>
      <c r="AH664" s="562"/>
      <c r="AI664" s="562"/>
      <c r="AJ664" s="562"/>
      <c r="AK664" s="562"/>
      <c r="AL664" s="562"/>
      <c r="AM664" s="562"/>
      <c r="AN664" s="562"/>
      <c r="AO664" s="562"/>
      <c r="AP664" s="562"/>
      <c r="AQ664" s="562"/>
      <c r="AR664" s="562"/>
      <c r="AS664" s="562"/>
    </row>
    <row r="665" spans="1:45" x14ac:dyDescent="0.2">
      <c r="A665" s="541">
        <v>6</v>
      </c>
      <c r="B665" s="549" t="s">
        <v>2721</v>
      </c>
      <c r="C665" s="544"/>
      <c r="D665" s="544"/>
      <c r="E665" s="544" t="s">
        <v>2183</v>
      </c>
      <c r="F665" s="553"/>
      <c r="G665" s="543" t="str">
        <f t="shared" si="192"/>
        <v/>
      </c>
      <c r="H665" s="552" t="s">
        <v>3757</v>
      </c>
      <c r="I665" s="40"/>
      <c r="J665" s="98"/>
      <c r="K665" s="65"/>
      <c r="L665" s="791"/>
      <c r="M665" s="800"/>
      <c r="N665" s="924"/>
      <c r="O665" s="924"/>
      <c r="P665" s="562"/>
      <c r="Q665" s="562"/>
      <c r="R665" s="562"/>
      <c r="S665" s="562"/>
      <c r="T665" s="562"/>
      <c r="U665" s="562"/>
      <c r="V665" s="562"/>
      <c r="W665" s="562"/>
      <c r="X665" s="787"/>
      <c r="Y665" s="980"/>
      <c r="Z665" s="983"/>
      <c r="AA665" s="562"/>
      <c r="AB665" s="562"/>
      <c r="AC665" s="562"/>
      <c r="AD665" s="562"/>
      <c r="AE665" s="562"/>
      <c r="AF665" s="562"/>
      <c r="AG665" s="562"/>
      <c r="AH665" s="562"/>
      <c r="AI665" s="562"/>
      <c r="AJ665" s="562"/>
      <c r="AK665" s="562"/>
      <c r="AL665" s="562"/>
      <c r="AM665" s="562"/>
      <c r="AN665" s="562"/>
      <c r="AO665" s="562"/>
      <c r="AP665" s="562"/>
      <c r="AQ665" s="562"/>
      <c r="AR665" s="562"/>
      <c r="AS665" s="562"/>
    </row>
    <row r="666" spans="1:45" x14ac:dyDescent="0.2">
      <c r="A666" s="541">
        <v>6</v>
      </c>
      <c r="B666" s="549" t="s">
        <v>2721</v>
      </c>
      <c r="C666" s="544"/>
      <c r="D666" s="544"/>
      <c r="E666" s="544" t="s">
        <v>2183</v>
      </c>
      <c r="F666" s="553"/>
      <c r="G666" s="543" t="str">
        <f t="shared" si="192"/>
        <v/>
      </c>
      <c r="H666" s="552" t="s">
        <v>3757</v>
      </c>
      <c r="I666" s="40"/>
      <c r="J666" s="98"/>
      <c r="K666" s="65"/>
      <c r="L666" s="791"/>
      <c r="M666" s="800"/>
      <c r="N666" s="924"/>
      <c r="O666" s="924"/>
      <c r="P666" s="562"/>
      <c r="Q666" s="562"/>
      <c r="R666" s="562"/>
      <c r="S666" s="562"/>
      <c r="T666" s="562"/>
      <c r="U666" s="562"/>
      <c r="V666" s="562"/>
      <c r="W666" s="562"/>
      <c r="X666" s="787"/>
      <c r="Y666" s="980"/>
      <c r="Z666" s="983"/>
      <c r="AA666" s="562"/>
      <c r="AB666" s="562"/>
      <c r="AC666" s="562"/>
      <c r="AD666" s="562"/>
      <c r="AE666" s="562"/>
      <c r="AF666" s="562"/>
      <c r="AG666" s="562"/>
      <c r="AH666" s="562"/>
      <c r="AI666" s="562"/>
      <c r="AJ666" s="562"/>
      <c r="AK666" s="562"/>
      <c r="AL666" s="562"/>
      <c r="AM666" s="562"/>
      <c r="AN666" s="562"/>
      <c r="AO666" s="562"/>
      <c r="AP666" s="562"/>
      <c r="AQ666" s="562"/>
      <c r="AR666" s="562"/>
      <c r="AS666" s="562"/>
    </row>
    <row r="667" spans="1:45" x14ac:dyDescent="0.2">
      <c r="A667" s="541">
        <v>6</v>
      </c>
      <c r="B667" s="549" t="s">
        <v>2721</v>
      </c>
      <c r="C667" s="544"/>
      <c r="D667" s="544"/>
      <c r="E667" s="544" t="s">
        <v>2183</v>
      </c>
      <c r="F667" s="553"/>
      <c r="G667" s="543" t="str">
        <f t="shared" si="192"/>
        <v/>
      </c>
      <c r="H667" s="552" t="s">
        <v>3757</v>
      </c>
      <c r="I667" s="40"/>
      <c r="J667" s="165"/>
      <c r="K667" s="126"/>
      <c r="L667" s="792"/>
      <c r="M667" s="801"/>
      <c r="N667" s="942"/>
      <c r="O667" s="942"/>
      <c r="P667" s="562"/>
      <c r="Q667" s="562"/>
      <c r="R667" s="562"/>
      <c r="S667" s="562"/>
      <c r="T667" s="562"/>
      <c r="U667" s="562"/>
      <c r="V667" s="562"/>
      <c r="W667" s="562"/>
      <c r="X667" s="787"/>
      <c r="Y667" s="980"/>
      <c r="Z667" s="983"/>
      <c r="AA667" s="562"/>
      <c r="AB667" s="562"/>
      <c r="AC667" s="562"/>
      <c r="AD667" s="562"/>
      <c r="AE667" s="562"/>
      <c r="AF667" s="562"/>
      <c r="AG667" s="562"/>
      <c r="AH667" s="562"/>
      <c r="AI667" s="562"/>
      <c r="AJ667" s="562"/>
      <c r="AK667" s="562"/>
      <c r="AL667" s="562"/>
      <c r="AM667" s="562"/>
      <c r="AN667" s="562"/>
      <c r="AO667" s="562"/>
      <c r="AP667" s="562"/>
      <c r="AQ667" s="562"/>
      <c r="AR667" s="562"/>
      <c r="AS667" s="562"/>
    </row>
    <row r="668" spans="1:45" x14ac:dyDescent="0.2">
      <c r="A668" s="541">
        <v>6</v>
      </c>
      <c r="B668" s="549" t="s">
        <v>2721</v>
      </c>
      <c r="C668" s="544"/>
      <c r="D668" s="544"/>
      <c r="E668" s="544" t="s">
        <v>2185</v>
      </c>
      <c r="F668" s="553"/>
      <c r="G668" s="543" t="str">
        <f>IF(N668&gt;0,"P","")</f>
        <v/>
      </c>
      <c r="H668" s="552" t="s">
        <v>3757</v>
      </c>
      <c r="I668" s="40"/>
      <c r="J668" s="20" t="s">
        <v>2185</v>
      </c>
      <c r="K668" s="53"/>
      <c r="L668" s="817" t="s">
        <v>2732</v>
      </c>
      <c r="M668" s="814">
        <v>2</v>
      </c>
      <c r="N668" s="923">
        <f>'Ch6'!O429</f>
        <v>0</v>
      </c>
      <c r="O668" s="887">
        <f>M668*S668*W668</f>
        <v>0</v>
      </c>
      <c r="P668" s="562" t="b">
        <v>1</v>
      </c>
      <c r="Q668" s="562" t="b">
        <v>0</v>
      </c>
      <c r="R668" s="562" t="b">
        <v>0</v>
      </c>
      <c r="S668" s="562" t="b">
        <f>NOT(OR(NOT(ISBLANK(W676)),NOT(ISBLANK(W683)),NOT(ISBLANK(W689)),NOT(ISBLANK(W695)),NOT(ISBLANK(W701)),NOT(ISBLANK(W707))))</f>
        <v>1</v>
      </c>
      <c r="T668" s="64" t="b">
        <f>IF(AND(NOT(S668),W668=TRUE),TRUE,FALSE)</f>
        <v>0</v>
      </c>
      <c r="U668" s="562"/>
      <c r="V668" s="562"/>
      <c r="W668" s="18"/>
      <c r="X668" s="825"/>
      <c r="Y668" s="977" t="str">
        <f>IF(LEN('Ch6'!X429)=0,"None",'Ch6'!X429)</f>
        <v>None</v>
      </c>
      <c r="Z668" s="978"/>
      <c r="AA668" s="562"/>
      <c r="AB668" s="562"/>
      <c r="AC668" s="562" t="b">
        <f>OR(AD668:AE668)</f>
        <v>0</v>
      </c>
      <c r="AD668" s="562" t="b">
        <f>T668</f>
        <v>0</v>
      </c>
      <c r="AE668" s="562"/>
      <c r="AF668" s="562"/>
      <c r="AG668" s="562"/>
      <c r="AH668" s="562"/>
      <c r="AI668" s="562"/>
      <c r="AJ668" s="562"/>
      <c r="AK668" s="562"/>
      <c r="AL668" s="190" t="str">
        <f t="shared" ref="AL668" si="193">SUBSTITUTE(SUBSTITUTE(SUBSTITUTE("vpa"&amp;$B668&amp;$C668&amp;$D668&amp;$E668&amp;$F668,".","_"),"(","_"),")","")</f>
        <v>vpa610_1_1_3</v>
      </c>
      <c r="AM668" s="190">
        <f>M668</f>
        <v>2</v>
      </c>
      <c r="AN668" s="190" t="str">
        <f>SUBSTITUTE(SUBSTITUTE(SUBSTITUTE("vpc"&amp;$B668&amp;$C668&amp;$D668&amp;$E668&amp;$F668,".","_"),"(","_"),")","")</f>
        <v>vpc610_1_1_3</v>
      </c>
      <c r="AO668" s="190">
        <f>O668</f>
        <v>0</v>
      </c>
      <c r="AP668" s="190" t="str">
        <f>SUBSTITUTE(SUBSTITUTE(SUBSTITUTE("vch"&amp;$B668&amp;$C668&amp;$D668&amp;$E668&amp;$F668,".","_"),"(","_"),")","")</f>
        <v>vch610_1_1_3</v>
      </c>
      <c r="AQ668" s="190">
        <f>W668</f>
        <v>0</v>
      </c>
      <c r="AR668" s="190" t="str">
        <f>SUBSTITUTE(SUBSTITUTE(SUBSTITUTE("vnt"&amp;$B668&amp;$C668&amp;$D668&amp;$E668&amp;$F668,".","_"),"(","_"),")","")</f>
        <v>vnt610_1_1_3</v>
      </c>
      <c r="AS668" s="190">
        <f>X668</f>
        <v>0</v>
      </c>
    </row>
    <row r="669" spans="1:45" ht="16" thickBot="1" x14ac:dyDescent="0.25">
      <c r="A669" s="541">
        <v>6</v>
      </c>
      <c r="B669" s="549" t="s">
        <v>2721</v>
      </c>
      <c r="C669" s="544"/>
      <c r="D669" s="544"/>
      <c r="E669" s="544" t="s">
        <v>2185</v>
      </c>
      <c r="F669" s="553"/>
      <c r="G669" s="543" t="str">
        <f t="shared" ref="G669" si="194">G668</f>
        <v/>
      </c>
      <c r="H669" s="552" t="s">
        <v>3757</v>
      </c>
      <c r="I669" s="40"/>
      <c r="J669" s="3"/>
      <c r="K669" s="53"/>
      <c r="L669" s="817"/>
      <c r="M669" s="814"/>
      <c r="N669" s="982"/>
      <c r="O669" s="887"/>
      <c r="P669" s="562"/>
      <c r="Q669" s="562"/>
      <c r="R669" s="562"/>
      <c r="S669" s="562"/>
      <c r="T669" s="562"/>
      <c r="U669" s="562"/>
      <c r="V669" s="562"/>
      <c r="W669" s="562"/>
      <c r="X669" s="797"/>
      <c r="Y669" s="979"/>
      <c r="Z669" s="1007"/>
      <c r="AA669" s="562"/>
      <c r="AB669" s="562"/>
      <c r="AC669" s="562"/>
      <c r="AD669" s="562"/>
      <c r="AE669" s="562"/>
      <c r="AF669" s="562"/>
      <c r="AG669" s="562"/>
      <c r="AH669" s="562"/>
      <c r="AI669" s="562"/>
      <c r="AJ669" s="562"/>
      <c r="AK669" s="562"/>
      <c r="AL669" s="562"/>
      <c r="AM669" s="562"/>
      <c r="AN669" s="562"/>
      <c r="AO669" s="562"/>
      <c r="AP669" s="562"/>
      <c r="AQ669" s="562"/>
      <c r="AR669" s="562"/>
      <c r="AS669" s="562"/>
    </row>
    <row r="670" spans="1:45" ht="16" thickTop="1" x14ac:dyDescent="0.2">
      <c r="A670" s="541">
        <v>6</v>
      </c>
      <c r="B670" s="549" t="s">
        <v>2733</v>
      </c>
      <c r="C670" s="544"/>
      <c r="D670" s="544"/>
      <c r="E670" s="544"/>
      <c r="F670" s="544"/>
      <c r="G670" s="543" t="str">
        <f ca="1">IF(N670&gt;0,"P","")</f>
        <v/>
      </c>
      <c r="H670" s="541" t="s">
        <v>3757</v>
      </c>
      <c r="I670" s="131" t="s">
        <v>2734</v>
      </c>
      <c r="J670" s="132"/>
      <c r="K670" s="133"/>
      <c r="L670" s="819" t="s">
        <v>2735</v>
      </c>
      <c r="M670" s="827" t="s">
        <v>2736</v>
      </c>
      <c r="N670" s="981">
        <f ca="1">'Ch6'!O431</f>
        <v>0</v>
      </c>
      <c r="O670" s="981">
        <f ca="1">MIN(10,(R677+R684)+IFERROR((INDEX({3,3,6,4,4,6,8,5,5,9,9,10},MATCH(R688*4+S688*5,{8,9,10,12,13,14,15,16,17,18,19,20},0))),0))</f>
        <v>0</v>
      </c>
      <c r="P670" s="74"/>
      <c r="Q670" s="74"/>
      <c r="R670" s="74"/>
      <c r="S670" s="74"/>
      <c r="T670" s="74"/>
      <c r="U670" s="74"/>
      <c r="V670" s="74"/>
      <c r="W670" s="74"/>
      <c r="X670" s="74"/>
      <c r="Y670" s="562"/>
      <c r="Z670" s="430"/>
      <c r="AA670" s="562"/>
      <c r="AB670" s="562"/>
      <c r="AC670" s="562"/>
      <c r="AD670" s="562"/>
      <c r="AE670" s="562"/>
      <c r="AF670" s="562"/>
      <c r="AG670" s="562"/>
      <c r="AH670" s="562"/>
      <c r="AI670" s="562"/>
      <c r="AJ670" s="562"/>
      <c r="AK670" s="562"/>
      <c r="AL670" s="190" t="str">
        <f t="shared" ref="AL670" si="195">SUBSTITUTE(SUBSTITUTE(SUBSTITUTE("vpa"&amp;$B670&amp;$C670&amp;$D670&amp;$E670&amp;$F670,".","_"),"(","_"),")","")</f>
        <v>vpa610_1_2</v>
      </c>
      <c r="AM670" s="190" t="str">
        <f>M670</f>
        <v xml:space="preserve">10 Max </v>
      </c>
      <c r="AN670" s="190" t="str">
        <f>SUBSTITUTE(SUBSTITUTE(SUBSTITUTE("vpc"&amp;$B670&amp;$C670&amp;$D670&amp;$E670&amp;$F670,".","_"),"(","_"),")","")</f>
        <v>vpc610_1_2</v>
      </c>
      <c r="AO670" s="190">
        <f ca="1">O670</f>
        <v>0</v>
      </c>
      <c r="AP670" s="562"/>
      <c r="AQ670" s="562"/>
      <c r="AR670" s="562"/>
      <c r="AS670" s="562"/>
    </row>
    <row r="671" spans="1:45" x14ac:dyDescent="0.2">
      <c r="A671" s="541">
        <v>6</v>
      </c>
      <c r="B671" s="549" t="s">
        <v>2733</v>
      </c>
      <c r="C671" s="544"/>
      <c r="D671" s="544"/>
      <c r="E671" s="544"/>
      <c r="F671" s="544"/>
      <c r="G671" s="543" t="str">
        <f t="shared" ref="G671:G711" ca="1" si="196">G670</f>
        <v/>
      </c>
      <c r="H671" s="541" t="s">
        <v>3757</v>
      </c>
      <c r="I671" s="99"/>
      <c r="J671" s="98"/>
      <c r="K671" s="65"/>
      <c r="L671" s="820"/>
      <c r="M671" s="800"/>
      <c r="N671" s="924"/>
      <c r="O671" s="924"/>
      <c r="P671" s="64"/>
      <c r="Q671" s="64"/>
      <c r="R671" s="64"/>
      <c r="S671" s="64"/>
      <c r="T671" s="64"/>
      <c r="U671" s="64"/>
      <c r="V671" s="64"/>
      <c r="W671" s="64"/>
      <c r="X671" s="64"/>
      <c r="Y671" s="562"/>
      <c r="Z671" s="430"/>
      <c r="AA671" s="562"/>
      <c r="AB671" s="562"/>
      <c r="AC671" s="562"/>
      <c r="AD671" s="562"/>
      <c r="AE671" s="562"/>
      <c r="AF671" s="562"/>
      <c r="AG671" s="562"/>
      <c r="AH671" s="562"/>
      <c r="AI671" s="562"/>
      <c r="AJ671" s="562"/>
      <c r="AK671" s="562"/>
      <c r="AL671" s="562"/>
      <c r="AM671" s="562"/>
      <c r="AN671" s="562"/>
      <c r="AO671" s="562"/>
      <c r="AP671" s="562"/>
      <c r="AQ671" s="562"/>
      <c r="AR671" s="562"/>
      <c r="AS671" s="562"/>
    </row>
    <row r="672" spans="1:45" x14ac:dyDescent="0.2">
      <c r="A672" s="541">
        <v>6</v>
      </c>
      <c r="B672" s="549" t="s">
        <v>2733</v>
      </c>
      <c r="C672" s="544"/>
      <c r="D672" s="544"/>
      <c r="E672" s="544"/>
      <c r="F672" s="544"/>
      <c r="G672" s="543" t="str">
        <f t="shared" ca="1" si="196"/>
        <v/>
      </c>
      <c r="H672" s="541" t="s">
        <v>3757</v>
      </c>
      <c r="I672" s="99"/>
      <c r="J672" s="98"/>
      <c r="K672" s="65"/>
      <c r="L672" s="820"/>
      <c r="M672" s="800"/>
      <c r="N672" s="924"/>
      <c r="O672" s="924"/>
      <c r="P672" s="64"/>
      <c r="Q672" s="64"/>
      <c r="R672" s="64"/>
      <c r="S672" s="64"/>
      <c r="T672" s="64"/>
      <c r="U672" s="64"/>
      <c r="V672" s="64"/>
      <c r="W672" s="64"/>
      <c r="X672" s="64"/>
      <c r="Y672" s="562"/>
      <c r="Z672" s="430"/>
      <c r="AA672" s="562"/>
      <c r="AB672" s="562"/>
      <c r="AC672" s="562"/>
      <c r="AD672" s="562"/>
      <c r="AE672" s="562"/>
      <c r="AF672" s="562"/>
      <c r="AG672" s="562"/>
      <c r="AH672" s="562"/>
      <c r="AI672" s="562"/>
      <c r="AJ672" s="562"/>
      <c r="AK672" s="562"/>
      <c r="AL672" s="562"/>
      <c r="AM672" s="562"/>
      <c r="AN672" s="562"/>
      <c r="AO672" s="562"/>
      <c r="AP672" s="562"/>
      <c r="AQ672" s="562"/>
      <c r="AR672" s="562"/>
      <c r="AS672" s="562"/>
    </row>
    <row r="673" spans="1:45" x14ac:dyDescent="0.2">
      <c r="A673" s="541">
        <v>6</v>
      </c>
      <c r="B673" s="549" t="s">
        <v>2733</v>
      </c>
      <c r="C673" s="544"/>
      <c r="D673" s="544"/>
      <c r="E673" s="544"/>
      <c r="F673" s="544"/>
      <c r="G673" s="543" t="str">
        <f t="shared" ca="1" si="196"/>
        <v/>
      </c>
      <c r="H673" s="541" t="s">
        <v>3757</v>
      </c>
      <c r="I673" s="170"/>
      <c r="J673" s="165"/>
      <c r="K673" s="126"/>
      <c r="L673" s="832"/>
      <c r="M673" s="801"/>
      <c r="N673" s="942"/>
      <c r="O673" s="942"/>
      <c r="P673" s="64"/>
      <c r="Q673" s="64"/>
      <c r="R673" s="64"/>
      <c r="S673" s="64"/>
      <c r="T673" s="64"/>
      <c r="U673" s="64"/>
      <c r="V673" s="64"/>
      <c r="W673" s="64"/>
      <c r="X673" s="64"/>
      <c r="Y673" s="562"/>
      <c r="Z673" s="430"/>
      <c r="AA673" s="562"/>
      <c r="AB673" s="562"/>
      <c r="AC673" s="562"/>
      <c r="AD673" s="562"/>
      <c r="AE673" s="562"/>
      <c r="AF673" s="562"/>
      <c r="AG673" s="562"/>
      <c r="AH673" s="562"/>
      <c r="AI673" s="562"/>
      <c r="AJ673" s="562"/>
      <c r="AK673" s="562"/>
      <c r="AL673" s="562"/>
      <c r="AM673" s="562"/>
      <c r="AN673" s="562"/>
      <c r="AO673" s="562"/>
      <c r="AP673" s="562"/>
      <c r="AQ673" s="562"/>
      <c r="AR673" s="562"/>
      <c r="AS673" s="562"/>
    </row>
    <row r="674" spans="1:45" x14ac:dyDescent="0.2">
      <c r="A674" s="541">
        <v>6</v>
      </c>
      <c r="B674" s="549" t="s">
        <v>2737</v>
      </c>
      <c r="C674" s="544"/>
      <c r="D674" s="544"/>
      <c r="E674" s="544"/>
      <c r="F674" s="544"/>
      <c r="G674" s="543" t="str">
        <f t="shared" ca="1" si="196"/>
        <v/>
      </c>
      <c r="H674" s="541" t="s">
        <v>3757</v>
      </c>
      <c r="I674" s="145" t="s">
        <v>2738</v>
      </c>
      <c r="J674" s="146"/>
      <c r="K674" s="147"/>
      <c r="L674" s="847" t="s">
        <v>2739</v>
      </c>
      <c r="M674" s="839" t="s">
        <v>2740</v>
      </c>
      <c r="N674" s="648"/>
      <c r="O674" s="648"/>
      <c r="P674" s="562"/>
      <c r="Q674" s="562"/>
      <c r="R674" s="562"/>
      <c r="S674" s="562"/>
      <c r="T674" s="562"/>
      <c r="U674" s="562"/>
      <c r="V674" s="562"/>
      <c r="W674" s="726" t="s">
        <v>2741</v>
      </c>
      <c r="X674" s="787"/>
      <c r="Y674" s="980" t="str">
        <f>IF(LEN('Ch6'!X435)=0,"None",'Ch6'!X435)</f>
        <v>None</v>
      </c>
      <c r="Z674" s="983"/>
      <c r="AA674" s="562"/>
      <c r="AB674" s="562"/>
      <c r="AC674" s="562"/>
      <c r="AD674" s="562"/>
      <c r="AE674" s="562"/>
      <c r="AF674" s="562"/>
      <c r="AG674" s="562"/>
      <c r="AH674" s="562"/>
      <c r="AI674" s="562"/>
      <c r="AJ674" s="562"/>
      <c r="AK674" s="562"/>
      <c r="AL674" s="190" t="str">
        <f t="shared" ref="AL674" si="197">SUBSTITUTE(SUBSTITUTE(SUBSTITUTE("vpa"&amp;$B674&amp;$C674&amp;$D674&amp;$E674&amp;$F674,".","_"),"(","_"),")","")</f>
        <v>vpa610_1_2_1</v>
      </c>
      <c r="AM674" s="190" t="str">
        <f>M674</f>
        <v>per Table 11.610.1.2.1
10 Max</v>
      </c>
      <c r="AN674" s="562"/>
      <c r="AO674" s="562"/>
      <c r="AP674" s="562"/>
      <c r="AQ674" s="562"/>
      <c r="AR674" s="190" t="str">
        <f>SUBSTITUTE(SUBSTITUTE(SUBSTITUTE("vnt"&amp;$B674&amp;$C674&amp;$D674&amp;$E674&amp;$F674,".","_"),"(","_"),")","")</f>
        <v>vnt610_1_2_1</v>
      </c>
      <c r="AS674" s="190">
        <f>X674</f>
        <v>0</v>
      </c>
    </row>
    <row r="675" spans="1:45" x14ac:dyDescent="0.2">
      <c r="A675" s="541">
        <v>6</v>
      </c>
      <c r="B675" s="549" t="s">
        <v>2737</v>
      </c>
      <c r="C675" s="544"/>
      <c r="D675" s="544"/>
      <c r="E675" s="544"/>
      <c r="F675" s="544"/>
      <c r="G675" s="543" t="str">
        <f t="shared" ca="1" si="196"/>
        <v/>
      </c>
      <c r="H675" s="541" t="s">
        <v>3757</v>
      </c>
      <c r="I675" s="99"/>
      <c r="J675" s="98"/>
      <c r="K675" s="65"/>
      <c r="L675" s="820"/>
      <c r="M675" s="840"/>
      <c r="N675" s="648"/>
      <c r="O675" s="648"/>
      <c r="P675" s="562"/>
      <c r="Q675" s="562"/>
      <c r="R675" s="562"/>
      <c r="S675" s="562"/>
      <c r="T675" s="562"/>
      <c r="U675" s="64"/>
      <c r="V675" s="562"/>
      <c r="W675" s="726"/>
      <c r="X675" s="787"/>
      <c r="Y675" s="980"/>
      <c r="Z675" s="983"/>
      <c r="AA675" s="562"/>
      <c r="AB675" s="562"/>
      <c r="AC675" s="562"/>
      <c r="AD675" s="562"/>
      <c r="AE675" s="562"/>
      <c r="AF675" s="562"/>
      <c r="AG675" s="562"/>
      <c r="AH675" s="562"/>
      <c r="AI675" s="562"/>
      <c r="AJ675" s="562"/>
      <c r="AK675" s="562"/>
      <c r="AL675" s="562"/>
      <c r="AM675" s="562"/>
      <c r="AN675" s="562"/>
      <c r="AO675" s="562"/>
      <c r="AP675" s="562"/>
      <c r="AQ675" s="562"/>
      <c r="AR675" s="562"/>
      <c r="AS675" s="562"/>
    </row>
    <row r="676" spans="1:45" x14ac:dyDescent="0.2">
      <c r="A676" s="541">
        <v>6</v>
      </c>
      <c r="B676" s="549" t="s">
        <v>2737</v>
      </c>
      <c r="C676" s="544"/>
      <c r="D676" s="544"/>
      <c r="E676" s="544" t="s">
        <v>2329</v>
      </c>
      <c r="F676" s="544"/>
      <c r="G676" s="543" t="str">
        <f t="shared" ca="1" si="196"/>
        <v/>
      </c>
      <c r="H676" s="541" t="s">
        <v>3757</v>
      </c>
      <c r="I676" s="99"/>
      <c r="J676" s="98"/>
      <c r="K676" s="65"/>
      <c r="L676" s="820"/>
      <c r="M676" s="840"/>
      <c r="N676" s="648"/>
      <c r="O676" s="648"/>
      <c r="P676" s="562" t="b">
        <v>1</v>
      </c>
      <c r="Q676" s="562" t="b">
        <v>0</v>
      </c>
      <c r="R676" s="562" t="b">
        <v>0</v>
      </c>
      <c r="S676" s="562" t="b">
        <f>COUNTIF(W652:W668,TRUE)&lt;1</f>
        <v>1</v>
      </c>
      <c r="T676" s="64" t="b">
        <f>IF(AND(NOT(S676),LEN(W676)&gt;0),TRUE,FALSE)</f>
        <v>0</v>
      </c>
      <c r="U676" s="64" t="str">
        <f>SUBSTITUTE(SUBSTITUTE(SUBSTITUTE("dd"&amp;B676&amp;C676&amp;D676&amp;E676&amp;F676,".","_"),"(","_"),")","")</f>
        <v>dd610_1_2_1a</v>
      </c>
      <c r="V676" s="562"/>
      <c r="W676" s="6"/>
      <c r="X676" s="787"/>
      <c r="Y676" s="980"/>
      <c r="Z676" s="983"/>
      <c r="AA676" s="562"/>
      <c r="AB676" s="562"/>
      <c r="AC676" s="562" t="b">
        <f>OR(AD676:AE676)</f>
        <v>0</v>
      </c>
      <c r="AD676" s="562" t="b">
        <f>T676</f>
        <v>0</v>
      </c>
      <c r="AE676" s="562" t="b">
        <f>AND(NOT(ISBLANK(W676)),LEN(X674)=0)</f>
        <v>0</v>
      </c>
      <c r="AF676" s="562" t="b">
        <f>AND(AE676,NOT(Q676))</f>
        <v>0</v>
      </c>
      <c r="AG676" s="562"/>
      <c r="AH676" s="562"/>
      <c r="AI676" s="562"/>
      <c r="AJ676" s="562"/>
      <c r="AK676" s="562"/>
      <c r="AL676" s="562"/>
      <c r="AM676" s="562"/>
      <c r="AN676" s="562"/>
      <c r="AO676" s="562"/>
      <c r="AP676" s="190" t="str">
        <f>SUBSTITUTE(SUBSTITUTE(SUBSTITUTE("vch"&amp;$B676&amp;$C676&amp;$D676&amp;$E676&amp;$F676,".","_"),"(","_"),")","")</f>
        <v>vch610_1_2_1a</v>
      </c>
      <c r="AQ676" s="190">
        <f>W676</f>
        <v>0</v>
      </c>
      <c r="AR676" s="562"/>
      <c r="AS676" s="562"/>
    </row>
    <row r="677" spans="1:45" x14ac:dyDescent="0.2">
      <c r="A677" s="541">
        <v>6</v>
      </c>
      <c r="B677" s="549" t="s">
        <v>2737</v>
      </c>
      <c r="C677" s="544"/>
      <c r="D677" s="544"/>
      <c r="E677" s="544"/>
      <c r="F677" s="544" t="s">
        <v>2196</v>
      </c>
      <c r="G677" s="543" t="str">
        <f t="shared" ca="1" si="196"/>
        <v/>
      </c>
      <c r="H677" s="545" t="s">
        <v>3757</v>
      </c>
      <c r="I677" s="99"/>
      <c r="J677" s="98"/>
      <c r="K677" s="61" t="s">
        <v>2196</v>
      </c>
      <c r="L677" s="65" t="s">
        <v>2725</v>
      </c>
      <c r="M677" s="840"/>
      <c r="N677" s="648"/>
      <c r="O677" s="648"/>
      <c r="P677" s="562"/>
      <c r="Q677" s="562"/>
      <c r="R677" s="1">
        <f ca="1">2*IFERROR(MATCH(W676,INDIRECT(U676),0),0)*S676</f>
        <v>0</v>
      </c>
      <c r="S677" s="562"/>
      <c r="T677" s="562"/>
      <c r="U677" s="562"/>
      <c r="V677" s="562"/>
      <c r="W677" s="562"/>
      <c r="X677" s="787"/>
      <c r="Y677" s="980"/>
      <c r="Z677" s="983"/>
      <c r="AA677" s="562"/>
      <c r="AB677" s="562"/>
      <c r="AC677" s="562"/>
      <c r="AD677" s="562"/>
      <c r="AE677" s="562"/>
      <c r="AF677" s="562"/>
      <c r="AG677" s="562"/>
      <c r="AH677" s="562"/>
      <c r="AI677" s="562"/>
      <c r="AJ677" s="562"/>
      <c r="AK677" s="562"/>
      <c r="AL677" s="562"/>
      <c r="AM677" s="562"/>
      <c r="AN677" s="562"/>
      <c r="AO677" s="562"/>
      <c r="AP677" s="562"/>
      <c r="AQ677" s="562"/>
      <c r="AR677" s="562"/>
      <c r="AS677" s="562"/>
    </row>
    <row r="678" spans="1:45" x14ac:dyDescent="0.2">
      <c r="A678" s="541">
        <v>6</v>
      </c>
      <c r="B678" s="549" t="s">
        <v>2737</v>
      </c>
      <c r="C678" s="544"/>
      <c r="D678" s="544"/>
      <c r="E678" s="544"/>
      <c r="F678" s="544" t="s">
        <v>2198</v>
      </c>
      <c r="G678" s="543" t="str">
        <f t="shared" ca="1" si="196"/>
        <v/>
      </c>
      <c r="H678" s="545" t="s">
        <v>3757</v>
      </c>
      <c r="I678" s="99"/>
      <c r="J678" s="98"/>
      <c r="K678" s="61" t="s">
        <v>2198</v>
      </c>
      <c r="L678" s="65" t="s">
        <v>2726</v>
      </c>
      <c r="M678" s="840"/>
      <c r="N678" s="648"/>
      <c r="O678" s="648"/>
      <c r="P678" s="562"/>
      <c r="Q678" s="562"/>
      <c r="R678" s="562"/>
      <c r="S678" s="562"/>
      <c r="T678" s="562"/>
      <c r="U678" s="562"/>
      <c r="V678" s="562"/>
      <c r="W678" s="562"/>
      <c r="X678" s="787"/>
      <c r="Y678" s="980"/>
      <c r="Z678" s="983"/>
      <c r="AA678" s="562"/>
      <c r="AB678" s="562"/>
      <c r="AC678" s="562"/>
      <c r="AD678" s="562"/>
      <c r="AE678" s="562"/>
      <c r="AF678" s="562"/>
      <c r="AG678" s="562"/>
      <c r="AH678" s="562"/>
      <c r="AI678" s="562"/>
      <c r="AJ678" s="562"/>
      <c r="AK678" s="562"/>
      <c r="AL678" s="562"/>
      <c r="AM678" s="562"/>
      <c r="AN678" s="562"/>
      <c r="AO678" s="562"/>
      <c r="AP678" s="562"/>
      <c r="AQ678" s="562"/>
      <c r="AR678" s="562"/>
      <c r="AS678" s="562"/>
    </row>
    <row r="679" spans="1:45" x14ac:dyDescent="0.2">
      <c r="A679" s="541">
        <v>6</v>
      </c>
      <c r="B679" s="549" t="s">
        <v>2737</v>
      </c>
      <c r="C679" s="544"/>
      <c r="D679" s="544"/>
      <c r="E679" s="544"/>
      <c r="F679" s="544" t="s">
        <v>2200</v>
      </c>
      <c r="G679" s="543" t="str">
        <f t="shared" ca="1" si="196"/>
        <v/>
      </c>
      <c r="H679" s="545" t="s">
        <v>3757</v>
      </c>
      <c r="I679" s="99"/>
      <c r="J679" s="98"/>
      <c r="K679" s="61" t="s">
        <v>2200</v>
      </c>
      <c r="L679" s="65" t="s">
        <v>2727</v>
      </c>
      <c r="M679" s="840"/>
      <c r="N679" s="648"/>
      <c r="O679" s="648"/>
      <c r="P679" s="562"/>
      <c r="Q679" s="562"/>
      <c r="R679" s="562"/>
      <c r="S679" s="562"/>
      <c r="T679" s="562"/>
      <c r="U679" s="562"/>
      <c r="V679" s="562"/>
      <c r="W679" s="562"/>
      <c r="X679" s="787"/>
      <c r="Y679" s="980"/>
      <c r="Z679" s="983"/>
      <c r="AA679" s="562"/>
      <c r="AB679" s="562"/>
      <c r="AC679" s="562"/>
      <c r="AD679" s="562"/>
      <c r="AE679" s="562"/>
      <c r="AF679" s="562"/>
      <c r="AG679" s="562"/>
      <c r="AH679" s="562"/>
      <c r="AI679" s="562"/>
      <c r="AJ679" s="562"/>
      <c r="AK679" s="562"/>
      <c r="AL679" s="562"/>
      <c r="AM679" s="562"/>
      <c r="AN679" s="562"/>
      <c r="AO679" s="562"/>
      <c r="AP679" s="562"/>
      <c r="AQ679" s="562"/>
      <c r="AR679" s="562"/>
      <c r="AS679" s="562"/>
    </row>
    <row r="680" spans="1:45" x14ac:dyDescent="0.2">
      <c r="A680" s="541">
        <v>6</v>
      </c>
      <c r="B680" s="549" t="s">
        <v>2737</v>
      </c>
      <c r="C680" s="544"/>
      <c r="D680" s="544"/>
      <c r="E680" s="544"/>
      <c r="F680" s="546" t="s">
        <v>2247</v>
      </c>
      <c r="G680" s="543" t="str">
        <f t="shared" ca="1" si="196"/>
        <v/>
      </c>
      <c r="H680" s="547" t="s">
        <v>3757</v>
      </c>
      <c r="I680" s="99"/>
      <c r="J680" s="98"/>
      <c r="K680" s="79" t="s">
        <v>2247</v>
      </c>
      <c r="L680" s="65" t="s">
        <v>2728</v>
      </c>
      <c r="M680" s="840"/>
      <c r="N680" s="648"/>
      <c r="O680" s="648"/>
      <c r="P680" s="562"/>
      <c r="Q680" s="562"/>
      <c r="R680" s="562"/>
      <c r="S680" s="562"/>
      <c r="T680" s="562"/>
      <c r="U680" s="64"/>
      <c r="V680" s="562"/>
      <c r="W680" s="562"/>
      <c r="X680" s="787"/>
      <c r="Y680" s="980"/>
      <c r="Z680" s="983"/>
      <c r="AA680" s="562"/>
      <c r="AB680" s="562"/>
      <c r="AC680" s="562"/>
      <c r="AD680" s="562"/>
      <c r="AE680" s="562"/>
      <c r="AF680" s="562"/>
      <c r="AG680" s="562"/>
      <c r="AH680" s="562"/>
      <c r="AI680" s="562"/>
      <c r="AJ680" s="562"/>
      <c r="AK680" s="562"/>
      <c r="AL680" s="562"/>
      <c r="AM680" s="562"/>
      <c r="AN680" s="562"/>
      <c r="AO680" s="562"/>
      <c r="AP680" s="562"/>
      <c r="AQ680" s="562"/>
      <c r="AR680" s="562"/>
      <c r="AS680" s="562"/>
    </row>
    <row r="681" spans="1:45" x14ac:dyDescent="0.2">
      <c r="A681" s="541">
        <v>6</v>
      </c>
      <c r="B681" s="549" t="s">
        <v>2737</v>
      </c>
      <c r="C681" s="544"/>
      <c r="D681" s="544"/>
      <c r="E681" s="544"/>
      <c r="F681" s="544" t="s">
        <v>2444</v>
      </c>
      <c r="G681" s="543" t="str">
        <f t="shared" ca="1" si="196"/>
        <v/>
      </c>
      <c r="H681" s="541" t="s">
        <v>3757</v>
      </c>
      <c r="I681" s="99"/>
      <c r="J681" s="98"/>
      <c r="K681" s="140" t="s">
        <v>2444</v>
      </c>
      <c r="L681" s="65" t="s">
        <v>2729</v>
      </c>
      <c r="M681" s="840"/>
      <c r="N681" s="648"/>
      <c r="O681" s="648"/>
      <c r="P681" s="562"/>
      <c r="Q681" s="562"/>
      <c r="R681" s="562"/>
      <c r="S681" s="562"/>
      <c r="T681" s="562"/>
      <c r="U681" s="562"/>
      <c r="V681" s="562"/>
      <c r="W681" s="726" t="s">
        <v>2742</v>
      </c>
      <c r="X681" s="787"/>
      <c r="Y681" s="980" t="str">
        <f>IF(LEN('Ch6'!X442)=0,"None",'Ch6'!X442)</f>
        <v>None</v>
      </c>
      <c r="Z681" s="983"/>
      <c r="AA681" s="562"/>
      <c r="AB681" s="562"/>
      <c r="AC681" s="562"/>
      <c r="AD681" s="562"/>
      <c r="AE681" s="562"/>
      <c r="AF681" s="562"/>
      <c r="AG681" s="562"/>
      <c r="AH681" s="562"/>
      <c r="AI681" s="562"/>
      <c r="AJ681" s="562"/>
      <c r="AK681" s="562"/>
      <c r="AL681" s="562"/>
      <c r="AM681" s="562"/>
      <c r="AN681" s="562"/>
      <c r="AO681" s="562"/>
      <c r="AP681" s="562"/>
      <c r="AQ681" s="562"/>
      <c r="AR681" s="190" t="str">
        <f>SUBSTITUTE(SUBSTITUTE(SUBSTITUTE("vnt"&amp;$B681&amp;$C681&amp;$D681&amp;$E681&amp;$F681,".","_"),"(","_"),")","")</f>
        <v>vnt610_1_2_1_e</v>
      </c>
      <c r="AS681" s="190">
        <f>X681</f>
        <v>0</v>
      </c>
    </row>
    <row r="682" spans="1:45" x14ac:dyDescent="0.2">
      <c r="A682" s="541">
        <v>6</v>
      </c>
      <c r="B682" s="549" t="s">
        <v>2737</v>
      </c>
      <c r="C682" s="544"/>
      <c r="D682" s="544"/>
      <c r="E682" s="544"/>
      <c r="F682" s="544" t="s">
        <v>2540</v>
      </c>
      <c r="G682" s="543" t="str">
        <f t="shared" ca="1" si="196"/>
        <v/>
      </c>
      <c r="H682" s="545" t="s">
        <v>3757</v>
      </c>
      <c r="I682" s="99"/>
      <c r="J682" s="98"/>
      <c r="K682" s="61" t="s">
        <v>2540</v>
      </c>
      <c r="L682" s="65" t="s">
        <v>2730</v>
      </c>
      <c r="M682" s="840"/>
      <c r="N682" s="648"/>
      <c r="O682" s="648"/>
      <c r="P682" s="562"/>
      <c r="Q682" s="562"/>
      <c r="R682" s="562"/>
      <c r="S682" s="562"/>
      <c r="T682" s="562"/>
      <c r="U682" s="64"/>
      <c r="V682" s="562"/>
      <c r="W682" s="726"/>
      <c r="X682" s="787"/>
      <c r="Y682" s="980"/>
      <c r="Z682" s="983"/>
      <c r="AA682" s="562"/>
      <c r="AB682" s="562"/>
      <c r="AC682" s="562"/>
      <c r="AD682" s="562"/>
      <c r="AE682" s="562"/>
      <c r="AF682" s="562"/>
      <c r="AG682" s="562"/>
      <c r="AH682" s="562"/>
      <c r="AI682" s="562"/>
      <c r="AJ682" s="562"/>
      <c r="AK682" s="562"/>
      <c r="AL682" s="562"/>
      <c r="AM682" s="562"/>
      <c r="AN682" s="562"/>
      <c r="AO682" s="562"/>
      <c r="AP682" s="562"/>
      <c r="AQ682" s="562"/>
      <c r="AR682" s="562"/>
      <c r="AS682" s="562"/>
    </row>
    <row r="683" spans="1:45" x14ac:dyDescent="0.2">
      <c r="A683" s="541">
        <v>6</v>
      </c>
      <c r="B683" s="549" t="s">
        <v>2737</v>
      </c>
      <c r="C683" s="544"/>
      <c r="D683" s="544"/>
      <c r="E683" s="544" t="s">
        <v>2331</v>
      </c>
      <c r="F683" s="544"/>
      <c r="G683" s="543" t="str">
        <f t="shared" ca="1" si="196"/>
        <v/>
      </c>
      <c r="H683" s="541" t="s">
        <v>3757</v>
      </c>
      <c r="I683" s="99"/>
      <c r="J683" s="98"/>
      <c r="K683" s="64"/>
      <c r="L683" s="846" t="s">
        <v>2743</v>
      </c>
      <c r="M683" s="840"/>
      <c r="N683" s="648"/>
      <c r="O683" s="648"/>
      <c r="P683" s="562" t="b">
        <v>1</v>
      </c>
      <c r="Q683" s="562" t="b">
        <v>0</v>
      </c>
      <c r="R683" s="562" t="b">
        <v>0</v>
      </c>
      <c r="S683" s="562" t="b">
        <f>COUNTIF(W652:W668,TRUE)&lt;1</f>
        <v>1</v>
      </c>
      <c r="T683" s="64" t="b">
        <f>IF(AND(NOT(S683),LEN(W683)&gt;0),TRUE,FALSE)</f>
        <v>0</v>
      </c>
      <c r="U683" s="64" t="str">
        <f>SUBSTITUTE(SUBSTITUTE(SUBSTITUTE("dd"&amp;B683&amp;C683&amp;D683&amp;E683&amp;F683,".","_"),"(","_"),")","")</f>
        <v>dd610_1_2_1b</v>
      </c>
      <c r="V683" s="562"/>
      <c r="W683" s="6"/>
      <c r="X683" s="787"/>
      <c r="Y683" s="980"/>
      <c r="Z683" s="983"/>
      <c r="AA683" s="562"/>
      <c r="AB683" s="562"/>
      <c r="AC683" s="562" t="b">
        <f>OR(AD683:AE683)</f>
        <v>0</v>
      </c>
      <c r="AD683" s="562" t="b">
        <f>T683</f>
        <v>0</v>
      </c>
      <c r="AE683" s="562" t="b">
        <f>AND(NOT(ISBLANK(W683)),LEN(X681)=0)</f>
        <v>0</v>
      </c>
      <c r="AF683" s="562" t="b">
        <f>AND(AE683,NOT(Q683))</f>
        <v>0</v>
      </c>
      <c r="AG683" s="562"/>
      <c r="AH683" s="562"/>
      <c r="AI683" s="562"/>
      <c r="AJ683" s="562"/>
      <c r="AK683" s="562"/>
      <c r="AL683" s="562"/>
      <c r="AM683" s="562"/>
      <c r="AN683" s="562"/>
      <c r="AO683" s="562"/>
      <c r="AP683" s="190" t="str">
        <f>SUBSTITUTE(SUBSTITUTE(SUBSTITUTE("vch"&amp;$B683&amp;$C683&amp;$D683&amp;$E683&amp;$F683,".","_"),"(","_"),")","")</f>
        <v>vch610_1_2_1b</v>
      </c>
      <c r="AQ683" s="190">
        <f>W683</f>
        <v>0</v>
      </c>
      <c r="AR683" s="562"/>
      <c r="AS683" s="562"/>
    </row>
    <row r="684" spans="1:45" x14ac:dyDescent="0.2">
      <c r="A684" s="541">
        <v>6</v>
      </c>
      <c r="B684" s="549" t="s">
        <v>2737</v>
      </c>
      <c r="C684" s="544"/>
      <c r="D684" s="544"/>
      <c r="E684" s="544"/>
      <c r="F684" s="544"/>
      <c r="G684" s="543" t="str">
        <f t="shared" ca="1" si="196"/>
        <v/>
      </c>
      <c r="H684" s="541" t="s">
        <v>3757</v>
      </c>
      <c r="I684" s="99"/>
      <c r="J684" s="98"/>
      <c r="K684" s="631"/>
      <c r="L684" s="846"/>
      <c r="M684" s="840"/>
      <c r="N684" s="648"/>
      <c r="O684" s="648"/>
      <c r="P684" s="562"/>
      <c r="Q684" s="562"/>
      <c r="R684" s="1">
        <f ca="1">3*IFERROR(MATCH(W683,INDIRECT(U683),0),0)*S683</f>
        <v>0</v>
      </c>
      <c r="S684" s="562"/>
      <c r="T684" s="562"/>
      <c r="U684" s="562"/>
      <c r="V684" s="562"/>
      <c r="W684" s="562"/>
      <c r="X684" s="787"/>
      <c r="Y684" s="980"/>
      <c r="Z684" s="983"/>
      <c r="AA684" s="562"/>
      <c r="AB684" s="562"/>
      <c r="AC684" s="562"/>
      <c r="AD684" s="562"/>
      <c r="AE684" s="562"/>
      <c r="AF684" s="562"/>
      <c r="AG684" s="562"/>
      <c r="AH684" s="562"/>
      <c r="AI684" s="562"/>
      <c r="AJ684" s="562"/>
      <c r="AK684" s="562"/>
      <c r="AL684" s="562"/>
      <c r="AM684" s="562"/>
      <c r="AN684" s="562"/>
      <c r="AO684" s="562"/>
      <c r="AP684" s="562"/>
      <c r="AQ684" s="562"/>
      <c r="AR684" s="562"/>
      <c r="AS684" s="562"/>
    </row>
    <row r="685" spans="1:45" x14ac:dyDescent="0.2">
      <c r="A685" s="541">
        <v>6</v>
      </c>
      <c r="B685" s="549" t="s">
        <v>2737</v>
      </c>
      <c r="C685" s="544"/>
      <c r="D685" s="544"/>
      <c r="E685" s="544"/>
      <c r="F685" s="544"/>
      <c r="G685" s="543" t="str">
        <f t="shared" ca="1" si="196"/>
        <v/>
      </c>
      <c r="H685" s="541" t="s">
        <v>3757</v>
      </c>
      <c r="I685" s="99"/>
      <c r="J685" s="98"/>
      <c r="K685" s="631"/>
      <c r="L685" s="846"/>
      <c r="M685" s="840"/>
      <c r="N685" s="648"/>
      <c r="O685" s="648"/>
      <c r="P685" s="562"/>
      <c r="Q685" s="562"/>
      <c r="R685" s="562"/>
      <c r="S685" s="562"/>
      <c r="T685" s="562"/>
      <c r="U685" s="562"/>
      <c r="V685" s="562"/>
      <c r="W685" s="562"/>
      <c r="X685" s="787"/>
      <c r="Y685" s="980"/>
      <c r="Z685" s="983"/>
      <c r="AA685" s="562"/>
      <c r="AB685" s="562"/>
      <c r="AC685" s="562"/>
      <c r="AD685" s="562"/>
      <c r="AE685" s="562"/>
      <c r="AF685" s="562"/>
      <c r="AG685" s="562"/>
      <c r="AH685" s="562"/>
      <c r="AI685" s="562"/>
      <c r="AJ685" s="562"/>
      <c r="AK685" s="562"/>
      <c r="AL685" s="562"/>
      <c r="AM685" s="562"/>
      <c r="AN685" s="562"/>
      <c r="AO685" s="562"/>
      <c r="AP685" s="562"/>
      <c r="AQ685" s="562"/>
      <c r="AR685" s="562"/>
      <c r="AS685" s="562"/>
    </row>
    <row r="686" spans="1:45" x14ac:dyDescent="0.2">
      <c r="A686" s="541">
        <v>6</v>
      </c>
      <c r="B686" s="549" t="s">
        <v>2737</v>
      </c>
      <c r="C686" s="544"/>
      <c r="D686" s="544"/>
      <c r="E686" s="544"/>
      <c r="F686" s="544"/>
      <c r="G686" s="543" t="str">
        <f t="shared" ca="1" si="196"/>
        <v/>
      </c>
      <c r="H686" s="541" t="s">
        <v>3757</v>
      </c>
      <c r="I686" s="99"/>
      <c r="J686" s="98"/>
      <c r="K686" s="631"/>
      <c r="L686" s="849" t="s">
        <v>2744</v>
      </c>
      <c r="M686" s="840"/>
      <c r="N686" s="648"/>
      <c r="O686" s="648"/>
      <c r="P686" s="562"/>
      <c r="Q686" s="562"/>
      <c r="R686" s="562"/>
      <c r="S686" s="562"/>
      <c r="T686" s="562"/>
      <c r="U686" s="562"/>
      <c r="V686" s="562"/>
      <c r="W686" s="562"/>
      <c r="X686" s="787"/>
      <c r="Y686" s="980"/>
      <c r="Z686" s="983"/>
      <c r="AA686" s="562"/>
      <c r="AB686" s="562"/>
      <c r="AC686" s="562"/>
      <c r="AD686" s="562"/>
      <c r="AE686" s="562"/>
      <c r="AF686" s="562"/>
      <c r="AG686" s="562"/>
      <c r="AH686" s="562"/>
      <c r="AI686" s="562"/>
      <c r="AJ686" s="562"/>
      <c r="AK686" s="562"/>
      <c r="AL686" s="562"/>
      <c r="AM686" s="562"/>
      <c r="AN686" s="562"/>
      <c r="AO686" s="562"/>
      <c r="AP686" s="562"/>
      <c r="AQ686" s="562"/>
      <c r="AR686" s="562"/>
      <c r="AS686" s="562"/>
    </row>
    <row r="687" spans="1:45" x14ac:dyDescent="0.2">
      <c r="A687" s="541">
        <v>6</v>
      </c>
      <c r="B687" s="549" t="s">
        <v>2737</v>
      </c>
      <c r="C687" s="544"/>
      <c r="D687" s="544"/>
      <c r="E687" s="544"/>
      <c r="F687" s="544"/>
      <c r="G687" s="543" t="str">
        <f t="shared" ca="1" si="196"/>
        <v/>
      </c>
      <c r="H687" s="541" t="s">
        <v>3757</v>
      </c>
      <c r="I687" s="170"/>
      <c r="J687" s="165"/>
      <c r="K687" s="637"/>
      <c r="L687" s="850"/>
      <c r="M687" s="841"/>
      <c r="N687" s="648"/>
      <c r="O687" s="648"/>
      <c r="P687" s="562"/>
      <c r="Q687" s="562"/>
      <c r="R687" s="562"/>
      <c r="S687" s="562"/>
      <c r="T687" s="562"/>
      <c r="U687" s="562"/>
      <c r="V687" s="562"/>
      <c r="W687" s="562"/>
      <c r="X687" s="787"/>
      <c r="Y687" s="980"/>
      <c r="Z687" s="983"/>
      <c r="AA687" s="562"/>
      <c r="AB687" s="562"/>
      <c r="AC687" s="562"/>
      <c r="AD687" s="562"/>
      <c r="AE687" s="562"/>
      <c r="AF687" s="562"/>
      <c r="AG687" s="562"/>
      <c r="AH687" s="562"/>
      <c r="AI687" s="562"/>
      <c r="AJ687" s="562"/>
      <c r="AK687" s="562"/>
      <c r="AL687" s="562"/>
      <c r="AM687" s="562"/>
      <c r="AN687" s="562"/>
      <c r="AO687" s="562"/>
      <c r="AP687" s="562"/>
      <c r="AQ687" s="562"/>
      <c r="AR687" s="562"/>
      <c r="AS687" s="562"/>
    </row>
    <row r="688" spans="1:45" x14ac:dyDescent="0.2">
      <c r="A688" s="541">
        <v>6</v>
      </c>
      <c r="B688" s="549" t="s">
        <v>2745</v>
      </c>
      <c r="C688" s="544"/>
      <c r="D688" s="544"/>
      <c r="E688" s="544" t="s">
        <v>2329</v>
      </c>
      <c r="F688" s="544"/>
      <c r="G688" s="543" t="str">
        <f t="shared" ca="1" si="196"/>
        <v/>
      </c>
      <c r="H688" s="541" t="s">
        <v>3757</v>
      </c>
      <c r="I688" s="40" t="s">
        <v>2746</v>
      </c>
      <c r="J688" s="3"/>
      <c r="K688" s="53"/>
      <c r="L688" s="775" t="s">
        <v>2747</v>
      </c>
      <c r="M688" s="842" t="s">
        <v>2748</v>
      </c>
      <c r="N688" s="648"/>
      <c r="O688" s="648"/>
      <c r="P688" s="562"/>
      <c r="Q688" s="562"/>
      <c r="R688" s="562">
        <f ca="1">COUNTIF(W689:W707,INDEX(INDIRECT(U689),1))*S689</f>
        <v>0</v>
      </c>
      <c r="S688" s="562">
        <f ca="1">COUNTIF(W689:W707,INDEX(INDIRECT(U689),2))*S689</f>
        <v>0</v>
      </c>
      <c r="T688" s="562"/>
      <c r="U688" s="562"/>
      <c r="V688" s="562"/>
      <c r="W688" s="562" t="s">
        <v>2749</v>
      </c>
      <c r="X688" s="787"/>
      <c r="Y688" s="980" t="str">
        <f>IF(LEN('Ch6'!X449)=0,"None",'Ch6'!X449)</f>
        <v>None</v>
      </c>
      <c r="Z688" s="983"/>
      <c r="AA688" s="562"/>
      <c r="AB688" s="562"/>
      <c r="AC688" s="562"/>
      <c r="AD688" s="562"/>
      <c r="AE688" s="562"/>
      <c r="AF688" s="562"/>
      <c r="AG688" s="562"/>
      <c r="AH688" s="562"/>
      <c r="AI688" s="562"/>
      <c r="AJ688" s="562"/>
      <c r="AK688" s="562"/>
      <c r="AL688" s="190" t="str">
        <f t="shared" ref="AL688" si="198">SUBSTITUTE(SUBSTITUTE(SUBSTITUTE("vpa"&amp;$B688&amp;$C688&amp;$D688&amp;$E688&amp;$F688,".","_"),"(","_"),")","")</f>
        <v>vpa610_1_2_2a</v>
      </c>
      <c r="AM688" s="190" t="str">
        <f>M688</f>
        <v>per Table 11.610.1.2.2
10 Max</v>
      </c>
      <c r="AN688" s="562"/>
      <c r="AO688" s="562"/>
      <c r="AP688" s="562"/>
      <c r="AQ688" s="562"/>
      <c r="AR688" s="190" t="str">
        <f>SUBSTITUTE(SUBSTITUTE(SUBSTITUTE("vnt"&amp;$B688&amp;$C688&amp;$D688&amp;$E688&amp;$F688,".","_"),"(","_"),")","")</f>
        <v>vnt610_1_2_2a</v>
      </c>
      <c r="AS688" s="190">
        <f>X688</f>
        <v>0</v>
      </c>
    </row>
    <row r="689" spans="1:45" x14ac:dyDescent="0.2">
      <c r="A689" s="541">
        <v>6</v>
      </c>
      <c r="B689" s="549" t="s">
        <v>2745</v>
      </c>
      <c r="C689" s="544"/>
      <c r="D689" s="544"/>
      <c r="E689" s="544" t="s">
        <v>2329</v>
      </c>
      <c r="F689" s="544"/>
      <c r="G689" s="543" t="str">
        <f t="shared" ca="1" si="196"/>
        <v/>
      </c>
      <c r="H689" s="541" t="s">
        <v>3757</v>
      </c>
      <c r="I689" s="40"/>
      <c r="J689" s="3"/>
      <c r="K689" s="53"/>
      <c r="L689" s="775"/>
      <c r="M689" s="842"/>
      <c r="N689" s="648"/>
      <c r="O689" s="648"/>
      <c r="P689" s="562" t="b">
        <v>1</v>
      </c>
      <c r="Q689" s="562" t="b">
        <v>0</v>
      </c>
      <c r="R689" s="562" t="b">
        <v>0</v>
      </c>
      <c r="S689" s="562" t="b">
        <f>COUNTIF(W652:W668,TRUE)&lt;1</f>
        <v>1</v>
      </c>
      <c r="T689" s="64" t="b">
        <f>IF(AND(NOT(S689),LEN(W689)&gt;0),TRUE,FALSE)</f>
        <v>0</v>
      </c>
      <c r="U689" s="64" t="str">
        <f>SUBSTITUTE(SUBSTITUTE(SUBSTITUTE("dd"&amp;B689&amp;C689&amp;D689&amp;E689&amp;F689,".","_"),"(","_"),")","")</f>
        <v>dd610_1_2_2a</v>
      </c>
      <c r="V689" s="562"/>
      <c r="W689" s="6"/>
      <c r="X689" s="787"/>
      <c r="Y689" s="980"/>
      <c r="Z689" s="983"/>
      <c r="AA689" s="562"/>
      <c r="AB689" s="562"/>
      <c r="AC689" s="562" t="b">
        <f>OR(AD689:AE689)</f>
        <v>0</v>
      </c>
      <c r="AD689" s="562" t="b">
        <f>T689</f>
        <v>0</v>
      </c>
      <c r="AE689" s="562" t="b">
        <f>AND(NOT(ISBLANK(W689)),LEN(X688)=0)</f>
        <v>0</v>
      </c>
      <c r="AF689" s="562" t="b">
        <f>AND(AE689,NOT(Q689))</f>
        <v>0</v>
      </c>
      <c r="AG689" s="562"/>
      <c r="AH689" s="562"/>
      <c r="AI689" s="562"/>
      <c r="AJ689" s="562"/>
      <c r="AK689" s="562"/>
      <c r="AL689" s="562"/>
      <c r="AM689" s="562"/>
      <c r="AN689" s="562"/>
      <c r="AO689" s="562"/>
      <c r="AP689" s="190" t="str">
        <f>SUBSTITUTE(SUBSTITUTE(SUBSTITUTE("vch"&amp;$B689&amp;$C689&amp;$D689&amp;$E689&amp;$F689,".","_"),"(","_"),")","")</f>
        <v>vch610_1_2_2a</v>
      </c>
      <c r="AQ689" s="190">
        <f>W689</f>
        <v>0</v>
      </c>
      <c r="AR689" s="562"/>
      <c r="AS689" s="562"/>
    </row>
    <row r="690" spans="1:45" x14ac:dyDescent="0.2">
      <c r="A690" s="541">
        <v>6</v>
      </c>
      <c r="B690" s="549" t="s">
        <v>2745</v>
      </c>
      <c r="C690" s="544"/>
      <c r="D690" s="544"/>
      <c r="E690" s="544"/>
      <c r="F690" s="544"/>
      <c r="G690" s="543" t="str">
        <f t="shared" ca="1" si="196"/>
        <v/>
      </c>
      <c r="H690" s="541" t="s">
        <v>3757</v>
      </c>
      <c r="I690" s="40"/>
      <c r="J690" s="3"/>
      <c r="K690" s="53"/>
      <c r="L690" s="775"/>
      <c r="M690" s="842"/>
      <c r="N690" s="648"/>
      <c r="O690" s="648"/>
      <c r="P690" s="562"/>
      <c r="Q690" s="562"/>
      <c r="R690" s="562"/>
      <c r="S690" s="562"/>
      <c r="T690" s="562"/>
      <c r="U690" s="562"/>
      <c r="V690" s="562"/>
      <c r="W690" s="562"/>
      <c r="X690" s="787"/>
      <c r="Y690" s="980"/>
      <c r="Z690" s="983"/>
      <c r="AA690" s="562"/>
      <c r="AB690" s="562"/>
      <c r="AC690" s="562"/>
      <c r="AD690" s="562"/>
      <c r="AE690" s="562"/>
      <c r="AF690" s="562"/>
      <c r="AG690" s="562"/>
      <c r="AH690" s="562"/>
      <c r="AI690" s="562"/>
      <c r="AJ690" s="562"/>
      <c r="AK690" s="562"/>
      <c r="AL690" s="562"/>
      <c r="AM690" s="562"/>
      <c r="AN690" s="562"/>
      <c r="AO690" s="562"/>
      <c r="AP690" s="562"/>
      <c r="AQ690" s="562"/>
      <c r="AR690" s="562"/>
      <c r="AS690" s="562"/>
    </row>
    <row r="691" spans="1:45" x14ac:dyDescent="0.2">
      <c r="A691" s="541">
        <v>6</v>
      </c>
      <c r="B691" s="549" t="s">
        <v>2745</v>
      </c>
      <c r="C691" s="544"/>
      <c r="D691" s="544"/>
      <c r="E691" s="544"/>
      <c r="F691" s="544"/>
      <c r="G691" s="543" t="str">
        <f t="shared" ca="1" si="196"/>
        <v/>
      </c>
      <c r="H691" s="541" t="s">
        <v>3757</v>
      </c>
      <c r="I691" s="40"/>
      <c r="J691" s="3"/>
      <c r="K691" s="53"/>
      <c r="L691" s="775"/>
      <c r="M691" s="842"/>
      <c r="N691" s="648"/>
      <c r="O691" s="648"/>
      <c r="P691" s="562"/>
      <c r="Q691" s="562"/>
      <c r="R691" s="562"/>
      <c r="S691" s="562"/>
      <c r="T691" s="562"/>
      <c r="U691" s="562"/>
      <c r="V691" s="562"/>
      <c r="W691" s="562"/>
      <c r="X691" s="787"/>
      <c r="Y691" s="980"/>
      <c r="Z691" s="983"/>
      <c r="AA691" s="562"/>
      <c r="AB691" s="562"/>
      <c r="AC691" s="562"/>
      <c r="AD691" s="562"/>
      <c r="AE691" s="562"/>
      <c r="AF691" s="562"/>
      <c r="AG691" s="562"/>
      <c r="AH691" s="562"/>
      <c r="AI691" s="562"/>
      <c r="AJ691" s="562"/>
      <c r="AK691" s="562"/>
      <c r="AL691" s="562"/>
      <c r="AM691" s="562"/>
      <c r="AN691" s="562"/>
      <c r="AO691" s="562"/>
      <c r="AP691" s="562"/>
      <c r="AQ691" s="562"/>
      <c r="AR691" s="562"/>
      <c r="AS691" s="562"/>
    </row>
    <row r="692" spans="1:45" x14ac:dyDescent="0.2">
      <c r="A692" s="541">
        <v>6</v>
      </c>
      <c r="B692" s="549" t="s">
        <v>2745</v>
      </c>
      <c r="C692" s="544"/>
      <c r="D692" s="544"/>
      <c r="E692" s="544"/>
      <c r="F692" s="544"/>
      <c r="G692" s="543" t="str">
        <f t="shared" ca="1" si="196"/>
        <v/>
      </c>
      <c r="H692" s="541" t="s">
        <v>3757</v>
      </c>
      <c r="I692" s="40"/>
      <c r="J692" s="3"/>
      <c r="K692" s="53"/>
      <c r="L692" s="775"/>
      <c r="M692" s="842"/>
      <c r="N692" s="648"/>
      <c r="O692" s="648"/>
      <c r="P692" s="562"/>
      <c r="Q692" s="562"/>
      <c r="R692" s="562"/>
      <c r="S692" s="562"/>
      <c r="T692" s="562"/>
      <c r="U692" s="562"/>
      <c r="V692" s="562"/>
      <c r="W692" s="562"/>
      <c r="X692" s="787"/>
      <c r="Y692" s="980"/>
      <c r="Z692" s="983"/>
      <c r="AA692" s="562"/>
      <c r="AB692" s="562"/>
      <c r="AC692" s="562"/>
      <c r="AD692" s="562"/>
      <c r="AE692" s="562"/>
      <c r="AF692" s="562"/>
      <c r="AG692" s="562"/>
      <c r="AH692" s="562"/>
      <c r="AI692" s="562"/>
      <c r="AJ692" s="562"/>
      <c r="AK692" s="562"/>
      <c r="AL692" s="562"/>
      <c r="AM692" s="562"/>
      <c r="AN692" s="562"/>
      <c r="AO692" s="562"/>
      <c r="AP692" s="562"/>
      <c r="AQ692" s="562"/>
      <c r="AR692" s="562"/>
      <c r="AS692" s="562"/>
    </row>
    <row r="693" spans="1:45" x14ac:dyDescent="0.2">
      <c r="A693" s="541">
        <v>6</v>
      </c>
      <c r="B693" s="549" t="s">
        <v>2745</v>
      </c>
      <c r="C693" s="544"/>
      <c r="D693" s="544"/>
      <c r="E693" s="544"/>
      <c r="F693" s="544"/>
      <c r="G693" s="543" t="str">
        <f t="shared" ca="1" si="196"/>
        <v/>
      </c>
      <c r="H693" s="541" t="s">
        <v>3757</v>
      </c>
      <c r="I693" s="40"/>
      <c r="J693" s="3"/>
      <c r="K693" s="53"/>
      <c r="L693" s="775"/>
      <c r="M693" s="842"/>
      <c r="N693" s="648"/>
      <c r="O693" s="648"/>
      <c r="P693" s="562"/>
      <c r="Q693" s="562"/>
      <c r="R693" s="562"/>
      <c r="S693" s="562"/>
      <c r="T693" s="562"/>
      <c r="U693" s="562"/>
      <c r="V693" s="562"/>
      <c r="W693" s="562"/>
      <c r="X693" s="787"/>
      <c r="Y693" s="980"/>
      <c r="Z693" s="983"/>
      <c r="AA693" s="562"/>
      <c r="AB693" s="562"/>
      <c r="AC693" s="562"/>
      <c r="AD693" s="562"/>
      <c r="AE693" s="562"/>
      <c r="AF693" s="562"/>
      <c r="AG693" s="562"/>
      <c r="AH693" s="562"/>
      <c r="AI693" s="562"/>
      <c r="AJ693" s="562"/>
      <c r="AK693" s="562"/>
      <c r="AL693" s="562"/>
      <c r="AM693" s="562"/>
      <c r="AN693" s="562"/>
      <c r="AO693" s="562"/>
      <c r="AP693" s="562"/>
      <c r="AQ693" s="562"/>
      <c r="AR693" s="562"/>
      <c r="AS693" s="562"/>
    </row>
    <row r="694" spans="1:45" x14ac:dyDescent="0.2">
      <c r="A694" s="541">
        <v>6</v>
      </c>
      <c r="B694" s="549" t="s">
        <v>2745</v>
      </c>
      <c r="C694" s="544"/>
      <c r="D694" s="544"/>
      <c r="E694" s="544" t="s">
        <v>2331</v>
      </c>
      <c r="F694" s="544"/>
      <c r="G694" s="543" t="str">
        <f t="shared" ca="1" si="196"/>
        <v/>
      </c>
      <c r="H694" s="541" t="s">
        <v>3757</v>
      </c>
      <c r="I694" s="40"/>
      <c r="J694" s="3"/>
      <c r="K694" s="53"/>
      <c r="L694" s="775"/>
      <c r="M694" s="842"/>
      <c r="N694" s="648"/>
      <c r="O694" s="648"/>
      <c r="P694" s="562"/>
      <c r="Q694" s="562"/>
      <c r="R694" s="562"/>
      <c r="S694" s="562"/>
      <c r="T694" s="562"/>
      <c r="U694" s="562"/>
      <c r="V694" s="562"/>
      <c r="W694" s="562" t="s">
        <v>2750</v>
      </c>
      <c r="X694" s="787"/>
      <c r="Y694" s="980" t="str">
        <f>IF(LEN('Ch6'!X455)=0,"None",'Ch6'!X455)</f>
        <v>None</v>
      </c>
      <c r="Z694" s="983"/>
      <c r="AA694" s="562"/>
      <c r="AB694" s="562"/>
      <c r="AC694" s="562"/>
      <c r="AD694" s="562"/>
      <c r="AE694" s="562"/>
      <c r="AF694" s="562"/>
      <c r="AG694" s="562"/>
      <c r="AH694" s="562"/>
      <c r="AI694" s="562"/>
      <c r="AJ694" s="562"/>
      <c r="AK694" s="562"/>
      <c r="AL694" s="562"/>
      <c r="AM694" s="562"/>
      <c r="AN694" s="562"/>
      <c r="AO694" s="562"/>
      <c r="AP694" s="562"/>
      <c r="AQ694" s="562"/>
      <c r="AR694" s="190" t="str">
        <f>SUBSTITUTE(SUBSTITUTE(SUBSTITUTE("vnt"&amp;$B694&amp;$C694&amp;$D694&amp;$E694&amp;$F694,".","_"),"(","_"),")","")</f>
        <v>vnt610_1_2_2b</v>
      </c>
      <c r="AS694" s="190">
        <f>X694</f>
        <v>0</v>
      </c>
    </row>
    <row r="695" spans="1:45" x14ac:dyDescent="0.2">
      <c r="A695" s="541">
        <v>6</v>
      </c>
      <c r="B695" s="549" t="s">
        <v>2745</v>
      </c>
      <c r="C695" s="544"/>
      <c r="D695" s="544"/>
      <c r="E695" s="544" t="s">
        <v>2331</v>
      </c>
      <c r="F695" s="544"/>
      <c r="G695" s="543" t="str">
        <f t="shared" ca="1" si="196"/>
        <v/>
      </c>
      <c r="H695" s="541" t="s">
        <v>3757</v>
      </c>
      <c r="I695" s="40"/>
      <c r="J695" s="3"/>
      <c r="K695" s="53"/>
      <c r="L695" s="775"/>
      <c r="M695" s="842"/>
      <c r="N695" s="648"/>
      <c r="O695" s="648"/>
      <c r="P695" s="562" t="b">
        <v>1</v>
      </c>
      <c r="Q695" s="562" t="b">
        <v>0</v>
      </c>
      <c r="R695" s="562" t="b">
        <v>0</v>
      </c>
      <c r="S695" s="562" t="b">
        <f>COUNTIF(W652:W668,TRUE)&lt;1</f>
        <v>1</v>
      </c>
      <c r="T695" s="64" t="b">
        <f>IF(AND(NOT(S695),LEN(W695)&gt;0),TRUE,FALSE)</f>
        <v>0</v>
      </c>
      <c r="U695" s="64" t="str">
        <f>SUBSTITUTE(SUBSTITUTE(SUBSTITUTE("dd"&amp;B695&amp;C695&amp;D695&amp;E695&amp;F695,".","_"),"(","_"),")","")</f>
        <v>dd610_1_2_2b</v>
      </c>
      <c r="V695" s="562"/>
      <c r="W695" s="6"/>
      <c r="X695" s="787"/>
      <c r="Y695" s="980"/>
      <c r="Z695" s="983"/>
      <c r="AA695" s="562"/>
      <c r="AB695" s="562"/>
      <c r="AC695" s="562" t="b">
        <f>OR(AD695:AE695)</f>
        <v>0</v>
      </c>
      <c r="AD695" s="562" t="b">
        <f>T695</f>
        <v>0</v>
      </c>
      <c r="AE695" s="562" t="b">
        <f>AND(NOT(ISBLANK(W695)),LEN(X694)=0)</f>
        <v>0</v>
      </c>
      <c r="AF695" s="562" t="b">
        <f>AND(AE695,NOT(Q695))</f>
        <v>0</v>
      </c>
      <c r="AG695" s="562"/>
      <c r="AH695" s="562"/>
      <c r="AI695" s="562"/>
      <c r="AJ695" s="562"/>
      <c r="AK695" s="562"/>
      <c r="AL695" s="562"/>
      <c r="AM695" s="562"/>
      <c r="AN695" s="562"/>
      <c r="AO695" s="562"/>
      <c r="AP695" s="190" t="str">
        <f>SUBSTITUTE(SUBSTITUTE(SUBSTITUTE("vch"&amp;$B695&amp;$C695&amp;$D695&amp;$E695&amp;$F695,".","_"),"(","_"),")","")</f>
        <v>vch610_1_2_2b</v>
      </c>
      <c r="AQ695" s="190">
        <f>W695</f>
        <v>0</v>
      </c>
      <c r="AR695" s="562"/>
      <c r="AS695" s="562"/>
    </row>
    <row r="696" spans="1:45" x14ac:dyDescent="0.2">
      <c r="A696" s="541">
        <v>6</v>
      </c>
      <c r="B696" s="549" t="s">
        <v>2745</v>
      </c>
      <c r="C696" s="544"/>
      <c r="D696" s="544"/>
      <c r="E696" s="544"/>
      <c r="F696" s="544" t="s">
        <v>2196</v>
      </c>
      <c r="G696" s="543" t="str">
        <f t="shared" ca="1" si="196"/>
        <v/>
      </c>
      <c r="H696" s="545" t="s">
        <v>3757</v>
      </c>
      <c r="I696" s="40"/>
      <c r="J696" s="3"/>
      <c r="K696" s="57" t="s">
        <v>2196</v>
      </c>
      <c r="L696" s="53" t="s">
        <v>2751</v>
      </c>
      <c r="M696" s="842"/>
      <c r="N696" s="648"/>
      <c r="O696" s="648"/>
      <c r="P696" s="562"/>
      <c r="Q696" s="562"/>
      <c r="R696" s="562"/>
      <c r="S696" s="562"/>
      <c r="T696" s="562"/>
      <c r="U696" s="64"/>
      <c r="V696" s="562"/>
      <c r="W696" s="562"/>
      <c r="X696" s="787"/>
      <c r="Y696" s="980"/>
      <c r="Z696" s="983"/>
      <c r="AA696" s="562"/>
      <c r="AB696" s="562"/>
      <c r="AC696" s="562"/>
      <c r="AD696" s="562"/>
      <c r="AE696" s="562"/>
      <c r="AF696" s="562"/>
      <c r="AG696" s="562"/>
      <c r="AH696" s="562"/>
      <c r="AI696" s="562"/>
      <c r="AJ696" s="562"/>
      <c r="AK696" s="562"/>
      <c r="AL696" s="562"/>
      <c r="AM696" s="562"/>
      <c r="AN696" s="562"/>
      <c r="AO696" s="562"/>
      <c r="AP696" s="562"/>
      <c r="AQ696" s="562"/>
      <c r="AR696" s="562"/>
      <c r="AS696" s="562"/>
    </row>
    <row r="697" spans="1:45" x14ac:dyDescent="0.2">
      <c r="A697" s="541">
        <v>6</v>
      </c>
      <c r="B697" s="549" t="s">
        <v>2745</v>
      </c>
      <c r="C697" s="544"/>
      <c r="D697" s="544"/>
      <c r="E697" s="544"/>
      <c r="F697" s="544" t="s">
        <v>2198</v>
      </c>
      <c r="G697" s="543" t="str">
        <f t="shared" ca="1" si="196"/>
        <v/>
      </c>
      <c r="H697" s="545" t="s">
        <v>3757</v>
      </c>
      <c r="I697" s="40"/>
      <c r="J697" s="3"/>
      <c r="K697" s="57" t="s">
        <v>2198</v>
      </c>
      <c r="L697" s="53" t="s">
        <v>2752</v>
      </c>
      <c r="M697" s="842"/>
      <c r="N697" s="648"/>
      <c r="O697" s="648"/>
      <c r="P697" s="562"/>
      <c r="Q697" s="562"/>
      <c r="R697" s="562"/>
      <c r="S697" s="562"/>
      <c r="T697" s="562"/>
      <c r="U697" s="64"/>
      <c r="V697" s="562"/>
      <c r="W697" s="562"/>
      <c r="X697" s="787"/>
      <c r="Y697" s="980"/>
      <c r="Z697" s="983"/>
      <c r="AA697" s="562"/>
      <c r="AB697" s="562"/>
      <c r="AC697" s="562"/>
      <c r="AD697" s="562"/>
      <c r="AE697" s="562"/>
      <c r="AF697" s="562"/>
      <c r="AG697" s="562"/>
      <c r="AH697" s="562"/>
      <c r="AI697" s="562"/>
      <c r="AJ697" s="562"/>
      <c r="AK697" s="562"/>
      <c r="AL697" s="562"/>
      <c r="AM697" s="562"/>
      <c r="AN697" s="562"/>
      <c r="AO697" s="562"/>
      <c r="AP697" s="562"/>
      <c r="AQ697" s="562"/>
      <c r="AR697" s="562"/>
      <c r="AS697" s="562"/>
    </row>
    <row r="698" spans="1:45" x14ac:dyDescent="0.2">
      <c r="A698" s="541">
        <v>6</v>
      </c>
      <c r="B698" s="549" t="s">
        <v>2745</v>
      </c>
      <c r="C698" s="544"/>
      <c r="D698" s="544"/>
      <c r="E698" s="544"/>
      <c r="F698" s="544" t="s">
        <v>2200</v>
      </c>
      <c r="G698" s="543" t="str">
        <f t="shared" ca="1" si="196"/>
        <v/>
      </c>
      <c r="H698" s="545" t="s">
        <v>3757</v>
      </c>
      <c r="I698" s="40"/>
      <c r="J698" s="3"/>
      <c r="K698" s="57" t="s">
        <v>2200</v>
      </c>
      <c r="L698" s="53" t="s">
        <v>2753</v>
      </c>
      <c r="M698" s="842"/>
      <c r="N698" s="648"/>
      <c r="O698" s="648"/>
      <c r="P698" s="562"/>
      <c r="Q698" s="562"/>
      <c r="R698" s="562"/>
      <c r="S698" s="562"/>
      <c r="T698" s="562"/>
      <c r="U698" s="64"/>
      <c r="V698" s="562"/>
      <c r="W698" s="562"/>
      <c r="X698" s="787"/>
      <c r="Y698" s="980"/>
      <c r="Z698" s="983"/>
      <c r="AA698" s="562"/>
      <c r="AB698" s="562"/>
      <c r="AC698" s="562"/>
      <c r="AD698" s="562"/>
      <c r="AE698" s="562"/>
      <c r="AF698" s="562"/>
      <c r="AG698" s="562"/>
      <c r="AH698" s="562"/>
      <c r="AI698" s="562"/>
      <c r="AJ698" s="562"/>
      <c r="AK698" s="562"/>
      <c r="AL698" s="562"/>
      <c r="AM698" s="562"/>
      <c r="AN698" s="562"/>
      <c r="AO698" s="562"/>
      <c r="AP698" s="562"/>
      <c r="AQ698" s="562"/>
      <c r="AR698" s="562"/>
      <c r="AS698" s="562"/>
    </row>
    <row r="699" spans="1:45" x14ac:dyDescent="0.2">
      <c r="A699" s="541">
        <v>6</v>
      </c>
      <c r="B699" s="549" t="s">
        <v>2745</v>
      </c>
      <c r="C699" s="544"/>
      <c r="D699" s="544"/>
      <c r="E699" s="544"/>
      <c r="F699" s="546" t="s">
        <v>2247</v>
      </c>
      <c r="G699" s="543" t="str">
        <f t="shared" ca="1" si="196"/>
        <v/>
      </c>
      <c r="H699" s="547" t="s">
        <v>3757</v>
      </c>
      <c r="I699" s="40"/>
      <c r="J699" s="3"/>
      <c r="K699" s="59" t="s">
        <v>2247</v>
      </c>
      <c r="L699" s="53" t="s">
        <v>2754</v>
      </c>
      <c r="M699" s="842"/>
      <c r="N699" s="648"/>
      <c r="O699" s="648"/>
      <c r="P699" s="562"/>
      <c r="Q699" s="562"/>
      <c r="R699" s="562"/>
      <c r="S699" s="562"/>
      <c r="T699" s="562"/>
      <c r="U699" s="64"/>
      <c r="V699" s="562"/>
      <c r="W699" s="562"/>
      <c r="X699" s="787"/>
      <c r="Y699" s="980"/>
      <c r="Z699" s="983"/>
      <c r="AA699" s="562"/>
      <c r="AB699" s="562"/>
      <c r="AC699" s="562"/>
      <c r="AD699" s="562"/>
      <c r="AE699" s="562"/>
      <c r="AF699" s="562"/>
      <c r="AG699" s="562"/>
      <c r="AH699" s="562"/>
      <c r="AI699" s="562"/>
      <c r="AJ699" s="562"/>
      <c r="AK699" s="562"/>
      <c r="AL699" s="562"/>
      <c r="AM699" s="562"/>
      <c r="AN699" s="562"/>
      <c r="AO699" s="562"/>
      <c r="AP699" s="562"/>
      <c r="AQ699" s="562"/>
      <c r="AR699" s="562"/>
      <c r="AS699" s="562"/>
    </row>
    <row r="700" spans="1:45" x14ac:dyDescent="0.2">
      <c r="A700" s="541">
        <v>6</v>
      </c>
      <c r="B700" s="549" t="s">
        <v>2745</v>
      </c>
      <c r="C700" s="544"/>
      <c r="D700" s="544"/>
      <c r="E700" s="544" t="s">
        <v>2333</v>
      </c>
      <c r="F700" s="544"/>
      <c r="G700" s="543" t="str">
        <f t="shared" ca="1" si="196"/>
        <v/>
      </c>
      <c r="H700" s="541" t="s">
        <v>3757</v>
      </c>
      <c r="I700" s="40"/>
      <c r="J700" s="3"/>
      <c r="K700" s="53"/>
      <c r="L700" s="848" t="s">
        <v>2755</v>
      </c>
      <c r="M700" s="842"/>
      <c r="N700" s="648"/>
      <c r="O700" s="648"/>
      <c r="P700" s="562"/>
      <c r="Q700" s="562"/>
      <c r="R700" s="562"/>
      <c r="S700" s="562"/>
      <c r="T700" s="562"/>
      <c r="U700" s="562"/>
      <c r="V700" s="562"/>
      <c r="W700" s="562" t="s">
        <v>2756</v>
      </c>
      <c r="X700" s="787"/>
      <c r="Y700" s="980" t="str">
        <f>IF(LEN('Ch6'!X461)=0,"None",'Ch6'!X461)</f>
        <v>None</v>
      </c>
      <c r="Z700" s="983"/>
      <c r="AA700" s="562"/>
      <c r="AB700" s="562"/>
      <c r="AC700" s="562"/>
      <c r="AD700" s="562"/>
      <c r="AE700" s="562"/>
      <c r="AF700" s="562"/>
      <c r="AG700" s="562"/>
      <c r="AH700" s="562"/>
      <c r="AI700" s="562"/>
      <c r="AJ700" s="562"/>
      <c r="AK700" s="562"/>
      <c r="AL700" s="562"/>
      <c r="AM700" s="562"/>
      <c r="AN700" s="562"/>
      <c r="AO700" s="562"/>
      <c r="AP700" s="562"/>
      <c r="AQ700" s="562"/>
      <c r="AR700" s="190" t="str">
        <f>SUBSTITUTE(SUBSTITUTE(SUBSTITUTE("vnt"&amp;$B700&amp;$C700&amp;$D700&amp;$E700&amp;$F700,".","_"),"(","_"),")","")</f>
        <v>vnt610_1_2_2c</v>
      </c>
      <c r="AS700" s="190">
        <f>X700</f>
        <v>0</v>
      </c>
    </row>
    <row r="701" spans="1:45" x14ac:dyDescent="0.2">
      <c r="A701" s="541">
        <v>6</v>
      </c>
      <c r="B701" s="549" t="s">
        <v>2745</v>
      </c>
      <c r="C701" s="544"/>
      <c r="D701" s="544"/>
      <c r="E701" s="544" t="s">
        <v>2333</v>
      </c>
      <c r="F701" s="544"/>
      <c r="G701" s="543" t="str">
        <f t="shared" ca="1" si="196"/>
        <v/>
      </c>
      <c r="H701" s="541" t="s">
        <v>3757</v>
      </c>
      <c r="I701" s="40"/>
      <c r="J701" s="3"/>
      <c r="K701" s="53"/>
      <c r="L701" s="848"/>
      <c r="M701" s="842"/>
      <c r="N701" s="648"/>
      <c r="O701" s="648"/>
      <c r="P701" s="562" t="b">
        <v>1</v>
      </c>
      <c r="Q701" s="562" t="b">
        <v>0</v>
      </c>
      <c r="R701" s="562" t="b">
        <v>0</v>
      </c>
      <c r="S701" s="562" t="b">
        <f>COUNTIF(W652:W668,TRUE)&lt;1</f>
        <v>1</v>
      </c>
      <c r="T701" s="64" t="b">
        <f>IF(AND(NOT(S701),LEN(W701)&gt;0),TRUE,FALSE)</f>
        <v>0</v>
      </c>
      <c r="U701" s="64" t="str">
        <f>SUBSTITUTE(SUBSTITUTE(SUBSTITUTE("dd"&amp;B701&amp;C701&amp;D701&amp;E701&amp;F701,".","_"),"(","_"),")","")</f>
        <v>dd610_1_2_2c</v>
      </c>
      <c r="V701" s="562"/>
      <c r="W701" s="6"/>
      <c r="X701" s="787"/>
      <c r="Y701" s="980"/>
      <c r="Z701" s="983"/>
      <c r="AA701" s="562"/>
      <c r="AB701" s="562"/>
      <c r="AC701" s="562" t="b">
        <f>OR(AD701:AE701)</f>
        <v>0</v>
      </c>
      <c r="AD701" s="562" t="b">
        <f>T701</f>
        <v>0</v>
      </c>
      <c r="AE701" s="562" t="b">
        <f>AND(NOT(ISBLANK(W701)),LEN(X700)=0)</f>
        <v>0</v>
      </c>
      <c r="AF701" s="562" t="b">
        <f>AND(AE701,NOT(Q701))</f>
        <v>0</v>
      </c>
      <c r="AG701" s="562"/>
      <c r="AH701" s="562"/>
      <c r="AI701" s="562"/>
      <c r="AJ701" s="562"/>
      <c r="AK701" s="562"/>
      <c r="AL701" s="562"/>
      <c r="AM701" s="562"/>
      <c r="AN701" s="562"/>
      <c r="AO701" s="562"/>
      <c r="AP701" s="190" t="str">
        <f>SUBSTITUTE(SUBSTITUTE(SUBSTITUTE("vch"&amp;$B701&amp;$C701&amp;$D701&amp;$E701&amp;$F701,".","_"),"(","_"),")","")</f>
        <v>vch610_1_2_2c</v>
      </c>
      <c r="AQ701" s="190">
        <f>W701</f>
        <v>0</v>
      </c>
      <c r="AR701" s="562"/>
      <c r="AS701" s="562"/>
    </row>
    <row r="702" spans="1:45" x14ac:dyDescent="0.2">
      <c r="A702" s="541">
        <v>6</v>
      </c>
      <c r="B702" s="549" t="s">
        <v>2745</v>
      </c>
      <c r="C702" s="544"/>
      <c r="D702" s="544"/>
      <c r="E702" s="544"/>
      <c r="F702" s="544" t="s">
        <v>2196</v>
      </c>
      <c r="G702" s="543" t="str">
        <f t="shared" ca="1" si="196"/>
        <v/>
      </c>
      <c r="H702" s="545" t="s">
        <v>3757</v>
      </c>
      <c r="I702" s="40"/>
      <c r="J702" s="3"/>
      <c r="K702" s="57" t="s">
        <v>2196</v>
      </c>
      <c r="L702" s="53" t="s">
        <v>2725</v>
      </c>
      <c r="M702" s="842"/>
      <c r="N702" s="648"/>
      <c r="O702" s="648"/>
      <c r="P702" s="562"/>
      <c r="Q702" s="562"/>
      <c r="R702" s="562"/>
      <c r="S702" s="562"/>
      <c r="T702" s="562"/>
      <c r="U702" s="562"/>
      <c r="V702" s="562"/>
      <c r="W702" s="562"/>
      <c r="X702" s="787"/>
      <c r="Y702" s="980"/>
      <c r="Z702" s="983"/>
      <c r="AA702" s="562"/>
      <c r="AB702" s="562"/>
      <c r="AC702" s="562"/>
      <c r="AD702" s="562"/>
      <c r="AE702" s="562"/>
      <c r="AF702" s="562"/>
      <c r="AG702" s="562"/>
      <c r="AH702" s="562"/>
      <c r="AI702" s="562"/>
      <c r="AJ702" s="562"/>
      <c r="AK702" s="562"/>
      <c r="AL702" s="562"/>
      <c r="AM702" s="562"/>
      <c r="AN702" s="562"/>
      <c r="AO702" s="562"/>
      <c r="AP702" s="562"/>
      <c r="AQ702" s="562"/>
      <c r="AR702" s="562"/>
      <c r="AS702" s="562"/>
    </row>
    <row r="703" spans="1:45" x14ac:dyDescent="0.2">
      <c r="A703" s="541">
        <v>6</v>
      </c>
      <c r="B703" s="549" t="s">
        <v>2745</v>
      </c>
      <c r="C703" s="544"/>
      <c r="D703" s="544"/>
      <c r="E703" s="544"/>
      <c r="F703" s="544" t="s">
        <v>2198</v>
      </c>
      <c r="G703" s="543" t="str">
        <f t="shared" ca="1" si="196"/>
        <v/>
      </c>
      <c r="H703" s="545" t="s">
        <v>3757</v>
      </c>
      <c r="I703" s="40"/>
      <c r="J703" s="3"/>
      <c r="K703" s="57" t="s">
        <v>2198</v>
      </c>
      <c r="L703" s="53" t="s">
        <v>2726</v>
      </c>
      <c r="M703" s="842"/>
      <c r="N703" s="648"/>
      <c r="O703" s="648"/>
      <c r="P703" s="562"/>
      <c r="Q703" s="562"/>
      <c r="R703" s="562"/>
      <c r="S703" s="562"/>
      <c r="T703" s="562"/>
      <c r="U703" s="562"/>
      <c r="V703" s="562"/>
      <c r="W703" s="562"/>
      <c r="X703" s="787"/>
      <c r="Y703" s="980"/>
      <c r="Z703" s="983"/>
      <c r="AA703" s="562"/>
      <c r="AB703" s="562"/>
      <c r="AC703" s="562"/>
      <c r="AD703" s="562"/>
      <c r="AE703" s="562"/>
      <c r="AF703" s="562"/>
      <c r="AG703" s="562"/>
      <c r="AH703" s="562"/>
      <c r="AI703" s="562"/>
      <c r="AJ703" s="562"/>
      <c r="AK703" s="562"/>
      <c r="AL703" s="562"/>
      <c r="AM703" s="562"/>
      <c r="AN703" s="562"/>
      <c r="AO703" s="562"/>
      <c r="AP703" s="562"/>
      <c r="AQ703" s="562"/>
      <c r="AR703" s="562"/>
      <c r="AS703" s="562"/>
    </row>
    <row r="704" spans="1:45" x14ac:dyDescent="0.2">
      <c r="A704" s="541">
        <v>6</v>
      </c>
      <c r="B704" s="549" t="s">
        <v>2745</v>
      </c>
      <c r="C704" s="544"/>
      <c r="D704" s="544"/>
      <c r="E704" s="544"/>
      <c r="F704" s="544" t="s">
        <v>2200</v>
      </c>
      <c r="G704" s="543" t="str">
        <f t="shared" ca="1" si="196"/>
        <v/>
      </c>
      <c r="H704" s="545" t="s">
        <v>3757</v>
      </c>
      <c r="I704" s="40"/>
      <c r="J704" s="3"/>
      <c r="K704" s="57" t="s">
        <v>2200</v>
      </c>
      <c r="L704" s="53" t="s">
        <v>2727</v>
      </c>
      <c r="M704" s="842"/>
      <c r="N704" s="648"/>
      <c r="O704" s="648"/>
      <c r="P704" s="562"/>
      <c r="Q704" s="562"/>
      <c r="R704" s="562"/>
      <c r="S704" s="562"/>
      <c r="T704" s="562"/>
      <c r="U704" s="562"/>
      <c r="V704" s="562"/>
      <c r="W704" s="562"/>
      <c r="X704" s="787"/>
      <c r="Y704" s="980"/>
      <c r="Z704" s="983"/>
      <c r="AA704" s="562"/>
      <c r="AB704" s="562"/>
      <c r="AC704" s="562"/>
      <c r="AD704" s="562"/>
      <c r="AE704" s="562"/>
      <c r="AF704" s="562"/>
      <c r="AG704" s="562"/>
      <c r="AH704" s="562"/>
      <c r="AI704" s="562"/>
      <c r="AJ704" s="562"/>
      <c r="AK704" s="562"/>
      <c r="AL704" s="562"/>
      <c r="AM704" s="562"/>
      <c r="AN704" s="562"/>
      <c r="AO704" s="562"/>
      <c r="AP704" s="562"/>
      <c r="AQ704" s="562"/>
      <c r="AR704" s="562"/>
      <c r="AS704" s="562"/>
    </row>
    <row r="705" spans="1:45" x14ac:dyDescent="0.2">
      <c r="A705" s="541">
        <v>6</v>
      </c>
      <c r="B705" s="549" t="s">
        <v>2745</v>
      </c>
      <c r="C705" s="544"/>
      <c r="D705" s="544"/>
      <c r="E705" s="544"/>
      <c r="F705" s="546" t="s">
        <v>2247</v>
      </c>
      <c r="G705" s="543" t="str">
        <f t="shared" ca="1" si="196"/>
        <v/>
      </c>
      <c r="H705" s="547" t="s">
        <v>3757</v>
      </c>
      <c r="I705" s="40"/>
      <c r="J705" s="3"/>
      <c r="K705" s="59" t="s">
        <v>2247</v>
      </c>
      <c r="L705" s="53" t="s">
        <v>2728</v>
      </c>
      <c r="M705" s="842"/>
      <c r="N705" s="648"/>
      <c r="O705" s="648"/>
      <c r="P705" s="562"/>
      <c r="Q705" s="562"/>
      <c r="R705" s="562"/>
      <c r="S705" s="562"/>
      <c r="T705" s="562"/>
      <c r="U705" s="562"/>
      <c r="V705" s="562"/>
      <c r="W705" s="562"/>
      <c r="X705" s="787"/>
      <c r="Y705" s="980"/>
      <c r="Z705" s="983"/>
      <c r="AA705" s="562"/>
      <c r="AB705" s="562"/>
      <c r="AC705" s="562"/>
      <c r="AD705" s="562"/>
      <c r="AE705" s="562"/>
      <c r="AF705" s="562"/>
      <c r="AG705" s="562"/>
      <c r="AH705" s="562"/>
      <c r="AI705" s="562"/>
      <c r="AJ705" s="562"/>
      <c r="AK705" s="562"/>
      <c r="AL705" s="562"/>
      <c r="AM705" s="562"/>
      <c r="AN705" s="562"/>
      <c r="AO705" s="562"/>
      <c r="AP705" s="562"/>
      <c r="AQ705" s="562"/>
      <c r="AR705" s="562"/>
      <c r="AS705" s="562"/>
    </row>
    <row r="706" spans="1:45" x14ac:dyDescent="0.2">
      <c r="A706" s="541">
        <v>6</v>
      </c>
      <c r="B706" s="549" t="s">
        <v>2745</v>
      </c>
      <c r="C706" s="544"/>
      <c r="D706" s="544"/>
      <c r="E706" s="544"/>
      <c r="F706" s="544" t="s">
        <v>2444</v>
      </c>
      <c r="G706" s="543" t="str">
        <f t="shared" ca="1" si="196"/>
        <v/>
      </c>
      <c r="H706" s="541" t="s">
        <v>3757</v>
      </c>
      <c r="I706" s="40"/>
      <c r="J706" s="3"/>
      <c r="K706" s="55" t="s">
        <v>2444</v>
      </c>
      <c r="L706" s="53" t="s">
        <v>2729</v>
      </c>
      <c r="M706" s="842"/>
      <c r="N706" s="648"/>
      <c r="O706" s="648"/>
      <c r="P706" s="562"/>
      <c r="Q706" s="562"/>
      <c r="R706" s="562"/>
      <c r="S706" s="562"/>
      <c r="T706" s="562"/>
      <c r="U706" s="562"/>
      <c r="V706" s="562"/>
      <c r="W706" s="562" t="s">
        <v>2757</v>
      </c>
      <c r="X706" s="787"/>
      <c r="Y706" s="980" t="str">
        <f>IF(LEN('Ch6'!X467)=0,"None",'Ch6'!X467)</f>
        <v>None</v>
      </c>
      <c r="Z706" s="983"/>
      <c r="AA706" s="562"/>
      <c r="AB706" s="562"/>
      <c r="AC706" s="562"/>
      <c r="AD706" s="562"/>
      <c r="AE706" s="562"/>
      <c r="AF706" s="562"/>
      <c r="AG706" s="562"/>
      <c r="AH706" s="562"/>
      <c r="AI706" s="562"/>
      <c r="AJ706" s="562"/>
      <c r="AK706" s="562"/>
      <c r="AL706" s="562"/>
      <c r="AM706" s="562"/>
      <c r="AN706" s="562"/>
      <c r="AO706" s="562"/>
      <c r="AP706" s="562"/>
      <c r="AQ706" s="562"/>
      <c r="AR706" s="190" t="str">
        <f>SUBSTITUTE(SUBSTITUTE(SUBSTITUTE("vnt"&amp;$B706&amp;$C706&amp;$D706&amp;$E706&amp;$F706,".","_"),"(","_"),")","")</f>
        <v>vnt610_1_2_2_e</v>
      </c>
      <c r="AS706" s="190">
        <f>X706</f>
        <v>0</v>
      </c>
    </row>
    <row r="707" spans="1:45" x14ac:dyDescent="0.2">
      <c r="A707" s="541">
        <v>6</v>
      </c>
      <c r="B707" s="549" t="s">
        <v>2745</v>
      </c>
      <c r="C707" s="544"/>
      <c r="D707" s="544"/>
      <c r="E707" s="544"/>
      <c r="F707" s="544" t="s">
        <v>2540</v>
      </c>
      <c r="G707" s="543" t="str">
        <f t="shared" ca="1" si="196"/>
        <v/>
      </c>
      <c r="H707" s="545" t="s">
        <v>3757</v>
      </c>
      <c r="I707" s="40"/>
      <c r="J707" s="3"/>
      <c r="K707" s="57" t="s">
        <v>2540</v>
      </c>
      <c r="L707" s="53" t="s">
        <v>2730</v>
      </c>
      <c r="M707" s="842"/>
      <c r="N707" s="648"/>
      <c r="O707" s="648"/>
      <c r="P707" s="562" t="b">
        <v>1</v>
      </c>
      <c r="Q707" s="562" t="b">
        <v>0</v>
      </c>
      <c r="R707" s="562" t="b">
        <v>0</v>
      </c>
      <c r="S707" s="562" t="b">
        <f>COUNTIF(W652:W668,TRUE)&lt;1</f>
        <v>1</v>
      </c>
      <c r="T707" s="64" t="b">
        <f>IF(AND(NOT(S707),LEN(W707)&gt;0),TRUE,FALSE)</f>
        <v>0</v>
      </c>
      <c r="U707" s="64" t="str">
        <f>SUBSTITUTE(SUBSTITUTE(SUBSTITUTE("dd"&amp;B707&amp;C707&amp;D707&amp;E707&amp;F707,".","_"),"(","_"),")","")</f>
        <v>dd610_1_2_2_f</v>
      </c>
      <c r="V707" s="562"/>
      <c r="W707" s="6"/>
      <c r="X707" s="787"/>
      <c r="Y707" s="980"/>
      <c r="Z707" s="983"/>
      <c r="AA707" s="562"/>
      <c r="AB707" s="562"/>
      <c r="AC707" s="562" t="b">
        <f>OR(AD707:AE707)</f>
        <v>0</v>
      </c>
      <c r="AD707" s="562" t="b">
        <f>T707</f>
        <v>0</v>
      </c>
      <c r="AE707" s="562" t="b">
        <f>AND(NOT(ISBLANK(W707)),LEN(X706)=0)</f>
        <v>0</v>
      </c>
      <c r="AF707" s="562" t="b">
        <f>AND(AE707,NOT(Q707))</f>
        <v>0</v>
      </c>
      <c r="AG707" s="562"/>
      <c r="AH707" s="562"/>
      <c r="AI707" s="562"/>
      <c r="AJ707" s="562"/>
      <c r="AK707" s="562"/>
      <c r="AL707" s="562"/>
      <c r="AM707" s="562"/>
      <c r="AN707" s="562"/>
      <c r="AO707" s="562"/>
      <c r="AP707" s="190" t="str">
        <f>SUBSTITUTE(SUBSTITUTE(SUBSTITUTE("vch"&amp;$B707&amp;$C707&amp;$D707&amp;$E707&amp;$F707,".","_"),"(","_"),")","")</f>
        <v>vch610_1_2_2_f</v>
      </c>
      <c r="AQ707" s="190">
        <f>W707</f>
        <v>0</v>
      </c>
      <c r="AR707" s="562"/>
      <c r="AS707" s="562"/>
    </row>
    <row r="708" spans="1:45" ht="15" customHeight="1" x14ac:dyDescent="0.2">
      <c r="A708" s="541">
        <v>6</v>
      </c>
      <c r="B708" s="549" t="s">
        <v>2745</v>
      </c>
      <c r="C708" s="544"/>
      <c r="D708" s="544"/>
      <c r="E708" s="544"/>
      <c r="F708" s="544"/>
      <c r="G708" s="543" t="str">
        <f t="shared" ca="1" si="196"/>
        <v/>
      </c>
      <c r="H708" s="541" t="s">
        <v>3757</v>
      </c>
      <c r="I708" s="40"/>
      <c r="J708" s="3"/>
      <c r="K708" s="53"/>
      <c r="L708" s="851" t="s">
        <v>2758</v>
      </c>
      <c r="M708" s="842"/>
      <c r="N708" s="648"/>
      <c r="O708" s="648"/>
      <c r="P708" s="562"/>
      <c r="Q708" s="562"/>
      <c r="R708" s="562"/>
      <c r="S708" s="562"/>
      <c r="T708" s="562"/>
      <c r="U708" s="562"/>
      <c r="V708" s="562"/>
      <c r="W708" s="562"/>
      <c r="X708" s="787"/>
      <c r="Y708" s="980"/>
      <c r="Z708" s="983"/>
      <c r="AA708" s="562"/>
      <c r="AB708" s="562"/>
      <c r="AC708" s="562"/>
      <c r="AD708" s="562"/>
      <c r="AE708" s="562"/>
      <c r="AF708" s="562"/>
      <c r="AG708" s="562"/>
      <c r="AH708" s="562"/>
      <c r="AI708" s="562"/>
      <c r="AJ708" s="562"/>
      <c r="AK708" s="562"/>
      <c r="AL708" s="562"/>
      <c r="AM708" s="562"/>
      <c r="AN708" s="562"/>
      <c r="AO708" s="562"/>
      <c r="AP708" s="562"/>
      <c r="AQ708" s="562"/>
      <c r="AR708" s="562"/>
      <c r="AS708" s="562"/>
    </row>
    <row r="709" spans="1:45" x14ac:dyDescent="0.2">
      <c r="A709" s="541">
        <v>6</v>
      </c>
      <c r="B709" s="549" t="s">
        <v>2745</v>
      </c>
      <c r="C709" s="544"/>
      <c r="D709" s="544"/>
      <c r="E709" s="544"/>
      <c r="F709" s="544"/>
      <c r="G709" s="543" t="str">
        <f t="shared" ca="1" si="196"/>
        <v/>
      </c>
      <c r="H709" s="541" t="s">
        <v>3757</v>
      </c>
      <c r="I709" s="40"/>
      <c r="J709" s="3"/>
      <c r="K709" s="53"/>
      <c r="L709" s="990"/>
      <c r="M709" s="842"/>
      <c r="N709" s="648"/>
      <c r="O709" s="648"/>
      <c r="P709" s="562"/>
      <c r="Q709" s="562"/>
      <c r="R709" s="562"/>
      <c r="S709" s="562"/>
      <c r="T709" s="562"/>
      <c r="U709" s="562"/>
      <c r="V709" s="562"/>
      <c r="W709" s="562"/>
      <c r="X709" s="787"/>
      <c r="Y709" s="980"/>
      <c r="Z709" s="983"/>
      <c r="AA709" s="562"/>
      <c r="AB709" s="562"/>
      <c r="AC709" s="562"/>
      <c r="AD709" s="562"/>
      <c r="AE709" s="562"/>
      <c r="AF709" s="562"/>
      <c r="AG709" s="562"/>
      <c r="AH709" s="562"/>
      <c r="AI709" s="562"/>
      <c r="AJ709" s="562"/>
      <c r="AK709" s="562"/>
      <c r="AL709" s="562"/>
      <c r="AM709" s="562"/>
      <c r="AN709" s="562"/>
      <c r="AO709" s="562"/>
      <c r="AP709" s="562"/>
      <c r="AQ709" s="562"/>
      <c r="AR709" s="562"/>
      <c r="AS709" s="562"/>
    </row>
    <row r="710" spans="1:45" x14ac:dyDescent="0.2">
      <c r="A710" s="541">
        <v>6</v>
      </c>
      <c r="B710" s="549" t="s">
        <v>2745</v>
      </c>
      <c r="C710" s="544"/>
      <c r="D710" s="544"/>
      <c r="E710" s="544"/>
      <c r="F710" s="544"/>
      <c r="G710" s="543" t="str">
        <f t="shared" ca="1" si="196"/>
        <v/>
      </c>
      <c r="H710" s="541" t="s">
        <v>3757</v>
      </c>
      <c r="I710" s="40"/>
      <c r="J710" s="3"/>
      <c r="K710" s="53"/>
      <c r="L710" s="833" t="s">
        <v>2759</v>
      </c>
      <c r="M710" s="842"/>
      <c r="N710" s="648"/>
      <c r="O710" s="648"/>
      <c r="P710" s="562"/>
      <c r="Q710" s="562"/>
      <c r="R710" s="562"/>
      <c r="S710" s="562"/>
      <c r="T710" s="562"/>
      <c r="U710" s="562"/>
      <c r="V710" s="562"/>
      <c r="W710" s="562"/>
      <c r="X710" s="787"/>
      <c r="Y710" s="980"/>
      <c r="Z710" s="983"/>
      <c r="AA710" s="562"/>
      <c r="AB710" s="562"/>
      <c r="AC710" s="562"/>
      <c r="AD710" s="562"/>
      <c r="AE710" s="562"/>
      <c r="AF710" s="562"/>
      <c r="AG710" s="562"/>
      <c r="AH710" s="562"/>
      <c r="AI710" s="562"/>
      <c r="AJ710" s="562"/>
      <c r="AK710" s="562"/>
      <c r="AL710" s="562"/>
      <c r="AM710" s="562"/>
      <c r="AN710" s="562"/>
      <c r="AO710" s="562"/>
      <c r="AP710" s="562"/>
      <c r="AQ710" s="562"/>
      <c r="AR710" s="562"/>
      <c r="AS710" s="562"/>
    </row>
    <row r="711" spans="1:45" x14ac:dyDescent="0.2">
      <c r="A711" s="541">
        <v>6</v>
      </c>
      <c r="B711" s="549" t="s">
        <v>2745</v>
      </c>
      <c r="C711" s="544"/>
      <c r="D711" s="544"/>
      <c r="E711" s="544"/>
      <c r="F711" s="544"/>
      <c r="G711" s="543" t="str">
        <f t="shared" ca="1" si="196"/>
        <v/>
      </c>
      <c r="H711" s="541" t="s">
        <v>3757</v>
      </c>
      <c r="I711" s="40"/>
      <c r="J711" s="3"/>
      <c r="K711" s="53"/>
      <c r="L711" s="845"/>
      <c r="M711" s="842"/>
      <c r="N711" s="648"/>
      <c r="O711" s="648"/>
      <c r="P711" s="562"/>
      <c r="Q711" s="562"/>
      <c r="R711" s="562"/>
      <c r="S711" s="562"/>
      <c r="T711" s="562"/>
      <c r="U711" s="562"/>
      <c r="V711" s="562"/>
      <c r="W711" s="562"/>
      <c r="X711" s="787"/>
      <c r="Y711" s="980"/>
      <c r="Z711" s="983"/>
      <c r="AA711" s="562"/>
      <c r="AB711" s="562"/>
      <c r="AC711" s="562"/>
      <c r="AD711" s="562"/>
      <c r="AE711" s="562"/>
      <c r="AF711" s="562"/>
      <c r="AG711" s="562"/>
      <c r="AH711" s="562"/>
      <c r="AI711" s="562"/>
      <c r="AJ711" s="562"/>
      <c r="AK711" s="562"/>
      <c r="AL711" s="562"/>
      <c r="AM711" s="562"/>
      <c r="AN711" s="562"/>
      <c r="AO711" s="562"/>
      <c r="AP711" s="562"/>
      <c r="AQ711" s="562"/>
      <c r="AR711" s="562"/>
      <c r="AS711" s="562"/>
    </row>
    <row r="712" spans="1:45" ht="19" x14ac:dyDescent="0.25">
      <c r="A712" s="541">
        <v>6</v>
      </c>
      <c r="B712" s="549">
        <v>611</v>
      </c>
      <c r="C712" s="544"/>
      <c r="D712" s="544"/>
      <c r="E712" s="544"/>
      <c r="F712" s="544"/>
      <c r="G712" s="543" t="s">
        <v>3343</v>
      </c>
      <c r="H712" s="541" t="s">
        <v>3751</v>
      </c>
      <c r="I712" s="8" t="s">
        <v>2760</v>
      </c>
      <c r="J712" s="16"/>
      <c r="K712" s="52"/>
      <c r="L712" s="50"/>
      <c r="M712" s="44"/>
      <c r="N712" s="44"/>
      <c r="O712" s="44"/>
      <c r="P712" s="16"/>
      <c r="Q712" s="16"/>
      <c r="R712" s="16"/>
      <c r="S712" s="16"/>
      <c r="T712" s="16"/>
      <c r="U712" s="16"/>
      <c r="V712" s="16"/>
      <c r="W712" s="16"/>
      <c r="X712" s="16"/>
      <c r="Y712" s="16"/>
      <c r="Z712" s="453"/>
      <c r="AA712" s="562"/>
      <c r="AB712" s="562"/>
      <c r="AC712" s="562"/>
      <c r="AD712" s="562"/>
      <c r="AE712" s="562"/>
      <c r="AF712" s="562"/>
      <c r="AG712" s="562"/>
      <c r="AH712" s="562"/>
      <c r="AI712" s="562"/>
      <c r="AJ712" s="562"/>
      <c r="AK712" s="562"/>
      <c r="AL712" s="562"/>
      <c r="AM712" s="562"/>
      <c r="AN712" s="562"/>
      <c r="AO712" s="562"/>
      <c r="AP712" s="562"/>
      <c r="AQ712" s="562"/>
      <c r="AR712" s="562"/>
      <c r="AS712" s="562"/>
    </row>
    <row r="713" spans="1:45" x14ac:dyDescent="0.2">
      <c r="A713" s="541">
        <v>6</v>
      </c>
      <c r="B713" s="549">
        <v>611.1</v>
      </c>
      <c r="C713" s="544"/>
      <c r="D713" s="544"/>
      <c r="E713" s="544"/>
      <c r="F713" s="544"/>
      <c r="G713" s="543" t="str">
        <f ca="1">IF(N713&gt;0,"P","")</f>
        <v/>
      </c>
      <c r="H713" s="541" t="s">
        <v>3751</v>
      </c>
      <c r="I713" s="40" t="s">
        <v>2761</v>
      </c>
      <c r="J713" s="3"/>
      <c r="K713" s="53"/>
      <c r="L713" s="775" t="s">
        <v>2762</v>
      </c>
      <c r="M713" s="814" t="s">
        <v>2763</v>
      </c>
      <c r="N713" s="887">
        <f ca="1">'Ch6'!O474</f>
        <v>0</v>
      </c>
      <c r="O713" s="887">
        <f ca="1">IFERROR(MATCH(W713,INDIRECT(U713),0),0)</f>
        <v>0</v>
      </c>
      <c r="P713" s="562" t="b">
        <v>1</v>
      </c>
      <c r="Q713" s="562" t="b">
        <v>1</v>
      </c>
      <c r="R713" s="562" t="b">
        <v>0</v>
      </c>
      <c r="S713" s="562" t="b">
        <v>1</v>
      </c>
      <c r="T713" s="562" t="b">
        <v>0</v>
      </c>
      <c r="U713" s="64" t="str">
        <f>SUBSTITUTE(SUBSTITUTE(SUBSTITUTE("dd"&amp;B713&amp;C713&amp;D713&amp;E713&amp;F713,".","_"),"(","_"),")","")</f>
        <v>dd611,1</v>
      </c>
      <c r="V713" s="562"/>
      <c r="W713" s="6"/>
      <c r="X713" s="787"/>
      <c r="Y713" s="977" t="str">
        <f>IF(LEN('Ch6'!X474)=0,"None",'Ch6'!X474)</f>
        <v>None</v>
      </c>
      <c r="Z713" s="978"/>
      <c r="AA713" s="562"/>
      <c r="AB713" s="562"/>
      <c r="AC713" s="562" t="b">
        <f>OR(AD713:AE713)</f>
        <v>0</v>
      </c>
      <c r="AD713" s="562" t="b">
        <f>T713</f>
        <v>0</v>
      </c>
      <c r="AE713" s="562" t="b">
        <f>AND(NOT(ISBLANK(W713)),LEN(X713)=0)</f>
        <v>0</v>
      </c>
      <c r="AF713" s="562" t="b">
        <f>AND(AE713,NOT(Q713))</f>
        <v>0</v>
      </c>
      <c r="AG713" s="562"/>
      <c r="AH713" s="562"/>
      <c r="AI713" s="562"/>
      <c r="AJ713" s="562"/>
      <c r="AK713" s="562"/>
      <c r="AL713" s="190" t="str">
        <f t="shared" ref="AL713" si="199">SUBSTITUTE(SUBSTITUTE(SUBSTITUTE("vpa"&amp;$B713&amp;$C713&amp;$D713&amp;$E713&amp;$F713,".","_"),"(","_"),")","")</f>
        <v>vpa611,1</v>
      </c>
      <c r="AM713" s="190" t="str">
        <f>M713</f>
        <v>10 Max</v>
      </c>
      <c r="AN713" s="190" t="str">
        <f>SUBSTITUTE(SUBSTITUTE(SUBSTITUTE("vpc"&amp;$B713&amp;$C713&amp;$D713&amp;$E713&amp;$F713,".","_"),"(","_"),")","")</f>
        <v>vpc611,1</v>
      </c>
      <c r="AO713" s="190">
        <f ca="1">O713</f>
        <v>0</v>
      </c>
      <c r="AP713" s="190" t="str">
        <f>SUBSTITUTE(SUBSTITUTE(SUBSTITUTE("vch"&amp;$B713&amp;$C713&amp;$D713&amp;$E713&amp;$F713,".","_"),"(","_"),")","")</f>
        <v>vch611,1</v>
      </c>
      <c r="AQ713" s="190">
        <f>W713</f>
        <v>0</v>
      </c>
      <c r="AR713" s="190" t="str">
        <f>SUBSTITUTE(SUBSTITUTE(SUBSTITUTE("vnt"&amp;$B713&amp;$C713&amp;$D713&amp;$E713&amp;$F713,".","_"),"(","_"),")","")</f>
        <v>vnt611,1</v>
      </c>
      <c r="AS713" s="190">
        <f>X713</f>
        <v>0</v>
      </c>
    </row>
    <row r="714" spans="1:45" x14ac:dyDescent="0.2">
      <c r="A714" s="541">
        <v>6</v>
      </c>
      <c r="B714" s="549">
        <v>611.1</v>
      </c>
      <c r="C714" s="544"/>
      <c r="D714" s="544"/>
      <c r="E714" s="544"/>
      <c r="F714" s="544"/>
      <c r="G714" s="543" t="str">
        <f t="shared" ref="G714:G720" ca="1" si="200">G713</f>
        <v/>
      </c>
      <c r="H714" s="541" t="s">
        <v>3751</v>
      </c>
      <c r="I714" s="40"/>
      <c r="J714" s="3"/>
      <c r="K714" s="53"/>
      <c r="L714" s="775"/>
      <c r="M714" s="814"/>
      <c r="N714" s="887"/>
      <c r="O714" s="887"/>
      <c r="P714" s="562"/>
      <c r="Q714" s="562"/>
      <c r="R714" s="562"/>
      <c r="S714" s="562"/>
      <c r="T714" s="562"/>
      <c r="U714" s="562"/>
      <c r="V714" s="562"/>
      <c r="W714" s="562"/>
      <c r="X714" s="787"/>
      <c r="Y714" s="977"/>
      <c r="Z714" s="978"/>
      <c r="AA714" s="562"/>
      <c r="AB714" s="562"/>
      <c r="AC714" s="562"/>
      <c r="AD714" s="562"/>
      <c r="AE714" s="562"/>
      <c r="AF714" s="562"/>
      <c r="AG714" s="562"/>
      <c r="AH714" s="562"/>
      <c r="AI714" s="562"/>
      <c r="AJ714" s="562"/>
      <c r="AK714" s="562"/>
      <c r="AL714" s="562"/>
      <c r="AM714" s="562"/>
      <c r="AN714" s="562"/>
      <c r="AO714" s="562"/>
      <c r="AP714" s="562"/>
      <c r="AQ714" s="562"/>
      <c r="AR714" s="562"/>
      <c r="AS714" s="562"/>
    </row>
    <row r="715" spans="1:45" x14ac:dyDescent="0.2">
      <c r="A715" s="541">
        <v>6</v>
      </c>
      <c r="B715" s="549">
        <v>611.1</v>
      </c>
      <c r="C715" s="544"/>
      <c r="D715" s="544"/>
      <c r="E715" s="544"/>
      <c r="F715" s="544"/>
      <c r="G715" s="543" t="str">
        <f t="shared" ca="1" si="200"/>
        <v/>
      </c>
      <c r="H715" s="541" t="s">
        <v>3751</v>
      </c>
      <c r="I715" s="40"/>
      <c r="J715" s="3"/>
      <c r="K715" s="53"/>
      <c r="L715" s="775"/>
      <c r="M715" s="814"/>
      <c r="N715" s="887"/>
      <c r="O715" s="887"/>
      <c r="P715" s="562"/>
      <c r="Q715" s="562"/>
      <c r="R715" s="562"/>
      <c r="S715" s="562"/>
      <c r="T715" s="562"/>
      <c r="U715" s="562"/>
      <c r="V715" s="562"/>
      <c r="W715" s="562"/>
      <c r="X715" s="787"/>
      <c r="Y715" s="977"/>
      <c r="Z715" s="978"/>
      <c r="AA715" s="562"/>
      <c r="AB715" s="562"/>
      <c r="AC715" s="562"/>
      <c r="AD715" s="562"/>
      <c r="AE715" s="562"/>
      <c r="AF715" s="562"/>
      <c r="AG715" s="562"/>
      <c r="AH715" s="562"/>
      <c r="AI715" s="562"/>
      <c r="AJ715" s="562"/>
      <c r="AK715" s="562"/>
      <c r="AL715" s="562"/>
      <c r="AM715" s="562"/>
      <c r="AN715" s="562"/>
      <c r="AO715" s="562"/>
      <c r="AP715" s="562"/>
      <c r="AQ715" s="562"/>
      <c r="AR715" s="562"/>
      <c r="AS715" s="562"/>
    </row>
    <row r="716" spans="1:45" x14ac:dyDescent="0.2">
      <c r="A716" s="541">
        <v>6</v>
      </c>
      <c r="B716" s="549">
        <v>611.1</v>
      </c>
      <c r="C716" s="544"/>
      <c r="D716" s="544"/>
      <c r="E716" s="544"/>
      <c r="F716" s="544"/>
      <c r="G716" s="543" t="str">
        <f t="shared" ca="1" si="200"/>
        <v/>
      </c>
      <c r="H716" s="541" t="s">
        <v>3751</v>
      </c>
      <c r="I716" s="40"/>
      <c r="J716" s="3"/>
      <c r="K716" s="53"/>
      <c r="L716" s="775"/>
      <c r="M716" s="814"/>
      <c r="N716" s="887"/>
      <c r="O716" s="887"/>
      <c r="P716" s="562"/>
      <c r="Q716" s="562"/>
      <c r="R716" s="562"/>
      <c r="S716" s="562"/>
      <c r="T716" s="562"/>
      <c r="U716" s="562"/>
      <c r="V716" s="562"/>
      <c r="W716" s="562"/>
      <c r="X716" s="787"/>
      <c r="Y716" s="977"/>
      <c r="Z716" s="978"/>
      <c r="AA716" s="562"/>
      <c r="AB716" s="562"/>
      <c r="AC716" s="562"/>
      <c r="AD716" s="562"/>
      <c r="AE716" s="562"/>
      <c r="AF716" s="562"/>
      <c r="AG716" s="562"/>
      <c r="AH716" s="562"/>
      <c r="AI716" s="562"/>
      <c r="AJ716" s="562"/>
      <c r="AK716" s="562"/>
      <c r="AL716" s="562"/>
      <c r="AM716" s="562"/>
      <c r="AN716" s="562"/>
      <c r="AO716" s="562"/>
      <c r="AP716" s="562"/>
      <c r="AQ716" s="562"/>
      <c r="AR716" s="562"/>
      <c r="AS716" s="562"/>
    </row>
    <row r="717" spans="1:45" x14ac:dyDescent="0.2">
      <c r="A717" s="541">
        <v>6</v>
      </c>
      <c r="B717" s="549">
        <v>611.1</v>
      </c>
      <c r="C717" s="544"/>
      <c r="D717" s="544"/>
      <c r="E717" s="544"/>
      <c r="F717" s="544"/>
      <c r="G717" s="543" t="str">
        <f t="shared" ca="1" si="200"/>
        <v/>
      </c>
      <c r="H717" s="541" t="s">
        <v>3751</v>
      </c>
      <c r="I717" s="40"/>
      <c r="J717" s="3"/>
      <c r="K717" s="53"/>
      <c r="L717" s="775"/>
      <c r="M717" s="814"/>
      <c r="N717" s="887"/>
      <c r="O717" s="887"/>
      <c r="P717" s="562"/>
      <c r="Q717" s="562"/>
      <c r="R717" s="562"/>
      <c r="S717" s="562"/>
      <c r="T717" s="562"/>
      <c r="U717" s="562"/>
      <c r="V717" s="562"/>
      <c r="W717" s="562"/>
      <c r="X717" s="787"/>
      <c r="Y717" s="977"/>
      <c r="Z717" s="978"/>
      <c r="AA717" s="562"/>
      <c r="AB717" s="562"/>
      <c r="AC717" s="562"/>
      <c r="AD717" s="562"/>
      <c r="AE717" s="562"/>
      <c r="AF717" s="562"/>
      <c r="AG717" s="562"/>
      <c r="AH717" s="562"/>
      <c r="AI717" s="562"/>
      <c r="AJ717" s="562"/>
      <c r="AK717" s="562"/>
      <c r="AL717" s="562"/>
      <c r="AM717" s="562"/>
      <c r="AN717" s="562"/>
      <c r="AO717" s="562"/>
      <c r="AP717" s="562"/>
      <c r="AQ717" s="562"/>
      <c r="AR717" s="562"/>
      <c r="AS717" s="562"/>
    </row>
    <row r="718" spans="1:45" x14ac:dyDescent="0.2">
      <c r="A718" s="541">
        <v>6</v>
      </c>
      <c r="B718" s="549">
        <v>611.1</v>
      </c>
      <c r="C718" s="544"/>
      <c r="D718" s="544"/>
      <c r="E718" s="544"/>
      <c r="F718" s="544"/>
      <c r="G718" s="543" t="str">
        <f t="shared" ca="1" si="200"/>
        <v/>
      </c>
      <c r="H718" s="541" t="s">
        <v>3751</v>
      </c>
      <c r="I718" s="40"/>
      <c r="J718" s="3"/>
      <c r="K718" s="53"/>
      <c r="L718" s="119" t="s">
        <v>2764</v>
      </c>
      <c r="M718" s="814"/>
      <c r="N718" s="887"/>
      <c r="O718" s="887"/>
      <c r="P718" s="562"/>
      <c r="Q718" s="562"/>
      <c r="R718" s="562"/>
      <c r="S718" s="562"/>
      <c r="T718" s="562"/>
      <c r="U718" s="562"/>
      <c r="V718" s="562"/>
      <c r="W718" s="562"/>
      <c r="X718" s="787"/>
      <c r="Y718" s="977"/>
      <c r="Z718" s="978"/>
      <c r="AA718" s="562"/>
      <c r="AB718" s="562"/>
      <c r="AC718" s="562"/>
      <c r="AD718" s="562"/>
      <c r="AE718" s="562"/>
      <c r="AF718" s="562"/>
      <c r="AG718" s="562"/>
      <c r="AH718" s="562"/>
      <c r="AI718" s="562"/>
      <c r="AJ718" s="562"/>
      <c r="AK718" s="562"/>
      <c r="AL718" s="562"/>
      <c r="AM718" s="562"/>
      <c r="AN718" s="562"/>
      <c r="AO718" s="562"/>
      <c r="AP718" s="562"/>
      <c r="AQ718" s="562"/>
      <c r="AR718" s="562"/>
      <c r="AS718" s="562"/>
    </row>
    <row r="719" spans="1:45" x14ac:dyDescent="0.2">
      <c r="A719" s="541">
        <v>6</v>
      </c>
      <c r="B719" s="549">
        <v>611.1</v>
      </c>
      <c r="C719" s="544"/>
      <c r="D719" s="544"/>
      <c r="E719" s="544"/>
      <c r="F719" s="544"/>
      <c r="G719" s="543" t="str">
        <f t="shared" ca="1" si="200"/>
        <v/>
      </c>
      <c r="H719" s="541" t="s">
        <v>3751</v>
      </c>
      <c r="I719" s="40"/>
      <c r="J719" s="3"/>
      <c r="K719" s="53"/>
      <c r="L719" s="816" t="s">
        <v>2765</v>
      </c>
      <c r="M719" s="814"/>
      <c r="N719" s="887"/>
      <c r="O719" s="887"/>
      <c r="P719" s="562"/>
      <c r="Q719" s="562"/>
      <c r="R719" s="562"/>
      <c r="S719" s="562"/>
      <c r="T719" s="562"/>
      <c r="U719" s="562"/>
      <c r="V719" s="562"/>
      <c r="W719" s="562"/>
      <c r="X719" s="787"/>
      <c r="Y719" s="977"/>
      <c r="Z719" s="978"/>
      <c r="AA719" s="562"/>
      <c r="AB719" s="562"/>
      <c r="AC719" s="562"/>
      <c r="AD719" s="562"/>
      <c r="AE719" s="562"/>
      <c r="AF719" s="562"/>
      <c r="AG719" s="562"/>
      <c r="AH719" s="562"/>
      <c r="AI719" s="562"/>
      <c r="AJ719" s="562"/>
      <c r="AK719" s="562"/>
      <c r="AL719" s="562"/>
      <c r="AM719" s="562"/>
      <c r="AN719" s="562"/>
      <c r="AO719" s="562"/>
      <c r="AP719" s="562"/>
      <c r="AQ719" s="562"/>
      <c r="AR719" s="562"/>
      <c r="AS719" s="562"/>
    </row>
    <row r="720" spans="1:45" ht="16" thickBot="1" x14ac:dyDescent="0.25">
      <c r="A720" s="541">
        <v>6</v>
      </c>
      <c r="B720" s="549">
        <v>611.1</v>
      </c>
      <c r="C720" s="544"/>
      <c r="D720" s="544"/>
      <c r="E720" s="544"/>
      <c r="F720" s="544"/>
      <c r="G720" s="543" t="str">
        <f t="shared" ca="1" si="200"/>
        <v/>
      </c>
      <c r="H720" s="541" t="s">
        <v>3751</v>
      </c>
      <c r="I720" s="40"/>
      <c r="J720" s="3"/>
      <c r="K720" s="53"/>
      <c r="L720" s="833"/>
      <c r="M720" s="814"/>
      <c r="N720" s="982"/>
      <c r="O720" s="887"/>
      <c r="P720" s="562"/>
      <c r="Q720" s="562"/>
      <c r="R720" s="562"/>
      <c r="S720" s="562"/>
      <c r="T720" s="562"/>
      <c r="U720" s="562"/>
      <c r="V720" s="562"/>
      <c r="W720" s="562"/>
      <c r="X720" s="825"/>
      <c r="Y720" s="979"/>
      <c r="Z720" s="1007"/>
      <c r="AA720" s="562"/>
      <c r="AB720" s="562"/>
      <c r="AC720" s="562"/>
      <c r="AD720" s="562"/>
      <c r="AE720" s="562"/>
      <c r="AF720" s="562"/>
      <c r="AG720" s="562"/>
      <c r="AH720" s="562"/>
      <c r="AI720" s="562"/>
      <c r="AJ720" s="562"/>
      <c r="AK720" s="562"/>
      <c r="AL720" s="562"/>
      <c r="AM720" s="562"/>
      <c r="AN720" s="562"/>
      <c r="AO720" s="562"/>
      <c r="AP720" s="562"/>
      <c r="AQ720" s="562"/>
      <c r="AR720" s="562"/>
      <c r="AS720" s="562"/>
    </row>
    <row r="721" spans="1:45" ht="16" thickTop="1" x14ac:dyDescent="0.2">
      <c r="A721" s="541">
        <v>6</v>
      </c>
      <c r="B721" s="549">
        <v>611.20000000000005</v>
      </c>
      <c r="C721" s="544"/>
      <c r="D721" s="544"/>
      <c r="E721" s="544"/>
      <c r="F721" s="544"/>
      <c r="G721" s="543" t="str">
        <f>IF(N721&gt;0,"P","")</f>
        <v/>
      </c>
      <c r="H721" s="541" t="s">
        <v>3751</v>
      </c>
      <c r="I721" s="131" t="s">
        <v>2766</v>
      </c>
      <c r="J721" s="132"/>
      <c r="K721" s="133"/>
      <c r="L721" s="819" t="s">
        <v>2767</v>
      </c>
      <c r="M721" s="827" t="s">
        <v>2768</v>
      </c>
      <c r="N721" s="981">
        <f>'Ch6'!O482</f>
        <v>0</v>
      </c>
      <c r="O721" s="981">
        <f>MIN(9,M724*S724*W724+M725*S725*W725+M726*S726*W726+M727*S727*W727+M728*S728*W728+M729*S729*W729+M730*S730*W730)</f>
        <v>0</v>
      </c>
      <c r="P721" s="74"/>
      <c r="Q721" s="74"/>
      <c r="R721" s="74"/>
      <c r="S721" s="74"/>
      <c r="T721" s="74"/>
      <c r="U721" s="74"/>
      <c r="V721" s="74"/>
      <c r="W721" s="74"/>
      <c r="X721" s="74"/>
      <c r="Y721" s="562"/>
      <c r="Z721" s="430"/>
      <c r="AA721" s="562"/>
      <c r="AB721" s="562"/>
      <c r="AC721" s="562"/>
      <c r="AD721" s="562"/>
      <c r="AE721" s="562"/>
      <c r="AF721" s="562"/>
      <c r="AG721" s="562"/>
      <c r="AH721" s="562"/>
      <c r="AI721" s="562"/>
      <c r="AJ721" s="562"/>
      <c r="AK721" s="562"/>
      <c r="AL721" s="190" t="str">
        <f t="shared" ref="AL721" si="201">SUBSTITUTE(SUBSTITUTE(SUBSTITUTE("vpa"&amp;$B721&amp;$C721&amp;$D721&amp;$E721&amp;$F721,".","_"),"(","_"),")","")</f>
        <v>vpa611,2</v>
      </c>
      <c r="AM721" s="190" t="str">
        <f>M721</f>
        <v>9 Max</v>
      </c>
      <c r="AN721" s="190" t="str">
        <f>SUBSTITUTE(SUBSTITUTE(SUBSTITUTE("vpc"&amp;$B721&amp;$C721&amp;$D721&amp;$E721&amp;$F721,".","_"),"(","_"),")","")</f>
        <v>vpc611,2</v>
      </c>
      <c r="AO721" s="190">
        <f>O721</f>
        <v>0</v>
      </c>
      <c r="AP721" s="562"/>
      <c r="AQ721" s="562"/>
      <c r="AR721" s="562"/>
      <c r="AS721" s="562"/>
    </row>
    <row r="722" spans="1:45" x14ac:dyDescent="0.2">
      <c r="A722" s="541">
        <v>6</v>
      </c>
      <c r="B722" s="549">
        <v>611.20000000000005</v>
      </c>
      <c r="C722" s="544"/>
      <c r="D722" s="544"/>
      <c r="E722" s="544"/>
      <c r="F722" s="544"/>
      <c r="G722" s="543" t="str">
        <f t="shared" ref="G722:G731" si="202">G721</f>
        <v/>
      </c>
      <c r="H722" s="541" t="s">
        <v>3751</v>
      </c>
      <c r="I722" s="99"/>
      <c r="J722" s="98"/>
      <c r="K722" s="65"/>
      <c r="L722" s="820"/>
      <c r="M722" s="800"/>
      <c r="N722" s="924"/>
      <c r="O722" s="924"/>
      <c r="P722" s="64"/>
      <c r="Q722" s="64"/>
      <c r="R722" s="64"/>
      <c r="S722" s="64"/>
      <c r="T722" s="64"/>
      <c r="U722" s="64"/>
      <c r="V722" s="64"/>
      <c r="W722" s="64"/>
      <c r="X722" s="64"/>
      <c r="Y722" s="562"/>
      <c r="Z722" s="430"/>
      <c r="AA722" s="562"/>
      <c r="AB722" s="562"/>
      <c r="AC722" s="562"/>
      <c r="AD722" s="562"/>
      <c r="AE722" s="562"/>
      <c r="AF722" s="562"/>
      <c r="AG722" s="562"/>
      <c r="AH722" s="562"/>
      <c r="AI722" s="562"/>
      <c r="AJ722" s="562"/>
      <c r="AK722" s="562"/>
      <c r="AL722" s="562"/>
      <c r="AM722" s="562"/>
      <c r="AN722" s="562"/>
      <c r="AO722" s="562"/>
      <c r="AP722" s="562"/>
      <c r="AQ722" s="562"/>
      <c r="AR722" s="562"/>
      <c r="AS722" s="562"/>
    </row>
    <row r="723" spans="1:45" x14ac:dyDescent="0.2">
      <c r="A723" s="541">
        <v>6</v>
      </c>
      <c r="B723" s="549">
        <v>611.20000000000005</v>
      </c>
      <c r="C723" s="544"/>
      <c r="D723" s="544"/>
      <c r="E723" s="544"/>
      <c r="F723" s="544"/>
      <c r="G723" s="543" t="str">
        <f t="shared" si="202"/>
        <v/>
      </c>
      <c r="H723" s="541" t="s">
        <v>3751</v>
      </c>
      <c r="I723" s="99"/>
      <c r="J723" s="98"/>
      <c r="K723" s="65"/>
      <c r="L723" s="820"/>
      <c r="M723" s="800"/>
      <c r="N723" s="924"/>
      <c r="O723" s="924"/>
      <c r="P723" s="64"/>
      <c r="Q723" s="64"/>
      <c r="R723" s="64"/>
      <c r="S723" s="64"/>
      <c r="T723" s="64"/>
      <c r="U723" s="64"/>
      <c r="V723" s="64"/>
      <c r="W723" s="64"/>
      <c r="X723" s="64"/>
      <c r="Y723" s="562"/>
      <c r="Z723" s="430"/>
      <c r="AA723" s="562"/>
      <c r="AB723" s="562"/>
      <c r="AC723" s="562"/>
      <c r="AD723" s="562"/>
      <c r="AE723" s="562"/>
      <c r="AF723" s="562"/>
      <c r="AG723" s="562"/>
      <c r="AH723" s="562"/>
      <c r="AI723" s="562"/>
      <c r="AJ723" s="562"/>
      <c r="AK723" s="562"/>
      <c r="AL723" s="562"/>
      <c r="AM723" s="562"/>
      <c r="AN723" s="562"/>
      <c r="AO723" s="562"/>
      <c r="AP723" s="562"/>
      <c r="AQ723" s="562"/>
      <c r="AR723" s="562"/>
      <c r="AS723" s="562"/>
    </row>
    <row r="724" spans="1:45" ht="16" x14ac:dyDescent="0.2">
      <c r="A724" s="541">
        <v>6</v>
      </c>
      <c r="B724" s="549">
        <v>611.20000000000005</v>
      </c>
      <c r="C724" s="544"/>
      <c r="D724" s="544"/>
      <c r="E724" s="544" t="s">
        <v>2181</v>
      </c>
      <c r="F724" s="544"/>
      <c r="G724" s="543" t="str">
        <f t="shared" si="202"/>
        <v/>
      </c>
      <c r="H724" s="541" t="s">
        <v>3751</v>
      </c>
      <c r="I724" s="40"/>
      <c r="J724" s="159" t="s">
        <v>2181</v>
      </c>
      <c r="K724" s="126"/>
      <c r="L724" s="126" t="s">
        <v>2769</v>
      </c>
      <c r="M724" s="611">
        <v>3</v>
      </c>
      <c r="N724" s="648"/>
      <c r="O724" s="648"/>
      <c r="P724" s="562" t="b">
        <v>1</v>
      </c>
      <c r="Q724" s="562" t="b">
        <v>1</v>
      </c>
      <c r="R724" s="562" t="b">
        <v>0</v>
      </c>
      <c r="S724" s="562" t="b">
        <v>1</v>
      </c>
      <c r="T724" s="562" t="b">
        <v>0</v>
      </c>
      <c r="U724" s="562"/>
      <c r="V724" s="562"/>
      <c r="W724" s="18"/>
      <c r="X724" s="563"/>
      <c r="Y724" s="578" t="str">
        <f>IF(LEN('Ch6'!X485)=0,"None",'Ch6'!X485)</f>
        <v>None</v>
      </c>
      <c r="Z724" s="579"/>
      <c r="AA724" s="562"/>
      <c r="AB724" s="562"/>
      <c r="AC724" s="562" t="b">
        <f t="shared" ref="AC724:AC730" si="203">OR(AD724:AE724)</f>
        <v>0</v>
      </c>
      <c r="AD724" s="562" t="b">
        <f t="shared" ref="AD724:AD730" si="204">T724</f>
        <v>0</v>
      </c>
      <c r="AE724" s="562" t="b">
        <v>0</v>
      </c>
      <c r="AF724" s="562" t="b">
        <f t="shared" ref="AF724:AF730" si="205">AND(AE724,NOT(Q724))</f>
        <v>0</v>
      </c>
      <c r="AG724" s="562"/>
      <c r="AH724" s="562"/>
      <c r="AI724" s="562"/>
      <c r="AJ724" s="562"/>
      <c r="AK724" s="562"/>
      <c r="AL724" s="190" t="str">
        <f t="shared" ref="AL724:AL730" si="206">SUBSTITUTE(SUBSTITUTE(SUBSTITUTE("vpa"&amp;$B724&amp;$C724&amp;$D724&amp;$E724&amp;$F724,".","_"),"(","_"),")","")</f>
        <v>vpa611,2_1</v>
      </c>
      <c r="AM724" s="190">
        <f t="shared" ref="AM724:AM730" si="207">M724</f>
        <v>3</v>
      </c>
      <c r="AN724" s="562"/>
      <c r="AO724" s="562"/>
      <c r="AP724" s="190" t="str">
        <f t="shared" ref="AP724:AP730" si="208">SUBSTITUTE(SUBSTITUTE(SUBSTITUTE("vch"&amp;$B724&amp;$C724&amp;$D724&amp;$E724&amp;$F724,".","_"),"(","_"),")","")</f>
        <v>vch611,2_1</v>
      </c>
      <c r="AQ724" s="190">
        <f t="shared" ref="AQ724:AQ730" si="209">W724</f>
        <v>0</v>
      </c>
      <c r="AR724" s="190" t="str">
        <f t="shared" ref="AR724:AR730" si="210">SUBSTITUTE(SUBSTITUTE(SUBSTITUTE("vnt"&amp;$B724&amp;$C724&amp;$D724&amp;$E724&amp;$F724,".","_"),"(","_"),")","")</f>
        <v>vnt611,2_1</v>
      </c>
      <c r="AS724" s="190">
        <f t="shared" ref="AS724:AS730" si="211">X724</f>
        <v>0</v>
      </c>
    </row>
    <row r="725" spans="1:45" ht="16" x14ac:dyDescent="0.2">
      <c r="A725" s="541">
        <v>6</v>
      </c>
      <c r="B725" s="549">
        <v>611.20000000000005</v>
      </c>
      <c r="C725" s="544"/>
      <c r="D725" s="544"/>
      <c r="E725" s="544" t="s">
        <v>2183</v>
      </c>
      <c r="F725" s="544"/>
      <c r="G725" s="543" t="str">
        <f t="shared" si="202"/>
        <v/>
      </c>
      <c r="H725" s="541" t="s">
        <v>3751</v>
      </c>
      <c r="I725" s="40"/>
      <c r="J725" s="161" t="s">
        <v>2183</v>
      </c>
      <c r="K725" s="162"/>
      <c r="L725" s="162" t="s">
        <v>2770</v>
      </c>
      <c r="M725" s="249">
        <v>3</v>
      </c>
      <c r="N725" s="648"/>
      <c r="O725" s="648"/>
      <c r="P725" s="562" t="b">
        <v>1</v>
      </c>
      <c r="Q725" s="562" t="b">
        <v>1</v>
      </c>
      <c r="R725" s="562" t="b">
        <v>0</v>
      </c>
      <c r="S725" s="562" t="b">
        <v>1</v>
      </c>
      <c r="T725" s="562" t="b">
        <v>0</v>
      </c>
      <c r="U725" s="562"/>
      <c r="V725" s="562"/>
      <c r="W725" s="18"/>
      <c r="X725" s="563"/>
      <c r="Y725" s="578" t="str">
        <f>IF(LEN('Ch6'!X486)=0,"None",'Ch6'!X486)</f>
        <v>None</v>
      </c>
      <c r="Z725" s="579"/>
      <c r="AA725" s="562"/>
      <c r="AB725" s="562"/>
      <c r="AC725" s="562" t="b">
        <f t="shared" si="203"/>
        <v>0</v>
      </c>
      <c r="AD725" s="562" t="b">
        <f t="shared" si="204"/>
        <v>0</v>
      </c>
      <c r="AE725" s="562" t="b">
        <v>0</v>
      </c>
      <c r="AF725" s="562" t="b">
        <f t="shared" si="205"/>
        <v>0</v>
      </c>
      <c r="AG725" s="562"/>
      <c r="AH725" s="562"/>
      <c r="AI725" s="562"/>
      <c r="AJ725" s="562"/>
      <c r="AK725" s="562"/>
      <c r="AL725" s="190" t="str">
        <f t="shared" si="206"/>
        <v>vpa611,2_2</v>
      </c>
      <c r="AM725" s="190">
        <f t="shared" si="207"/>
        <v>3</v>
      </c>
      <c r="AN725" s="562"/>
      <c r="AO725" s="562"/>
      <c r="AP725" s="190" t="str">
        <f t="shared" si="208"/>
        <v>vch611,2_2</v>
      </c>
      <c r="AQ725" s="190">
        <f t="shared" si="209"/>
        <v>0</v>
      </c>
      <c r="AR725" s="190" t="str">
        <f t="shared" si="210"/>
        <v>vnt611,2_2</v>
      </c>
      <c r="AS725" s="190">
        <f t="shared" si="211"/>
        <v>0</v>
      </c>
    </row>
    <row r="726" spans="1:45" ht="16" x14ac:dyDescent="0.2">
      <c r="A726" s="541">
        <v>6</v>
      </c>
      <c r="B726" s="549">
        <v>611.20000000000005</v>
      </c>
      <c r="C726" s="544"/>
      <c r="D726" s="544"/>
      <c r="E726" s="544" t="s">
        <v>2185</v>
      </c>
      <c r="F726" s="544"/>
      <c r="G726" s="543" t="str">
        <f t="shared" si="202"/>
        <v/>
      </c>
      <c r="H726" s="541" t="s">
        <v>3751</v>
      </c>
      <c r="I726" s="40"/>
      <c r="J726" s="161" t="s">
        <v>2185</v>
      </c>
      <c r="K726" s="162"/>
      <c r="L726" s="162" t="s">
        <v>2771</v>
      </c>
      <c r="M726" s="249">
        <v>3</v>
      </c>
      <c r="N726" s="648"/>
      <c r="O726" s="648"/>
      <c r="P726" s="562" t="b">
        <v>1</v>
      </c>
      <c r="Q726" s="562" t="b">
        <v>1</v>
      </c>
      <c r="R726" s="562" t="b">
        <v>0</v>
      </c>
      <c r="S726" s="562" t="b">
        <v>1</v>
      </c>
      <c r="T726" s="562" t="b">
        <v>0</v>
      </c>
      <c r="U726" s="562"/>
      <c r="V726" s="562"/>
      <c r="W726" s="18"/>
      <c r="X726" s="563"/>
      <c r="Y726" s="578" t="str">
        <f>IF(LEN('Ch6'!X487)=0,"None",'Ch6'!X487)</f>
        <v>None</v>
      </c>
      <c r="Z726" s="579"/>
      <c r="AA726" s="562"/>
      <c r="AB726" s="562"/>
      <c r="AC726" s="562" t="b">
        <f t="shared" si="203"/>
        <v>0</v>
      </c>
      <c r="AD726" s="562" t="b">
        <f t="shared" si="204"/>
        <v>0</v>
      </c>
      <c r="AE726" s="562" t="b">
        <v>0</v>
      </c>
      <c r="AF726" s="562" t="b">
        <f t="shared" si="205"/>
        <v>0</v>
      </c>
      <c r="AG726" s="562"/>
      <c r="AH726" s="562"/>
      <c r="AI726" s="562"/>
      <c r="AJ726" s="562"/>
      <c r="AK726" s="562"/>
      <c r="AL726" s="190" t="str">
        <f t="shared" si="206"/>
        <v>vpa611,2_3</v>
      </c>
      <c r="AM726" s="190">
        <f t="shared" si="207"/>
        <v>3</v>
      </c>
      <c r="AN726" s="562"/>
      <c r="AO726" s="562"/>
      <c r="AP726" s="190" t="str">
        <f t="shared" si="208"/>
        <v>vch611,2_3</v>
      </c>
      <c r="AQ726" s="190">
        <f t="shared" si="209"/>
        <v>0</v>
      </c>
      <c r="AR726" s="190" t="str">
        <f t="shared" si="210"/>
        <v>vnt611,2_3</v>
      </c>
      <c r="AS726" s="190">
        <f t="shared" si="211"/>
        <v>0</v>
      </c>
    </row>
    <row r="727" spans="1:45" ht="16" x14ac:dyDescent="0.2">
      <c r="A727" s="541">
        <v>6</v>
      </c>
      <c r="B727" s="549">
        <v>611.20000000000005</v>
      </c>
      <c r="C727" s="544"/>
      <c r="D727" s="544"/>
      <c r="E727" s="544" t="s">
        <v>2192</v>
      </c>
      <c r="F727" s="544"/>
      <c r="G727" s="543" t="str">
        <f t="shared" si="202"/>
        <v/>
      </c>
      <c r="H727" s="541" t="s">
        <v>3751</v>
      </c>
      <c r="I727" s="40"/>
      <c r="J727" s="161" t="s">
        <v>2192</v>
      </c>
      <c r="K727" s="162"/>
      <c r="L727" s="162" t="s">
        <v>2772</v>
      </c>
      <c r="M727" s="249">
        <v>3</v>
      </c>
      <c r="N727" s="648"/>
      <c r="O727" s="648"/>
      <c r="P727" s="562" t="b">
        <v>1</v>
      </c>
      <c r="Q727" s="562" t="b">
        <v>1</v>
      </c>
      <c r="R727" s="562" t="b">
        <v>0</v>
      </c>
      <c r="S727" s="562" t="b">
        <v>1</v>
      </c>
      <c r="T727" s="562" t="b">
        <v>0</v>
      </c>
      <c r="U727" s="562"/>
      <c r="V727" s="562"/>
      <c r="W727" s="18"/>
      <c r="X727" s="563"/>
      <c r="Y727" s="578" t="str">
        <f>IF(LEN('Ch6'!X488)=0,"None",'Ch6'!X488)</f>
        <v>None</v>
      </c>
      <c r="Z727" s="579"/>
      <c r="AA727" s="562"/>
      <c r="AB727" s="562"/>
      <c r="AC727" s="562" t="b">
        <f t="shared" si="203"/>
        <v>0</v>
      </c>
      <c r="AD727" s="562" t="b">
        <f t="shared" si="204"/>
        <v>0</v>
      </c>
      <c r="AE727" s="562" t="b">
        <v>0</v>
      </c>
      <c r="AF727" s="562" t="b">
        <f t="shared" si="205"/>
        <v>0</v>
      </c>
      <c r="AG727" s="562"/>
      <c r="AH727" s="562"/>
      <c r="AI727" s="562"/>
      <c r="AJ727" s="562"/>
      <c r="AK727" s="562"/>
      <c r="AL727" s="190" t="str">
        <f t="shared" si="206"/>
        <v>vpa611,2_4</v>
      </c>
      <c r="AM727" s="190">
        <f t="shared" si="207"/>
        <v>3</v>
      </c>
      <c r="AN727" s="562"/>
      <c r="AO727" s="562"/>
      <c r="AP727" s="190" t="str">
        <f t="shared" si="208"/>
        <v>vch611,2_4</v>
      </c>
      <c r="AQ727" s="190">
        <f t="shared" si="209"/>
        <v>0</v>
      </c>
      <c r="AR727" s="190" t="str">
        <f t="shared" si="210"/>
        <v>vnt611,2_4</v>
      </c>
      <c r="AS727" s="190">
        <f t="shared" si="211"/>
        <v>0</v>
      </c>
    </row>
    <row r="728" spans="1:45" ht="16" x14ac:dyDescent="0.2">
      <c r="A728" s="541">
        <v>6</v>
      </c>
      <c r="B728" s="549">
        <v>611.20000000000005</v>
      </c>
      <c r="C728" s="544"/>
      <c r="D728" s="544"/>
      <c r="E728" s="544" t="s">
        <v>2194</v>
      </c>
      <c r="F728" s="544"/>
      <c r="G728" s="543" t="str">
        <f t="shared" si="202"/>
        <v/>
      </c>
      <c r="H728" s="541" t="s">
        <v>3751</v>
      </c>
      <c r="I728" s="40"/>
      <c r="J728" s="161" t="s">
        <v>2194</v>
      </c>
      <c r="K728" s="162"/>
      <c r="L728" s="162" t="s">
        <v>2773</v>
      </c>
      <c r="M728" s="249">
        <v>3</v>
      </c>
      <c r="N728" s="648"/>
      <c r="O728" s="648"/>
      <c r="P728" s="562" t="b">
        <v>1</v>
      </c>
      <c r="Q728" s="562" t="b">
        <v>1</v>
      </c>
      <c r="R728" s="562" t="b">
        <v>0</v>
      </c>
      <c r="S728" s="562" t="b">
        <v>1</v>
      </c>
      <c r="T728" s="562" t="b">
        <v>0</v>
      </c>
      <c r="U728" s="562"/>
      <c r="V728" s="562"/>
      <c r="W728" s="18"/>
      <c r="X728" s="563"/>
      <c r="Y728" s="578" t="str">
        <f>IF(LEN('Ch6'!X489)=0,"None",'Ch6'!X489)</f>
        <v>None</v>
      </c>
      <c r="Z728" s="579"/>
      <c r="AA728" s="562"/>
      <c r="AB728" s="562"/>
      <c r="AC728" s="562" t="b">
        <f t="shared" si="203"/>
        <v>0</v>
      </c>
      <c r="AD728" s="562" t="b">
        <f t="shared" si="204"/>
        <v>0</v>
      </c>
      <c r="AE728" s="562" t="b">
        <v>0</v>
      </c>
      <c r="AF728" s="562" t="b">
        <f t="shared" si="205"/>
        <v>0</v>
      </c>
      <c r="AG728" s="562"/>
      <c r="AH728" s="562"/>
      <c r="AI728" s="562"/>
      <c r="AJ728" s="562"/>
      <c r="AK728" s="562"/>
      <c r="AL728" s="190" t="str">
        <f t="shared" si="206"/>
        <v>vpa611,2_5</v>
      </c>
      <c r="AM728" s="190">
        <f t="shared" si="207"/>
        <v>3</v>
      </c>
      <c r="AN728" s="562"/>
      <c r="AO728" s="562"/>
      <c r="AP728" s="190" t="str">
        <f t="shared" si="208"/>
        <v>vch611,2_5</v>
      </c>
      <c r="AQ728" s="190">
        <f t="shared" si="209"/>
        <v>0</v>
      </c>
      <c r="AR728" s="190" t="str">
        <f t="shared" si="210"/>
        <v>vnt611,2_5</v>
      </c>
      <c r="AS728" s="190">
        <f t="shared" si="211"/>
        <v>0</v>
      </c>
    </row>
    <row r="729" spans="1:45" ht="16" x14ac:dyDescent="0.2">
      <c r="A729" s="541">
        <v>6</v>
      </c>
      <c r="B729" s="549">
        <v>611.20000000000005</v>
      </c>
      <c r="C729" s="544"/>
      <c r="D729" s="544"/>
      <c r="E729" s="544" t="s">
        <v>2221</v>
      </c>
      <c r="F729" s="544"/>
      <c r="G729" s="543" t="str">
        <f t="shared" si="202"/>
        <v/>
      </c>
      <c r="H729" s="541" t="s">
        <v>3751</v>
      </c>
      <c r="I729" s="40"/>
      <c r="J729" s="161" t="s">
        <v>2221</v>
      </c>
      <c r="K729" s="162"/>
      <c r="L729" s="162" t="s">
        <v>2774</v>
      </c>
      <c r="M729" s="249">
        <v>3</v>
      </c>
      <c r="N729" s="648"/>
      <c r="O729" s="648"/>
      <c r="P729" s="562" t="b">
        <v>1</v>
      </c>
      <c r="Q729" s="562" t="b">
        <v>1</v>
      </c>
      <c r="R729" s="562" t="b">
        <v>0</v>
      </c>
      <c r="S729" s="562" t="b">
        <v>1</v>
      </c>
      <c r="T729" s="562" t="b">
        <v>0</v>
      </c>
      <c r="U729" s="562"/>
      <c r="V729" s="562"/>
      <c r="W729" s="18"/>
      <c r="X729" s="563"/>
      <c r="Y729" s="578" t="str">
        <f>IF(LEN('Ch6'!X490)=0,"None",'Ch6'!X490)</f>
        <v>None</v>
      </c>
      <c r="Z729" s="579"/>
      <c r="AA729" s="562"/>
      <c r="AB729" s="562"/>
      <c r="AC729" s="562" t="b">
        <f t="shared" si="203"/>
        <v>0</v>
      </c>
      <c r="AD729" s="562" t="b">
        <f t="shared" si="204"/>
        <v>0</v>
      </c>
      <c r="AE729" s="562" t="b">
        <v>0</v>
      </c>
      <c r="AF729" s="562" t="b">
        <f t="shared" si="205"/>
        <v>0</v>
      </c>
      <c r="AG729" s="562"/>
      <c r="AH729" s="562"/>
      <c r="AI729" s="562"/>
      <c r="AJ729" s="562"/>
      <c r="AK729" s="562"/>
      <c r="AL729" s="190" t="str">
        <f t="shared" si="206"/>
        <v>vpa611,2_6</v>
      </c>
      <c r="AM729" s="190">
        <f t="shared" si="207"/>
        <v>3</v>
      </c>
      <c r="AN729" s="562"/>
      <c r="AO729" s="562"/>
      <c r="AP729" s="190" t="str">
        <f t="shared" si="208"/>
        <v>vch611,2_6</v>
      </c>
      <c r="AQ729" s="190">
        <f t="shared" si="209"/>
        <v>0</v>
      </c>
      <c r="AR729" s="190" t="str">
        <f t="shared" si="210"/>
        <v>vnt611,2_6</v>
      </c>
      <c r="AS729" s="190">
        <f t="shared" si="211"/>
        <v>0</v>
      </c>
    </row>
    <row r="730" spans="1:45" x14ac:dyDescent="0.2">
      <c r="A730" s="541">
        <v>6</v>
      </c>
      <c r="B730" s="549">
        <v>611.20000000000005</v>
      </c>
      <c r="C730" s="544"/>
      <c r="D730" s="544"/>
      <c r="E730" s="544" t="s">
        <v>2223</v>
      </c>
      <c r="F730" s="544"/>
      <c r="G730" s="543" t="str">
        <f t="shared" si="202"/>
        <v/>
      </c>
      <c r="H730" s="541" t="s">
        <v>3751</v>
      </c>
      <c r="I730" s="40"/>
      <c r="J730" s="20" t="s">
        <v>2223</v>
      </c>
      <c r="K730" s="53"/>
      <c r="L730" s="817" t="s">
        <v>2775</v>
      </c>
      <c r="M730" s="814">
        <v>3</v>
      </c>
      <c r="N730" s="648"/>
      <c r="O730" s="648"/>
      <c r="P730" s="562" t="b">
        <v>1</v>
      </c>
      <c r="Q730" s="562" t="b">
        <v>1</v>
      </c>
      <c r="R730" s="562" t="b">
        <v>0</v>
      </c>
      <c r="S730" s="562" t="b">
        <v>1</v>
      </c>
      <c r="T730" s="562" t="b">
        <v>0</v>
      </c>
      <c r="U730" s="562"/>
      <c r="V730" s="562"/>
      <c r="W730" s="18"/>
      <c r="X730" s="787"/>
      <c r="Y730" s="977" t="str">
        <f>IF(LEN('Ch6'!X491)=0,"None",'Ch6'!X491)</f>
        <v>None</v>
      </c>
      <c r="Z730" s="978"/>
      <c r="AA730" s="562"/>
      <c r="AB730" s="562"/>
      <c r="AC730" s="562" t="b">
        <f t="shared" si="203"/>
        <v>0</v>
      </c>
      <c r="AD730" s="562" t="b">
        <f t="shared" si="204"/>
        <v>0</v>
      </c>
      <c r="AE730" s="562" t="b">
        <v>0</v>
      </c>
      <c r="AF730" s="562" t="b">
        <f t="shared" si="205"/>
        <v>0</v>
      </c>
      <c r="AG730" s="562"/>
      <c r="AH730" s="562"/>
      <c r="AI730" s="562"/>
      <c r="AJ730" s="562"/>
      <c r="AK730" s="562"/>
      <c r="AL730" s="190" t="str">
        <f t="shared" si="206"/>
        <v>vpa611,2_7</v>
      </c>
      <c r="AM730" s="190">
        <f t="shared" si="207"/>
        <v>3</v>
      </c>
      <c r="AN730" s="562"/>
      <c r="AO730" s="562"/>
      <c r="AP730" s="190" t="str">
        <f t="shared" si="208"/>
        <v>vch611,2_7</v>
      </c>
      <c r="AQ730" s="190">
        <f t="shared" si="209"/>
        <v>0</v>
      </c>
      <c r="AR730" s="190" t="str">
        <f t="shared" si="210"/>
        <v>vnt611,2_7</v>
      </c>
      <c r="AS730" s="190">
        <f t="shared" si="211"/>
        <v>0</v>
      </c>
    </row>
    <row r="731" spans="1:45" ht="16" thickBot="1" x14ac:dyDescent="0.25">
      <c r="A731" s="541">
        <v>6</v>
      </c>
      <c r="B731" s="549">
        <v>611.20000000000005</v>
      </c>
      <c r="C731" s="544"/>
      <c r="D731" s="544"/>
      <c r="E731" s="544" t="s">
        <v>2223</v>
      </c>
      <c r="F731" s="544"/>
      <c r="G731" s="543" t="str">
        <f t="shared" si="202"/>
        <v/>
      </c>
      <c r="H731" s="541" t="s">
        <v>3751</v>
      </c>
      <c r="I731" s="40"/>
      <c r="J731" s="20"/>
      <c r="K731" s="53"/>
      <c r="L731" s="817"/>
      <c r="M731" s="814"/>
      <c r="N731" s="648"/>
      <c r="O731" s="648"/>
      <c r="P731" s="562"/>
      <c r="Q731" s="562"/>
      <c r="R731" s="562"/>
      <c r="S731" s="562"/>
      <c r="T731" s="562"/>
      <c r="U731" s="562"/>
      <c r="V731" s="562"/>
      <c r="W731" s="562"/>
      <c r="X731" s="825"/>
      <c r="Y731" s="979"/>
      <c r="Z731" s="1007"/>
      <c r="AA731" s="562"/>
      <c r="AB731" s="562"/>
      <c r="AC731" s="562"/>
      <c r="AD731" s="562"/>
      <c r="AE731" s="562"/>
      <c r="AF731" s="562"/>
      <c r="AG731" s="562"/>
      <c r="AH731" s="562"/>
      <c r="AI731" s="562"/>
      <c r="AJ731" s="562"/>
      <c r="AK731" s="562"/>
      <c r="AL731" s="562"/>
      <c r="AM731" s="562"/>
      <c r="AN731" s="562"/>
      <c r="AO731" s="562"/>
      <c r="AP731" s="562"/>
      <c r="AQ731" s="562"/>
      <c r="AR731" s="562"/>
      <c r="AS731" s="562"/>
    </row>
    <row r="732" spans="1:45" ht="16" thickTop="1" x14ac:dyDescent="0.2">
      <c r="A732" s="541">
        <v>6</v>
      </c>
      <c r="B732" s="549">
        <v>611.29999999999995</v>
      </c>
      <c r="C732" s="544"/>
      <c r="D732" s="544"/>
      <c r="E732" s="544"/>
      <c r="F732" s="544"/>
      <c r="G732" s="543" t="str">
        <f>IF(N732&gt;0,"P","")</f>
        <v/>
      </c>
      <c r="H732" s="541" t="s">
        <v>3751</v>
      </c>
      <c r="I732" s="131" t="s">
        <v>2776</v>
      </c>
      <c r="J732" s="151"/>
      <c r="K732" s="133"/>
      <c r="L732" s="819" t="s">
        <v>2777</v>
      </c>
      <c r="M732" s="827" t="s">
        <v>2436</v>
      </c>
      <c r="N732" s="981">
        <f>'Ch6'!O493</f>
        <v>0</v>
      </c>
      <c r="O732" s="981">
        <f>MIN(12,M734*S734*W734+M739*S739*W739+M743*S743*W743+M745*S745*W745+M747*S747*W747+M748*S748*W748+M749*S749*W749+M753*S753*W753+M755*S755*W755)</f>
        <v>0</v>
      </c>
      <c r="P732" s="74"/>
      <c r="Q732" s="74"/>
      <c r="R732" s="74"/>
      <c r="S732" s="74"/>
      <c r="T732" s="74"/>
      <c r="U732" s="74"/>
      <c r="V732" s="74"/>
      <c r="W732" s="74"/>
      <c r="X732" s="74"/>
      <c r="Y732" s="562"/>
      <c r="Z732" s="430"/>
      <c r="AA732" s="562"/>
      <c r="AB732" s="562"/>
      <c r="AC732" s="562"/>
      <c r="AD732" s="562"/>
      <c r="AE732" s="562"/>
      <c r="AF732" s="562"/>
      <c r="AG732" s="562"/>
      <c r="AH732" s="562"/>
      <c r="AI732" s="562"/>
      <c r="AJ732" s="562"/>
      <c r="AK732" s="562"/>
      <c r="AL732" s="190" t="str">
        <f t="shared" ref="AL732" si="212">SUBSTITUTE(SUBSTITUTE(SUBSTITUTE("vpa"&amp;$B732&amp;$C732&amp;$D732&amp;$E732&amp;$F732,".","_"),"(","_"),")","")</f>
        <v>vpa611,3</v>
      </c>
      <c r="AM732" s="190" t="str">
        <f>M732</f>
        <v>12 Max</v>
      </c>
      <c r="AN732" s="190" t="str">
        <f>SUBSTITUTE(SUBSTITUTE(SUBSTITUTE("vpc"&amp;$B732&amp;$C732&amp;$D732&amp;$E732&amp;$F732,".","_"),"(","_"),")","")</f>
        <v>vpc611,3</v>
      </c>
      <c r="AO732" s="190">
        <f>O732</f>
        <v>0</v>
      </c>
      <c r="AP732" s="562"/>
      <c r="AQ732" s="562"/>
      <c r="AR732" s="562"/>
      <c r="AS732" s="562"/>
    </row>
    <row r="733" spans="1:45" x14ac:dyDescent="0.2">
      <c r="A733" s="541">
        <v>6</v>
      </c>
      <c r="B733" s="549">
        <v>611.29999999999995</v>
      </c>
      <c r="C733" s="544"/>
      <c r="D733" s="544"/>
      <c r="E733" s="544"/>
      <c r="F733" s="544"/>
      <c r="G733" s="543" t="str">
        <f t="shared" ref="G733:G756" si="213">G732</f>
        <v/>
      </c>
      <c r="H733" s="541" t="s">
        <v>3751</v>
      </c>
      <c r="I733" s="99"/>
      <c r="J733" s="98"/>
      <c r="K733" s="65"/>
      <c r="L733" s="820"/>
      <c r="M733" s="800"/>
      <c r="N733" s="924"/>
      <c r="O733" s="924"/>
      <c r="P733" s="64"/>
      <c r="Q733" s="64"/>
      <c r="R733" s="64"/>
      <c r="S733" s="64"/>
      <c r="T733" s="64"/>
      <c r="U733" s="64"/>
      <c r="V733" s="64"/>
      <c r="W733" s="64"/>
      <c r="X733" s="64"/>
      <c r="Y733" s="562"/>
      <c r="Z733" s="430"/>
      <c r="AA733" s="562"/>
      <c r="AB733" s="562"/>
      <c r="AC733" s="562"/>
      <c r="AD733" s="562"/>
      <c r="AE733" s="562"/>
      <c r="AF733" s="562"/>
      <c r="AG733" s="562"/>
      <c r="AH733" s="562"/>
      <c r="AI733" s="562"/>
      <c r="AJ733" s="562"/>
      <c r="AK733" s="562"/>
      <c r="AL733" s="562"/>
      <c r="AM733" s="562"/>
      <c r="AN733" s="562"/>
      <c r="AO733" s="562"/>
      <c r="AP733" s="562"/>
      <c r="AQ733" s="562"/>
      <c r="AR733" s="562"/>
      <c r="AS733" s="562"/>
    </row>
    <row r="734" spans="1:45" x14ac:dyDescent="0.2">
      <c r="A734" s="541">
        <v>6</v>
      </c>
      <c r="B734" s="549">
        <v>611.29999999999995</v>
      </c>
      <c r="C734" s="544"/>
      <c r="D734" s="544"/>
      <c r="E734" s="544" t="s">
        <v>2181</v>
      </c>
      <c r="F734" s="544"/>
      <c r="G734" s="543" t="str">
        <f t="shared" si="213"/>
        <v/>
      </c>
      <c r="H734" s="541" t="s">
        <v>3751</v>
      </c>
      <c r="I734" s="40"/>
      <c r="J734" s="134" t="s">
        <v>2181</v>
      </c>
      <c r="K734" s="65"/>
      <c r="L734" s="791" t="s">
        <v>2778</v>
      </c>
      <c r="M734" s="800">
        <v>3</v>
      </c>
      <c r="N734" s="648"/>
      <c r="O734" s="648"/>
      <c r="P734" s="562" t="b">
        <v>1</v>
      </c>
      <c r="Q734" s="562" t="b">
        <v>1</v>
      </c>
      <c r="R734" s="562" t="b">
        <v>0</v>
      </c>
      <c r="S734" s="562" t="b">
        <v>1</v>
      </c>
      <c r="T734" s="562" t="b">
        <v>0</v>
      </c>
      <c r="U734" s="562"/>
      <c r="V734" s="562"/>
      <c r="W734" s="18"/>
      <c r="X734" s="787"/>
      <c r="Y734" s="980" t="str">
        <f>IF(LEN('Ch6'!X495)=0,"None",'Ch6'!X495)</f>
        <v>None</v>
      </c>
      <c r="Z734" s="983"/>
      <c r="AA734" s="562">
        <f>'Photo Review'!H734</f>
        <v>0</v>
      </c>
      <c r="AB734" s="562"/>
      <c r="AC734" s="562"/>
      <c r="AD734" s="562"/>
      <c r="AE734" s="562"/>
      <c r="AF734" s="562"/>
      <c r="AG734" s="562"/>
      <c r="AH734" s="562"/>
      <c r="AI734" s="562"/>
      <c r="AJ734" s="562"/>
      <c r="AK734" s="562"/>
      <c r="AL734" s="190" t="str">
        <f t="shared" ref="AL734" si="214">SUBSTITUTE(SUBSTITUTE(SUBSTITUTE("vpa"&amp;$B734&amp;$C734&amp;$D734&amp;$E734&amp;$F734,".","_"),"(","_"),")","")</f>
        <v>vpa611,3_1</v>
      </c>
      <c r="AM734" s="190">
        <f>M734</f>
        <v>3</v>
      </c>
      <c r="AN734" s="562"/>
      <c r="AO734" s="562"/>
      <c r="AP734" s="190" t="str">
        <f>SUBSTITUTE(SUBSTITUTE(SUBSTITUTE("vch"&amp;$B734&amp;$C734&amp;$D734&amp;$E734&amp;$F734,".","_"),"(","_"),")","")</f>
        <v>vch611,3_1</v>
      </c>
      <c r="AQ734" s="190">
        <f>W734</f>
        <v>0</v>
      </c>
      <c r="AR734" s="190" t="str">
        <f>SUBSTITUTE(SUBSTITUTE(SUBSTITUTE("vnt"&amp;$B734&amp;$C734&amp;$D734&amp;$E734&amp;$F734,".","_"),"(","_"),")","")</f>
        <v>vnt611,3_1</v>
      </c>
      <c r="AS734" s="190">
        <f>X734</f>
        <v>0</v>
      </c>
    </row>
    <row r="735" spans="1:45" x14ac:dyDescent="0.2">
      <c r="A735" s="541">
        <v>6</v>
      </c>
      <c r="B735" s="549">
        <v>611.29999999999995</v>
      </c>
      <c r="C735" s="544"/>
      <c r="D735" s="544"/>
      <c r="E735" s="544" t="s">
        <v>2181</v>
      </c>
      <c r="F735" s="544"/>
      <c r="G735" s="543" t="str">
        <f t="shared" si="213"/>
        <v/>
      </c>
      <c r="H735" s="541" t="s">
        <v>3751</v>
      </c>
      <c r="I735" s="40"/>
      <c r="J735" s="98"/>
      <c r="K735" s="65"/>
      <c r="L735" s="791"/>
      <c r="M735" s="800"/>
      <c r="N735" s="648"/>
      <c r="O735" s="648"/>
      <c r="P735" s="562"/>
      <c r="Q735" s="562"/>
      <c r="R735" s="562"/>
      <c r="S735" s="562"/>
      <c r="T735" s="562"/>
      <c r="U735" s="562"/>
      <c r="V735" s="562"/>
      <c r="W735" s="562"/>
      <c r="X735" s="787"/>
      <c r="Y735" s="980"/>
      <c r="Z735" s="983"/>
      <c r="AA735" s="562"/>
      <c r="AB735" s="562"/>
      <c r="AC735" s="562"/>
      <c r="AD735" s="562"/>
      <c r="AE735" s="562"/>
      <c r="AF735" s="562"/>
      <c r="AG735" s="562"/>
      <c r="AH735" s="562"/>
      <c r="AI735" s="562"/>
      <c r="AJ735" s="562"/>
      <c r="AK735" s="562"/>
      <c r="AL735" s="562"/>
      <c r="AM735" s="562"/>
      <c r="AN735" s="562"/>
      <c r="AO735" s="562"/>
      <c r="AP735" s="562"/>
      <c r="AQ735" s="562"/>
      <c r="AR735" s="562"/>
      <c r="AS735" s="562"/>
    </row>
    <row r="736" spans="1:45" x14ac:dyDescent="0.2">
      <c r="A736" s="541">
        <v>6</v>
      </c>
      <c r="B736" s="549">
        <v>611.29999999999995</v>
      </c>
      <c r="C736" s="544"/>
      <c r="D736" s="544"/>
      <c r="E736" s="544" t="s">
        <v>2181</v>
      </c>
      <c r="F736" s="544"/>
      <c r="G736" s="543" t="str">
        <f t="shared" si="213"/>
        <v/>
      </c>
      <c r="H736" s="541" t="s">
        <v>3751</v>
      </c>
      <c r="I736" s="40"/>
      <c r="J736" s="98"/>
      <c r="K736" s="65"/>
      <c r="L736" s="791"/>
      <c r="M736" s="800"/>
      <c r="N736" s="648"/>
      <c r="O736" s="648"/>
      <c r="P736" s="562"/>
      <c r="Q736" s="562"/>
      <c r="R736" s="562"/>
      <c r="S736" s="562"/>
      <c r="T736" s="562"/>
      <c r="U736" s="562"/>
      <c r="V736" s="562"/>
      <c r="W736" s="562"/>
      <c r="X736" s="787"/>
      <c r="Y736" s="980"/>
      <c r="Z736" s="983"/>
      <c r="AA736" s="562"/>
      <c r="AB736" s="562"/>
      <c r="AC736" s="562"/>
      <c r="AD736" s="562"/>
      <c r="AE736" s="562"/>
      <c r="AF736" s="562"/>
      <c r="AG736" s="562"/>
      <c r="AH736" s="562"/>
      <c r="AI736" s="562"/>
      <c r="AJ736" s="562"/>
      <c r="AK736" s="562"/>
      <c r="AL736" s="562"/>
      <c r="AM736" s="562"/>
      <c r="AN736" s="562"/>
      <c r="AO736" s="562"/>
      <c r="AP736" s="562"/>
      <c r="AQ736" s="562"/>
      <c r="AR736" s="562"/>
      <c r="AS736" s="562"/>
    </row>
    <row r="737" spans="1:45" x14ac:dyDescent="0.2">
      <c r="A737" s="541">
        <v>6</v>
      </c>
      <c r="B737" s="549">
        <v>611.29999999999995</v>
      </c>
      <c r="C737" s="544"/>
      <c r="D737" s="544"/>
      <c r="E737" s="544" t="s">
        <v>2181</v>
      </c>
      <c r="F737" s="544"/>
      <c r="G737" s="543" t="str">
        <f t="shared" si="213"/>
        <v/>
      </c>
      <c r="H737" s="541" t="s">
        <v>3751</v>
      </c>
      <c r="I737" s="40"/>
      <c r="J737" s="98"/>
      <c r="K737" s="65"/>
      <c r="L737" s="791"/>
      <c r="M737" s="800"/>
      <c r="N737" s="648"/>
      <c r="O737" s="648"/>
      <c r="P737" s="562"/>
      <c r="Q737" s="562"/>
      <c r="R737" s="562"/>
      <c r="S737" s="562"/>
      <c r="T737" s="562"/>
      <c r="U737" s="562"/>
      <c r="V737" s="562"/>
      <c r="W737" s="562"/>
      <c r="X737" s="787"/>
      <c r="Y737" s="980"/>
      <c r="Z737" s="983"/>
      <c r="AA737" s="562"/>
      <c r="AB737" s="562"/>
      <c r="AC737" s="562"/>
      <c r="AD737" s="562"/>
      <c r="AE737" s="562"/>
      <c r="AF737" s="562"/>
      <c r="AG737" s="562"/>
      <c r="AH737" s="562"/>
      <c r="AI737" s="562"/>
      <c r="AJ737" s="562"/>
      <c r="AK737" s="562"/>
      <c r="AL737" s="562"/>
      <c r="AM737" s="562"/>
      <c r="AN737" s="562"/>
      <c r="AO737" s="562"/>
      <c r="AP737" s="562"/>
      <c r="AQ737" s="562"/>
      <c r="AR737" s="562"/>
      <c r="AS737" s="562"/>
    </row>
    <row r="738" spans="1:45" x14ac:dyDescent="0.2">
      <c r="A738" s="541">
        <v>6</v>
      </c>
      <c r="B738" s="549">
        <v>611.29999999999995</v>
      </c>
      <c r="C738" s="544"/>
      <c r="D738" s="544"/>
      <c r="E738" s="544" t="s">
        <v>2181</v>
      </c>
      <c r="F738" s="544"/>
      <c r="G738" s="543" t="str">
        <f t="shared" si="213"/>
        <v/>
      </c>
      <c r="H738" s="541" t="s">
        <v>3751</v>
      </c>
      <c r="I738" s="40"/>
      <c r="J738" s="165"/>
      <c r="K738" s="126"/>
      <c r="L738" s="792"/>
      <c r="M738" s="801"/>
      <c r="N738" s="648"/>
      <c r="O738" s="648"/>
      <c r="P738" s="562"/>
      <c r="Q738" s="562"/>
      <c r="R738" s="562"/>
      <c r="S738" s="562"/>
      <c r="T738" s="562"/>
      <c r="U738" s="562"/>
      <c r="V738" s="562"/>
      <c r="W738" s="562"/>
      <c r="X738" s="787"/>
      <c r="Y738" s="980"/>
      <c r="Z738" s="983"/>
      <c r="AA738" s="562"/>
      <c r="AB738" s="562"/>
      <c r="AC738" s="562"/>
      <c r="AD738" s="562"/>
      <c r="AE738" s="562"/>
      <c r="AF738" s="562"/>
      <c r="AG738" s="562"/>
      <c r="AH738" s="562"/>
      <c r="AI738" s="562"/>
      <c r="AJ738" s="562"/>
      <c r="AK738" s="562"/>
      <c r="AL738" s="562"/>
      <c r="AM738" s="562"/>
      <c r="AN738" s="562"/>
      <c r="AO738" s="562"/>
      <c r="AP738" s="562"/>
      <c r="AQ738" s="562"/>
      <c r="AR738" s="562"/>
      <c r="AS738" s="562"/>
    </row>
    <row r="739" spans="1:45" x14ac:dyDescent="0.2">
      <c r="A739" s="541">
        <v>6</v>
      </c>
      <c r="B739" s="549">
        <v>611.29999999999995</v>
      </c>
      <c r="C739" s="544"/>
      <c r="D739" s="544"/>
      <c r="E739" s="544" t="s">
        <v>2183</v>
      </c>
      <c r="F739" s="544"/>
      <c r="G739" s="543" t="str">
        <f t="shared" si="213"/>
        <v/>
      </c>
      <c r="H739" s="541" t="s">
        <v>3751</v>
      </c>
      <c r="I739" s="40"/>
      <c r="J739" s="164" t="s">
        <v>2183</v>
      </c>
      <c r="K739" s="147"/>
      <c r="L739" s="831" t="s">
        <v>2779</v>
      </c>
      <c r="M739" s="824">
        <v>3</v>
      </c>
      <c r="N739" s="648"/>
      <c r="O739" s="648"/>
      <c r="P739" s="562" t="b">
        <v>1</v>
      </c>
      <c r="Q739" s="562" t="b">
        <v>1</v>
      </c>
      <c r="R739" s="562" t="b">
        <v>0</v>
      </c>
      <c r="S739" s="562" t="b">
        <f>IF(W734=TRUE,TRUE,FALSE)</f>
        <v>0</v>
      </c>
      <c r="T739" s="64" t="b">
        <f>IF(AND(NOT(S739),W739=TRUE),TRUE,FALSE)</f>
        <v>0</v>
      </c>
      <c r="U739" s="562"/>
      <c r="V739" s="562"/>
      <c r="W739" s="18"/>
      <c r="X739" s="787"/>
      <c r="Y739" s="980" t="str">
        <f>IF(LEN('Ch6'!X500)=0,"None",'Ch6'!X500)</f>
        <v>None</v>
      </c>
      <c r="Z739" s="983"/>
      <c r="AA739" s="562"/>
      <c r="AB739" s="562"/>
      <c r="AC739" s="562" t="b">
        <f>OR(AD739:AE739)</f>
        <v>0</v>
      </c>
      <c r="AD739" s="562" t="b">
        <f>T739</f>
        <v>0</v>
      </c>
      <c r="AE739" s="562"/>
      <c r="AF739" s="562"/>
      <c r="AG739" s="562"/>
      <c r="AH739" s="562"/>
      <c r="AI739" s="562"/>
      <c r="AJ739" s="562"/>
      <c r="AK739" s="562"/>
      <c r="AL739" s="190" t="str">
        <f t="shared" ref="AL739" si="215">SUBSTITUTE(SUBSTITUTE(SUBSTITUTE("vpa"&amp;$B739&amp;$C739&amp;$D739&amp;$E739&amp;$F739,".","_"),"(","_"),")","")</f>
        <v>vpa611,3_2</v>
      </c>
      <c r="AM739" s="190">
        <f>M739</f>
        <v>3</v>
      </c>
      <c r="AN739" s="562"/>
      <c r="AO739" s="562"/>
      <c r="AP739" s="190" t="str">
        <f>SUBSTITUTE(SUBSTITUTE(SUBSTITUTE("vch"&amp;$B739&amp;$C739&amp;$D739&amp;$E739&amp;$F739,".","_"),"(","_"),")","")</f>
        <v>vch611,3_2</v>
      </c>
      <c r="AQ739" s="190">
        <f>W739</f>
        <v>0</v>
      </c>
      <c r="AR739" s="190" t="str">
        <f>SUBSTITUTE(SUBSTITUTE(SUBSTITUTE("vnt"&amp;$B739&amp;$C739&amp;$D739&amp;$E739&amp;$F739,".","_"),"(","_"),")","")</f>
        <v>vnt611,3_2</v>
      </c>
      <c r="AS739" s="190">
        <f>X739</f>
        <v>0</v>
      </c>
    </row>
    <row r="740" spans="1:45" x14ac:dyDescent="0.2">
      <c r="A740" s="541">
        <v>6</v>
      </c>
      <c r="B740" s="549">
        <v>611.29999999999995</v>
      </c>
      <c r="C740" s="544"/>
      <c r="D740" s="544"/>
      <c r="E740" s="544" t="s">
        <v>2183</v>
      </c>
      <c r="F740" s="544"/>
      <c r="G740" s="543" t="str">
        <f t="shared" si="213"/>
        <v/>
      </c>
      <c r="H740" s="541" t="s">
        <v>3751</v>
      </c>
      <c r="I740" s="40"/>
      <c r="J740" s="98"/>
      <c r="K740" s="65"/>
      <c r="L740" s="791"/>
      <c r="M740" s="800"/>
      <c r="N740" s="648"/>
      <c r="O740" s="648"/>
      <c r="P740" s="562"/>
      <c r="Q740" s="562"/>
      <c r="R740" s="562"/>
      <c r="S740" s="562"/>
      <c r="T740" s="562"/>
      <c r="U740" s="562"/>
      <c r="V740" s="562"/>
      <c r="W740" s="562"/>
      <c r="X740" s="787"/>
      <c r="Y740" s="980"/>
      <c r="Z740" s="983"/>
      <c r="AA740" s="562"/>
      <c r="AB740" s="562"/>
      <c r="AC740" s="562"/>
      <c r="AD740" s="562"/>
      <c r="AE740" s="562"/>
      <c r="AF740" s="562"/>
      <c r="AG740" s="562"/>
      <c r="AH740" s="562"/>
      <c r="AI740" s="562"/>
      <c r="AJ740" s="562"/>
      <c r="AK740" s="562"/>
      <c r="AL740" s="562"/>
      <c r="AM740" s="562"/>
      <c r="AN740" s="562"/>
      <c r="AO740" s="562"/>
      <c r="AP740" s="562"/>
      <c r="AQ740" s="562"/>
      <c r="AR740" s="562"/>
      <c r="AS740" s="562"/>
    </row>
    <row r="741" spans="1:45" x14ac:dyDescent="0.2">
      <c r="A741" s="541">
        <v>6</v>
      </c>
      <c r="B741" s="549">
        <v>611.29999999999995</v>
      </c>
      <c r="C741" s="544"/>
      <c r="D741" s="544"/>
      <c r="E741" s="544" t="s">
        <v>2183</v>
      </c>
      <c r="F741" s="544"/>
      <c r="G741" s="543" t="str">
        <f t="shared" si="213"/>
        <v/>
      </c>
      <c r="H741" s="541" t="s">
        <v>3751</v>
      </c>
      <c r="I741" s="40"/>
      <c r="J741" s="98"/>
      <c r="K741" s="65"/>
      <c r="L741" s="791"/>
      <c r="M741" s="800"/>
      <c r="N741" s="648"/>
      <c r="O741" s="648"/>
      <c r="P741" s="562"/>
      <c r="Q741" s="562"/>
      <c r="R741" s="562"/>
      <c r="S741" s="562"/>
      <c r="T741" s="562"/>
      <c r="U741" s="562"/>
      <c r="V741" s="562"/>
      <c r="W741" s="562"/>
      <c r="X741" s="787"/>
      <c r="Y741" s="980"/>
      <c r="Z741" s="983"/>
      <c r="AA741" s="562"/>
      <c r="AB741" s="562"/>
      <c r="AC741" s="562"/>
      <c r="AD741" s="562"/>
      <c r="AE741" s="562"/>
      <c r="AF741" s="562"/>
      <c r="AG741" s="562"/>
      <c r="AH741" s="562"/>
      <c r="AI741" s="562"/>
      <c r="AJ741" s="562"/>
      <c r="AK741" s="562"/>
      <c r="AL741" s="562"/>
      <c r="AM741" s="562"/>
      <c r="AN741" s="562"/>
      <c r="AO741" s="562"/>
      <c r="AP741" s="562"/>
      <c r="AQ741" s="562"/>
      <c r="AR741" s="562"/>
      <c r="AS741" s="562"/>
    </row>
    <row r="742" spans="1:45" x14ac:dyDescent="0.2">
      <c r="A742" s="541">
        <v>6</v>
      </c>
      <c r="B742" s="549">
        <v>611.29999999999995</v>
      </c>
      <c r="C742" s="544"/>
      <c r="D742" s="544"/>
      <c r="E742" s="544" t="s">
        <v>2183</v>
      </c>
      <c r="F742" s="544"/>
      <c r="G742" s="543" t="str">
        <f t="shared" si="213"/>
        <v/>
      </c>
      <c r="H742" s="541" t="s">
        <v>3751</v>
      </c>
      <c r="I742" s="40"/>
      <c r="J742" s="165"/>
      <c r="K742" s="126"/>
      <c r="L742" s="792"/>
      <c r="M742" s="801"/>
      <c r="N742" s="648"/>
      <c r="O742" s="648"/>
      <c r="P742" s="562"/>
      <c r="Q742" s="562"/>
      <c r="R742" s="562"/>
      <c r="S742" s="562"/>
      <c r="T742" s="562"/>
      <c r="U742" s="562"/>
      <c r="V742" s="562"/>
      <c r="W742" s="562"/>
      <c r="X742" s="787"/>
      <c r="Y742" s="980"/>
      <c r="Z742" s="983"/>
      <c r="AA742" s="562"/>
      <c r="AB742" s="562"/>
      <c r="AC742" s="562"/>
      <c r="AD742" s="562"/>
      <c r="AE742" s="562"/>
      <c r="AF742" s="562"/>
      <c r="AG742" s="562"/>
      <c r="AH742" s="562"/>
      <c r="AI742" s="562"/>
      <c r="AJ742" s="562"/>
      <c r="AK742" s="562"/>
      <c r="AL742" s="562"/>
      <c r="AM742" s="562"/>
      <c r="AN742" s="562"/>
      <c r="AO742" s="562"/>
      <c r="AP742" s="562"/>
      <c r="AQ742" s="562"/>
      <c r="AR742" s="562"/>
      <c r="AS742" s="562"/>
    </row>
    <row r="743" spans="1:45" x14ac:dyDescent="0.2">
      <c r="A743" s="541">
        <v>6</v>
      </c>
      <c r="B743" s="549">
        <v>611.29999999999995</v>
      </c>
      <c r="C743" s="544"/>
      <c r="D743" s="544"/>
      <c r="E743" s="544" t="s">
        <v>2185</v>
      </c>
      <c r="F743" s="544"/>
      <c r="G743" s="543" t="str">
        <f t="shared" si="213"/>
        <v/>
      </c>
      <c r="H743" s="541" t="s">
        <v>3751</v>
      </c>
      <c r="I743" s="40"/>
      <c r="J743" s="164" t="s">
        <v>2185</v>
      </c>
      <c r="K743" s="147"/>
      <c r="L743" s="831" t="s">
        <v>2780</v>
      </c>
      <c r="M743" s="824">
        <v>3</v>
      </c>
      <c r="N743" s="648"/>
      <c r="O743" s="648"/>
      <c r="P743" s="562" t="b">
        <v>1</v>
      </c>
      <c r="Q743" s="562" t="b">
        <v>1</v>
      </c>
      <c r="R743" s="562" t="b">
        <v>0</v>
      </c>
      <c r="S743" s="562" t="b">
        <f>IF(W734=TRUE,TRUE,FALSE)</f>
        <v>0</v>
      </c>
      <c r="T743" s="64" t="b">
        <f>IF(AND(NOT(S743),W743=TRUE),TRUE,FALSE)</f>
        <v>0</v>
      </c>
      <c r="U743" s="562"/>
      <c r="V743" s="562"/>
      <c r="W743" s="18"/>
      <c r="X743" s="787"/>
      <c r="Y743" s="980" t="str">
        <f>IF(LEN('Ch6'!X504)=0,"None",'Ch6'!X504)</f>
        <v>None</v>
      </c>
      <c r="Z743" s="983"/>
      <c r="AA743" s="562"/>
      <c r="AB743" s="562"/>
      <c r="AC743" s="562" t="b">
        <f>OR(AD743:AE743)</f>
        <v>0</v>
      </c>
      <c r="AD743" s="562" t="b">
        <f>T743</f>
        <v>0</v>
      </c>
      <c r="AE743" s="562"/>
      <c r="AF743" s="562"/>
      <c r="AG743" s="562"/>
      <c r="AH743" s="562"/>
      <c r="AI743" s="562"/>
      <c r="AJ743" s="562"/>
      <c r="AK743" s="562"/>
      <c r="AL743" s="190" t="str">
        <f t="shared" ref="AL743" si="216">SUBSTITUTE(SUBSTITUTE(SUBSTITUTE("vpa"&amp;$B743&amp;$C743&amp;$D743&amp;$E743&amp;$F743,".","_"),"(","_"),")","")</f>
        <v>vpa611,3_3</v>
      </c>
      <c r="AM743" s="190">
        <f>M743</f>
        <v>3</v>
      </c>
      <c r="AN743" s="562"/>
      <c r="AO743" s="562"/>
      <c r="AP743" s="190" t="str">
        <f>SUBSTITUTE(SUBSTITUTE(SUBSTITUTE("vch"&amp;$B743&amp;$C743&amp;$D743&amp;$E743&amp;$F743,".","_"),"(","_"),")","")</f>
        <v>vch611,3_3</v>
      </c>
      <c r="AQ743" s="190">
        <f>W743</f>
        <v>0</v>
      </c>
      <c r="AR743" s="190" t="str">
        <f>SUBSTITUTE(SUBSTITUTE(SUBSTITUTE("vnt"&amp;$B743&amp;$C743&amp;$D743&amp;$E743&amp;$F743,".","_"),"(","_"),")","")</f>
        <v>vnt611,3_3</v>
      </c>
      <c r="AS743" s="190">
        <f>X743</f>
        <v>0</v>
      </c>
    </row>
    <row r="744" spans="1:45" x14ac:dyDescent="0.2">
      <c r="A744" s="541">
        <v>6</v>
      </c>
      <c r="B744" s="549">
        <v>611.29999999999995</v>
      </c>
      <c r="C744" s="544"/>
      <c r="D744" s="544"/>
      <c r="E744" s="544" t="s">
        <v>2185</v>
      </c>
      <c r="F744" s="544"/>
      <c r="G744" s="543" t="str">
        <f t="shared" si="213"/>
        <v/>
      </c>
      <c r="H744" s="541" t="s">
        <v>3751</v>
      </c>
      <c r="I744" s="40"/>
      <c r="J744" s="165"/>
      <c r="K744" s="126"/>
      <c r="L744" s="792"/>
      <c r="M744" s="801"/>
      <c r="N744" s="648"/>
      <c r="O744" s="648"/>
      <c r="P744" s="562"/>
      <c r="Q744" s="562"/>
      <c r="R744" s="562"/>
      <c r="S744" s="562"/>
      <c r="T744" s="562"/>
      <c r="U744" s="562"/>
      <c r="V744" s="562"/>
      <c r="W744" s="562"/>
      <c r="X744" s="787"/>
      <c r="Y744" s="980"/>
      <c r="Z744" s="983"/>
      <c r="AA744" s="562"/>
      <c r="AB744" s="562"/>
      <c r="AC744" s="562"/>
      <c r="AD744" s="562"/>
      <c r="AE744" s="562"/>
      <c r="AF744" s="562"/>
      <c r="AG744" s="562"/>
      <c r="AH744" s="562"/>
      <c r="AI744" s="562"/>
      <c r="AJ744" s="562"/>
      <c r="AK744" s="562"/>
      <c r="AL744" s="562"/>
      <c r="AM744" s="562"/>
      <c r="AN744" s="562"/>
      <c r="AO744" s="562"/>
      <c r="AP744" s="562"/>
      <c r="AQ744" s="562"/>
      <c r="AR744" s="562"/>
      <c r="AS744" s="562"/>
    </row>
    <row r="745" spans="1:45" x14ac:dyDescent="0.2">
      <c r="A745" s="541">
        <v>6</v>
      </c>
      <c r="B745" s="549">
        <v>611.29999999999995</v>
      </c>
      <c r="C745" s="544"/>
      <c r="D745" s="544"/>
      <c r="E745" s="544" t="s">
        <v>2192</v>
      </c>
      <c r="F745" s="544"/>
      <c r="G745" s="543" t="str">
        <f t="shared" si="213"/>
        <v/>
      </c>
      <c r="H745" s="541" t="s">
        <v>3757</v>
      </c>
      <c r="I745" s="40"/>
      <c r="J745" s="164" t="s">
        <v>2192</v>
      </c>
      <c r="K745" s="147"/>
      <c r="L745" s="831" t="s">
        <v>2781</v>
      </c>
      <c r="M745" s="824">
        <v>1</v>
      </c>
      <c r="N745" s="648"/>
      <c r="O745" s="648"/>
      <c r="P745" s="562" t="b">
        <v>1</v>
      </c>
      <c r="Q745" s="562" t="b">
        <v>0</v>
      </c>
      <c r="R745" s="562" t="b">
        <v>0</v>
      </c>
      <c r="S745" s="562" t="b">
        <v>1</v>
      </c>
      <c r="T745" s="562" t="b">
        <v>0</v>
      </c>
      <c r="U745" s="562"/>
      <c r="V745" s="562"/>
      <c r="W745" s="18"/>
      <c r="X745" s="787"/>
      <c r="Y745" s="980" t="str">
        <f>IF(LEN('Ch6'!X506)=0,"None",'Ch6'!X506)</f>
        <v>None</v>
      </c>
      <c r="Z745" s="983"/>
      <c r="AA745" s="562"/>
      <c r="AB745" s="562"/>
      <c r="AC745" s="562"/>
      <c r="AD745" s="562"/>
      <c r="AE745" s="562"/>
      <c r="AF745" s="562"/>
      <c r="AG745" s="562"/>
      <c r="AH745" s="562"/>
      <c r="AI745" s="562"/>
      <c r="AJ745" s="562"/>
      <c r="AK745" s="562"/>
      <c r="AL745" s="190" t="str">
        <f t="shared" ref="AL745" si="217">SUBSTITUTE(SUBSTITUTE(SUBSTITUTE("vpa"&amp;$B745&amp;$C745&amp;$D745&amp;$E745&amp;$F745,".","_"),"(","_"),")","")</f>
        <v>vpa611,3_4</v>
      </c>
      <c r="AM745" s="190">
        <f>M745</f>
        <v>1</v>
      </c>
      <c r="AN745" s="562"/>
      <c r="AO745" s="562"/>
      <c r="AP745" s="190" t="str">
        <f>SUBSTITUTE(SUBSTITUTE(SUBSTITUTE("vch"&amp;$B745&amp;$C745&amp;$D745&amp;$E745&amp;$F745,".","_"),"(","_"),")","")</f>
        <v>vch611,3_4</v>
      </c>
      <c r="AQ745" s="190">
        <f>W745</f>
        <v>0</v>
      </c>
      <c r="AR745" s="190" t="str">
        <f>SUBSTITUTE(SUBSTITUTE(SUBSTITUTE("vnt"&amp;$B745&amp;$C745&amp;$D745&amp;$E745&amp;$F745,".","_"),"(","_"),")","")</f>
        <v>vnt611,3_4</v>
      </c>
      <c r="AS745" s="190">
        <f>X745</f>
        <v>0</v>
      </c>
    </row>
    <row r="746" spans="1:45" x14ac:dyDescent="0.2">
      <c r="A746" s="541">
        <v>6</v>
      </c>
      <c r="B746" s="549">
        <v>611.29999999999995</v>
      </c>
      <c r="C746" s="544"/>
      <c r="D746" s="544"/>
      <c r="E746" s="544" t="s">
        <v>2192</v>
      </c>
      <c r="F746" s="544"/>
      <c r="G746" s="543" t="str">
        <f t="shared" si="213"/>
        <v/>
      </c>
      <c r="H746" s="541" t="s">
        <v>3757</v>
      </c>
      <c r="I746" s="40"/>
      <c r="J746" s="165"/>
      <c r="K746" s="126"/>
      <c r="L746" s="792"/>
      <c r="M746" s="801"/>
      <c r="N746" s="648"/>
      <c r="O746" s="648"/>
      <c r="P746" s="562"/>
      <c r="Q746" s="562"/>
      <c r="R746" s="562"/>
      <c r="S746" s="562"/>
      <c r="T746" s="562"/>
      <c r="U746" s="562"/>
      <c r="V746" s="562"/>
      <c r="W746" s="562"/>
      <c r="X746" s="787"/>
      <c r="Y746" s="980"/>
      <c r="Z746" s="983"/>
      <c r="AA746" s="562"/>
      <c r="AB746" s="562"/>
      <c r="AC746" s="562"/>
      <c r="AD746" s="562"/>
      <c r="AE746" s="562"/>
      <c r="AF746" s="562"/>
      <c r="AG746" s="562"/>
      <c r="AH746" s="562"/>
      <c r="AI746" s="562"/>
      <c r="AJ746" s="562"/>
      <c r="AK746" s="562"/>
      <c r="AL746" s="562"/>
      <c r="AM746" s="562"/>
      <c r="AN746" s="562"/>
      <c r="AO746" s="562"/>
      <c r="AP746" s="562"/>
      <c r="AQ746" s="562"/>
      <c r="AR746" s="562"/>
      <c r="AS746" s="562"/>
    </row>
    <row r="747" spans="1:45" ht="16" x14ac:dyDescent="0.2">
      <c r="A747" s="541">
        <v>6</v>
      </c>
      <c r="B747" s="549">
        <v>611.29999999999995</v>
      </c>
      <c r="C747" s="544"/>
      <c r="D747" s="544"/>
      <c r="E747" s="544" t="s">
        <v>2194</v>
      </c>
      <c r="F747" s="544"/>
      <c r="G747" s="543" t="str">
        <f t="shared" si="213"/>
        <v/>
      </c>
      <c r="H747" s="541" t="s">
        <v>3751</v>
      </c>
      <c r="I747" s="40"/>
      <c r="J747" s="161" t="s">
        <v>2194</v>
      </c>
      <c r="K747" s="162"/>
      <c r="L747" s="162" t="s">
        <v>2782</v>
      </c>
      <c r="M747" s="249">
        <v>1</v>
      </c>
      <c r="N747" s="648"/>
      <c r="O747" s="648"/>
      <c r="P747" s="562" t="b">
        <v>1</v>
      </c>
      <c r="Q747" s="562" t="b">
        <v>1</v>
      </c>
      <c r="R747" s="562" t="b">
        <v>0</v>
      </c>
      <c r="S747" s="562" t="b">
        <v>1</v>
      </c>
      <c r="T747" s="562" t="b">
        <v>0</v>
      </c>
      <c r="U747" s="562"/>
      <c r="V747" s="562"/>
      <c r="W747" s="18"/>
      <c r="X747" s="563"/>
      <c r="Y747" s="578" t="str">
        <f>IF(LEN('Ch6'!X508)=0,"None",'Ch6'!X508)</f>
        <v>None</v>
      </c>
      <c r="Z747" s="579"/>
      <c r="AA747" s="562"/>
      <c r="AB747" s="562"/>
      <c r="AC747" s="562"/>
      <c r="AD747" s="562"/>
      <c r="AE747" s="562"/>
      <c r="AF747" s="562"/>
      <c r="AG747" s="562"/>
      <c r="AH747" s="562"/>
      <c r="AI747" s="562"/>
      <c r="AJ747" s="562"/>
      <c r="AK747" s="562"/>
      <c r="AL747" s="190" t="str">
        <f t="shared" ref="AL747:AL749" si="218">SUBSTITUTE(SUBSTITUTE(SUBSTITUTE("vpa"&amp;$B747&amp;$C747&amp;$D747&amp;$E747&amp;$F747,".","_"),"(","_"),")","")</f>
        <v>vpa611,3_5</v>
      </c>
      <c r="AM747" s="190">
        <f>M747</f>
        <v>1</v>
      </c>
      <c r="AN747" s="562"/>
      <c r="AO747" s="562"/>
      <c r="AP747" s="190" t="str">
        <f t="shared" ref="AP747:AP749" si="219">SUBSTITUTE(SUBSTITUTE(SUBSTITUTE("vch"&amp;$B747&amp;$C747&amp;$D747&amp;$E747&amp;$F747,".","_"),"(","_"),")","")</f>
        <v>vch611,3_5</v>
      </c>
      <c r="AQ747" s="190">
        <f>W747</f>
        <v>0</v>
      </c>
      <c r="AR747" s="190" t="str">
        <f t="shared" ref="AR747:AR749" si="220">SUBSTITUTE(SUBSTITUTE(SUBSTITUTE("vnt"&amp;$B747&amp;$C747&amp;$D747&amp;$E747&amp;$F747,".","_"),"(","_"),")","")</f>
        <v>vnt611,3_5</v>
      </c>
      <c r="AS747" s="190">
        <f>X747</f>
        <v>0</v>
      </c>
    </row>
    <row r="748" spans="1:45" ht="16" x14ac:dyDescent="0.2">
      <c r="A748" s="541">
        <v>6</v>
      </c>
      <c r="B748" s="549">
        <v>611.29999999999995</v>
      </c>
      <c r="C748" s="544"/>
      <c r="D748" s="544"/>
      <c r="E748" s="544" t="s">
        <v>2221</v>
      </c>
      <c r="F748" s="544"/>
      <c r="G748" s="543" t="str">
        <f t="shared" si="213"/>
        <v/>
      </c>
      <c r="H748" s="541" t="s">
        <v>3751</v>
      </c>
      <c r="I748" s="40"/>
      <c r="J748" s="161" t="s">
        <v>2221</v>
      </c>
      <c r="K748" s="162"/>
      <c r="L748" s="162" t="s">
        <v>2783</v>
      </c>
      <c r="M748" s="249">
        <v>1</v>
      </c>
      <c r="N748" s="648"/>
      <c r="O748" s="648"/>
      <c r="P748" s="562" t="b">
        <v>1</v>
      </c>
      <c r="Q748" s="562" t="b">
        <v>1</v>
      </c>
      <c r="R748" s="562" t="b">
        <v>0</v>
      </c>
      <c r="S748" s="562" t="b">
        <v>1</v>
      </c>
      <c r="T748" s="562" t="b">
        <v>0</v>
      </c>
      <c r="U748" s="562"/>
      <c r="V748" s="562"/>
      <c r="W748" s="18"/>
      <c r="X748" s="563"/>
      <c r="Y748" s="578" t="str">
        <f>IF(LEN('Ch6'!X509)=0,"None",'Ch6'!X509)</f>
        <v>None</v>
      </c>
      <c r="Z748" s="579"/>
      <c r="AA748" s="562"/>
      <c r="AB748" s="562"/>
      <c r="AC748" s="562"/>
      <c r="AD748" s="562"/>
      <c r="AE748" s="562"/>
      <c r="AF748" s="562"/>
      <c r="AG748" s="562"/>
      <c r="AH748" s="562"/>
      <c r="AI748" s="562"/>
      <c r="AJ748" s="562"/>
      <c r="AK748" s="562"/>
      <c r="AL748" s="190" t="str">
        <f t="shared" si="218"/>
        <v>vpa611,3_6</v>
      </c>
      <c r="AM748" s="190">
        <f>M748</f>
        <v>1</v>
      </c>
      <c r="AN748" s="562"/>
      <c r="AO748" s="562"/>
      <c r="AP748" s="190" t="str">
        <f t="shared" si="219"/>
        <v>vch611,3_6</v>
      </c>
      <c r="AQ748" s="190">
        <f>W748</f>
        <v>0</v>
      </c>
      <c r="AR748" s="190" t="str">
        <f t="shared" si="220"/>
        <v>vnt611,3_6</v>
      </c>
      <c r="AS748" s="190">
        <f>X748</f>
        <v>0</v>
      </c>
    </row>
    <row r="749" spans="1:45" x14ac:dyDescent="0.2">
      <c r="A749" s="541">
        <v>6</v>
      </c>
      <c r="B749" s="549">
        <v>611.29999999999995</v>
      </c>
      <c r="C749" s="544"/>
      <c r="D749" s="544"/>
      <c r="E749" s="544" t="s">
        <v>2223</v>
      </c>
      <c r="F749" s="544"/>
      <c r="G749" s="543" t="str">
        <f t="shared" si="213"/>
        <v/>
      </c>
      <c r="H749" s="541" t="s">
        <v>3751</v>
      </c>
      <c r="I749" s="40"/>
      <c r="J749" s="164" t="s">
        <v>2223</v>
      </c>
      <c r="K749" s="147"/>
      <c r="L749" s="831" t="s">
        <v>2784</v>
      </c>
      <c r="M749" s="824">
        <v>1</v>
      </c>
      <c r="N749" s="648"/>
      <c r="O749" s="648"/>
      <c r="P749" s="562" t="b">
        <v>1</v>
      </c>
      <c r="Q749" s="562" t="b">
        <v>1</v>
      </c>
      <c r="R749" s="562" t="b">
        <v>0</v>
      </c>
      <c r="S749" s="562" t="b">
        <v>1</v>
      </c>
      <c r="T749" s="562" t="b">
        <v>0</v>
      </c>
      <c r="U749" s="562"/>
      <c r="V749" s="562"/>
      <c r="W749" s="18"/>
      <c r="X749" s="787"/>
      <c r="Y749" s="980" t="str">
        <f>IF(LEN('Ch6'!X510)=0,"None",'Ch6'!X510)</f>
        <v>None</v>
      </c>
      <c r="Z749" s="983"/>
      <c r="AA749" s="562"/>
      <c r="AB749" s="562"/>
      <c r="AC749" s="562"/>
      <c r="AD749" s="562"/>
      <c r="AE749" s="562"/>
      <c r="AF749" s="562"/>
      <c r="AG749" s="562"/>
      <c r="AH749" s="562"/>
      <c r="AI749" s="562"/>
      <c r="AJ749" s="562"/>
      <c r="AK749" s="562"/>
      <c r="AL749" s="190" t="str">
        <f t="shared" si="218"/>
        <v>vpa611,3_7</v>
      </c>
      <c r="AM749" s="190">
        <f>M749</f>
        <v>1</v>
      </c>
      <c r="AN749" s="562"/>
      <c r="AO749" s="562"/>
      <c r="AP749" s="190" t="str">
        <f t="shared" si="219"/>
        <v>vch611,3_7</v>
      </c>
      <c r="AQ749" s="190">
        <f>W749</f>
        <v>0</v>
      </c>
      <c r="AR749" s="190" t="str">
        <f t="shared" si="220"/>
        <v>vnt611,3_7</v>
      </c>
      <c r="AS749" s="190">
        <f>X749</f>
        <v>0</v>
      </c>
    </row>
    <row r="750" spans="1:45" x14ac:dyDescent="0.2">
      <c r="A750" s="541">
        <v>6</v>
      </c>
      <c r="B750" s="549">
        <v>611.29999999999995</v>
      </c>
      <c r="C750" s="544"/>
      <c r="D750" s="544"/>
      <c r="E750" s="544" t="s">
        <v>2223</v>
      </c>
      <c r="F750" s="544"/>
      <c r="G750" s="543" t="str">
        <f t="shared" si="213"/>
        <v/>
      </c>
      <c r="H750" s="541" t="s">
        <v>3751</v>
      </c>
      <c r="I750" s="40"/>
      <c r="J750" s="98"/>
      <c r="K750" s="65"/>
      <c r="L750" s="791"/>
      <c r="M750" s="800"/>
      <c r="N750" s="648"/>
      <c r="O750" s="648"/>
      <c r="P750" s="562"/>
      <c r="Q750" s="562"/>
      <c r="R750" s="562"/>
      <c r="S750" s="562"/>
      <c r="T750" s="562"/>
      <c r="U750" s="562"/>
      <c r="V750" s="562"/>
      <c r="W750" s="562"/>
      <c r="X750" s="787"/>
      <c r="Y750" s="980"/>
      <c r="Z750" s="983"/>
      <c r="AA750" s="562"/>
      <c r="AB750" s="562"/>
      <c r="AC750" s="562"/>
      <c r="AD750" s="562"/>
      <c r="AE750" s="562"/>
      <c r="AF750" s="562"/>
      <c r="AG750" s="562"/>
      <c r="AH750" s="562"/>
      <c r="AI750" s="562"/>
      <c r="AJ750" s="562"/>
      <c r="AK750" s="562"/>
      <c r="AL750" s="562"/>
      <c r="AM750" s="562"/>
      <c r="AN750" s="562"/>
      <c r="AO750" s="562"/>
      <c r="AP750" s="562"/>
      <c r="AQ750" s="562"/>
      <c r="AR750" s="562"/>
      <c r="AS750" s="562"/>
    </row>
    <row r="751" spans="1:45" x14ac:dyDescent="0.2">
      <c r="A751" s="541">
        <v>6</v>
      </c>
      <c r="B751" s="549">
        <v>611.29999999999995</v>
      </c>
      <c r="C751" s="544"/>
      <c r="D751" s="544"/>
      <c r="E751" s="544" t="s">
        <v>2223</v>
      </c>
      <c r="F751" s="544"/>
      <c r="G751" s="543" t="str">
        <f t="shared" si="213"/>
        <v/>
      </c>
      <c r="H751" s="541" t="s">
        <v>3751</v>
      </c>
      <c r="I751" s="40"/>
      <c r="J751" s="98"/>
      <c r="K751" s="65"/>
      <c r="L751" s="791"/>
      <c r="M751" s="800"/>
      <c r="N751" s="648"/>
      <c r="O751" s="648"/>
      <c r="P751" s="562"/>
      <c r="Q751" s="562"/>
      <c r="R751" s="562"/>
      <c r="S751" s="562"/>
      <c r="T751" s="562"/>
      <c r="U751" s="562"/>
      <c r="V751" s="562"/>
      <c r="W751" s="562"/>
      <c r="X751" s="787"/>
      <c r="Y751" s="980"/>
      <c r="Z751" s="983"/>
      <c r="AA751" s="562"/>
      <c r="AB751" s="562"/>
      <c r="AC751" s="562"/>
      <c r="AD751" s="562"/>
      <c r="AE751" s="562"/>
      <c r="AF751" s="562"/>
      <c r="AG751" s="562"/>
      <c r="AH751" s="562"/>
      <c r="AI751" s="562"/>
      <c r="AJ751" s="562"/>
      <c r="AK751" s="562"/>
      <c r="AL751" s="562"/>
      <c r="AM751" s="562"/>
      <c r="AN751" s="562"/>
      <c r="AO751" s="562"/>
      <c r="AP751" s="562"/>
      <c r="AQ751" s="562"/>
      <c r="AR751" s="562"/>
      <c r="AS751" s="562"/>
    </row>
    <row r="752" spans="1:45" x14ac:dyDescent="0.2">
      <c r="A752" s="541">
        <v>6</v>
      </c>
      <c r="B752" s="549">
        <v>611.29999999999995</v>
      </c>
      <c r="C752" s="544"/>
      <c r="D752" s="544"/>
      <c r="E752" s="544" t="s">
        <v>2223</v>
      </c>
      <c r="F752" s="544"/>
      <c r="G752" s="543" t="str">
        <f t="shared" si="213"/>
        <v/>
      </c>
      <c r="H752" s="541" t="s">
        <v>3751</v>
      </c>
      <c r="I752" s="40"/>
      <c r="J752" s="165"/>
      <c r="K752" s="126"/>
      <c r="L752" s="792"/>
      <c r="M752" s="801"/>
      <c r="N752" s="648"/>
      <c r="O752" s="648"/>
      <c r="P752" s="562"/>
      <c r="Q752" s="562"/>
      <c r="R752" s="562"/>
      <c r="S752" s="562"/>
      <c r="T752" s="562"/>
      <c r="U752" s="562"/>
      <c r="V752" s="562"/>
      <c r="W752" s="562"/>
      <c r="X752" s="787"/>
      <c r="Y752" s="980"/>
      <c r="Z752" s="983"/>
      <c r="AA752" s="562"/>
      <c r="AB752" s="562"/>
      <c r="AC752" s="562"/>
      <c r="AD752" s="562"/>
      <c r="AE752" s="562"/>
      <c r="AF752" s="562"/>
      <c r="AG752" s="562"/>
      <c r="AH752" s="562"/>
      <c r="AI752" s="562"/>
      <c r="AJ752" s="562"/>
      <c r="AK752" s="562"/>
      <c r="AL752" s="562"/>
      <c r="AM752" s="562"/>
      <c r="AN752" s="562"/>
      <c r="AO752" s="562"/>
      <c r="AP752" s="562"/>
      <c r="AQ752" s="562"/>
      <c r="AR752" s="562"/>
      <c r="AS752" s="562"/>
    </row>
    <row r="753" spans="1:45" x14ac:dyDescent="0.2">
      <c r="A753" s="541">
        <v>6</v>
      </c>
      <c r="B753" s="549">
        <v>611.29999999999995</v>
      </c>
      <c r="C753" s="544"/>
      <c r="D753" s="544"/>
      <c r="E753" s="544" t="s">
        <v>2282</v>
      </c>
      <c r="F753" s="544"/>
      <c r="G753" s="543" t="str">
        <f t="shared" si="213"/>
        <v/>
      </c>
      <c r="H753" s="541" t="s">
        <v>3751</v>
      </c>
      <c r="I753" s="40"/>
      <c r="J753" s="164" t="s">
        <v>2282</v>
      </c>
      <c r="K753" s="147"/>
      <c r="L753" s="831" t="s">
        <v>2785</v>
      </c>
      <c r="M753" s="824">
        <v>1</v>
      </c>
      <c r="N753" s="648"/>
      <c r="O753" s="648"/>
      <c r="P753" s="562" t="b">
        <v>1</v>
      </c>
      <c r="Q753" s="562" t="b">
        <v>1</v>
      </c>
      <c r="R753" s="562" t="b">
        <v>0</v>
      </c>
      <c r="S753" s="562" t="b">
        <v>1</v>
      </c>
      <c r="T753" s="562" t="b">
        <v>0</v>
      </c>
      <c r="U753" s="562"/>
      <c r="V753" s="562"/>
      <c r="W753" s="18"/>
      <c r="X753" s="787"/>
      <c r="Y753" s="980" t="str">
        <f>IF(LEN('Ch6'!X514)=0,"None",'Ch6'!X514)</f>
        <v>None</v>
      </c>
      <c r="Z753" s="983"/>
      <c r="AA753" s="562"/>
      <c r="AB753" s="562"/>
      <c r="AC753" s="562"/>
      <c r="AD753" s="562"/>
      <c r="AE753" s="562"/>
      <c r="AF753" s="562"/>
      <c r="AG753" s="562"/>
      <c r="AH753" s="562"/>
      <c r="AI753" s="562"/>
      <c r="AJ753" s="562"/>
      <c r="AK753" s="562"/>
      <c r="AL753" s="190" t="str">
        <f t="shared" ref="AL753" si="221">SUBSTITUTE(SUBSTITUTE(SUBSTITUTE("vpa"&amp;$B753&amp;$C753&amp;$D753&amp;$E753&amp;$F753,".","_"),"(","_"),")","")</f>
        <v>vpa611,3_8</v>
      </c>
      <c r="AM753" s="190">
        <f>M753</f>
        <v>1</v>
      </c>
      <c r="AN753" s="562"/>
      <c r="AO753" s="562"/>
      <c r="AP753" s="190" t="str">
        <f>SUBSTITUTE(SUBSTITUTE(SUBSTITUTE("vch"&amp;$B753&amp;$C753&amp;$D753&amp;$E753&amp;$F753,".","_"),"(","_"),")","")</f>
        <v>vch611,3_8</v>
      </c>
      <c r="AQ753" s="190">
        <f>W753</f>
        <v>0</v>
      </c>
      <c r="AR753" s="190" t="str">
        <f>SUBSTITUTE(SUBSTITUTE(SUBSTITUTE("vnt"&amp;$B753&amp;$C753&amp;$D753&amp;$E753&amp;$F753,".","_"),"(","_"),")","")</f>
        <v>vnt611,3_8</v>
      </c>
      <c r="AS753" s="190">
        <f>X753</f>
        <v>0</v>
      </c>
    </row>
    <row r="754" spans="1:45" x14ac:dyDescent="0.2">
      <c r="A754" s="541">
        <v>6</v>
      </c>
      <c r="B754" s="549">
        <v>611.29999999999995</v>
      </c>
      <c r="C754" s="544"/>
      <c r="D754" s="544"/>
      <c r="E754" s="544" t="s">
        <v>2282</v>
      </c>
      <c r="F754" s="544"/>
      <c r="G754" s="543" t="str">
        <f t="shared" si="213"/>
        <v/>
      </c>
      <c r="H754" s="541" t="s">
        <v>3751</v>
      </c>
      <c r="I754" s="40"/>
      <c r="J754" s="165"/>
      <c r="K754" s="126"/>
      <c r="L754" s="792"/>
      <c r="M754" s="801"/>
      <c r="N754" s="648"/>
      <c r="O754" s="648"/>
      <c r="P754" s="562"/>
      <c r="Q754" s="562"/>
      <c r="R754" s="562"/>
      <c r="S754" s="562"/>
      <c r="T754" s="562"/>
      <c r="U754" s="562"/>
      <c r="V754" s="562"/>
      <c r="W754" s="562"/>
      <c r="X754" s="787"/>
      <c r="Y754" s="980"/>
      <c r="Z754" s="983"/>
      <c r="AA754" s="562"/>
      <c r="AB754" s="562"/>
      <c r="AC754" s="562"/>
      <c r="AD754" s="562"/>
      <c r="AE754" s="562"/>
      <c r="AF754" s="562"/>
      <c r="AG754" s="562"/>
      <c r="AH754" s="562"/>
      <c r="AI754" s="562"/>
      <c r="AJ754" s="562"/>
      <c r="AK754" s="562"/>
      <c r="AL754" s="562"/>
      <c r="AM754" s="562"/>
      <c r="AN754" s="562"/>
      <c r="AO754" s="562"/>
      <c r="AP754" s="562"/>
      <c r="AQ754" s="562"/>
      <c r="AR754" s="562"/>
      <c r="AS754" s="562"/>
    </row>
    <row r="755" spans="1:45" x14ac:dyDescent="0.2">
      <c r="A755" s="541">
        <v>6</v>
      </c>
      <c r="B755" s="549">
        <v>611.29999999999995</v>
      </c>
      <c r="C755" s="544"/>
      <c r="D755" s="544"/>
      <c r="E755" s="544" t="s">
        <v>2284</v>
      </c>
      <c r="F755" s="544"/>
      <c r="G755" s="543" t="str">
        <f t="shared" si="213"/>
        <v/>
      </c>
      <c r="H755" s="541" t="s">
        <v>3751</v>
      </c>
      <c r="I755" s="40"/>
      <c r="J755" s="20" t="s">
        <v>2284</v>
      </c>
      <c r="K755" s="53"/>
      <c r="L755" s="817" t="s">
        <v>2786</v>
      </c>
      <c r="M755" s="814">
        <v>1</v>
      </c>
      <c r="N755" s="648"/>
      <c r="O755" s="648"/>
      <c r="P755" s="562" t="b">
        <v>1</v>
      </c>
      <c r="Q755" s="562" t="b">
        <v>1</v>
      </c>
      <c r="R755" s="562" t="b">
        <v>0</v>
      </c>
      <c r="S755" s="562" t="b">
        <v>1</v>
      </c>
      <c r="T755" s="562" t="b">
        <v>0</v>
      </c>
      <c r="U755" s="562"/>
      <c r="V755" s="562"/>
      <c r="W755" s="18"/>
      <c r="X755" s="787"/>
      <c r="Y755" s="977" t="str">
        <f>IF(LEN('Ch6'!X516)=0,"None",'Ch6'!X516)</f>
        <v>None</v>
      </c>
      <c r="Z755" s="978"/>
      <c r="AA755" s="562"/>
      <c r="AB755" s="562"/>
      <c r="AC755" s="562"/>
      <c r="AD755" s="562"/>
      <c r="AE755" s="562"/>
      <c r="AF755" s="562"/>
      <c r="AG755" s="562"/>
      <c r="AH755" s="562"/>
      <c r="AI755" s="562"/>
      <c r="AJ755" s="562"/>
      <c r="AK755" s="562"/>
      <c r="AL755" s="190" t="str">
        <f t="shared" ref="AL755" si="222">SUBSTITUTE(SUBSTITUTE(SUBSTITUTE("vpa"&amp;$B755&amp;$C755&amp;$D755&amp;$E755&amp;$F755,".","_"),"(","_"),")","")</f>
        <v>vpa611,3_9</v>
      </c>
      <c r="AM755" s="190">
        <f>M755</f>
        <v>1</v>
      </c>
      <c r="AN755" s="562"/>
      <c r="AO755" s="562"/>
      <c r="AP755" s="190" t="str">
        <f>SUBSTITUTE(SUBSTITUTE(SUBSTITUTE("vch"&amp;$B755&amp;$C755&amp;$D755&amp;$E755&amp;$F755,".","_"),"(","_"),")","")</f>
        <v>vch611,3_9</v>
      </c>
      <c r="AQ755" s="190">
        <f>W755</f>
        <v>0</v>
      </c>
      <c r="AR755" s="190" t="str">
        <f>SUBSTITUTE(SUBSTITUTE(SUBSTITUTE("vnt"&amp;$B755&amp;$C755&amp;$D755&amp;$E755&amp;$F755,".","_"),"(","_"),")","")</f>
        <v>vnt611,3_9</v>
      </c>
      <c r="AS755" s="190">
        <f>X755</f>
        <v>0</v>
      </c>
    </row>
    <row r="756" spans="1:45" ht="16" thickBot="1" x14ac:dyDescent="0.25">
      <c r="A756" s="541">
        <v>6</v>
      </c>
      <c r="B756" s="549">
        <v>611.29999999999995</v>
      </c>
      <c r="C756" s="544"/>
      <c r="D756" s="544"/>
      <c r="E756" s="544" t="s">
        <v>2284</v>
      </c>
      <c r="F756" s="544"/>
      <c r="G756" s="543" t="str">
        <f t="shared" si="213"/>
        <v/>
      </c>
      <c r="H756" s="541" t="s">
        <v>3751</v>
      </c>
      <c r="I756" s="40"/>
      <c r="J756" s="3"/>
      <c r="K756" s="53"/>
      <c r="L756" s="817"/>
      <c r="M756" s="814"/>
      <c r="N756" s="648"/>
      <c r="O756" s="648"/>
      <c r="P756" s="562"/>
      <c r="Q756" s="562"/>
      <c r="R756" s="562"/>
      <c r="S756" s="562"/>
      <c r="T756" s="562"/>
      <c r="U756" s="562"/>
      <c r="V756" s="562"/>
      <c r="W756" s="562"/>
      <c r="X756" s="825"/>
      <c r="Y756" s="979"/>
      <c r="Z756" s="1007"/>
      <c r="AA756" s="562"/>
      <c r="AB756" s="562"/>
      <c r="AC756" s="562"/>
      <c r="AD756" s="562"/>
      <c r="AE756" s="562"/>
      <c r="AF756" s="562"/>
      <c r="AG756" s="562"/>
      <c r="AH756" s="562"/>
      <c r="AI756" s="562"/>
      <c r="AJ756" s="562"/>
      <c r="AK756" s="562"/>
      <c r="AL756" s="562"/>
      <c r="AM756" s="562"/>
      <c r="AN756" s="562"/>
      <c r="AO756" s="562"/>
      <c r="AP756" s="562"/>
      <c r="AQ756" s="562"/>
      <c r="AR756" s="562"/>
      <c r="AS756" s="562"/>
    </row>
    <row r="757" spans="1:45" ht="16" thickTop="1" x14ac:dyDescent="0.2">
      <c r="A757" s="541">
        <v>6</v>
      </c>
      <c r="B757" s="549">
        <v>611.4</v>
      </c>
      <c r="C757" s="544"/>
      <c r="D757" s="544"/>
      <c r="E757" s="544"/>
      <c r="F757" s="544"/>
      <c r="G757" s="543" t="str">
        <f>IF(N757&gt;0,"P","")</f>
        <v/>
      </c>
      <c r="H757" s="541" t="s">
        <v>3758</v>
      </c>
      <c r="I757" s="131" t="s">
        <v>2787</v>
      </c>
      <c r="J757" s="132"/>
      <c r="K757" s="133"/>
      <c r="L757" s="819" t="s">
        <v>2788</v>
      </c>
      <c r="M757" s="827">
        <v>5</v>
      </c>
      <c r="N757" s="981">
        <f>'Ch6'!O518</f>
        <v>0</v>
      </c>
      <c r="O757" s="981">
        <f>IF(W763+W773*2&gt;=10,5,0)</f>
        <v>0</v>
      </c>
      <c r="P757" s="74"/>
      <c r="Q757" s="74"/>
      <c r="R757" s="74"/>
      <c r="S757" s="74"/>
      <c r="T757" s="74"/>
      <c r="U757" s="74"/>
      <c r="V757" s="74"/>
      <c r="W757" s="74"/>
      <c r="X757" s="74"/>
      <c r="Y757" s="562"/>
      <c r="Z757" s="430"/>
      <c r="AA757" s="562"/>
      <c r="AB757" s="562"/>
      <c r="AC757" s="562"/>
      <c r="AD757" s="562"/>
      <c r="AE757" s="562"/>
      <c r="AF757" s="562"/>
      <c r="AG757" s="562"/>
      <c r="AH757" s="562"/>
      <c r="AI757" s="562"/>
      <c r="AJ757" s="562"/>
      <c r="AK757" s="562"/>
      <c r="AL757" s="190" t="str">
        <f t="shared" ref="AL757" si="223">SUBSTITUTE(SUBSTITUTE(SUBSTITUTE("vpa"&amp;$B757&amp;$C757&amp;$D757&amp;$E757&amp;$F757,".","_"),"(","_"),")","")</f>
        <v>vpa611,4</v>
      </c>
      <c r="AM757" s="190">
        <f>M757</f>
        <v>5</v>
      </c>
      <c r="AN757" s="190" t="str">
        <f>SUBSTITUTE(SUBSTITUTE(SUBSTITUTE("vpc"&amp;$B757&amp;$C757&amp;$D757&amp;$E757&amp;$F757,".","_"),"(","_"),")","")</f>
        <v>vpc611,4</v>
      </c>
      <c r="AO757" s="190">
        <f>O757</f>
        <v>0</v>
      </c>
      <c r="AP757" s="562"/>
      <c r="AQ757" s="562"/>
      <c r="AR757" s="562"/>
      <c r="AS757" s="562"/>
    </row>
    <row r="758" spans="1:45" x14ac:dyDescent="0.2">
      <c r="A758" s="541">
        <v>6</v>
      </c>
      <c r="B758" s="549">
        <v>611.4</v>
      </c>
      <c r="C758" s="544"/>
      <c r="D758" s="544"/>
      <c r="E758" s="544"/>
      <c r="F758" s="544"/>
      <c r="G758" s="543" t="str">
        <f t="shared" ref="G758:G777" si="224">G757</f>
        <v/>
      </c>
      <c r="H758" s="541" t="s">
        <v>3758</v>
      </c>
      <c r="I758" s="99"/>
      <c r="J758" s="98"/>
      <c r="K758" s="65"/>
      <c r="L758" s="820"/>
      <c r="M758" s="800"/>
      <c r="N758" s="924"/>
      <c r="O758" s="924"/>
      <c r="P758" s="64"/>
      <c r="Q758" s="64"/>
      <c r="R758" s="64"/>
      <c r="S758" s="64"/>
      <c r="T758" s="64"/>
      <c r="U758" s="64"/>
      <c r="V758" s="64"/>
      <c r="W758" s="64"/>
      <c r="X758" s="64"/>
      <c r="Y758" s="562"/>
      <c r="Z758" s="430"/>
      <c r="AA758" s="562"/>
      <c r="AB758" s="562"/>
      <c r="AC758" s="562"/>
      <c r="AD758" s="562"/>
      <c r="AE758" s="562"/>
      <c r="AF758" s="562"/>
      <c r="AG758" s="562"/>
      <c r="AH758" s="562"/>
      <c r="AI758" s="562"/>
      <c r="AJ758" s="562"/>
      <c r="AK758" s="562"/>
      <c r="AL758" s="562"/>
      <c r="AM758" s="562"/>
      <c r="AN758" s="562"/>
      <c r="AO758" s="562"/>
      <c r="AP758" s="562"/>
      <c r="AQ758" s="562"/>
      <c r="AR758" s="562"/>
      <c r="AS758" s="562"/>
    </row>
    <row r="759" spans="1:45" x14ac:dyDescent="0.2">
      <c r="A759" s="541">
        <v>6</v>
      </c>
      <c r="B759" s="549">
        <v>611.4</v>
      </c>
      <c r="C759" s="544"/>
      <c r="D759" s="544"/>
      <c r="E759" s="544"/>
      <c r="F759" s="544"/>
      <c r="G759" s="543" t="str">
        <f t="shared" si="224"/>
        <v/>
      </c>
      <c r="H759" s="541" t="s">
        <v>3758</v>
      </c>
      <c r="I759" s="99"/>
      <c r="J759" s="98"/>
      <c r="K759" s="65"/>
      <c r="L759" s="820"/>
      <c r="M759" s="800"/>
      <c r="N759" s="924"/>
      <c r="O759" s="924"/>
      <c r="P759" s="64"/>
      <c r="Q759" s="64"/>
      <c r="R759" s="64"/>
      <c r="S759" s="64"/>
      <c r="T759" s="64"/>
      <c r="U759" s="64"/>
      <c r="V759" s="64"/>
      <c r="W759" s="64"/>
      <c r="X759" s="64"/>
      <c r="Y759" s="562"/>
      <c r="Z759" s="430"/>
      <c r="AA759" s="562"/>
      <c r="AB759" s="562"/>
      <c r="AC759" s="562"/>
      <c r="AD759" s="562"/>
      <c r="AE759" s="562"/>
      <c r="AF759" s="562"/>
      <c r="AG759" s="562"/>
      <c r="AH759" s="562"/>
      <c r="AI759" s="562"/>
      <c r="AJ759" s="562"/>
      <c r="AK759" s="562"/>
      <c r="AL759" s="562"/>
      <c r="AM759" s="562"/>
      <c r="AN759" s="562"/>
      <c r="AO759" s="562"/>
      <c r="AP759" s="562"/>
      <c r="AQ759" s="562"/>
      <c r="AR759" s="562"/>
      <c r="AS759" s="562"/>
    </row>
    <row r="760" spans="1:45" x14ac:dyDescent="0.2">
      <c r="A760" s="541">
        <v>6</v>
      </c>
      <c r="B760" s="549">
        <v>611.4</v>
      </c>
      <c r="C760" s="544"/>
      <c r="D760" s="544"/>
      <c r="E760" s="544"/>
      <c r="F760" s="544"/>
      <c r="G760" s="543" t="str">
        <f t="shared" si="224"/>
        <v/>
      </c>
      <c r="H760" s="541" t="s">
        <v>3758</v>
      </c>
      <c r="I760" s="99"/>
      <c r="J760" s="98"/>
      <c r="K760" s="65"/>
      <c r="L760" s="820"/>
      <c r="M760" s="800"/>
      <c r="N760" s="924"/>
      <c r="O760" s="924"/>
      <c r="P760" s="64"/>
      <c r="Q760" s="64"/>
      <c r="R760" s="64"/>
      <c r="S760" s="64"/>
      <c r="T760" s="64"/>
      <c r="U760" s="64"/>
      <c r="V760" s="64"/>
      <c r="W760" s="64"/>
      <c r="X760" s="64"/>
      <c r="Y760" s="562"/>
      <c r="Z760" s="430"/>
      <c r="AA760" s="562"/>
      <c r="AB760" s="562"/>
      <c r="AC760" s="562"/>
      <c r="AD760" s="562"/>
      <c r="AE760" s="562"/>
      <c r="AF760" s="562"/>
      <c r="AG760" s="562"/>
      <c r="AH760" s="562"/>
      <c r="AI760" s="562"/>
      <c r="AJ760" s="562"/>
      <c r="AK760" s="562"/>
      <c r="AL760" s="562"/>
      <c r="AM760" s="562"/>
      <c r="AN760" s="562"/>
      <c r="AO760" s="562"/>
      <c r="AP760" s="562"/>
      <c r="AQ760" s="562"/>
      <c r="AR760" s="562"/>
      <c r="AS760" s="562"/>
    </row>
    <row r="761" spans="1:45" x14ac:dyDescent="0.2">
      <c r="A761" s="541">
        <v>6</v>
      </c>
      <c r="B761" s="549">
        <v>611.4</v>
      </c>
      <c r="C761" s="544"/>
      <c r="D761" s="544"/>
      <c r="E761" s="544"/>
      <c r="F761" s="544"/>
      <c r="G761" s="543" t="str">
        <f t="shared" si="224"/>
        <v/>
      </c>
      <c r="H761" s="541" t="s">
        <v>3758</v>
      </c>
      <c r="I761" s="170"/>
      <c r="J761" s="165"/>
      <c r="K761" s="126"/>
      <c r="L761" s="832"/>
      <c r="M761" s="801"/>
      <c r="N761" s="942"/>
      <c r="O761" s="942"/>
      <c r="P761" s="64"/>
      <c r="Q761" s="64"/>
      <c r="R761" s="64"/>
      <c r="S761" s="64"/>
      <c r="T761" s="64"/>
      <c r="U761" s="64"/>
      <c r="V761" s="64"/>
      <c r="W761" s="64"/>
      <c r="X761" s="64"/>
      <c r="Y761" s="562"/>
      <c r="Z761" s="430"/>
      <c r="AA761" s="562"/>
      <c r="AB761" s="562"/>
      <c r="AC761" s="562"/>
      <c r="AD761" s="562"/>
      <c r="AE761" s="562"/>
      <c r="AF761" s="562"/>
      <c r="AG761" s="562"/>
      <c r="AH761" s="562"/>
      <c r="AI761" s="562"/>
      <c r="AJ761" s="562"/>
      <c r="AK761" s="562"/>
      <c r="AL761" s="562"/>
      <c r="AM761" s="562"/>
      <c r="AN761" s="562"/>
      <c r="AO761" s="562"/>
      <c r="AP761" s="562"/>
      <c r="AQ761" s="562"/>
      <c r="AR761" s="562"/>
      <c r="AS761" s="562"/>
    </row>
    <row r="762" spans="1:45" x14ac:dyDescent="0.2">
      <c r="A762" s="541">
        <v>6</v>
      </c>
      <c r="B762" s="549" t="s">
        <v>2789</v>
      </c>
      <c r="C762" s="544"/>
      <c r="D762" s="544"/>
      <c r="E762" s="544"/>
      <c r="F762" s="544"/>
      <c r="G762" s="543" t="str">
        <f t="shared" si="224"/>
        <v/>
      </c>
      <c r="H762" s="541" t="s">
        <v>3758</v>
      </c>
      <c r="I762" s="40" t="s">
        <v>2790</v>
      </c>
      <c r="J762" s="3"/>
      <c r="K762" s="53"/>
      <c r="L762" s="862" t="s">
        <v>2791</v>
      </c>
      <c r="M762" s="616"/>
      <c r="N762" s="648"/>
      <c r="O762" s="648"/>
      <c r="P762" s="562"/>
      <c r="Q762" s="562"/>
      <c r="R762" s="562"/>
      <c r="S762" s="562"/>
      <c r="T762" s="562"/>
      <c r="U762" s="562"/>
      <c r="V762" s="562"/>
      <c r="W762" s="562" t="s">
        <v>2792</v>
      </c>
      <c r="X762" s="787"/>
      <c r="Y762" s="980" t="str">
        <f>IF(LEN('Ch6'!X523)=0,"None",'Ch6'!X523)</f>
        <v>None</v>
      </c>
      <c r="Z762" s="983"/>
      <c r="AA762" s="562"/>
      <c r="AB762" s="562"/>
      <c r="AC762" s="562"/>
      <c r="AD762" s="562"/>
      <c r="AE762" s="562"/>
      <c r="AF762" s="562"/>
      <c r="AG762" s="562"/>
      <c r="AH762" s="562"/>
      <c r="AI762" s="562"/>
      <c r="AJ762" s="562"/>
      <c r="AK762" s="562"/>
      <c r="AL762" s="562"/>
      <c r="AM762" s="562"/>
      <c r="AN762" s="562"/>
      <c r="AO762" s="562"/>
      <c r="AP762" s="562"/>
      <c r="AQ762" s="562"/>
      <c r="AR762" s="190" t="str">
        <f>SUBSTITUTE(SUBSTITUTE(SUBSTITUTE("vnt"&amp;$B762&amp;$C762&amp;$D762&amp;$E762&amp;$F762,".","_"),"(","_"),")","")</f>
        <v>vnt611_4_1</v>
      </c>
      <c r="AS762" s="190">
        <f>X762</f>
        <v>0</v>
      </c>
    </row>
    <row r="763" spans="1:45" x14ac:dyDescent="0.2">
      <c r="A763" s="541">
        <v>6</v>
      </c>
      <c r="B763" s="549" t="s">
        <v>2789</v>
      </c>
      <c r="C763" s="544"/>
      <c r="D763" s="544"/>
      <c r="E763" s="544"/>
      <c r="F763" s="544"/>
      <c r="G763" s="543" t="str">
        <f t="shared" si="224"/>
        <v/>
      </c>
      <c r="H763" s="541" t="s">
        <v>3758</v>
      </c>
      <c r="I763" s="40"/>
      <c r="J763" s="3"/>
      <c r="K763" s="53"/>
      <c r="L763" s="862"/>
      <c r="M763" s="616"/>
      <c r="N763" s="648"/>
      <c r="O763" s="648"/>
      <c r="P763" s="562" t="b">
        <v>0</v>
      </c>
      <c r="Q763" s="562" t="b">
        <v>1</v>
      </c>
      <c r="R763" s="562" t="b">
        <v>0</v>
      </c>
      <c r="S763" s="562" t="b">
        <v>1</v>
      </c>
      <c r="T763" s="562" t="b">
        <v>0</v>
      </c>
      <c r="U763" s="562"/>
      <c r="V763" s="562"/>
      <c r="W763" s="124"/>
      <c r="X763" s="787"/>
      <c r="Y763" s="980"/>
      <c r="Z763" s="983"/>
      <c r="AA763" s="562"/>
      <c r="AB763" s="562"/>
      <c r="AC763" s="562" t="b">
        <f>OR(AD763:AE763)</f>
        <v>0</v>
      </c>
      <c r="AD763" s="562" t="b">
        <f>T763</f>
        <v>0</v>
      </c>
      <c r="AE763" s="562" t="b">
        <f>AND(W763&gt;0,LEN(X762)=0)</f>
        <v>0</v>
      </c>
      <c r="AF763" s="562" t="b">
        <f>AND(AE763,NOT(Q763))</f>
        <v>0</v>
      </c>
      <c r="AG763" s="562"/>
      <c r="AH763" s="562"/>
      <c r="AI763" s="562"/>
      <c r="AJ763" s="562"/>
      <c r="AK763" s="562"/>
      <c r="AL763" s="562"/>
      <c r="AM763" s="562"/>
      <c r="AN763" s="562"/>
      <c r="AO763" s="562"/>
      <c r="AP763" s="190" t="str">
        <f>SUBSTITUTE(SUBSTITUTE(SUBSTITUTE("vch"&amp;$B763&amp;$C763&amp;$D763&amp;$E763&amp;$F763,".","_"),"(","_"),")","")</f>
        <v>vch611_4_1</v>
      </c>
      <c r="AQ763" s="190">
        <f>W763</f>
        <v>0</v>
      </c>
      <c r="AR763" s="562"/>
      <c r="AS763" s="562"/>
    </row>
    <row r="764" spans="1:45" x14ac:dyDescent="0.2">
      <c r="A764" s="541">
        <v>6</v>
      </c>
      <c r="B764" s="549" t="s">
        <v>2789</v>
      </c>
      <c r="C764" s="544"/>
      <c r="D764" s="544"/>
      <c r="E764" s="544"/>
      <c r="F764" s="544"/>
      <c r="G764" s="543" t="str">
        <f t="shared" si="224"/>
        <v/>
      </c>
      <c r="H764" s="541" t="s">
        <v>3758</v>
      </c>
      <c r="I764" s="40"/>
      <c r="J764" s="3"/>
      <c r="K764" s="53"/>
      <c r="L764" s="862"/>
      <c r="M764" s="616"/>
      <c r="N764" s="648"/>
      <c r="O764" s="648"/>
      <c r="P764" s="562"/>
      <c r="Q764" s="562"/>
      <c r="R764" s="562"/>
      <c r="S764" s="562"/>
      <c r="T764" s="562"/>
      <c r="U764" s="562"/>
      <c r="V764" s="562"/>
      <c r="W764" s="562"/>
      <c r="X764" s="787"/>
      <c r="Y764" s="980"/>
      <c r="Z764" s="983"/>
      <c r="AA764" s="562"/>
      <c r="AB764" s="562"/>
      <c r="AC764" s="562"/>
      <c r="AD764" s="562"/>
      <c r="AE764" s="562"/>
      <c r="AF764" s="562"/>
      <c r="AG764" s="562"/>
      <c r="AH764" s="562"/>
      <c r="AI764" s="562"/>
      <c r="AJ764" s="562"/>
      <c r="AK764" s="562"/>
      <c r="AL764" s="562"/>
      <c r="AM764" s="562"/>
      <c r="AN764" s="562"/>
      <c r="AO764" s="562"/>
      <c r="AP764" s="562"/>
      <c r="AQ764" s="562"/>
      <c r="AR764" s="562"/>
      <c r="AS764" s="562"/>
    </row>
    <row r="765" spans="1:45" x14ac:dyDescent="0.2">
      <c r="A765" s="541">
        <v>6</v>
      </c>
      <c r="B765" s="549" t="s">
        <v>2789</v>
      </c>
      <c r="C765" s="544"/>
      <c r="D765" s="544"/>
      <c r="E765" s="544"/>
      <c r="F765" s="544"/>
      <c r="G765" s="543" t="str">
        <f t="shared" si="224"/>
        <v/>
      </c>
      <c r="H765" s="541" t="s">
        <v>3758</v>
      </c>
      <c r="I765" s="40"/>
      <c r="J765" s="3"/>
      <c r="K765" s="53"/>
      <c r="L765" s="862"/>
      <c r="M765" s="616"/>
      <c r="N765" s="648"/>
      <c r="O765" s="648"/>
      <c r="P765" s="562"/>
      <c r="Q765" s="562"/>
      <c r="R765" s="562"/>
      <c r="S765" s="562"/>
      <c r="T765" s="562"/>
      <c r="U765" s="562"/>
      <c r="V765" s="562"/>
      <c r="W765" s="562"/>
      <c r="X765" s="787"/>
      <c r="Y765" s="980"/>
      <c r="Z765" s="983"/>
      <c r="AA765" s="562"/>
      <c r="AB765" s="562"/>
      <c r="AC765" s="562"/>
      <c r="AD765" s="562"/>
      <c r="AE765" s="562"/>
      <c r="AF765" s="562"/>
      <c r="AG765" s="562"/>
      <c r="AH765" s="562"/>
      <c r="AI765" s="562"/>
      <c r="AJ765" s="562"/>
      <c r="AK765" s="562"/>
      <c r="AL765" s="562"/>
      <c r="AM765" s="562"/>
      <c r="AN765" s="562"/>
      <c r="AO765" s="562"/>
      <c r="AP765" s="562"/>
      <c r="AQ765" s="562"/>
      <c r="AR765" s="562"/>
      <c r="AS765" s="562"/>
    </row>
    <row r="766" spans="1:45" x14ac:dyDescent="0.2">
      <c r="A766" s="541">
        <v>6</v>
      </c>
      <c r="B766" s="549" t="s">
        <v>2789</v>
      </c>
      <c r="C766" s="544"/>
      <c r="D766" s="544"/>
      <c r="E766" s="544"/>
      <c r="F766" s="544"/>
      <c r="G766" s="543" t="str">
        <f t="shared" si="224"/>
        <v/>
      </c>
      <c r="H766" s="541" t="s">
        <v>3758</v>
      </c>
      <c r="I766" s="40"/>
      <c r="J766" s="3"/>
      <c r="K766" s="53"/>
      <c r="L766" s="862"/>
      <c r="M766" s="616"/>
      <c r="N766" s="648"/>
      <c r="O766" s="648"/>
      <c r="P766" s="562"/>
      <c r="Q766" s="562"/>
      <c r="R766" s="562"/>
      <c r="S766" s="562"/>
      <c r="T766" s="562"/>
      <c r="U766" s="562"/>
      <c r="V766" s="562"/>
      <c r="W766" s="562"/>
      <c r="X766" s="787"/>
      <c r="Y766" s="980"/>
      <c r="Z766" s="983"/>
      <c r="AA766" s="562"/>
      <c r="AB766" s="562"/>
      <c r="AC766" s="562"/>
      <c r="AD766" s="562"/>
      <c r="AE766" s="562"/>
      <c r="AF766" s="562"/>
      <c r="AG766" s="562"/>
      <c r="AH766" s="562"/>
      <c r="AI766" s="562"/>
      <c r="AJ766" s="562"/>
      <c r="AK766" s="562"/>
      <c r="AL766" s="562"/>
      <c r="AM766" s="562"/>
      <c r="AN766" s="562"/>
      <c r="AO766" s="562"/>
      <c r="AP766" s="562"/>
      <c r="AQ766" s="562"/>
      <c r="AR766" s="562"/>
      <c r="AS766" s="562"/>
    </row>
    <row r="767" spans="1:45" x14ac:dyDescent="0.2">
      <c r="A767" s="541">
        <v>6</v>
      </c>
      <c r="B767" s="549" t="s">
        <v>2789</v>
      </c>
      <c r="C767" s="544"/>
      <c r="D767" s="544"/>
      <c r="E767" s="544"/>
      <c r="F767" s="544"/>
      <c r="G767" s="543" t="str">
        <f t="shared" si="224"/>
        <v/>
      </c>
      <c r="H767" s="541" t="s">
        <v>3758</v>
      </c>
      <c r="I767" s="40"/>
      <c r="J767" s="3"/>
      <c r="K767" s="53"/>
      <c r="L767" s="862"/>
      <c r="M767" s="616"/>
      <c r="N767" s="648"/>
      <c r="O767" s="648"/>
      <c r="P767" s="562"/>
      <c r="Q767" s="562"/>
      <c r="R767" s="562"/>
      <c r="S767" s="562"/>
      <c r="T767" s="562"/>
      <c r="U767" s="562"/>
      <c r="V767" s="562"/>
      <c r="W767" s="562"/>
      <c r="X767" s="787"/>
      <c r="Y767" s="980"/>
      <c r="Z767" s="983"/>
      <c r="AA767" s="562"/>
      <c r="AB767" s="562"/>
      <c r="AC767" s="562"/>
      <c r="AD767" s="562"/>
      <c r="AE767" s="562"/>
      <c r="AF767" s="562"/>
      <c r="AG767" s="562"/>
      <c r="AH767" s="562"/>
      <c r="AI767" s="562"/>
      <c r="AJ767" s="562"/>
      <c r="AK767" s="562"/>
      <c r="AL767" s="562"/>
      <c r="AM767" s="562"/>
      <c r="AN767" s="562"/>
      <c r="AO767" s="562"/>
      <c r="AP767" s="562"/>
      <c r="AQ767" s="562"/>
      <c r="AR767" s="562"/>
      <c r="AS767" s="562"/>
    </row>
    <row r="768" spans="1:45" x14ac:dyDescent="0.2">
      <c r="A768" s="541">
        <v>6</v>
      </c>
      <c r="B768" s="549" t="s">
        <v>2789</v>
      </c>
      <c r="C768" s="544"/>
      <c r="D768" s="544"/>
      <c r="E768" s="544"/>
      <c r="F768" s="544"/>
      <c r="G768" s="543" t="str">
        <f t="shared" si="224"/>
        <v/>
      </c>
      <c r="H768" s="541" t="s">
        <v>3758</v>
      </c>
      <c r="I768" s="40"/>
      <c r="J768" s="3"/>
      <c r="K768" s="53"/>
      <c r="L768" s="862"/>
      <c r="M768" s="616"/>
      <c r="N768" s="648"/>
      <c r="O768" s="648"/>
      <c r="P768" s="562"/>
      <c r="Q768" s="562"/>
      <c r="R768" s="562"/>
      <c r="S768" s="562"/>
      <c r="T768" s="562"/>
      <c r="U768" s="562"/>
      <c r="V768" s="562"/>
      <c r="W768" s="562"/>
      <c r="X768" s="787"/>
      <c r="Y768" s="980"/>
      <c r="Z768" s="983"/>
      <c r="AA768" s="562"/>
      <c r="AB768" s="562"/>
      <c r="AC768" s="562"/>
      <c r="AD768" s="562"/>
      <c r="AE768" s="562"/>
      <c r="AF768" s="562"/>
      <c r="AG768" s="562"/>
      <c r="AH768" s="562"/>
      <c r="AI768" s="562"/>
      <c r="AJ768" s="562"/>
      <c r="AK768" s="562"/>
      <c r="AL768" s="562"/>
      <c r="AM768" s="562"/>
      <c r="AN768" s="562"/>
      <c r="AO768" s="562"/>
      <c r="AP768" s="562"/>
      <c r="AQ768" s="562"/>
      <c r="AR768" s="562"/>
      <c r="AS768" s="562"/>
    </row>
    <row r="769" spans="1:63" x14ac:dyDescent="0.2">
      <c r="A769" s="541">
        <v>6</v>
      </c>
      <c r="B769" s="549" t="s">
        <v>2789</v>
      </c>
      <c r="C769" s="544"/>
      <c r="D769" s="544"/>
      <c r="E769" s="544"/>
      <c r="F769" s="544"/>
      <c r="G769" s="543" t="str">
        <f t="shared" si="224"/>
        <v/>
      </c>
      <c r="H769" s="541" t="s">
        <v>3758</v>
      </c>
      <c r="I769" s="40"/>
      <c r="J769" s="3"/>
      <c r="K769" s="53"/>
      <c r="L769" s="862"/>
      <c r="M769" s="616"/>
      <c r="N769" s="648"/>
      <c r="O769" s="648"/>
      <c r="P769" s="562"/>
      <c r="Q769" s="562"/>
      <c r="R769" s="562"/>
      <c r="S769" s="562"/>
      <c r="T769" s="562"/>
      <c r="U769" s="562"/>
      <c r="V769" s="562"/>
      <c r="W769" s="562"/>
      <c r="X769" s="787"/>
      <c r="Y769" s="980"/>
      <c r="Z769" s="983"/>
      <c r="AA769" s="562"/>
      <c r="AB769" s="562"/>
      <c r="AC769" s="562"/>
      <c r="AD769" s="562"/>
      <c r="AE769" s="562"/>
      <c r="AF769" s="562"/>
      <c r="AG769" s="562"/>
      <c r="AH769" s="562"/>
      <c r="AI769" s="562"/>
      <c r="AJ769" s="562"/>
      <c r="AK769" s="562"/>
      <c r="AL769" s="562"/>
      <c r="AM769" s="562"/>
      <c r="AN769" s="562"/>
      <c r="AO769" s="562"/>
      <c r="AP769" s="562"/>
      <c r="AQ769" s="562"/>
      <c r="AR769" s="562"/>
      <c r="AS769" s="562"/>
      <c r="AT769" s="562"/>
      <c r="AU769" s="562"/>
      <c r="AV769" s="562"/>
      <c r="AW769" s="562"/>
      <c r="AX769" s="562"/>
      <c r="AY769" s="562"/>
      <c r="AZ769" s="562"/>
      <c r="BA769" s="562"/>
      <c r="BB769" s="562"/>
      <c r="BC769" s="562"/>
      <c r="BD769" s="562"/>
      <c r="BE769" s="562"/>
      <c r="BF769" s="562"/>
      <c r="BG769" s="562"/>
      <c r="BH769" s="562"/>
      <c r="BI769" s="562"/>
      <c r="BJ769" s="562"/>
      <c r="BK769" s="562"/>
    </row>
    <row r="770" spans="1:63" x14ac:dyDescent="0.2">
      <c r="A770" s="541">
        <v>6</v>
      </c>
      <c r="B770" s="549" t="s">
        <v>2789</v>
      </c>
      <c r="C770" s="544"/>
      <c r="D770" s="544"/>
      <c r="E770" s="544"/>
      <c r="F770" s="544"/>
      <c r="G770" s="543" t="str">
        <f t="shared" si="224"/>
        <v/>
      </c>
      <c r="H770" s="541" t="s">
        <v>3758</v>
      </c>
      <c r="I770" s="170"/>
      <c r="J770" s="165"/>
      <c r="K770" s="126"/>
      <c r="L770" s="571" t="s">
        <v>2793</v>
      </c>
      <c r="M770" s="616"/>
      <c r="N770" s="648"/>
      <c r="O770" s="648"/>
      <c r="P770" s="562"/>
      <c r="Q770" s="562"/>
      <c r="R770" s="562"/>
      <c r="S770" s="562"/>
      <c r="T770" s="562"/>
      <c r="U770" s="562"/>
      <c r="V770" s="562"/>
      <c r="W770" s="562"/>
      <c r="X770" s="787"/>
      <c r="Y770" s="980"/>
      <c r="Z770" s="983"/>
      <c r="AA770" s="562"/>
      <c r="AB770" s="562"/>
      <c r="AC770" s="562"/>
      <c r="AD770" s="562"/>
      <c r="AE770" s="562"/>
      <c r="AF770" s="562"/>
      <c r="AG770" s="562"/>
      <c r="AH770" s="562"/>
      <c r="AI770" s="562"/>
      <c r="AJ770" s="562"/>
      <c r="AK770" s="562"/>
      <c r="AL770" s="562"/>
      <c r="AM770" s="562"/>
      <c r="AN770" s="562"/>
      <c r="AO770" s="562"/>
      <c r="AP770" s="562"/>
      <c r="AQ770" s="562"/>
      <c r="AR770" s="562"/>
      <c r="AS770" s="562"/>
      <c r="AT770" s="562"/>
      <c r="AU770" s="562"/>
      <c r="AV770" s="562"/>
      <c r="AW770" s="562"/>
      <c r="AX770" s="562"/>
      <c r="AY770" s="562"/>
      <c r="AZ770" s="562"/>
      <c r="BA770" s="562"/>
      <c r="BB770" s="562"/>
      <c r="BC770" s="562"/>
      <c r="BD770" s="562"/>
      <c r="BE770" s="562"/>
      <c r="BF770" s="562"/>
      <c r="BG770" s="562"/>
      <c r="BH770" s="562"/>
      <c r="BI770" s="562"/>
      <c r="BJ770" s="562"/>
      <c r="BK770" s="562"/>
    </row>
    <row r="771" spans="1:63" x14ac:dyDescent="0.2">
      <c r="A771" s="541">
        <v>6</v>
      </c>
      <c r="B771" s="549" t="s">
        <v>2794</v>
      </c>
      <c r="C771" s="544"/>
      <c r="D771" s="544"/>
      <c r="E771" s="544"/>
      <c r="F771" s="544"/>
      <c r="G771" s="543" t="str">
        <f t="shared" si="224"/>
        <v/>
      </c>
      <c r="H771" s="541" t="s">
        <v>3758</v>
      </c>
      <c r="I771" s="99" t="s">
        <v>2795</v>
      </c>
      <c r="J771" s="98"/>
      <c r="K771" s="65"/>
      <c r="L771" s="812" t="s">
        <v>2796</v>
      </c>
      <c r="M771" s="610"/>
      <c r="N771" s="668"/>
      <c r="O771" s="668"/>
      <c r="P771" s="64"/>
      <c r="Q771" s="64"/>
      <c r="R771" s="64"/>
      <c r="S771" s="64"/>
      <c r="T771" s="64"/>
      <c r="U771" s="64"/>
      <c r="V771" s="64"/>
      <c r="W771" s="861" t="s">
        <v>2797</v>
      </c>
      <c r="X771" s="798"/>
      <c r="Y771" s="977" t="str">
        <f>IF(LEN('Ch6'!X532)=0,"None",'Ch6'!X532)</f>
        <v>None</v>
      </c>
      <c r="Z771" s="978"/>
      <c r="AA771" s="562"/>
      <c r="AB771" s="562"/>
      <c r="AC771" s="562"/>
      <c r="AD771" s="562"/>
      <c r="AE771" s="562"/>
      <c r="AF771" s="562"/>
      <c r="AG771" s="562"/>
      <c r="AH771" s="562"/>
      <c r="AI771" s="562"/>
      <c r="AJ771" s="562"/>
      <c r="AK771" s="562"/>
      <c r="AL771" s="562"/>
      <c r="AM771" s="562"/>
      <c r="AN771" s="562"/>
      <c r="AO771" s="562"/>
      <c r="AP771" s="562"/>
      <c r="AQ771" s="562"/>
      <c r="AR771" s="190" t="str">
        <f>SUBSTITUTE(SUBSTITUTE(SUBSTITUTE("vnt"&amp;$B771&amp;$C771&amp;$D771&amp;$E771&amp;$F771,".","_"),"(","_"),")","")</f>
        <v>vnt611_4_2</v>
      </c>
      <c r="AS771" s="190">
        <f>X771</f>
        <v>0</v>
      </c>
      <c r="AT771" s="562"/>
      <c r="AU771" s="562"/>
      <c r="AV771" s="562"/>
      <c r="AW771" s="562"/>
      <c r="AX771" s="562"/>
      <c r="AY771" s="562"/>
      <c r="AZ771" s="562"/>
      <c r="BA771" s="562"/>
      <c r="BB771" s="562"/>
      <c r="BC771" s="562"/>
      <c r="BD771" s="562"/>
      <c r="BE771" s="562"/>
      <c r="BF771" s="562"/>
      <c r="BG771" s="562"/>
      <c r="BH771" s="562"/>
      <c r="BI771" s="562"/>
      <c r="BJ771" s="562"/>
      <c r="BK771" s="562"/>
    </row>
    <row r="772" spans="1:63" x14ac:dyDescent="0.2">
      <c r="A772" s="541">
        <v>6</v>
      </c>
      <c r="B772" s="549" t="s">
        <v>2794</v>
      </c>
      <c r="C772" s="544"/>
      <c r="D772" s="544"/>
      <c r="E772" s="544"/>
      <c r="F772" s="544"/>
      <c r="G772" s="543" t="str">
        <f t="shared" si="224"/>
        <v/>
      </c>
      <c r="H772" s="541" t="s">
        <v>3758</v>
      </c>
      <c r="I772" s="99"/>
      <c r="J772" s="98"/>
      <c r="K772" s="65"/>
      <c r="L772" s="812"/>
      <c r="M772" s="610"/>
      <c r="N772" s="668"/>
      <c r="O772" s="668"/>
      <c r="P772" s="64"/>
      <c r="Q772" s="64"/>
      <c r="R772" s="64"/>
      <c r="S772" s="64"/>
      <c r="T772" s="64"/>
      <c r="U772" s="64"/>
      <c r="V772" s="64"/>
      <c r="W772" s="861"/>
      <c r="X772" s="798"/>
      <c r="Y772" s="977"/>
      <c r="Z772" s="978"/>
      <c r="AA772" s="562"/>
      <c r="AB772" s="562"/>
      <c r="AC772" s="562"/>
      <c r="AD772" s="562"/>
      <c r="AE772" s="562"/>
      <c r="AF772" s="562"/>
      <c r="AG772" s="562"/>
      <c r="AH772" s="562"/>
      <c r="AI772" s="562"/>
      <c r="AJ772" s="562"/>
      <c r="AK772" s="562"/>
      <c r="AL772" s="562"/>
      <c r="AM772" s="562"/>
      <c r="AN772" s="562"/>
      <c r="AO772" s="562"/>
      <c r="AP772" s="562"/>
      <c r="AQ772" s="562"/>
      <c r="AR772" s="562"/>
      <c r="AS772" s="562"/>
      <c r="AT772" s="562"/>
      <c r="AU772" s="562"/>
      <c r="AV772" s="562"/>
      <c r="AW772" s="562"/>
      <c r="AX772" s="562"/>
      <c r="AY772" s="562"/>
      <c r="AZ772" s="562"/>
      <c r="BA772" s="562"/>
      <c r="BB772" s="562"/>
      <c r="BC772" s="562"/>
      <c r="BD772" s="562"/>
      <c r="BE772" s="562"/>
      <c r="BF772" s="562"/>
      <c r="BG772" s="562"/>
      <c r="BH772" s="562"/>
      <c r="BI772" s="562"/>
      <c r="BJ772" s="562"/>
      <c r="BK772" s="562"/>
    </row>
    <row r="773" spans="1:63" x14ac:dyDescent="0.2">
      <c r="A773" s="541">
        <v>6</v>
      </c>
      <c r="B773" s="549" t="s">
        <v>2794</v>
      </c>
      <c r="C773" s="544"/>
      <c r="D773" s="544"/>
      <c r="E773" s="544"/>
      <c r="F773" s="544"/>
      <c r="G773" s="543" t="str">
        <f t="shared" si="224"/>
        <v/>
      </c>
      <c r="H773" s="541" t="s">
        <v>3758</v>
      </c>
      <c r="I773" s="99"/>
      <c r="J773" s="98"/>
      <c r="K773" s="65"/>
      <c r="L773" s="812"/>
      <c r="M773" s="610"/>
      <c r="N773" s="668"/>
      <c r="O773" s="668"/>
      <c r="P773" s="562" t="b">
        <v>0</v>
      </c>
      <c r="Q773" s="562" t="b">
        <v>1</v>
      </c>
      <c r="R773" s="64" t="b">
        <v>0</v>
      </c>
      <c r="S773" s="64" t="b">
        <v>1</v>
      </c>
      <c r="T773" s="64" t="b">
        <v>0</v>
      </c>
      <c r="U773" s="64"/>
      <c r="V773" s="64"/>
      <c r="W773" s="152"/>
      <c r="X773" s="798"/>
      <c r="Y773" s="977"/>
      <c r="Z773" s="978"/>
      <c r="AA773" s="562"/>
      <c r="AB773" s="562"/>
      <c r="AC773" s="562" t="b">
        <f>OR(AD773:AE773)</f>
        <v>0</v>
      </c>
      <c r="AD773" s="562" t="b">
        <f>T773</f>
        <v>0</v>
      </c>
      <c r="AE773" s="562" t="b">
        <f>AND(W773&gt;0,LEN(X771)=0)</f>
        <v>0</v>
      </c>
      <c r="AF773" s="562" t="b">
        <f>AND(AE773,NOT(Q773))</f>
        <v>0</v>
      </c>
      <c r="AG773" s="562"/>
      <c r="AH773" s="562"/>
      <c r="AI773" s="562"/>
      <c r="AJ773" s="562"/>
      <c r="AK773" s="562"/>
      <c r="AL773" s="562"/>
      <c r="AM773" s="562"/>
      <c r="AN773" s="562"/>
      <c r="AO773" s="562"/>
      <c r="AP773" s="190" t="str">
        <f>SUBSTITUTE(SUBSTITUTE(SUBSTITUTE("vch"&amp;$B773&amp;$C773&amp;$D773&amp;$E773&amp;$F773,".","_"),"(","_"),")","")</f>
        <v>vch611_4_2</v>
      </c>
      <c r="AQ773" s="190">
        <f>W773</f>
        <v>0</v>
      </c>
      <c r="AR773" s="562"/>
      <c r="AS773" s="562"/>
      <c r="AT773" s="562"/>
      <c r="AU773" s="562"/>
      <c r="AV773" s="562"/>
      <c r="AW773" s="562"/>
      <c r="AX773" s="562"/>
      <c r="AY773" s="562"/>
      <c r="AZ773" s="562"/>
      <c r="BA773" s="562"/>
      <c r="BB773" s="562"/>
      <c r="BC773" s="562"/>
      <c r="BD773" s="562"/>
      <c r="BE773" s="562"/>
      <c r="BF773" s="562"/>
      <c r="BG773" s="562"/>
      <c r="BH773" s="562"/>
      <c r="BI773" s="562"/>
      <c r="BJ773" s="562"/>
      <c r="BK773" s="562"/>
    </row>
    <row r="774" spans="1:63" x14ac:dyDescent="0.2">
      <c r="A774" s="541">
        <v>6</v>
      </c>
      <c r="B774" s="549" t="s">
        <v>2794</v>
      </c>
      <c r="C774" s="544"/>
      <c r="D774" s="544"/>
      <c r="E774" s="544"/>
      <c r="F774" s="544"/>
      <c r="G774" s="543" t="str">
        <f t="shared" si="224"/>
        <v/>
      </c>
      <c r="H774" s="541" t="s">
        <v>3758</v>
      </c>
      <c r="I774" s="99"/>
      <c r="J774" s="98"/>
      <c r="K774" s="65"/>
      <c r="L774" s="812"/>
      <c r="M774" s="610"/>
      <c r="N774" s="668"/>
      <c r="O774" s="668"/>
      <c r="P774" s="64"/>
      <c r="Q774" s="64"/>
      <c r="R774" s="64"/>
      <c r="S774" s="64"/>
      <c r="T774" s="64"/>
      <c r="U774" s="64"/>
      <c r="V774" s="64"/>
      <c r="W774" s="64"/>
      <c r="X774" s="798"/>
      <c r="Y774" s="977"/>
      <c r="Z774" s="978"/>
      <c r="AA774" s="562"/>
      <c r="AB774" s="562"/>
      <c r="AC774" s="562"/>
      <c r="AD774" s="562"/>
      <c r="AE774" s="562"/>
      <c r="AF774" s="562"/>
      <c r="AG774" s="562"/>
      <c r="AH774" s="562"/>
      <c r="AI774" s="562"/>
      <c r="AJ774" s="562"/>
      <c r="AK774" s="562"/>
      <c r="AL774" s="562"/>
      <c r="AM774" s="562"/>
      <c r="AN774" s="562"/>
      <c r="AO774" s="562"/>
      <c r="AP774" s="562"/>
      <c r="AQ774" s="562"/>
      <c r="AR774" s="562"/>
      <c r="AS774" s="562"/>
      <c r="AT774" s="562"/>
      <c r="AU774" s="562"/>
      <c r="AV774" s="562"/>
      <c r="AW774" s="562"/>
      <c r="AX774" s="562"/>
      <c r="AY774" s="562"/>
      <c r="AZ774" s="562"/>
      <c r="BA774" s="562"/>
      <c r="BB774" s="562"/>
      <c r="BC774" s="562"/>
      <c r="BD774" s="562"/>
      <c r="BE774" s="562"/>
      <c r="BF774" s="562"/>
      <c r="BG774" s="562"/>
      <c r="BH774" s="562"/>
      <c r="BI774" s="562"/>
      <c r="BJ774" s="562"/>
      <c r="BK774" s="562"/>
    </row>
    <row r="775" spans="1:63" x14ac:dyDescent="0.2">
      <c r="A775" s="541">
        <v>6</v>
      </c>
      <c r="B775" s="549" t="s">
        <v>2794</v>
      </c>
      <c r="C775" s="544"/>
      <c r="D775" s="544"/>
      <c r="E775" s="544"/>
      <c r="F775" s="544"/>
      <c r="G775" s="543" t="str">
        <f t="shared" si="224"/>
        <v/>
      </c>
      <c r="H775" s="541" t="s">
        <v>3758</v>
      </c>
      <c r="I775" s="99"/>
      <c r="J775" s="98"/>
      <c r="K775" s="65"/>
      <c r="L775" s="812"/>
      <c r="M775" s="610"/>
      <c r="N775" s="668"/>
      <c r="O775" s="668"/>
      <c r="P775" s="64"/>
      <c r="Q775" s="64"/>
      <c r="R775" s="64"/>
      <c r="S775" s="64"/>
      <c r="T775" s="64"/>
      <c r="U775" s="64"/>
      <c r="V775" s="64"/>
      <c r="W775" s="64"/>
      <c r="X775" s="798"/>
      <c r="Y775" s="977"/>
      <c r="Z775" s="978"/>
      <c r="AA775" s="562"/>
      <c r="AB775" s="562"/>
      <c r="AC775" s="562"/>
      <c r="AD775" s="562"/>
      <c r="AE775" s="562"/>
      <c r="AF775" s="562"/>
      <c r="AG775" s="562"/>
      <c r="AH775" s="562"/>
      <c r="AI775" s="562"/>
      <c r="AJ775" s="562"/>
      <c r="AK775" s="562"/>
      <c r="AL775" s="562"/>
      <c r="AM775" s="562"/>
      <c r="AN775" s="562"/>
      <c r="AO775" s="562"/>
      <c r="AP775" s="562"/>
      <c r="AQ775" s="562"/>
      <c r="AR775" s="562"/>
      <c r="AS775" s="562"/>
      <c r="AT775" s="562"/>
      <c r="AU775" s="562"/>
      <c r="AV775" s="562"/>
      <c r="AW775" s="562"/>
      <c r="AX775" s="562"/>
      <c r="AY775" s="562"/>
      <c r="AZ775" s="562"/>
      <c r="BA775" s="562"/>
      <c r="BB775" s="562"/>
      <c r="BC775" s="562"/>
      <c r="BD775" s="562"/>
      <c r="BE775" s="562"/>
      <c r="BF775" s="562"/>
      <c r="BG775" s="562"/>
      <c r="BH775" s="562"/>
      <c r="BI775" s="562"/>
      <c r="BJ775" s="562"/>
      <c r="BK775" s="562"/>
    </row>
    <row r="776" spans="1:63" x14ac:dyDescent="0.2">
      <c r="A776" s="541">
        <v>6</v>
      </c>
      <c r="B776" s="549" t="s">
        <v>2794</v>
      </c>
      <c r="C776" s="544"/>
      <c r="D776" s="544"/>
      <c r="E776" s="544"/>
      <c r="F776" s="544"/>
      <c r="G776" s="543" t="str">
        <f t="shared" si="224"/>
        <v/>
      </c>
      <c r="H776" s="541" t="s">
        <v>3758</v>
      </c>
      <c r="I776" s="99"/>
      <c r="J776" s="98"/>
      <c r="K776" s="65"/>
      <c r="L776" s="812"/>
      <c r="M776" s="610"/>
      <c r="N776" s="668"/>
      <c r="O776" s="668"/>
      <c r="P776" s="64"/>
      <c r="Q776" s="64"/>
      <c r="R776" s="64"/>
      <c r="S776" s="64"/>
      <c r="T776" s="64"/>
      <c r="U776" s="64"/>
      <c r="V776" s="64"/>
      <c r="W776" s="64"/>
      <c r="X776" s="798"/>
      <c r="Y776" s="977"/>
      <c r="Z776" s="978"/>
      <c r="AA776" s="562"/>
      <c r="AB776" s="562"/>
      <c r="AC776" s="562"/>
      <c r="AD776" s="562"/>
      <c r="AE776" s="562"/>
      <c r="AF776" s="562"/>
      <c r="AG776" s="562"/>
      <c r="AH776" s="562"/>
      <c r="AI776" s="562"/>
      <c r="AJ776" s="562"/>
      <c r="AK776" s="562"/>
      <c r="AL776" s="562"/>
      <c r="AM776" s="562"/>
      <c r="AN776" s="562"/>
      <c r="AO776" s="562"/>
      <c r="AP776" s="562"/>
      <c r="AQ776" s="562"/>
      <c r="AR776" s="562"/>
      <c r="AS776" s="562"/>
      <c r="AT776" s="562"/>
      <c r="AU776" s="562"/>
      <c r="AV776" s="562"/>
      <c r="AW776" s="562"/>
      <c r="AX776" s="562"/>
      <c r="AY776" s="562"/>
      <c r="AZ776" s="562"/>
      <c r="BA776" s="562"/>
      <c r="BB776" s="562"/>
      <c r="BC776" s="562"/>
      <c r="BD776" s="562"/>
      <c r="BE776" s="562"/>
      <c r="BF776" s="562"/>
      <c r="BG776" s="562"/>
      <c r="BH776" s="562"/>
      <c r="BI776" s="562"/>
      <c r="BJ776" s="562"/>
      <c r="BK776" s="562"/>
    </row>
    <row r="777" spans="1:63" ht="16" thickBot="1" x14ac:dyDescent="0.25">
      <c r="A777" s="541">
        <v>6</v>
      </c>
      <c r="B777" s="549" t="s">
        <v>2794</v>
      </c>
      <c r="C777" s="548"/>
      <c r="D777" s="548"/>
      <c r="E777" s="548"/>
      <c r="F777" s="548"/>
      <c r="G777" s="543" t="str">
        <f t="shared" si="224"/>
        <v/>
      </c>
      <c r="H777" s="541" t="s">
        <v>3758</v>
      </c>
      <c r="I777" s="68"/>
      <c r="J777" s="68"/>
      <c r="K777" s="68"/>
      <c r="L777" s="449" t="s">
        <v>2793</v>
      </c>
      <c r="M777" s="153"/>
      <c r="N777" s="674"/>
      <c r="O777" s="674"/>
      <c r="P777" s="68"/>
      <c r="Q777" s="68"/>
      <c r="R777" s="68"/>
      <c r="S777" s="68"/>
      <c r="T777" s="68"/>
      <c r="U777" s="68"/>
      <c r="V777" s="68"/>
      <c r="W777" s="68"/>
      <c r="X777" s="799"/>
      <c r="Y777" s="979"/>
      <c r="Z777" s="1007"/>
      <c r="AA777" s="562"/>
      <c r="AB777" s="562"/>
      <c r="AC777" s="562"/>
      <c r="AD777" s="562"/>
      <c r="AE777" s="562"/>
      <c r="AF777" s="562"/>
      <c r="AG777" s="562"/>
      <c r="AH777" s="562"/>
      <c r="AI777" s="562"/>
      <c r="AJ777" s="562"/>
      <c r="AK777" s="562"/>
      <c r="AL777" s="562"/>
      <c r="AM777" s="562"/>
      <c r="AN777" s="562"/>
      <c r="AO777" s="562"/>
      <c r="AP777" s="562"/>
      <c r="AQ777" s="562"/>
      <c r="AR777" s="562"/>
      <c r="AS777" s="562"/>
      <c r="AT777" s="562"/>
      <c r="AU777" s="562"/>
      <c r="AV777" s="562"/>
      <c r="AW777" s="562"/>
      <c r="AX777" s="562"/>
      <c r="AY777" s="562"/>
      <c r="AZ777" s="562"/>
      <c r="BA777" s="562"/>
      <c r="BB777" s="562"/>
      <c r="BC777" s="562"/>
      <c r="BD777" s="562"/>
      <c r="BE777" s="562"/>
      <c r="BF777" s="562"/>
      <c r="BG777" s="562"/>
      <c r="BH777" s="562"/>
      <c r="BI777" s="562"/>
      <c r="BJ777" s="562"/>
      <c r="BK777" s="562"/>
    </row>
    <row r="778" spans="1:63" ht="20" thickTop="1" x14ac:dyDescent="0.25">
      <c r="A778" s="541">
        <v>7</v>
      </c>
      <c r="B778" s="555" t="s">
        <v>3761</v>
      </c>
      <c r="C778" s="541"/>
      <c r="D778" s="541"/>
      <c r="E778" s="541"/>
      <c r="F778" s="541"/>
      <c r="G778" s="543" t="s">
        <v>3343</v>
      </c>
      <c r="H778" s="541" t="s">
        <v>3751</v>
      </c>
      <c r="I778" s="15" t="s">
        <v>2806</v>
      </c>
      <c r="J778" s="15"/>
      <c r="K778" s="15"/>
      <c r="L778" s="16"/>
      <c r="M778" s="17"/>
      <c r="N778" s="17"/>
      <c r="O778" s="17"/>
      <c r="P778" s="562" t="s">
        <v>48</v>
      </c>
      <c r="Q778" s="562" t="s">
        <v>48</v>
      </c>
      <c r="R778" s="562" t="s">
        <v>48</v>
      </c>
      <c r="S778" s="562" t="s">
        <v>48</v>
      </c>
      <c r="T778" s="562" t="s">
        <v>48</v>
      </c>
      <c r="U778" s="562" t="s">
        <v>48</v>
      </c>
      <c r="V778" s="562" t="s">
        <v>48</v>
      </c>
      <c r="W778" s="16"/>
      <c r="X778" s="16"/>
      <c r="Y778" s="16"/>
      <c r="Z778" s="453"/>
      <c r="AA778" s="562"/>
      <c r="AB778" s="586"/>
      <c r="AC778" s="586"/>
      <c r="AD778" s="586"/>
      <c r="AE778" s="586"/>
      <c r="AF778" s="586"/>
      <c r="AG778" s="586"/>
      <c r="AH778" s="586"/>
      <c r="AI778" s="586"/>
      <c r="AJ778" s="586"/>
      <c r="AK778" s="586"/>
      <c r="AL778" s="586"/>
      <c r="AM778" s="586"/>
      <c r="AN778" s="586"/>
      <c r="AO778" s="586"/>
      <c r="AP778" s="586"/>
      <c r="AQ778" s="586"/>
      <c r="AR778" s="586"/>
      <c r="AS778" s="586"/>
      <c r="AT778" s="562"/>
      <c r="AU778" s="562"/>
      <c r="AV778" s="562"/>
      <c r="AW778" s="586"/>
      <c r="AX778" s="586"/>
      <c r="AY778" s="586"/>
      <c r="AZ778" s="586"/>
      <c r="BA778" s="586"/>
      <c r="BB778" s="586"/>
      <c r="BC778" s="586"/>
      <c r="BD778" s="586"/>
      <c r="BE778" s="586"/>
      <c r="BF778" s="586"/>
      <c r="BG778" s="586"/>
      <c r="BH778" s="586"/>
      <c r="BI778" s="586"/>
      <c r="BJ778" s="562"/>
      <c r="BK778" s="562"/>
    </row>
    <row r="779" spans="1:63" x14ac:dyDescent="0.2">
      <c r="A779" s="541">
        <v>7</v>
      </c>
      <c r="B779" s="551">
        <v>701.4</v>
      </c>
      <c r="C779" s="556"/>
      <c r="D779" s="544"/>
      <c r="E779" s="544"/>
      <c r="F779" s="544"/>
      <c r="G779" s="543" t="s">
        <v>3343</v>
      </c>
      <c r="H779" s="541" t="s">
        <v>3751</v>
      </c>
      <c r="I779" s="99" t="s">
        <v>2808</v>
      </c>
      <c r="J779" s="598"/>
      <c r="K779" s="598"/>
      <c r="L779" s="640" t="s">
        <v>2809</v>
      </c>
      <c r="M779" s="610"/>
      <c r="N779" s="607"/>
      <c r="O779" s="607"/>
      <c r="P779" s="64"/>
      <c r="Q779" s="64"/>
      <c r="R779" s="64"/>
      <c r="S779" s="64"/>
      <c r="T779" s="64"/>
      <c r="U779" s="64"/>
      <c r="V779" s="64"/>
      <c r="W779" s="64"/>
      <c r="X779" s="64"/>
      <c r="Y779" s="562"/>
      <c r="Z779" s="430"/>
      <c r="AA779" s="562"/>
      <c r="AB779" s="562"/>
      <c r="AC779" s="562"/>
      <c r="AD779" s="562"/>
      <c r="AE779" s="562"/>
      <c r="AF779" s="562"/>
      <c r="AG779" s="562"/>
      <c r="AH779" s="562"/>
      <c r="AI779" s="562"/>
      <c r="AJ779" s="562"/>
      <c r="AK779" s="562"/>
      <c r="AL779" s="562"/>
      <c r="AM779" s="562"/>
      <c r="AN779" s="562"/>
      <c r="AO779" s="562"/>
      <c r="AP779" s="562"/>
      <c r="AQ779" s="562"/>
      <c r="AR779" s="562"/>
      <c r="AS779" s="562"/>
      <c r="AT779" s="562"/>
      <c r="AU779" s="562"/>
      <c r="AV779" s="562"/>
      <c r="AW779" s="562"/>
      <c r="AX779" s="562"/>
      <c r="AY779" s="562"/>
      <c r="AZ779" s="562"/>
      <c r="BA779" s="562"/>
      <c r="BB779" s="562"/>
      <c r="BC779" s="562"/>
      <c r="BD779" s="562"/>
      <c r="BE779" s="562"/>
      <c r="BF779" s="562"/>
      <c r="BG779" s="562"/>
      <c r="BH779" s="562"/>
      <c r="BI779" s="562"/>
      <c r="BJ779" s="562"/>
      <c r="BK779" s="562"/>
    </row>
    <row r="780" spans="1:63" s="528" customFormat="1" x14ac:dyDescent="0.2">
      <c r="A780" s="541">
        <v>7</v>
      </c>
      <c r="B780" s="551">
        <v>701.4</v>
      </c>
      <c r="C780" s="556"/>
      <c r="D780" s="544"/>
      <c r="E780" s="544"/>
      <c r="F780" s="544"/>
      <c r="G780" s="543" t="s">
        <v>3343</v>
      </c>
      <c r="H780" s="541" t="s">
        <v>3751</v>
      </c>
      <c r="I780" s="99"/>
      <c r="J780" s="598"/>
      <c r="K780" s="598"/>
      <c r="L780" s="849" t="s">
        <v>2810</v>
      </c>
      <c r="M780" s="838" t="str">
        <f>IF(R781,"Mandatory","N/A")</f>
        <v>Mandatory</v>
      </c>
      <c r="N780" s="64"/>
      <c r="O780" s="668"/>
      <c r="P780" s="64"/>
      <c r="Q780" s="64"/>
      <c r="R780" s="64"/>
      <c r="S780" s="64"/>
      <c r="T780" s="64"/>
      <c r="U780" s="64"/>
      <c r="V780" s="64"/>
      <c r="W780" s="64" t="s">
        <v>2811</v>
      </c>
      <c r="X780" s="798"/>
      <c r="Y780" s="977" t="str">
        <f>IF(LEN('Ch7'!X11)=0,"None",'Ch7'!X11)</f>
        <v>None</v>
      </c>
      <c r="Z780" s="977"/>
      <c r="AA780" s="562"/>
      <c r="AB780" s="562"/>
      <c r="AC780" s="562"/>
      <c r="AD780" s="562"/>
      <c r="AE780" s="562"/>
      <c r="AF780" s="562"/>
      <c r="AG780" s="562"/>
      <c r="AH780" s="562"/>
      <c r="AI780" s="562"/>
      <c r="AJ780" s="562"/>
      <c r="AK780" s="562"/>
      <c r="AL780" s="190" t="str">
        <f t="shared" ref="AL780" si="225">SUBSTITUTE(SUBSTITUTE(SUBSTITUTE("vpa"&amp;$B780&amp;$C780&amp;$D780&amp;$E780&amp;$F780,".","_"),"(","_"),")","")</f>
        <v>vpa701,4</v>
      </c>
      <c r="AM780" s="190" t="str">
        <f>M780</f>
        <v>Mandatory</v>
      </c>
      <c r="AN780" s="562"/>
      <c r="AO780" s="562"/>
      <c r="AP780" s="562"/>
      <c r="AQ780" s="562"/>
      <c r="AR780" s="562" t="str">
        <f>SUBSTITUTE(SUBSTITUTE(SUBSTITUTE("vnt"&amp;$B780&amp;$C780&amp;$D780&amp;$E780&amp;$F780,".","_"),"(","_"),")","")</f>
        <v>vnt701,4</v>
      </c>
      <c r="AS780" s="562" t="str">
        <f>IF(LEN(X780)=0,"",X780)</f>
        <v/>
      </c>
      <c r="AT780" s="562"/>
      <c r="AU780" s="562"/>
      <c r="AV780" s="562"/>
      <c r="AW780" s="562"/>
      <c r="AX780" s="562"/>
      <c r="AY780" s="562"/>
      <c r="AZ780" s="562"/>
      <c r="BA780" s="562"/>
      <c r="BB780" s="562"/>
      <c r="BC780" s="562"/>
      <c r="BD780" s="562"/>
      <c r="BE780" s="562"/>
      <c r="BF780" s="562"/>
      <c r="BG780" s="562"/>
      <c r="BH780" s="562"/>
      <c r="BI780" s="562"/>
      <c r="BJ780" s="562"/>
      <c r="BK780" s="562"/>
    </row>
    <row r="781" spans="1:63" s="536" customFormat="1" x14ac:dyDescent="0.2">
      <c r="A781" s="541">
        <v>7</v>
      </c>
      <c r="B781" s="551">
        <v>701.4</v>
      </c>
      <c r="C781" s="556"/>
      <c r="D781" s="544"/>
      <c r="E781" s="544"/>
      <c r="F781" s="544"/>
      <c r="G781" s="543" t="s">
        <v>3343</v>
      </c>
      <c r="H781" s="541" t="s">
        <v>3751</v>
      </c>
      <c r="I781" s="99"/>
      <c r="J781" s="598"/>
      <c r="K781" s="598"/>
      <c r="L781" s="849"/>
      <c r="M781" s="838"/>
      <c r="N781" s="64"/>
      <c r="O781" s="668"/>
      <c r="P781" s="64" t="b">
        <v>1</v>
      </c>
      <c r="Q781" s="64" t="b">
        <v>0</v>
      </c>
      <c r="R781" s="64" t="b">
        <f>S781</f>
        <v>1</v>
      </c>
      <c r="S781" s="64" t="b">
        <v>1</v>
      </c>
      <c r="T781" s="64" t="b">
        <f>AND(NOT(S781),LEN(W781)&gt;0)</f>
        <v>0</v>
      </c>
      <c r="U781" s="64" t="str">
        <f>SUBSTITUTE(SUBSTITUTE(SUBSTITUTE("dd"&amp;B781&amp;C781&amp;D781&amp;E781&amp;F781,".","_"),"(","_"),")","")</f>
        <v>dd701,4</v>
      </c>
      <c r="V781" s="64"/>
      <c r="W781" s="6"/>
      <c r="X781" s="798"/>
      <c r="Y781" s="977"/>
      <c r="Z781" s="977"/>
      <c r="AA781" s="562"/>
      <c r="AB781" s="562"/>
      <c r="AC781" s="562" t="b">
        <f>OR(AD781:AE781)</f>
        <v>1</v>
      </c>
      <c r="AD781" s="562" t="b">
        <f>T781</f>
        <v>0</v>
      </c>
      <c r="AE781" s="562" t="b">
        <f>AND(R781,OR(W781="",X780=""))</f>
        <v>1</v>
      </c>
      <c r="AF781" s="562" t="b">
        <f>AND(AE781,NOT(Q781))</f>
        <v>1</v>
      </c>
      <c r="AG781" s="562"/>
      <c r="AH781" s="562"/>
      <c r="AI781" s="562"/>
      <c r="AJ781" s="562"/>
      <c r="AK781" s="562"/>
      <c r="AL781" s="190"/>
      <c r="AM781" s="190"/>
      <c r="AN781" s="562"/>
      <c r="AO781" s="562"/>
      <c r="AP781" s="562" t="str">
        <f>SUBSTITUTE(SUBSTITUTE(SUBSTITUTE("vch"&amp;$B781&amp;$C781&amp;$D781&amp;$E781&amp;$F781,".","_"),"(","_"),")","")</f>
        <v>vch701,4</v>
      </c>
      <c r="AQ781" s="562" t="str">
        <f>IF(LEN(W781)=0,"",W781)</f>
        <v/>
      </c>
      <c r="AR781" s="562"/>
      <c r="AS781" s="562"/>
      <c r="AT781" s="562"/>
      <c r="AU781" s="562"/>
      <c r="AV781" s="562"/>
      <c r="AW781" s="562"/>
      <c r="AX781" s="562"/>
      <c r="AY781" s="562"/>
      <c r="AZ781" s="562"/>
      <c r="BA781" s="562"/>
      <c r="BB781" s="562"/>
      <c r="BC781" s="562"/>
      <c r="BD781" s="562"/>
      <c r="BE781" s="562"/>
      <c r="BF781" s="562"/>
      <c r="BG781" s="562"/>
      <c r="BH781" s="562"/>
      <c r="BI781" s="562"/>
      <c r="BJ781" s="562"/>
      <c r="BK781" s="562"/>
    </row>
    <row r="782" spans="1:63" s="528" customFormat="1" x14ac:dyDescent="0.2">
      <c r="A782" s="541">
        <v>7</v>
      </c>
      <c r="B782" s="551">
        <v>701.4</v>
      </c>
      <c r="C782" s="556"/>
      <c r="D782" s="544"/>
      <c r="E782" s="544"/>
      <c r="F782" s="544"/>
      <c r="G782" s="543" t="s">
        <v>3343</v>
      </c>
      <c r="H782" s="541" t="s">
        <v>3751</v>
      </c>
      <c r="I782" s="99"/>
      <c r="J782" s="598"/>
      <c r="K782" s="598"/>
      <c r="L782" s="850"/>
      <c r="M782" s="854"/>
      <c r="N782" s="129"/>
      <c r="O782" s="669"/>
      <c r="P782" s="129"/>
      <c r="Q782" s="129"/>
      <c r="R782" s="129"/>
      <c r="S782" s="129"/>
      <c r="T782" s="129"/>
      <c r="U782" s="129"/>
      <c r="V782" s="129"/>
      <c r="W782" s="573"/>
      <c r="X782" s="798"/>
      <c r="Y782" s="977"/>
      <c r="Z782" s="977"/>
      <c r="AA782" s="562"/>
      <c r="AB782" s="562"/>
      <c r="AC782" s="562"/>
      <c r="AD782" s="562"/>
      <c r="AE782" s="562"/>
      <c r="AF782" s="562"/>
      <c r="AG782" s="562"/>
      <c r="AH782" s="562"/>
      <c r="AI782" s="562"/>
      <c r="AJ782" s="562"/>
      <c r="AK782" s="562"/>
      <c r="AL782" s="562"/>
      <c r="AM782" s="562"/>
      <c r="AN782" s="562"/>
      <c r="AO782" s="562"/>
      <c r="AP782" s="562"/>
      <c r="AQ782" s="562"/>
      <c r="AR782" s="562"/>
      <c r="AS782" s="562"/>
      <c r="AT782" s="562"/>
      <c r="AU782" s="562"/>
      <c r="AV782" s="562"/>
      <c r="AW782" s="562"/>
      <c r="AX782" s="562"/>
      <c r="AY782" s="562"/>
      <c r="AZ782" s="562"/>
      <c r="BA782" s="562"/>
      <c r="BB782" s="562"/>
      <c r="BC782" s="562"/>
      <c r="BD782" s="562"/>
      <c r="BE782" s="562"/>
      <c r="BF782" s="562"/>
      <c r="BG782" s="562"/>
      <c r="BH782" s="562"/>
      <c r="BI782" s="562"/>
      <c r="BJ782" s="562"/>
      <c r="BK782" s="562"/>
    </row>
    <row r="783" spans="1:63" s="485" customFormat="1" x14ac:dyDescent="0.2">
      <c r="A783" s="541">
        <v>7</v>
      </c>
      <c r="B783" s="551" t="s">
        <v>2812</v>
      </c>
      <c r="C783" s="556"/>
      <c r="D783" s="544"/>
      <c r="E783" s="544"/>
      <c r="F783" s="544"/>
      <c r="G783" s="543" t="s">
        <v>3343</v>
      </c>
      <c r="H783" s="541" t="s">
        <v>3758</v>
      </c>
      <c r="I783" s="145" t="s">
        <v>2813</v>
      </c>
      <c r="J783" s="638"/>
      <c r="K783" s="638"/>
      <c r="L783" s="820" t="s">
        <v>2814</v>
      </c>
      <c r="M783" s="838" t="str">
        <f>IF(R783,"Mandatory","N/A")</f>
        <v>Mandatory</v>
      </c>
      <c r="N783" s="98"/>
      <c r="O783" s="607"/>
      <c r="P783" s="64" t="b">
        <v>0</v>
      </c>
      <c r="Q783" s="64" t="b">
        <v>1</v>
      </c>
      <c r="R783" s="64" t="b">
        <f>S783</f>
        <v>1</v>
      </c>
      <c r="S783" s="464" t="b">
        <v>1</v>
      </c>
      <c r="T783" s="64" t="b">
        <f>AND(NOT(S783),W783=TRUE)</f>
        <v>0</v>
      </c>
      <c r="U783" s="64"/>
      <c r="V783" s="64"/>
      <c r="W783" s="537"/>
      <c r="X783" s="786"/>
      <c r="Y783" s="975" t="str">
        <f>IF(LEN('Ch7'!X14)=0,"None",'Ch7'!X14)</f>
        <v>None</v>
      </c>
      <c r="Z783" s="976"/>
      <c r="AA783" s="562"/>
      <c r="AB783" s="562"/>
      <c r="AC783" s="492" t="b">
        <f>OR(AD783:AE783)</f>
        <v>1</v>
      </c>
      <c r="AD783" s="492" t="b">
        <f>T783</f>
        <v>0</v>
      </c>
      <c r="AE783" s="492" t="b">
        <f>AND(R783,NOT(W783))</f>
        <v>1</v>
      </c>
      <c r="AF783" s="492" t="b">
        <f>AND(AE783,NOT(Q783))</f>
        <v>0</v>
      </c>
      <c r="AG783" s="562"/>
      <c r="AH783" s="562"/>
      <c r="AI783" s="562"/>
      <c r="AJ783" s="562"/>
      <c r="AK783" s="562"/>
      <c r="AL783" s="493" t="str">
        <f t="shared" ref="AL783" si="226">SUBSTITUTE(SUBSTITUTE(SUBSTITUTE("vpa"&amp;$B783&amp;$C783&amp;$D783&amp;$E783&amp;$F783,".","_"),"(","_"),")","")</f>
        <v>vpa701_4_0</v>
      </c>
      <c r="AM783" s="493" t="str">
        <f>M783</f>
        <v>Mandatory</v>
      </c>
      <c r="AN783" s="562"/>
      <c r="AO783" s="562"/>
      <c r="AP783" s="493" t="str">
        <f>SUBSTITUTE(SUBSTITUTE(SUBSTITUTE("vch"&amp;$B783&amp;$C783&amp;$D783&amp;$E783&amp;$F783,".","_"),"(","_"),")","")</f>
        <v>vch701_4_0</v>
      </c>
      <c r="AQ783" s="493">
        <f>W783</f>
        <v>0</v>
      </c>
      <c r="AR783" s="493" t="str">
        <f>SUBSTITUTE(SUBSTITUTE(SUBSTITUTE("vnt"&amp;$B783&amp;$C783&amp;$D783&amp;$E783&amp;$F783,".","_"),"(","_"),")","")</f>
        <v>vnt701_4_0</v>
      </c>
      <c r="AS783" s="493">
        <f>X783</f>
        <v>0</v>
      </c>
      <c r="AT783" s="562"/>
      <c r="AU783" s="562"/>
      <c r="AV783" s="562"/>
      <c r="AW783" s="562"/>
      <c r="AX783" s="562"/>
      <c r="AY783" s="562"/>
      <c r="AZ783" s="562"/>
      <c r="BA783" s="562"/>
      <c r="BB783" s="562"/>
      <c r="BC783" s="562"/>
      <c r="BD783" s="562"/>
      <c r="BE783" s="562"/>
      <c r="BF783" s="562"/>
      <c r="BG783" s="562"/>
      <c r="BH783" s="562"/>
      <c r="BI783" s="562"/>
      <c r="BJ783" s="562"/>
      <c r="BK783" s="562"/>
    </row>
    <row r="784" spans="1:63" s="485" customFormat="1" x14ac:dyDescent="0.2">
      <c r="A784" s="541">
        <v>7</v>
      </c>
      <c r="B784" s="551" t="s">
        <v>2812</v>
      </c>
      <c r="C784" s="556"/>
      <c r="D784" s="544"/>
      <c r="E784" s="544"/>
      <c r="F784" s="544"/>
      <c r="G784" s="543" t="s">
        <v>3343</v>
      </c>
      <c r="H784" s="541" t="s">
        <v>3758</v>
      </c>
      <c r="I784" s="98"/>
      <c r="J784" s="598"/>
      <c r="K784" s="598"/>
      <c r="L784" s="820"/>
      <c r="M784" s="838"/>
      <c r="N784" s="98"/>
      <c r="O784" s="607"/>
      <c r="P784" s="64"/>
      <c r="Q784" s="64"/>
      <c r="R784" s="64"/>
      <c r="S784" s="64"/>
      <c r="T784" s="64"/>
      <c r="U784" s="64"/>
      <c r="V784" s="64"/>
      <c r="W784" s="64"/>
      <c r="X784" s="798"/>
      <c r="Y784" s="977"/>
      <c r="Z784" s="978"/>
      <c r="AA784" s="562"/>
      <c r="AB784" s="562"/>
      <c r="AC784" s="562"/>
      <c r="AD784" s="562"/>
      <c r="AE784" s="562"/>
      <c r="AF784" s="562"/>
      <c r="AG784" s="562"/>
      <c r="AH784" s="562"/>
      <c r="AI784" s="562"/>
      <c r="AJ784" s="562"/>
      <c r="AK784" s="562"/>
      <c r="AL784" s="562"/>
      <c r="AM784" s="562"/>
      <c r="AN784" s="562"/>
      <c r="AO784" s="562"/>
      <c r="AP784" s="562"/>
      <c r="AQ784" s="562"/>
      <c r="AR784" s="562"/>
      <c r="AS784" s="562"/>
      <c r="AT784" s="562"/>
      <c r="AU784" s="562"/>
      <c r="AV784" s="562"/>
      <c r="AW784" s="562"/>
      <c r="AX784" s="562"/>
      <c r="AY784" s="562"/>
      <c r="AZ784" s="562"/>
      <c r="BA784" s="562"/>
      <c r="BB784" s="562"/>
      <c r="BC784" s="562"/>
      <c r="BD784" s="562"/>
      <c r="BE784" s="562"/>
      <c r="BF784" s="562"/>
      <c r="BG784" s="562"/>
      <c r="BH784" s="562"/>
      <c r="BI784" s="562"/>
      <c r="BJ784" s="562"/>
      <c r="BK784" s="562"/>
    </row>
    <row r="785" spans="1:61" s="485" customFormat="1" x14ac:dyDescent="0.2">
      <c r="A785" s="541">
        <v>7</v>
      </c>
      <c r="B785" s="551" t="s">
        <v>2812</v>
      </c>
      <c r="C785" s="556"/>
      <c r="D785" s="544"/>
      <c r="E785" s="544"/>
      <c r="F785" s="544"/>
      <c r="G785" s="543" t="s">
        <v>3343</v>
      </c>
      <c r="H785" s="541" t="s">
        <v>3758</v>
      </c>
      <c r="I785" s="98"/>
      <c r="J785" s="598"/>
      <c r="K785" s="598"/>
      <c r="L785" s="820"/>
      <c r="M785" s="838"/>
      <c r="N785" s="98"/>
      <c r="O785" s="607"/>
      <c r="P785" s="64"/>
      <c r="Q785" s="64"/>
      <c r="R785" s="64"/>
      <c r="S785" s="64"/>
      <c r="T785" s="64"/>
      <c r="U785" s="64"/>
      <c r="V785" s="64"/>
      <c r="W785" s="64"/>
      <c r="X785" s="798"/>
      <c r="Y785" s="977"/>
      <c r="Z785" s="978"/>
      <c r="AA785" s="562"/>
      <c r="AB785" s="562"/>
      <c r="AC785" s="562"/>
      <c r="AD785" s="562"/>
      <c r="AE785" s="562"/>
      <c r="AF785" s="562"/>
      <c r="AG785" s="562"/>
      <c r="AH785" s="562"/>
      <c r="AI785" s="562"/>
      <c r="AJ785" s="562"/>
      <c r="AK785" s="562"/>
      <c r="AL785" s="562"/>
      <c r="AM785" s="562"/>
      <c r="AN785" s="562"/>
      <c r="AO785" s="562"/>
      <c r="AP785" s="562"/>
      <c r="AQ785" s="562"/>
      <c r="AR785" s="562"/>
      <c r="AS785" s="562"/>
      <c r="AT785" s="562"/>
      <c r="AU785" s="562"/>
      <c r="AV785" s="562"/>
      <c r="AW785" s="562"/>
      <c r="AX785" s="562"/>
      <c r="AY785" s="562"/>
      <c r="AZ785" s="562"/>
      <c r="BA785" s="562"/>
      <c r="BB785" s="562"/>
      <c r="BC785" s="562"/>
      <c r="BD785" s="562"/>
      <c r="BE785" s="562"/>
      <c r="BF785" s="562"/>
      <c r="BG785" s="562"/>
      <c r="BH785" s="562"/>
      <c r="BI785" s="562"/>
    </row>
    <row r="786" spans="1:61" s="485" customFormat="1" x14ac:dyDescent="0.2">
      <c r="A786" s="541">
        <v>7</v>
      </c>
      <c r="B786" s="551" t="s">
        <v>2812</v>
      </c>
      <c r="C786" s="556"/>
      <c r="D786" s="544"/>
      <c r="E786" s="544"/>
      <c r="F786" s="544"/>
      <c r="G786" s="543" t="s">
        <v>3343</v>
      </c>
      <c r="H786" s="541" t="s">
        <v>3758</v>
      </c>
      <c r="I786" s="98"/>
      <c r="J786" s="598"/>
      <c r="K786" s="598"/>
      <c r="L786" s="820"/>
      <c r="M786" s="838"/>
      <c r="N786" s="98"/>
      <c r="O786" s="607"/>
      <c r="P786" s="64"/>
      <c r="Q786" s="64"/>
      <c r="R786" s="64"/>
      <c r="S786" s="64"/>
      <c r="T786" s="64"/>
      <c r="U786" s="64"/>
      <c r="V786" s="64"/>
      <c r="W786" s="64"/>
      <c r="X786" s="798"/>
      <c r="Y786" s="977"/>
      <c r="Z786" s="978"/>
      <c r="AA786" s="562"/>
      <c r="AB786" s="562"/>
      <c r="AC786" s="562"/>
      <c r="AD786" s="562"/>
      <c r="AE786" s="562"/>
      <c r="AF786" s="562"/>
      <c r="AG786" s="562"/>
      <c r="AH786" s="562"/>
      <c r="AI786" s="562"/>
      <c r="AJ786" s="562"/>
      <c r="AK786" s="562"/>
      <c r="AL786" s="562"/>
      <c r="AM786" s="562"/>
      <c r="AN786" s="562"/>
      <c r="AO786" s="562"/>
      <c r="AP786" s="562"/>
      <c r="AQ786" s="562"/>
      <c r="AR786" s="562"/>
      <c r="AS786" s="562"/>
      <c r="AT786" s="562"/>
      <c r="AU786" s="562"/>
      <c r="AV786" s="562"/>
      <c r="AW786" s="562"/>
      <c r="AX786" s="562"/>
      <c r="AY786" s="562"/>
      <c r="AZ786" s="562"/>
      <c r="BA786" s="562"/>
      <c r="BB786" s="562"/>
      <c r="BC786" s="562"/>
      <c r="BD786" s="562"/>
      <c r="BE786" s="562"/>
      <c r="BF786" s="562"/>
      <c r="BG786" s="562"/>
      <c r="BH786" s="562"/>
      <c r="BI786" s="562"/>
    </row>
    <row r="787" spans="1:61" s="485" customFormat="1" x14ac:dyDescent="0.2">
      <c r="A787" s="541">
        <v>7</v>
      </c>
      <c r="B787" s="551" t="s">
        <v>2812</v>
      </c>
      <c r="C787" s="556"/>
      <c r="D787" s="544"/>
      <c r="E787" s="544"/>
      <c r="F787" s="544"/>
      <c r="G787" s="543" t="s">
        <v>3343</v>
      </c>
      <c r="H787" s="541" t="s">
        <v>3758</v>
      </c>
      <c r="I787" s="98"/>
      <c r="J787" s="598"/>
      <c r="K787" s="598"/>
      <c r="L787" s="820"/>
      <c r="M787" s="838"/>
      <c r="N787" s="98"/>
      <c r="O787" s="607"/>
      <c r="P787" s="64"/>
      <c r="Q787" s="64"/>
      <c r="R787" s="64"/>
      <c r="S787" s="64"/>
      <c r="T787" s="64"/>
      <c r="U787" s="64"/>
      <c r="V787" s="64"/>
      <c r="W787" s="64"/>
      <c r="X787" s="798"/>
      <c r="Y787" s="977"/>
      <c r="Z787" s="978"/>
      <c r="AA787" s="562"/>
      <c r="AB787" s="562"/>
      <c r="AC787" s="562"/>
      <c r="AD787" s="562"/>
      <c r="AE787" s="562"/>
      <c r="AF787" s="562"/>
      <c r="AG787" s="562"/>
      <c r="AH787" s="562"/>
      <c r="AI787" s="562"/>
      <c r="AJ787" s="562"/>
      <c r="AK787" s="562"/>
      <c r="AL787" s="562"/>
      <c r="AM787" s="562"/>
      <c r="AN787" s="562"/>
      <c r="AO787" s="562"/>
      <c r="AP787" s="562"/>
      <c r="AQ787" s="562"/>
      <c r="AR787" s="562"/>
      <c r="AS787" s="562"/>
      <c r="AT787" s="562"/>
      <c r="AU787" s="562"/>
      <c r="AV787" s="562"/>
      <c r="AW787" s="562"/>
      <c r="AX787" s="562"/>
      <c r="AY787" s="562"/>
      <c r="AZ787" s="562"/>
      <c r="BA787" s="562"/>
      <c r="BB787" s="562"/>
      <c r="BC787" s="562"/>
      <c r="BD787" s="562"/>
      <c r="BE787" s="562"/>
      <c r="BF787" s="562"/>
      <c r="BG787" s="562"/>
      <c r="BH787" s="562"/>
      <c r="BI787" s="562"/>
    </row>
    <row r="788" spans="1:61" s="485" customFormat="1" x14ac:dyDescent="0.2">
      <c r="A788" s="541">
        <v>7</v>
      </c>
      <c r="B788" s="551" t="s">
        <v>2812</v>
      </c>
      <c r="C788" s="556"/>
      <c r="D788" s="544"/>
      <c r="E788" s="544"/>
      <c r="F788" s="544"/>
      <c r="G788" s="543" t="s">
        <v>3343</v>
      </c>
      <c r="H788" s="541" t="s">
        <v>3758</v>
      </c>
      <c r="I788" s="99"/>
      <c r="J788" s="598"/>
      <c r="K788" s="598"/>
      <c r="L788" s="820"/>
      <c r="M788" s="838"/>
      <c r="N788" s="98"/>
      <c r="O788" s="607"/>
      <c r="P788" s="64"/>
      <c r="Q788" s="64"/>
      <c r="R788" s="64"/>
      <c r="S788" s="64"/>
      <c r="T788" s="64"/>
      <c r="U788" s="64"/>
      <c r="V788" s="64"/>
      <c r="W788" s="64"/>
      <c r="X788" s="798"/>
      <c r="Y788" s="977"/>
      <c r="Z788" s="978"/>
      <c r="AA788" s="562"/>
      <c r="AB788" s="562"/>
      <c r="AC788" s="562"/>
      <c r="AD788" s="562"/>
      <c r="AE788" s="562"/>
      <c r="AF788" s="562"/>
      <c r="AG788" s="562"/>
      <c r="AH788" s="562"/>
      <c r="AI788" s="562"/>
      <c r="AJ788" s="562"/>
      <c r="AK788" s="562"/>
      <c r="AL788" s="562"/>
      <c r="AM788" s="562"/>
      <c r="AN788" s="562"/>
      <c r="AO788" s="562"/>
      <c r="AP788" s="562"/>
      <c r="AQ788" s="562"/>
      <c r="AR788" s="562"/>
      <c r="AS788" s="562"/>
      <c r="AT788" s="562"/>
      <c r="AU788" s="562"/>
      <c r="AV788" s="562"/>
      <c r="AW788" s="562"/>
      <c r="AX788" s="562"/>
      <c r="AY788" s="562"/>
      <c r="AZ788" s="562"/>
      <c r="BA788" s="562"/>
      <c r="BB788" s="562"/>
      <c r="BC788" s="562"/>
      <c r="BD788" s="562"/>
      <c r="BE788" s="562"/>
      <c r="BF788" s="562"/>
      <c r="BG788" s="562"/>
      <c r="BH788" s="562"/>
      <c r="BI788" s="562"/>
    </row>
    <row r="789" spans="1:61" x14ac:dyDescent="0.2">
      <c r="A789" s="541">
        <v>7</v>
      </c>
      <c r="B789" s="551" t="s">
        <v>2815</v>
      </c>
      <c r="C789" s="556"/>
      <c r="D789" s="544"/>
      <c r="E789" s="544"/>
      <c r="F789" s="544"/>
      <c r="G789" s="543" t="s">
        <v>3343</v>
      </c>
      <c r="H789" s="541" t="s">
        <v>3757</v>
      </c>
      <c r="I789" s="170" t="s">
        <v>2816</v>
      </c>
      <c r="J789" s="599"/>
      <c r="K789" s="599"/>
      <c r="L789" s="641" t="s">
        <v>2817</v>
      </c>
      <c r="M789" s="611"/>
      <c r="N789" s="165"/>
      <c r="O789" s="608"/>
      <c r="P789" s="129"/>
      <c r="Q789" s="129"/>
      <c r="R789" s="129"/>
      <c r="S789" s="129"/>
      <c r="T789" s="129"/>
      <c r="U789" s="129"/>
      <c r="V789" s="129"/>
      <c r="W789" s="129"/>
      <c r="X789" s="798"/>
      <c r="Y789" s="977"/>
      <c r="Z789" s="978"/>
      <c r="AA789" s="562"/>
      <c r="AB789" s="562"/>
      <c r="AC789" s="562"/>
      <c r="AD789" s="562"/>
      <c r="AE789" s="562"/>
      <c r="AF789" s="562"/>
      <c r="AG789" s="562"/>
      <c r="AH789" s="562"/>
      <c r="AI789" s="562"/>
      <c r="AJ789" s="562"/>
      <c r="AK789" s="562"/>
      <c r="AL789" s="562"/>
      <c r="AM789" s="562"/>
      <c r="AN789" s="562"/>
      <c r="AO789" s="562"/>
      <c r="AP789" s="562"/>
      <c r="AQ789" s="562"/>
      <c r="AR789" s="562"/>
      <c r="AS789" s="562"/>
      <c r="AT789" s="562"/>
      <c r="AU789" s="562"/>
      <c r="AV789" s="562"/>
      <c r="AW789" s="562"/>
      <c r="AX789" s="594" t="str">
        <f>'Overview (Verification)'!A8</f>
        <v>Builder Name:</v>
      </c>
      <c r="AY789" s="562" t="str">
        <f>IF(LEN('Overview (Verification)'!P8)=0,0,'Overview (Verification)'!P8)</f>
        <v>AAA Green Builders</v>
      </c>
      <c r="AZ789" s="562"/>
      <c r="BA789" s="562"/>
      <c r="BB789" s="562"/>
      <c r="BC789" s="562"/>
      <c r="BD789" s="562"/>
      <c r="BE789" s="562"/>
      <c r="BF789" s="562"/>
      <c r="BG789" s="562"/>
      <c r="BH789" s="562"/>
      <c r="BI789" s="562"/>
    </row>
    <row r="790" spans="1:61" x14ac:dyDescent="0.2">
      <c r="A790" s="541">
        <v>7</v>
      </c>
      <c r="B790" s="551" t="s">
        <v>2818</v>
      </c>
      <c r="C790" s="551"/>
      <c r="D790" s="544"/>
      <c r="E790" s="544"/>
      <c r="F790" s="544"/>
      <c r="G790" s="543" t="s">
        <v>3343</v>
      </c>
      <c r="H790" s="541" t="s">
        <v>3757</v>
      </c>
      <c r="I790" s="145" t="s">
        <v>2819</v>
      </c>
      <c r="J790" s="638"/>
      <c r="K790" s="638"/>
      <c r="L790" s="847" t="s">
        <v>2820</v>
      </c>
      <c r="M790" s="867" t="str">
        <f>IF(R790,"Mandatory","N/A")</f>
        <v>Mandatory</v>
      </c>
      <c r="N790" s="617"/>
      <c r="O790" s="617"/>
      <c r="P790" s="64" t="b">
        <v>1</v>
      </c>
      <c r="Q790" s="64" t="b">
        <v>0</v>
      </c>
      <c r="R790" s="148" t="b">
        <f>S790</f>
        <v>1</v>
      </c>
      <c r="S790" s="463" t="b">
        <v>1</v>
      </c>
      <c r="T790" s="148" t="b">
        <f>AND(NOT(S790),W790=TRUE)</f>
        <v>0</v>
      </c>
      <c r="U790" s="148"/>
      <c r="V790" s="148"/>
      <c r="W790" s="18"/>
      <c r="X790" s="798"/>
      <c r="Y790" s="980" t="str">
        <f>IF(LEN('Ch7'!X21)=0,"None",'Ch7'!X21)</f>
        <v>None</v>
      </c>
      <c r="Z790" s="983"/>
      <c r="AA790" s="562"/>
      <c r="AB790" s="562"/>
      <c r="AC790" s="562" t="b">
        <f>OR(AD790:AE790)</f>
        <v>1</v>
      </c>
      <c r="AD790" s="562" t="b">
        <f>T790</f>
        <v>0</v>
      </c>
      <c r="AE790" s="562" t="b">
        <f>AND(R790,NOT(W790))</f>
        <v>1</v>
      </c>
      <c r="AF790" s="562" t="b">
        <f>AND(AE790,NOT(Q790))</f>
        <v>1</v>
      </c>
      <c r="AG790" s="562"/>
      <c r="AH790" s="562"/>
      <c r="AI790" s="562"/>
      <c r="AJ790" s="562"/>
      <c r="AK790" s="562"/>
      <c r="AL790" s="190" t="str">
        <f t="shared" ref="AL790" si="227">SUBSTITUTE(SUBSTITUTE(SUBSTITUTE("vpa"&amp;$B790&amp;$C790&amp;$D790&amp;$E790&amp;$F790,".","_"),"(","_"),")","")</f>
        <v>vpa701_4_1_1</v>
      </c>
      <c r="AM790" s="190" t="str">
        <f>M790</f>
        <v>Mandatory</v>
      </c>
      <c r="AN790" s="562"/>
      <c r="AO790" s="562"/>
      <c r="AP790" s="190" t="str">
        <f>SUBSTITUTE(SUBSTITUTE(SUBSTITUTE("vch"&amp;$B790&amp;$C790&amp;$D790&amp;$E790&amp;$F790,".","_"),"(","_"),")","")</f>
        <v>vch701_4_1_1</v>
      </c>
      <c r="AQ790" s="190">
        <f>W790</f>
        <v>0</v>
      </c>
      <c r="AR790" s="190" t="str">
        <f>SUBSTITUTE(SUBSTITUTE(SUBSTITUTE("vnt"&amp;$B790&amp;$C790&amp;$D790&amp;$E790&amp;$F790,".","_"),"(","_"),")","")</f>
        <v>vnt701_4_1_1</v>
      </c>
      <c r="AS790" s="190">
        <f>X790</f>
        <v>0</v>
      </c>
      <c r="AT790" s="562"/>
      <c r="AU790" s="562"/>
      <c r="AV790" s="562"/>
      <c r="AW790" s="562"/>
      <c r="AX790" s="594" t="str">
        <f>'Overview (Verification)'!A9</f>
        <v>Physical Address of Home:</v>
      </c>
      <c r="AY790" s="562" t="str">
        <f>IF(LEN('Overview (Verification)'!P9)=0,0,'Overview (Verification)'!P9)</f>
        <v>6666 Oak St.</v>
      </c>
      <c r="AZ790" s="562"/>
      <c r="BA790" s="562"/>
      <c r="BB790" s="562"/>
      <c r="BC790" s="562"/>
      <c r="BD790" s="562"/>
      <c r="BE790" s="562"/>
      <c r="BF790" s="562"/>
      <c r="BG790" s="562"/>
      <c r="BH790" s="562"/>
      <c r="BI790" s="562"/>
    </row>
    <row r="791" spans="1:61" x14ac:dyDescent="0.2">
      <c r="A791" s="541">
        <v>7</v>
      </c>
      <c r="B791" s="551" t="s">
        <v>2818</v>
      </c>
      <c r="C791" s="551"/>
      <c r="D791" s="544"/>
      <c r="E791" s="544"/>
      <c r="F791" s="544"/>
      <c r="G791" s="543" t="s">
        <v>3343</v>
      </c>
      <c r="H791" s="541" t="s">
        <v>3757</v>
      </c>
      <c r="I791" s="98"/>
      <c r="J791" s="598"/>
      <c r="K791" s="598"/>
      <c r="L791" s="820"/>
      <c r="M791" s="838"/>
      <c r="N791" s="607"/>
      <c r="O791" s="607"/>
      <c r="P791" s="64"/>
      <c r="Q791" s="64"/>
      <c r="R791" s="64"/>
      <c r="S791" s="64"/>
      <c r="T791" s="64"/>
      <c r="U791" s="64"/>
      <c r="V791" s="64"/>
      <c r="W791" s="64"/>
      <c r="X791" s="798"/>
      <c r="Y791" s="980"/>
      <c r="Z791" s="983"/>
      <c r="AA791" s="562"/>
      <c r="AB791" s="562"/>
      <c r="AC791" s="562"/>
      <c r="AD791" s="562"/>
      <c r="AE791" s="562"/>
      <c r="AF791" s="562"/>
      <c r="AG791" s="562"/>
      <c r="AH791" s="562"/>
      <c r="AI791" s="562"/>
      <c r="AJ791" s="562"/>
      <c r="AK791" s="562"/>
      <c r="AL791" s="562"/>
      <c r="AM791" s="562"/>
      <c r="AN791" s="562"/>
      <c r="AO791" s="562"/>
      <c r="AP791" s="562"/>
      <c r="AQ791" s="562"/>
      <c r="AR791" s="562"/>
      <c r="AS791" s="562"/>
      <c r="AT791" s="562"/>
      <c r="AU791" s="562"/>
      <c r="AV791" s="562"/>
      <c r="AW791" s="562"/>
      <c r="AX791" s="594" t="str">
        <f>'Overview (Verification)'!A10</f>
        <v>Community/Lot #:</v>
      </c>
      <c r="AY791" s="562">
        <f>IF(LEN('Overview (Verification)'!P10)=0,0,'Overview (Verification)'!P10)</f>
        <v>0</v>
      </c>
      <c r="AZ791" s="562"/>
      <c r="BA791" s="562"/>
      <c r="BB791" s="562"/>
      <c r="BC791" s="562"/>
      <c r="BD791" s="562"/>
      <c r="BE791" s="562"/>
      <c r="BF791" s="562"/>
      <c r="BG791" s="562"/>
      <c r="BH791" s="562"/>
      <c r="BI791" s="562"/>
    </row>
    <row r="792" spans="1:61" x14ac:dyDescent="0.2">
      <c r="A792" s="541">
        <v>7</v>
      </c>
      <c r="B792" s="551" t="s">
        <v>2818</v>
      </c>
      <c r="C792" s="551"/>
      <c r="D792" s="544"/>
      <c r="E792" s="544"/>
      <c r="F792" s="544"/>
      <c r="G792" s="543" t="s">
        <v>3343</v>
      </c>
      <c r="H792" s="541" t="s">
        <v>3757</v>
      </c>
      <c r="I792" s="165"/>
      <c r="J792" s="599"/>
      <c r="K792" s="599"/>
      <c r="L792" s="832"/>
      <c r="M792" s="854"/>
      <c r="N792" s="608"/>
      <c r="O792" s="608"/>
      <c r="P792" s="129"/>
      <c r="Q792" s="129"/>
      <c r="R792" s="129"/>
      <c r="S792" s="129"/>
      <c r="T792" s="129"/>
      <c r="U792" s="129"/>
      <c r="V792" s="129"/>
      <c r="W792" s="129"/>
      <c r="X792" s="798"/>
      <c r="Y792" s="980"/>
      <c r="Z792" s="983"/>
      <c r="AA792" s="562"/>
      <c r="AB792" s="562"/>
      <c r="AC792" s="562"/>
      <c r="AD792" s="562"/>
      <c r="AE792" s="562"/>
      <c r="AF792" s="562"/>
      <c r="AG792" s="562"/>
      <c r="AH792" s="562"/>
      <c r="AI792" s="562"/>
      <c r="AJ792" s="562"/>
      <c r="AK792" s="562"/>
      <c r="AL792" s="562"/>
      <c r="AM792" s="562"/>
      <c r="AN792" s="562"/>
      <c r="AO792" s="562"/>
      <c r="AP792" s="562"/>
      <c r="AQ792" s="562"/>
      <c r="AR792" s="562"/>
      <c r="AS792" s="562"/>
      <c r="AT792" s="562"/>
      <c r="AU792" s="562"/>
      <c r="AV792" s="562"/>
      <c r="AW792" s="562"/>
      <c r="AX792" s="594" t="str">
        <f>'Overview (Verification)'!A11</f>
        <v>City:</v>
      </c>
      <c r="AY792" s="562" t="str">
        <f>IF(LEN('Overview (Verification)'!P11)=0,0,'Overview (Verification)'!P11)</f>
        <v>Raleigh</v>
      </c>
      <c r="AZ792" s="562"/>
      <c r="BA792" s="562"/>
      <c r="BB792" s="562"/>
      <c r="BC792" s="562"/>
      <c r="BD792" s="562"/>
      <c r="BE792" s="562"/>
      <c r="BF792" s="562"/>
      <c r="BG792" s="562"/>
      <c r="BH792" s="562"/>
      <c r="BI792" s="562"/>
    </row>
    <row r="793" spans="1:61" x14ac:dyDescent="0.2">
      <c r="A793" s="541">
        <v>7</v>
      </c>
      <c r="B793" s="551" t="s">
        <v>2821</v>
      </c>
      <c r="C793" s="551"/>
      <c r="D793" s="544"/>
      <c r="E793" s="544"/>
      <c r="F793" s="544"/>
      <c r="G793" s="543" t="s">
        <v>3343</v>
      </c>
      <c r="H793" s="541" t="s">
        <v>3757</v>
      </c>
      <c r="I793" s="278" t="s">
        <v>2822</v>
      </c>
      <c r="J793" s="638"/>
      <c r="K793" s="638"/>
      <c r="L793" s="847" t="s">
        <v>3458</v>
      </c>
      <c r="M793" s="867" t="str">
        <f>IF(R793,"Mandatory","N/A")</f>
        <v>Mandatory</v>
      </c>
      <c r="N793" s="617"/>
      <c r="O793" s="617"/>
      <c r="P793" s="64" t="b">
        <v>1</v>
      </c>
      <c r="Q793" s="64" t="b">
        <v>0</v>
      </c>
      <c r="R793" s="148" t="b">
        <f>S793</f>
        <v>1</v>
      </c>
      <c r="S793" s="463" t="b">
        <v>1</v>
      </c>
      <c r="T793" s="148" t="b">
        <f>AND(NOT(S793),LEN(W793)&gt;0)</f>
        <v>0</v>
      </c>
      <c r="U793" s="148" t="str">
        <f>SUBSTITUTE(SUBSTITUTE(SUBSTITUTE("dd"&amp;B793&amp;C793&amp;D793&amp;E793&amp;F793,".","_"),"(","_"),")","")</f>
        <v>dd701_4_1_2</v>
      </c>
      <c r="V793" s="148"/>
      <c r="W793" s="6"/>
      <c r="X793" s="798"/>
      <c r="Y793" s="980" t="str">
        <f>IF(LEN('Ch7'!X24)=0,"None",'Ch7'!X24)</f>
        <v>None</v>
      </c>
      <c r="Z793" s="983"/>
      <c r="AA793" s="562"/>
      <c r="AB793" s="562"/>
      <c r="AC793" s="562" t="b">
        <f>OR(AD793:AE793)</f>
        <v>1</v>
      </c>
      <c r="AD793" s="562" t="b">
        <f>T793</f>
        <v>0</v>
      </c>
      <c r="AE793" s="562" t="b">
        <f>AND(R793,OR(W793="Not Met",W793=""))</f>
        <v>1</v>
      </c>
      <c r="AF793" s="562" t="b">
        <f>AND(AE793,NOT(Q793))</f>
        <v>1</v>
      </c>
      <c r="AG793" s="562"/>
      <c r="AH793" s="562"/>
      <c r="AI793" s="562"/>
      <c r="AJ793" s="562"/>
      <c r="AK793" s="562"/>
      <c r="AL793" s="190" t="str">
        <f t="shared" ref="AL793" si="228">SUBSTITUTE(SUBSTITUTE(SUBSTITUTE("vpa"&amp;$B793&amp;$C793&amp;$D793&amp;$E793&amp;$F793,".","_"),"(","_"),")","")</f>
        <v>vpa701_4_1_2</v>
      </c>
      <c r="AM793" s="190" t="str">
        <f>M793</f>
        <v>Mandatory</v>
      </c>
      <c r="AN793" s="562"/>
      <c r="AO793" s="562"/>
      <c r="AP793" s="190" t="str">
        <f>SUBSTITUTE(SUBSTITUTE(SUBSTITUTE("vch"&amp;$B793&amp;$C793&amp;$D793&amp;$E793&amp;$F793,".","_"),"(","_"),")","")</f>
        <v>vch701_4_1_2</v>
      </c>
      <c r="AQ793" s="190">
        <f>W793</f>
        <v>0</v>
      </c>
      <c r="AR793" s="190" t="str">
        <f>SUBSTITUTE(SUBSTITUTE(SUBSTITUTE("vnt"&amp;$B793&amp;$C793&amp;$D793&amp;$E793&amp;$F793,".","_"),"(","_"),")","")</f>
        <v>vnt701_4_1_2</v>
      </c>
      <c r="AS793" s="190">
        <f>X793</f>
        <v>0</v>
      </c>
      <c r="AT793" s="562"/>
      <c r="AU793" s="562"/>
      <c r="AV793" s="562"/>
      <c r="AW793" s="562"/>
      <c r="AX793" s="594" t="str">
        <f>'Overview (Verification)'!A12</f>
        <v>State:</v>
      </c>
      <c r="AY793" s="562" t="str">
        <f>IF(LEN('Overview (Verification)'!P12)=0,0,'Overview (Verification)'!P12)</f>
        <v>North Carolina</v>
      </c>
      <c r="AZ793" s="562"/>
      <c r="BA793" s="562"/>
      <c r="BB793" s="562"/>
      <c r="BC793" s="562" t="str">
        <f>'Overview (Verification)'!T12</f>
        <v>State</v>
      </c>
      <c r="BD793" s="562" t="str">
        <f>'Overview (Verification)'!U12</f>
        <v>County</v>
      </c>
      <c r="BE793" s="562" t="str">
        <f>'Overview (Verification)'!V12</f>
        <v>Radon</v>
      </c>
      <c r="BF793" s="562" t="str">
        <f>'Overview (Verification)'!W12</f>
        <v>Climate</v>
      </c>
      <c r="BG793" s="562" t="str">
        <f>'Overview (Verification)'!X12</f>
        <v>Moist</v>
      </c>
      <c r="BH793" s="562" t="str">
        <f>'Overview (Verification)'!Y12</f>
        <v>WarmHumid</v>
      </c>
      <c r="BI793" s="562" t="str">
        <f>'Overview (Verification)'!Z12</f>
        <v>Tropical</v>
      </c>
    </row>
    <row r="794" spans="1:61" x14ac:dyDescent="0.2">
      <c r="A794" s="541">
        <v>7</v>
      </c>
      <c r="B794" s="551" t="s">
        <v>2821</v>
      </c>
      <c r="C794" s="551"/>
      <c r="D794" s="544"/>
      <c r="E794" s="544"/>
      <c r="F794" s="544"/>
      <c r="G794" s="543" t="s">
        <v>3343</v>
      </c>
      <c r="H794" s="541" t="s">
        <v>3757</v>
      </c>
      <c r="I794" s="98"/>
      <c r="J794" s="598"/>
      <c r="K794" s="598"/>
      <c r="L794" s="820"/>
      <c r="M794" s="838"/>
      <c r="N794" s="607"/>
      <c r="O794" s="607"/>
      <c r="P794" s="64"/>
      <c r="Q794" s="64"/>
      <c r="R794" s="64"/>
      <c r="S794" s="64"/>
      <c r="T794" s="64"/>
      <c r="U794" s="64"/>
      <c r="V794" s="64"/>
      <c r="W794" s="64"/>
      <c r="X794" s="798"/>
      <c r="Y794" s="980"/>
      <c r="Z794" s="983"/>
      <c r="AA794" s="562"/>
      <c r="AB794" s="562"/>
      <c r="AC794" s="562"/>
      <c r="AD794" s="562"/>
      <c r="AE794" s="562"/>
      <c r="AF794" s="562"/>
      <c r="AG794" s="562"/>
      <c r="AH794" s="562"/>
      <c r="AI794" s="562"/>
      <c r="AJ794" s="562"/>
      <c r="AK794" s="562"/>
      <c r="AL794" s="562"/>
      <c r="AM794" s="562"/>
      <c r="AN794" s="562"/>
      <c r="AO794" s="562"/>
      <c r="AP794" s="562"/>
      <c r="AQ794" s="562"/>
      <c r="AR794" s="562"/>
      <c r="AS794" s="562"/>
      <c r="AT794" s="562"/>
      <c r="AU794" s="562"/>
      <c r="AV794" s="562"/>
      <c r="AW794" s="562"/>
      <c r="AX794" s="594" t="str">
        <f>'Overview (Verification)'!A13</f>
        <v>County:</v>
      </c>
      <c r="AY794" s="562">
        <f>IF(LEN('Overview (Verification)'!P13)=0,0,'Overview (Verification)'!P13)</f>
        <v>0</v>
      </c>
      <c r="AZ794" s="562"/>
      <c r="BA794" s="562"/>
      <c r="BB794" s="562"/>
      <c r="BC794" s="562" t="str">
        <f>'Overview (Verification)'!T13</f>
        <v>North Carolina</v>
      </c>
      <c r="BD794" s="562" t="str">
        <f>'Overview (Verification)'!U13</f>
        <v/>
      </c>
      <c r="BE794" s="562" t="str">
        <f>'Overview (Verification)'!V13</f>
        <v>!!</v>
      </c>
      <c r="BF794" s="562" t="str">
        <f>'Overview (Verification)'!W13</f>
        <v>!!</v>
      </c>
      <c r="BG794" s="562" t="str">
        <f>'Overview (Verification)'!X13</f>
        <v>!!</v>
      </c>
      <c r="BH794" s="562" t="str">
        <f>'Overview (Verification)'!Y13</f>
        <v>!!</v>
      </c>
      <c r="BI794" s="562" t="str">
        <f>'Overview (Verification)'!Z13</f>
        <v>!!</v>
      </c>
    </row>
    <row r="795" spans="1:61" x14ac:dyDescent="0.2">
      <c r="A795" s="541">
        <v>7</v>
      </c>
      <c r="B795" s="551" t="s">
        <v>2821</v>
      </c>
      <c r="C795" s="551"/>
      <c r="D795" s="544"/>
      <c r="E795" s="544"/>
      <c r="F795" s="544"/>
      <c r="G795" s="543" t="s">
        <v>3343</v>
      </c>
      <c r="H795" s="541" t="s">
        <v>3757</v>
      </c>
      <c r="I795" s="98"/>
      <c r="J795" s="598"/>
      <c r="K795" s="598"/>
      <c r="L795" s="820"/>
      <c r="M795" s="838"/>
      <c r="N795" s="607"/>
      <c r="O795" s="607"/>
      <c r="P795" s="64"/>
      <c r="Q795" s="64"/>
      <c r="R795" s="64"/>
      <c r="S795" s="64"/>
      <c r="T795" s="64"/>
      <c r="U795" s="64"/>
      <c r="V795" s="64"/>
      <c r="W795" s="64"/>
      <c r="X795" s="798"/>
      <c r="Y795" s="980"/>
      <c r="Z795" s="983"/>
      <c r="AA795" s="562"/>
      <c r="AB795" s="562"/>
      <c r="AC795" s="562"/>
      <c r="AD795" s="562"/>
      <c r="AE795" s="562"/>
      <c r="AF795" s="562"/>
      <c r="AG795" s="562"/>
      <c r="AH795" s="562"/>
      <c r="AI795" s="562"/>
      <c r="AJ795" s="562"/>
      <c r="AK795" s="562"/>
      <c r="AL795" s="562"/>
      <c r="AM795" s="562"/>
      <c r="AN795" s="562"/>
      <c r="AO795" s="562"/>
      <c r="AP795" s="562"/>
      <c r="AQ795" s="562"/>
      <c r="AR795" s="562"/>
      <c r="AS795" s="562"/>
      <c r="AT795" s="562"/>
      <c r="AU795" s="562"/>
      <c r="AV795" s="562"/>
      <c r="AW795" s="562"/>
      <c r="AX795" s="594" t="str">
        <f>'Overview (Verification)'!A14</f>
        <v>Zip:</v>
      </c>
      <c r="AY795" s="562" t="str">
        <f>IF(LEN('Overview (Verification)'!P14)=0,0,'Overview (Verification)'!P14)</f>
        <v>99999</v>
      </c>
      <c r="AZ795" s="562"/>
      <c r="BA795" s="562"/>
      <c r="BB795" s="562"/>
      <c r="BC795" s="562"/>
      <c r="BD795" s="562"/>
      <c r="BE795" s="562"/>
      <c r="BF795" s="562"/>
      <c r="BG795" s="562"/>
      <c r="BH795" s="562"/>
      <c r="BI795" s="562"/>
    </row>
    <row r="796" spans="1:61" x14ac:dyDescent="0.2">
      <c r="A796" s="541">
        <v>7</v>
      </c>
      <c r="B796" s="551" t="s">
        <v>2821</v>
      </c>
      <c r="C796" s="551"/>
      <c r="D796" s="544"/>
      <c r="E796" s="544"/>
      <c r="F796" s="544"/>
      <c r="G796" s="543" t="s">
        <v>3343</v>
      </c>
      <c r="H796" s="541" t="s">
        <v>3757</v>
      </c>
      <c r="I796" s="98"/>
      <c r="J796" s="598"/>
      <c r="K796" s="598"/>
      <c r="L796" s="820"/>
      <c r="M796" s="838"/>
      <c r="N796" s="607"/>
      <c r="O796" s="607"/>
      <c r="P796" s="64"/>
      <c r="Q796" s="64"/>
      <c r="R796" s="64"/>
      <c r="S796" s="64"/>
      <c r="T796" s="64"/>
      <c r="U796" s="64"/>
      <c r="V796" s="64"/>
      <c r="W796" s="64"/>
      <c r="X796" s="798"/>
      <c r="Y796" s="980"/>
      <c r="Z796" s="983"/>
      <c r="AA796" s="562"/>
      <c r="AB796" s="562"/>
      <c r="AC796" s="562"/>
      <c r="AD796" s="562"/>
      <c r="AE796" s="562"/>
      <c r="AF796" s="562"/>
      <c r="AG796" s="562"/>
      <c r="AH796" s="562"/>
      <c r="AI796" s="562"/>
      <c r="AJ796" s="562"/>
      <c r="AK796" s="562"/>
      <c r="AL796" s="562"/>
      <c r="AM796" s="562"/>
      <c r="AN796" s="562"/>
      <c r="AO796" s="562"/>
      <c r="AP796" s="562"/>
      <c r="AQ796" s="562"/>
      <c r="AR796" s="562"/>
      <c r="AS796" s="562"/>
      <c r="AT796" s="562"/>
      <c r="AU796" s="562"/>
      <c r="AV796" s="562"/>
      <c r="AW796" s="562"/>
      <c r="AX796" s="594"/>
      <c r="AY796" s="562"/>
      <c r="AZ796" s="562"/>
      <c r="BA796" s="562"/>
      <c r="BB796" s="562"/>
      <c r="BC796" s="562"/>
      <c r="BD796" s="562"/>
      <c r="BE796" s="562"/>
      <c r="BF796" s="562"/>
      <c r="BG796" s="562"/>
      <c r="BH796" s="562"/>
      <c r="BI796" s="562"/>
    </row>
    <row r="797" spans="1:61" x14ac:dyDescent="0.2">
      <c r="A797" s="541">
        <v>7</v>
      </c>
      <c r="B797" s="551" t="s">
        <v>2821</v>
      </c>
      <c r="C797" s="551"/>
      <c r="D797" s="544"/>
      <c r="E797" s="544"/>
      <c r="F797" s="544"/>
      <c r="G797" s="543" t="s">
        <v>3343</v>
      </c>
      <c r="H797" s="541" t="s">
        <v>3757</v>
      </c>
      <c r="I797" s="165"/>
      <c r="J797" s="599"/>
      <c r="K797" s="599"/>
      <c r="L797" s="832"/>
      <c r="M797" s="854"/>
      <c r="N797" s="608"/>
      <c r="O797" s="608"/>
      <c r="P797" s="129"/>
      <c r="Q797" s="129"/>
      <c r="R797" s="129"/>
      <c r="S797" s="129"/>
      <c r="T797" s="129"/>
      <c r="U797" s="129"/>
      <c r="V797" s="129"/>
      <c r="W797" s="129"/>
      <c r="X797" s="798"/>
      <c r="Y797" s="980"/>
      <c r="Z797" s="983"/>
      <c r="AA797" s="562"/>
      <c r="AB797" s="562"/>
      <c r="AC797" s="562"/>
      <c r="AD797" s="562"/>
      <c r="AE797" s="562"/>
      <c r="AF797" s="562"/>
      <c r="AG797" s="562"/>
      <c r="AH797" s="562"/>
      <c r="AI797" s="562"/>
      <c r="AJ797" s="562"/>
      <c r="AK797" s="562"/>
      <c r="AL797" s="562"/>
      <c r="AM797" s="562"/>
      <c r="AN797" s="562"/>
      <c r="AO797" s="562"/>
      <c r="AP797" s="562"/>
      <c r="AQ797" s="562"/>
      <c r="AR797" s="562"/>
      <c r="AS797" s="562"/>
      <c r="AT797" s="562"/>
      <c r="AU797" s="562"/>
      <c r="AV797" s="562"/>
      <c r="AW797" s="562"/>
      <c r="AX797" s="594" t="str">
        <f>'Overview (Verification)'!A16</f>
        <v>Single-Family or Multifamily:</v>
      </c>
      <c r="AY797" s="562" t="str">
        <f>IF(LEN('Overview (Verification)'!P16)=0,0,'Overview (Verification)'!P16)</f>
        <v>Single-Family</v>
      </c>
      <c r="AZ797" s="562"/>
      <c r="BA797" s="562"/>
      <c r="BB797" s="562"/>
      <c r="BC797" s="562"/>
      <c r="BD797" s="562"/>
      <c r="BE797" s="562"/>
      <c r="BF797" s="562"/>
      <c r="BG797" s="562"/>
      <c r="BH797" s="562"/>
      <c r="BI797" s="562"/>
    </row>
    <row r="798" spans="1:61" x14ac:dyDescent="0.2">
      <c r="A798" s="541">
        <v>7</v>
      </c>
      <c r="B798" s="551" t="s">
        <v>2824</v>
      </c>
      <c r="C798" s="551"/>
      <c r="D798" s="544"/>
      <c r="E798" s="544"/>
      <c r="F798" s="544"/>
      <c r="G798" s="543" t="s">
        <v>3343</v>
      </c>
      <c r="H798" s="541" t="s">
        <v>3757</v>
      </c>
      <c r="I798" s="278" t="s">
        <v>2825</v>
      </c>
      <c r="J798" s="638"/>
      <c r="K798" s="638"/>
      <c r="L798" s="639" t="s">
        <v>2826</v>
      </c>
      <c r="M798" s="624"/>
      <c r="N798" s="617"/>
      <c r="O798" s="617"/>
      <c r="P798" s="148"/>
      <c r="Q798" s="148"/>
      <c r="R798" s="148"/>
      <c r="S798" s="148"/>
      <c r="T798" s="148"/>
      <c r="U798" s="148"/>
      <c r="V798" s="148"/>
      <c r="W798" s="148"/>
      <c r="X798" s="148"/>
      <c r="Y798" s="562"/>
      <c r="Z798" s="430"/>
      <c r="AA798" s="562"/>
      <c r="AB798" s="562"/>
      <c r="AC798" s="562"/>
      <c r="AD798" s="562"/>
      <c r="AE798" s="562"/>
      <c r="AF798" s="562"/>
      <c r="AG798" s="562"/>
      <c r="AH798" s="562"/>
      <c r="AI798" s="562"/>
      <c r="AJ798" s="562"/>
      <c r="AK798" s="562"/>
      <c r="AL798" s="562"/>
      <c r="AM798" s="562"/>
      <c r="AN798" s="562"/>
      <c r="AO798" s="562"/>
      <c r="AP798" s="562"/>
      <c r="AQ798" s="562"/>
      <c r="AR798" s="562"/>
      <c r="AS798" s="562"/>
      <c r="AT798" s="562"/>
      <c r="AU798" s="562"/>
      <c r="AV798" s="562"/>
      <c r="AW798" s="562"/>
      <c r="AX798" s="594" t="str">
        <f>'Overview (Verification)'!A17</f>
        <v>Number of Units:</v>
      </c>
      <c r="AY798" s="562">
        <f>IF(LEN('Overview (Verification)'!P17)=0,0,'Overview (Verification)'!P17)</f>
        <v>0</v>
      </c>
      <c r="AZ798" s="562"/>
      <c r="BA798" s="562"/>
      <c r="BB798" s="562"/>
      <c r="BC798" s="562"/>
      <c r="BD798" s="562"/>
      <c r="BE798" s="562"/>
      <c r="BF798" s="562"/>
      <c r="BG798" s="562"/>
      <c r="BH798" s="562"/>
      <c r="BI798" s="562"/>
    </row>
    <row r="799" spans="1:61" x14ac:dyDescent="0.2">
      <c r="A799" s="541">
        <v>7</v>
      </c>
      <c r="B799" s="551" t="s">
        <v>2815</v>
      </c>
      <c r="C799" s="551"/>
      <c r="D799" s="544"/>
      <c r="E799" s="544"/>
      <c r="F799" s="544"/>
      <c r="G799" s="543" t="s">
        <v>3343</v>
      </c>
      <c r="H799" s="541" t="s">
        <v>3757</v>
      </c>
      <c r="I799" s="268" t="s">
        <v>2827</v>
      </c>
      <c r="J799" s="598"/>
      <c r="K799" s="598"/>
      <c r="L799" s="820" t="s">
        <v>2828</v>
      </c>
      <c r="M799" s="838" t="str">
        <f ca="1">IF(R799,"Mandatory","N/A")</f>
        <v>Mandatory</v>
      </c>
      <c r="N799" s="607"/>
      <c r="O799" s="607"/>
      <c r="P799" s="64" t="b">
        <v>1</v>
      </c>
      <c r="Q799" s="64" t="b">
        <v>0</v>
      </c>
      <c r="R799" s="64" t="b">
        <f ca="1">S799</f>
        <v>1</v>
      </c>
      <c r="S799" s="464" t="b">
        <f ca="1">AND(NOT(AND(OR(AY817=INDEX(INDIRECT('Overview (Design)'!$E$34),2),AY817=INDEX(INDIRECT('Overview (Design)'!$E$34),3)),OR(AY821=INDEX(INDIRECT('Overview (Design)'!$E$38),2),AY821=INDEX(INDIRECT('Overview (Design)'!$E$38),3)))))</f>
        <v>1</v>
      </c>
      <c r="T799" s="64" t="b">
        <f ca="1">AND(NOT(S799),W799=TRUE)</f>
        <v>0</v>
      </c>
      <c r="U799" s="64"/>
      <c r="V799" s="64"/>
      <c r="W799" s="18"/>
      <c r="X799" s="787"/>
      <c r="Y799" s="980" t="str">
        <f>IF(LEN('Ch7'!X30)=0,"None",'Ch7'!X30)</f>
        <v>None</v>
      </c>
      <c r="Z799" s="983"/>
      <c r="AA799" s="562"/>
      <c r="AB799" s="562"/>
      <c r="AC799" s="562" t="b">
        <f ca="1">OR(AD799:AE799)</f>
        <v>1</v>
      </c>
      <c r="AD799" s="562" t="b">
        <f ca="1">T799</f>
        <v>0</v>
      </c>
      <c r="AE799" s="562" t="b">
        <f ca="1">AND(R799,NOT(W799))</f>
        <v>1</v>
      </c>
      <c r="AF799" s="562" t="b">
        <f ca="1">AND(AE799,NOT(Q799))</f>
        <v>1</v>
      </c>
      <c r="AG799" s="562"/>
      <c r="AH799" s="562"/>
      <c r="AI799" s="562"/>
      <c r="AJ799" s="562"/>
      <c r="AK799" s="562"/>
      <c r="AL799" s="190" t="str">
        <f t="shared" ref="AL799" si="229">SUBSTITUTE(SUBSTITUTE(SUBSTITUTE("vpa"&amp;$B799&amp;$C799&amp;$D799&amp;$E799&amp;$F799,".","_"),"(","_"),")","")</f>
        <v>vpa701_4_1</v>
      </c>
      <c r="AM799" s="190" t="str">
        <f ca="1">M799</f>
        <v>Mandatory</v>
      </c>
      <c r="AN799" s="562"/>
      <c r="AO799" s="562"/>
      <c r="AP799" s="190" t="str">
        <f>SUBSTITUTE(SUBSTITUTE(SUBSTITUTE("vch"&amp;$B799&amp;$C799&amp;$D799&amp;$E799&amp;$F799,".","_"),"(","_"),")","")</f>
        <v>vch701_4_1</v>
      </c>
      <c r="AQ799" s="190">
        <f>W799</f>
        <v>0</v>
      </c>
      <c r="AR799" s="190" t="str">
        <f>SUBSTITUTE(SUBSTITUTE(SUBSTITUTE("vnt"&amp;$B799&amp;$C799&amp;$D799&amp;$E799&amp;$F799,".","_"),"(","_"),")","")</f>
        <v>vnt701_4_1</v>
      </c>
      <c r="AS799" s="190">
        <f>X799</f>
        <v>0</v>
      </c>
      <c r="AT799" s="562"/>
      <c r="AU799" s="562"/>
      <c r="AV799" s="562"/>
      <c r="AW799" s="562"/>
      <c r="AX799" s="594" t="str">
        <f>'Overview (Verification)'!A18</f>
        <v>Project Name:</v>
      </c>
      <c r="AY799" s="562">
        <f>IF(LEN('Overview (Verification)'!P18)=0,0,'Overview (Verification)'!P18)</f>
        <v>0</v>
      </c>
      <c r="AZ799" s="562"/>
      <c r="BA799" s="562"/>
      <c r="BB799" s="562"/>
      <c r="BC799" s="562"/>
      <c r="BD799" s="562"/>
      <c r="BE799" s="562"/>
      <c r="BF799" s="562"/>
      <c r="BG799" s="562"/>
      <c r="BH799" s="562"/>
      <c r="BI799" s="562"/>
    </row>
    <row r="800" spans="1:61" x14ac:dyDescent="0.2">
      <c r="A800" s="541">
        <v>7</v>
      </c>
      <c r="B800" s="551" t="s">
        <v>2815</v>
      </c>
      <c r="C800" s="551"/>
      <c r="D800" s="544"/>
      <c r="E800" s="544"/>
      <c r="F800" s="544"/>
      <c r="G800" s="543" t="s">
        <v>3343</v>
      </c>
      <c r="H800" s="541" t="s">
        <v>3757</v>
      </c>
      <c r="I800" s="268"/>
      <c r="J800" s="598"/>
      <c r="K800" s="598"/>
      <c r="L800" s="820"/>
      <c r="M800" s="838"/>
      <c r="N800" s="607"/>
      <c r="O800" s="607"/>
      <c r="P800" s="64"/>
      <c r="Q800" s="64"/>
      <c r="R800" s="64"/>
      <c r="S800" s="64"/>
      <c r="T800" s="64"/>
      <c r="U800" s="64"/>
      <c r="V800" s="64"/>
      <c r="W800" s="64"/>
      <c r="X800" s="787"/>
      <c r="Y800" s="980"/>
      <c r="Z800" s="983"/>
      <c r="AA800" s="562"/>
      <c r="AB800" s="562"/>
      <c r="AC800" s="562"/>
      <c r="AD800" s="562"/>
      <c r="AE800" s="562"/>
      <c r="AF800" s="562"/>
      <c r="AG800" s="562"/>
      <c r="AH800" s="562"/>
      <c r="AI800" s="562"/>
      <c r="AJ800" s="562"/>
      <c r="AK800" s="562"/>
      <c r="AL800" s="562"/>
      <c r="AM800" s="562"/>
      <c r="AN800" s="562"/>
      <c r="AO800" s="562"/>
      <c r="AP800" s="562"/>
      <c r="AQ800" s="562"/>
      <c r="AR800" s="562"/>
      <c r="AS800" s="562"/>
      <c r="AT800" s="562"/>
      <c r="AU800" s="562"/>
      <c r="AV800" s="562"/>
      <c r="AW800" s="562"/>
      <c r="AX800" s="594"/>
      <c r="AY800" s="562"/>
      <c r="AZ800" s="562"/>
      <c r="BA800" s="562"/>
      <c r="BB800" s="562"/>
      <c r="BC800" s="562"/>
      <c r="BD800" s="562"/>
      <c r="BE800" s="562"/>
      <c r="BF800" s="562"/>
      <c r="BG800" s="562"/>
      <c r="BH800" s="562"/>
      <c r="BI800" s="562"/>
    </row>
    <row r="801" spans="1:61" x14ac:dyDescent="0.2">
      <c r="A801" s="541">
        <v>7</v>
      </c>
      <c r="B801" s="551" t="s">
        <v>2815</v>
      </c>
      <c r="C801" s="551"/>
      <c r="D801" s="544"/>
      <c r="E801" s="544"/>
      <c r="F801" s="544"/>
      <c r="G801" s="543" t="s">
        <v>3343</v>
      </c>
      <c r="H801" s="541" t="s">
        <v>3757</v>
      </c>
      <c r="I801" s="279"/>
      <c r="J801" s="599"/>
      <c r="K801" s="599"/>
      <c r="L801" s="832"/>
      <c r="M801" s="854"/>
      <c r="N801" s="608"/>
      <c r="O801" s="608"/>
      <c r="P801" s="129"/>
      <c r="Q801" s="129"/>
      <c r="R801" s="129"/>
      <c r="S801" s="129"/>
      <c r="T801" s="129"/>
      <c r="U801" s="129"/>
      <c r="V801" s="129"/>
      <c r="W801" s="129"/>
      <c r="X801" s="787"/>
      <c r="Y801" s="980"/>
      <c r="Z801" s="983"/>
      <c r="AA801" s="562"/>
      <c r="AB801" s="562"/>
      <c r="AC801" s="562"/>
      <c r="AD801" s="562"/>
      <c r="AE801" s="562"/>
      <c r="AF801" s="562"/>
      <c r="AG801" s="562"/>
      <c r="AH801" s="562"/>
      <c r="AI801" s="562"/>
      <c r="AJ801" s="562"/>
      <c r="AK801" s="562"/>
      <c r="AL801" s="562"/>
      <c r="AM801" s="562"/>
      <c r="AN801" s="562"/>
      <c r="AO801" s="562"/>
      <c r="AP801" s="562"/>
      <c r="AQ801" s="562"/>
      <c r="AR801" s="562"/>
      <c r="AS801" s="562"/>
      <c r="AT801" s="562"/>
      <c r="AU801" s="562"/>
      <c r="AV801" s="562"/>
      <c r="AW801" s="562"/>
      <c r="AX801" s="594" t="str">
        <f>'Overview (Verification)'!A21</f>
        <v>Above grade plane finished floor area:</v>
      </c>
      <c r="AY801" s="562">
        <f>IF(LEN('Overview (Verification)'!P21)=0,0,'Overview (Verification)'!P21)</f>
        <v>0</v>
      </c>
      <c r="AZ801" s="562"/>
      <c r="BA801" s="562"/>
      <c r="BB801" s="562"/>
      <c r="BC801" s="562"/>
      <c r="BD801" s="562"/>
      <c r="BE801" s="562"/>
      <c r="BF801" s="562"/>
      <c r="BG801" s="562"/>
      <c r="BH801" s="562"/>
      <c r="BI801" s="562"/>
    </row>
    <row r="802" spans="1:61" ht="15" customHeight="1" x14ac:dyDescent="0.2">
      <c r="A802" s="541">
        <v>7</v>
      </c>
      <c r="B802" s="551" t="s">
        <v>2829</v>
      </c>
      <c r="C802" s="551"/>
      <c r="D802" s="544"/>
      <c r="E802" s="544"/>
      <c r="F802" s="544"/>
      <c r="G802" s="543" t="s">
        <v>3343</v>
      </c>
      <c r="H802" s="541" t="s">
        <v>3757</v>
      </c>
      <c r="I802" s="278" t="s">
        <v>2830</v>
      </c>
      <c r="J802" s="638"/>
      <c r="K802" s="638"/>
      <c r="L802" s="865" t="s">
        <v>2831</v>
      </c>
      <c r="M802" s="867" t="str">
        <f ca="1">IF(R802,"Mandatory","N/A")</f>
        <v>Mandatory</v>
      </c>
      <c r="N802" s="617"/>
      <c r="O802" s="617"/>
      <c r="P802" s="148" t="b">
        <v>1</v>
      </c>
      <c r="Q802" s="148" t="b">
        <v>0</v>
      </c>
      <c r="R802" s="148" t="b">
        <f ca="1">S802</f>
        <v>1</v>
      </c>
      <c r="S802" s="463" t="b">
        <f ca="1">AND(NOT(AND(OR(AY817=INDEX(INDIRECT('Overview (Design)'!$E$34),2),AY817=INDEX(INDIRECT('Overview (Design)'!$E$34),3)),OR(AY821=INDEX(INDIRECT('Overview (Design)'!$E$38),2),AY821=INDEX(INDIRECT('Overview (Design)'!$E$38),3)))))</f>
        <v>1</v>
      </c>
      <c r="T802" s="148" t="b">
        <f ca="1">AND(NOT(S802),W802=TRUE)</f>
        <v>0</v>
      </c>
      <c r="U802" s="148"/>
      <c r="V802" s="148"/>
      <c r="W802" s="18"/>
      <c r="X802" s="825"/>
      <c r="Y802" s="969" t="str">
        <f>IF(LEN('Ch7'!X33)=0,"None",'Ch7'!X33)</f>
        <v>None</v>
      </c>
      <c r="Z802" s="972"/>
      <c r="AA802" s="562"/>
      <c r="AB802" s="562"/>
      <c r="AC802" s="562" t="b">
        <f ca="1">OR(AD802:AE802)</f>
        <v>1</v>
      </c>
      <c r="AD802" s="562" t="b">
        <f ca="1">T802</f>
        <v>0</v>
      </c>
      <c r="AE802" s="562" t="b">
        <f ca="1">AND(R802,NOT(W802))</f>
        <v>1</v>
      </c>
      <c r="AF802" s="562" t="b">
        <f ca="1">AND(AE802,NOT(Q802))</f>
        <v>1</v>
      </c>
      <c r="AG802" s="562"/>
      <c r="AH802" s="562"/>
      <c r="AI802" s="562"/>
      <c r="AJ802" s="562"/>
      <c r="AK802" s="562"/>
      <c r="AL802" s="190" t="str">
        <f t="shared" ref="AL802:AL805" si="230">SUBSTITUTE(SUBSTITUTE(SUBSTITUTE("vpa"&amp;$B802&amp;$C802&amp;$D802&amp;$E802&amp;$F802,".","_"),"(","_"),")","")</f>
        <v>vpa701_4_2_2</v>
      </c>
      <c r="AM802" s="190" t="str">
        <f ca="1">M802</f>
        <v>Mandatory</v>
      </c>
      <c r="AN802" s="562"/>
      <c r="AO802" s="562"/>
      <c r="AP802" s="190" t="str">
        <f t="shared" ref="AP802:AP805" si="231">SUBSTITUTE(SUBSTITUTE(SUBSTITUTE("vch"&amp;$B802&amp;$C802&amp;$D802&amp;$E802&amp;$F802,".","_"),"(","_"),")","")</f>
        <v>vch701_4_2_2</v>
      </c>
      <c r="AQ802" s="190">
        <f>W802</f>
        <v>0</v>
      </c>
      <c r="AR802" s="190" t="str">
        <f t="shared" ref="AR802:AR805" si="232">SUBSTITUTE(SUBSTITUTE(SUBSTITUTE("vnt"&amp;$B802&amp;$C802&amp;$D802&amp;$E802&amp;$F802,".","_"),"(","_"),")","")</f>
        <v>vnt701_4_2_2</v>
      </c>
      <c r="AS802" s="190">
        <f>X802</f>
        <v>0</v>
      </c>
      <c r="AT802" s="562"/>
      <c r="AU802" s="562"/>
      <c r="AV802" s="562"/>
      <c r="AW802" s="562"/>
      <c r="AX802" s="594" t="str">
        <f>'Overview (Verification)'!A22</f>
        <v>Total conditioned floor area:</v>
      </c>
      <c r="AY802" s="562">
        <f>IF(LEN('Overview (Verification)'!P22)=0,0,'Overview (Verification)'!P22)</f>
        <v>0</v>
      </c>
      <c r="AZ802" s="562"/>
      <c r="BA802" s="562"/>
      <c r="BB802" s="562"/>
      <c r="BC802" s="562"/>
      <c r="BD802" s="562"/>
      <c r="BE802" s="562"/>
      <c r="BF802" s="562"/>
      <c r="BG802" s="562"/>
      <c r="BH802" s="562"/>
      <c r="BI802" s="562"/>
    </row>
    <row r="803" spans="1:61" s="485" customFormat="1" x14ac:dyDescent="0.2">
      <c r="A803" s="541">
        <v>7</v>
      </c>
      <c r="B803" s="551" t="s">
        <v>2829</v>
      </c>
      <c r="C803" s="551"/>
      <c r="D803" s="544"/>
      <c r="E803" s="544"/>
      <c r="F803" s="544"/>
      <c r="G803" s="543" t="s">
        <v>3343</v>
      </c>
      <c r="H803" s="541" t="s">
        <v>3757</v>
      </c>
      <c r="I803" s="64"/>
      <c r="J803" s="64"/>
      <c r="K803" s="64"/>
      <c r="L803" s="866"/>
      <c r="M803" s="838"/>
      <c r="N803" s="64"/>
      <c r="O803" s="64"/>
      <c r="P803" s="64"/>
      <c r="Q803" s="64"/>
      <c r="R803" s="64"/>
      <c r="S803" s="64"/>
      <c r="T803" s="64"/>
      <c r="U803" s="64"/>
      <c r="V803" s="64"/>
      <c r="W803" s="562"/>
      <c r="X803" s="797"/>
      <c r="Y803" s="970"/>
      <c r="Z803" s="973"/>
      <c r="AA803" s="562"/>
      <c r="AB803" s="562"/>
      <c r="AC803" s="562"/>
      <c r="AD803" s="562"/>
      <c r="AE803" s="562"/>
      <c r="AF803" s="562"/>
      <c r="AG803" s="562"/>
      <c r="AH803" s="562"/>
      <c r="AI803" s="562"/>
      <c r="AJ803" s="562"/>
      <c r="AK803" s="562"/>
      <c r="AL803" s="190"/>
      <c r="AM803" s="190"/>
      <c r="AN803" s="562"/>
      <c r="AO803" s="562"/>
      <c r="AP803" s="190"/>
      <c r="AQ803" s="190"/>
      <c r="AR803" s="190"/>
      <c r="AS803" s="190"/>
      <c r="AT803" s="562"/>
      <c r="AU803" s="562"/>
      <c r="AV803" s="562"/>
      <c r="AW803" s="562"/>
      <c r="AX803" s="594"/>
      <c r="AY803" s="562"/>
      <c r="AZ803" s="562"/>
      <c r="BA803" s="562"/>
      <c r="BB803" s="562"/>
      <c r="BC803" s="562"/>
      <c r="BD803" s="562"/>
      <c r="BE803" s="562"/>
      <c r="BF803" s="562"/>
      <c r="BG803" s="562"/>
      <c r="BH803" s="562"/>
      <c r="BI803" s="562"/>
    </row>
    <row r="804" spans="1:61" s="485" customFormat="1" x14ac:dyDescent="0.2">
      <c r="A804" s="541">
        <v>7</v>
      </c>
      <c r="B804" s="551" t="s">
        <v>2829</v>
      </c>
      <c r="C804" s="551"/>
      <c r="D804" s="544"/>
      <c r="E804" s="544"/>
      <c r="F804" s="544"/>
      <c r="G804" s="543" t="s">
        <v>3343</v>
      </c>
      <c r="H804" s="541" t="s">
        <v>3757</v>
      </c>
      <c r="I804" s="129"/>
      <c r="J804" s="129"/>
      <c r="K804" s="129"/>
      <c r="L804" s="868"/>
      <c r="M804" s="854"/>
      <c r="N804" s="129"/>
      <c r="O804" s="129"/>
      <c r="P804" s="129"/>
      <c r="Q804" s="129"/>
      <c r="R804" s="129"/>
      <c r="S804" s="129"/>
      <c r="T804" s="129"/>
      <c r="U804" s="129"/>
      <c r="V804" s="129"/>
      <c r="W804" s="562"/>
      <c r="X804" s="786"/>
      <c r="Y804" s="975"/>
      <c r="Z804" s="976"/>
      <c r="AA804" s="562"/>
      <c r="AB804" s="562"/>
      <c r="AC804" s="562"/>
      <c r="AD804" s="562"/>
      <c r="AE804" s="562"/>
      <c r="AF804" s="562"/>
      <c r="AG804" s="562"/>
      <c r="AH804" s="562"/>
      <c r="AI804" s="562"/>
      <c r="AJ804" s="562"/>
      <c r="AK804" s="562"/>
      <c r="AL804" s="190"/>
      <c r="AM804" s="190"/>
      <c r="AN804" s="562"/>
      <c r="AO804" s="562"/>
      <c r="AP804" s="190"/>
      <c r="AQ804" s="190"/>
      <c r="AR804" s="190"/>
      <c r="AS804" s="190"/>
      <c r="AT804" s="562"/>
      <c r="AU804" s="562"/>
      <c r="AV804" s="562"/>
      <c r="AW804" s="562"/>
      <c r="AX804" s="594"/>
      <c r="AY804" s="562"/>
      <c r="AZ804" s="562"/>
      <c r="BA804" s="562"/>
      <c r="BB804" s="562"/>
      <c r="BC804" s="562"/>
      <c r="BD804" s="562"/>
      <c r="BE804" s="562"/>
      <c r="BF804" s="562"/>
      <c r="BG804" s="562"/>
      <c r="BH804" s="562"/>
      <c r="BI804" s="562"/>
    </row>
    <row r="805" spans="1:61" x14ac:dyDescent="0.2">
      <c r="A805" s="541">
        <v>7</v>
      </c>
      <c r="B805" s="551" t="s">
        <v>2832</v>
      </c>
      <c r="C805" s="551"/>
      <c r="D805" s="544"/>
      <c r="E805" s="544"/>
      <c r="F805" s="544"/>
      <c r="G805" s="543" t="s">
        <v>3343</v>
      </c>
      <c r="H805" s="541" t="s">
        <v>3757</v>
      </c>
      <c r="I805" s="268" t="s">
        <v>2833</v>
      </c>
      <c r="J805" s="598"/>
      <c r="K805" s="598"/>
      <c r="L805" s="820" t="s">
        <v>2834</v>
      </c>
      <c r="M805" s="838" t="str">
        <f ca="1">IF(R805,"Mandatory","N/A")</f>
        <v>Mandatory</v>
      </c>
      <c r="N805" s="607"/>
      <c r="O805" s="607"/>
      <c r="P805" s="64" t="b">
        <v>1</v>
      </c>
      <c r="Q805" s="64" t="b">
        <v>0</v>
      </c>
      <c r="R805" s="64" t="b">
        <f ca="1">S805</f>
        <v>1</v>
      </c>
      <c r="S805" s="464" t="b">
        <f ca="1">AND(NOT(AND(OR(AY817=INDEX(INDIRECT('Overview (Design)'!$E$34),2),AY817=INDEX(INDIRECT('Overview (Design)'!$E$34),3)),OR(AY821=INDEX(INDIRECT('Overview (Design)'!$E$38),2),AY821=INDEX(INDIRECT('Overview (Design)'!$E$38),3)))))</f>
        <v>1</v>
      </c>
      <c r="T805" s="64" t="b">
        <f ca="1">AND(NOT(S805),W805=TRUE)</f>
        <v>0</v>
      </c>
      <c r="U805" s="64"/>
      <c r="V805" s="64"/>
      <c r="W805" s="18"/>
      <c r="X805" s="798"/>
      <c r="Y805" s="980" t="str">
        <f>IF(LEN('Ch7'!X36)=0,"None",'Ch7'!X36)</f>
        <v>None</v>
      </c>
      <c r="Z805" s="983"/>
      <c r="AA805" s="562"/>
      <c r="AB805" s="562"/>
      <c r="AC805" s="562" t="b">
        <f ca="1">OR(AD805:AE805)</f>
        <v>1</v>
      </c>
      <c r="AD805" s="562" t="b">
        <f ca="1">T805</f>
        <v>0</v>
      </c>
      <c r="AE805" s="562" t="b">
        <f ca="1">AND(R805,NOT(W805))</f>
        <v>1</v>
      </c>
      <c r="AF805" s="562" t="b">
        <f ca="1">AND(AE805,NOT(Q805))</f>
        <v>1</v>
      </c>
      <c r="AG805" s="562"/>
      <c r="AH805" s="562"/>
      <c r="AI805" s="562"/>
      <c r="AJ805" s="562"/>
      <c r="AK805" s="562"/>
      <c r="AL805" s="190" t="str">
        <f t="shared" si="230"/>
        <v>vpa701_4_2_3</v>
      </c>
      <c r="AM805" s="190" t="str">
        <f ca="1">M805</f>
        <v>Mandatory</v>
      </c>
      <c r="AN805" s="562"/>
      <c r="AO805" s="562"/>
      <c r="AP805" s="190" t="str">
        <f t="shared" si="231"/>
        <v>vch701_4_2_3</v>
      </c>
      <c r="AQ805" s="190">
        <f>W805</f>
        <v>0</v>
      </c>
      <c r="AR805" s="190" t="str">
        <f t="shared" si="232"/>
        <v>vnt701_4_2_3</v>
      </c>
      <c r="AS805" s="190">
        <f>X805</f>
        <v>0</v>
      </c>
      <c r="AT805" s="562"/>
      <c r="AU805" s="562"/>
      <c r="AV805" s="562"/>
      <c r="AW805" s="562"/>
      <c r="AX805" s="594" t="str">
        <f>'Overview (Verification)'!A23</f>
        <v>Stories above grade:</v>
      </c>
      <c r="AY805" s="562">
        <f>IF(LEN('Overview (Verification)'!P23)=0,0,'Overview (Verification)'!P23)</f>
        <v>0</v>
      </c>
      <c r="AZ805" s="562"/>
      <c r="BA805" s="562"/>
      <c r="BB805" s="562"/>
      <c r="BC805" s="562"/>
      <c r="BD805" s="562"/>
      <c r="BE805" s="562"/>
      <c r="BF805" s="562"/>
      <c r="BG805" s="562"/>
      <c r="BH805" s="562"/>
      <c r="BI805" s="562"/>
    </row>
    <row r="806" spans="1:61" x14ac:dyDescent="0.2">
      <c r="A806" s="541">
        <v>7</v>
      </c>
      <c r="B806" s="551" t="s">
        <v>2832</v>
      </c>
      <c r="C806" s="551"/>
      <c r="D806" s="544"/>
      <c r="E806" s="544"/>
      <c r="F806" s="544"/>
      <c r="G806" s="543" t="s">
        <v>3343</v>
      </c>
      <c r="H806" s="541" t="s">
        <v>3757</v>
      </c>
      <c r="I806" s="279"/>
      <c r="J806" s="599"/>
      <c r="K806" s="599"/>
      <c r="L806" s="832"/>
      <c r="M806" s="854"/>
      <c r="N806" s="608"/>
      <c r="O806" s="608"/>
      <c r="P806" s="129"/>
      <c r="Q806" s="129"/>
      <c r="R806" s="129"/>
      <c r="S806" s="129"/>
      <c r="T806" s="129"/>
      <c r="U806" s="129"/>
      <c r="V806" s="129"/>
      <c r="W806" s="129"/>
      <c r="X806" s="798"/>
      <c r="Y806" s="980"/>
      <c r="Z806" s="983"/>
      <c r="AA806" s="562"/>
      <c r="AB806" s="562"/>
      <c r="AC806" s="562"/>
      <c r="AD806" s="562"/>
      <c r="AE806" s="562"/>
      <c r="AF806" s="562"/>
      <c r="AG806" s="562"/>
      <c r="AH806" s="562"/>
      <c r="AI806" s="562"/>
      <c r="AJ806" s="562"/>
      <c r="AK806" s="562"/>
      <c r="AL806" s="562"/>
      <c r="AM806" s="562"/>
      <c r="AN806" s="562"/>
      <c r="AO806" s="562"/>
      <c r="AP806" s="562"/>
      <c r="AQ806" s="562"/>
      <c r="AR806" s="562"/>
      <c r="AS806" s="562"/>
      <c r="AT806" s="562"/>
      <c r="AU806" s="562"/>
      <c r="AV806" s="562"/>
      <c r="AW806" s="562"/>
      <c r="AX806" s="594"/>
      <c r="AY806" s="562"/>
      <c r="AZ806" s="562"/>
      <c r="BA806" s="562"/>
      <c r="BB806" s="562"/>
      <c r="BC806" s="562"/>
      <c r="BD806" s="562"/>
      <c r="BE806" s="562"/>
      <c r="BF806" s="562"/>
      <c r="BG806" s="562"/>
      <c r="BH806" s="562"/>
      <c r="BI806" s="562"/>
    </row>
    <row r="807" spans="1:61" x14ac:dyDescent="0.2">
      <c r="A807" s="541">
        <v>7</v>
      </c>
      <c r="B807" s="551" t="s">
        <v>2835</v>
      </c>
      <c r="C807" s="551"/>
      <c r="D807" s="544"/>
      <c r="E807" s="544"/>
      <c r="F807" s="544"/>
      <c r="G807" s="543" t="s">
        <v>3343</v>
      </c>
      <c r="H807" s="541" t="s">
        <v>3757</v>
      </c>
      <c r="I807" s="278" t="s">
        <v>2836</v>
      </c>
      <c r="J807" s="638"/>
      <c r="K807" s="638"/>
      <c r="L807" s="639" t="s">
        <v>2837</v>
      </c>
      <c r="M807" s="624"/>
      <c r="N807" s="617"/>
      <c r="O807" s="617"/>
      <c r="P807" s="148"/>
      <c r="Q807" s="148"/>
      <c r="R807" s="148"/>
      <c r="S807" s="148"/>
      <c r="T807" s="148"/>
      <c r="U807" s="148"/>
      <c r="V807" s="148"/>
      <c r="W807" s="148"/>
      <c r="X807" s="148"/>
      <c r="Y807" s="562"/>
      <c r="Z807" s="430"/>
      <c r="AA807" s="562"/>
      <c r="AB807" s="562"/>
      <c r="AC807" s="562"/>
      <c r="AD807" s="562"/>
      <c r="AE807" s="562"/>
      <c r="AF807" s="562"/>
      <c r="AG807" s="562"/>
      <c r="AH807" s="562"/>
      <c r="AI807" s="562"/>
      <c r="AJ807" s="562"/>
      <c r="AK807" s="562"/>
      <c r="AL807" s="562"/>
      <c r="AM807" s="562"/>
      <c r="AN807" s="562"/>
      <c r="AO807" s="562"/>
      <c r="AP807" s="562"/>
      <c r="AQ807" s="562"/>
      <c r="AR807" s="562"/>
      <c r="AS807" s="562"/>
      <c r="AT807" s="562"/>
      <c r="AU807" s="562"/>
      <c r="AV807" s="562"/>
      <c r="AW807" s="562"/>
      <c r="AX807" s="594" t="str">
        <f>'Overview (Verification)'!A25</f>
        <v xml:space="preserve">Project Description (optional): </v>
      </c>
      <c r="AY807" s="562" t="str">
        <f>IF(LEN('Overview (Verification)'!P25)=0,0,'Overview (Verification)'!P25)</f>
        <v>Test Description</v>
      </c>
      <c r="AZ807" s="562"/>
      <c r="BA807" s="562"/>
      <c r="BB807" s="562"/>
      <c r="BC807" s="562"/>
      <c r="BD807" s="562"/>
      <c r="BE807" s="562"/>
      <c r="BF807" s="562"/>
      <c r="BG807" s="562"/>
      <c r="BH807" s="562"/>
      <c r="BI807" s="562"/>
    </row>
    <row r="808" spans="1:61" x14ac:dyDescent="0.2">
      <c r="A808" s="541">
        <v>7</v>
      </c>
      <c r="B808" s="551" t="s">
        <v>2838</v>
      </c>
      <c r="C808" s="551"/>
      <c r="D808" s="544"/>
      <c r="E808" s="544"/>
      <c r="F808" s="544"/>
      <c r="G808" s="543" t="s">
        <v>3343</v>
      </c>
      <c r="H808" s="541" t="s">
        <v>3757</v>
      </c>
      <c r="I808" s="41" t="s">
        <v>2839</v>
      </c>
      <c r="J808" s="632"/>
      <c r="K808" s="632"/>
      <c r="L808" s="775" t="s">
        <v>2840</v>
      </c>
      <c r="M808" s="838" t="str">
        <f>IF(R811,"Mandatory","N/A")</f>
        <v>Mandatory</v>
      </c>
      <c r="N808" s="609"/>
      <c r="O808" s="609"/>
      <c r="P808" s="562"/>
      <c r="Q808" s="562"/>
      <c r="R808" s="562"/>
      <c r="S808" s="562"/>
      <c r="T808" s="562"/>
      <c r="U808" s="562"/>
      <c r="V808" s="562"/>
      <c r="W808" s="562" t="s">
        <v>2841</v>
      </c>
      <c r="X808" s="787"/>
      <c r="Y808" s="980" t="str">
        <f>IF(LEN('Ch7'!X39)=0,"None",'Ch7'!X39)</f>
        <v>None</v>
      </c>
      <c r="Z808" s="983"/>
      <c r="AA808" s="562"/>
      <c r="AB808" s="562"/>
      <c r="AC808" s="562"/>
      <c r="AD808" s="562"/>
      <c r="AE808" s="562"/>
      <c r="AF808" s="562"/>
      <c r="AG808" s="562"/>
      <c r="AH808" s="562"/>
      <c r="AI808" s="562"/>
      <c r="AJ808" s="562"/>
      <c r="AK808" s="562"/>
      <c r="AL808" s="190" t="str">
        <f t="shared" ref="AL808" si="233">SUBSTITUTE(SUBSTITUTE(SUBSTITUTE("vpa"&amp;$B808&amp;$C808&amp;$D808&amp;$E808&amp;$F808,".","_"),"(","_"),")","")</f>
        <v>vpa701_4_3_1</v>
      </c>
      <c r="AM808" s="190" t="str">
        <f>M808</f>
        <v>Mandatory</v>
      </c>
      <c r="AN808" s="562"/>
      <c r="AO808" s="562"/>
      <c r="AP808" s="562"/>
      <c r="AQ808" s="562"/>
      <c r="AR808" s="190" t="str">
        <f>SUBSTITUTE(SUBSTITUTE(SUBSTITUTE("vnt"&amp;$B808&amp;$C808&amp;$D808&amp;$E808&amp;$F808,".","_"),"(","_"),")","")</f>
        <v>vnt701_4_3_1</v>
      </c>
      <c r="AS808" s="190">
        <f>X808</f>
        <v>0</v>
      </c>
      <c r="AT808" s="562"/>
      <c r="AU808" s="562"/>
      <c r="AV808" s="562"/>
      <c r="AW808" s="562"/>
      <c r="AX808" s="594"/>
      <c r="AY808" s="562"/>
      <c r="AZ808" s="562"/>
      <c r="BA808" s="562"/>
      <c r="BB808" s="562"/>
      <c r="BC808" s="562"/>
      <c r="BD808" s="562"/>
      <c r="BE808" s="562"/>
      <c r="BF808" s="562"/>
      <c r="BG808" s="562"/>
      <c r="BH808" s="562"/>
      <c r="BI808" s="562"/>
    </row>
    <row r="809" spans="1:61" x14ac:dyDescent="0.2">
      <c r="A809" s="541">
        <v>7</v>
      </c>
      <c r="B809" s="551" t="s">
        <v>2838</v>
      </c>
      <c r="C809" s="551"/>
      <c r="D809" s="544" t="s">
        <v>2181</v>
      </c>
      <c r="E809" s="544"/>
      <c r="F809" s="544"/>
      <c r="G809" s="543" t="s">
        <v>3343</v>
      </c>
      <c r="H809" s="541" t="s">
        <v>3757</v>
      </c>
      <c r="I809" s="3"/>
      <c r="J809" s="632"/>
      <c r="K809" s="632"/>
      <c r="L809" s="775"/>
      <c r="M809" s="838"/>
      <c r="N809" s="609"/>
      <c r="O809" s="609"/>
      <c r="P809" s="64" t="b">
        <v>1</v>
      </c>
      <c r="Q809" s="64" t="b">
        <v>1</v>
      </c>
      <c r="R809" s="562" t="b">
        <v>0</v>
      </c>
      <c r="S809" s="462" t="b">
        <f ca="1">AND(,AY805&gt;3,AY797=INDEX(INDIRECT('Overview (Design)'!$E$16),2))</f>
        <v>0</v>
      </c>
      <c r="T809" s="64" t="b">
        <f ca="1">AND(NOT(S809),W809=TRUE)</f>
        <v>0</v>
      </c>
      <c r="U809" s="562"/>
      <c r="V809" s="562"/>
      <c r="W809" s="18"/>
      <c r="X809" s="787"/>
      <c r="Y809" s="980"/>
      <c r="Z809" s="983"/>
      <c r="AA809" s="562"/>
      <c r="AB809" s="562"/>
      <c r="AC809" s="562"/>
      <c r="AD809" s="562"/>
      <c r="AE809" s="562"/>
      <c r="AF809" s="562"/>
      <c r="AG809" s="562"/>
      <c r="AH809" s="562"/>
      <c r="AI809" s="562"/>
      <c r="AJ809" s="562"/>
      <c r="AK809" s="562"/>
      <c r="AL809" s="562"/>
      <c r="AM809" s="562"/>
      <c r="AN809" s="562"/>
      <c r="AO809" s="562"/>
      <c r="AP809" s="190" t="str">
        <f>SUBSTITUTE(SUBSTITUTE(SUBSTITUTE("vch"&amp;$B809&amp;$C809&amp;$D809&amp;$E809&amp;$F809,".","_"),"(","_"),")","")</f>
        <v>vch701_4_3_1_1</v>
      </c>
      <c r="AQ809" s="190">
        <f>W809</f>
        <v>0</v>
      </c>
      <c r="AR809" s="562"/>
      <c r="AS809" s="562"/>
      <c r="AT809" s="562"/>
      <c r="AU809" s="562"/>
      <c r="AV809" s="562"/>
      <c r="AW809" s="562"/>
      <c r="AX809" s="594" t="str">
        <f>'Overview (Verification)'!A27</f>
        <v>HERS Index (if available):</v>
      </c>
      <c r="AY809" s="562">
        <f>IF(LEN('Overview (Verification)'!P27)=0,0,'Overview (Verification)'!P27)</f>
        <v>0</v>
      </c>
      <c r="AZ809" s="562"/>
      <c r="BA809" s="562"/>
      <c r="BB809" s="562"/>
      <c r="BC809" s="562"/>
      <c r="BD809" s="562"/>
      <c r="BE809" s="562"/>
      <c r="BF809" s="562"/>
      <c r="BG809" s="562"/>
      <c r="BH809" s="562"/>
      <c r="BI809" s="562"/>
    </row>
    <row r="810" spans="1:61" x14ac:dyDescent="0.2">
      <c r="A810" s="541">
        <v>7</v>
      </c>
      <c r="B810" s="551" t="s">
        <v>2838</v>
      </c>
      <c r="C810" s="551"/>
      <c r="D810" s="544"/>
      <c r="E810" s="544"/>
      <c r="F810" s="544"/>
      <c r="G810" s="543" t="s">
        <v>3343</v>
      </c>
      <c r="H810" s="541" t="s">
        <v>3757</v>
      </c>
      <c r="I810" s="3"/>
      <c r="J810" s="632"/>
      <c r="K810" s="632"/>
      <c r="L810" s="775"/>
      <c r="M810" s="838"/>
      <c r="N810" s="609"/>
      <c r="O810" s="609"/>
      <c r="P810" s="562"/>
      <c r="Q810" s="562"/>
      <c r="R810" s="562"/>
      <c r="S810" s="562"/>
      <c r="T810" s="562"/>
      <c r="U810" s="562"/>
      <c r="V810" s="562"/>
      <c r="W810" s="562"/>
      <c r="X810" s="787"/>
      <c r="Y810" s="980"/>
      <c r="Z810" s="983"/>
      <c r="AA810" s="562"/>
      <c r="AB810" s="562"/>
      <c r="AC810" s="562"/>
      <c r="AD810" s="562"/>
      <c r="AE810" s="562"/>
      <c r="AF810" s="562"/>
      <c r="AG810" s="562"/>
      <c r="AH810" s="562"/>
      <c r="AI810" s="562"/>
      <c r="AJ810" s="562"/>
      <c r="AK810" s="562"/>
      <c r="AL810" s="562"/>
      <c r="AM810" s="562"/>
      <c r="AN810" s="562"/>
      <c r="AO810" s="562"/>
      <c r="AP810" s="562"/>
      <c r="AQ810" s="562"/>
      <c r="AR810" s="562"/>
      <c r="AS810" s="562"/>
      <c r="AT810" s="562"/>
      <c r="AU810" s="562"/>
      <c r="AV810" s="562"/>
      <c r="AW810" s="562"/>
      <c r="AX810" s="594" t="str">
        <f>'Overview (Verification)'!A28</f>
        <v>Foundation Type:</v>
      </c>
      <c r="AY810" s="562">
        <f>IF(LEN('Overview (Verification)'!P28)=0,0,'Overview (Verification)'!P28)</f>
        <v>0</v>
      </c>
      <c r="AZ810" s="562"/>
      <c r="BA810" s="562"/>
      <c r="BB810" s="562"/>
      <c r="BC810" s="562"/>
      <c r="BD810" s="562"/>
      <c r="BE810" s="562"/>
      <c r="BF810" s="562"/>
      <c r="BG810" s="562"/>
      <c r="BH810" s="562"/>
      <c r="BI810" s="562"/>
    </row>
    <row r="811" spans="1:61" ht="15" customHeight="1" x14ac:dyDescent="0.2">
      <c r="A811" s="541">
        <v>7</v>
      </c>
      <c r="B811" s="551" t="s">
        <v>2838</v>
      </c>
      <c r="C811" s="551"/>
      <c r="D811" s="544" t="s">
        <v>2183</v>
      </c>
      <c r="E811" s="544"/>
      <c r="F811" s="544"/>
      <c r="G811" s="543" t="s">
        <v>3343</v>
      </c>
      <c r="H811" s="541" t="s">
        <v>3757</v>
      </c>
      <c r="I811" s="3"/>
      <c r="J811" s="632"/>
      <c r="K811" s="632"/>
      <c r="L811" s="775"/>
      <c r="M811" s="838"/>
      <c r="N811" s="609"/>
      <c r="O811" s="609"/>
      <c r="P811" s="64" t="b">
        <v>1</v>
      </c>
      <c r="Q811" s="64" t="b">
        <v>1</v>
      </c>
      <c r="R811" s="562" t="b">
        <f>S811</f>
        <v>1</v>
      </c>
      <c r="S811" s="462" t="b">
        <f>NOT(W809)</f>
        <v>1</v>
      </c>
      <c r="T811" s="64" t="b">
        <f>AND(NOT(S811),W811=TRUE)</f>
        <v>0</v>
      </c>
      <c r="U811" s="562"/>
      <c r="V811" s="562"/>
      <c r="W811" s="18"/>
      <c r="X811" s="787"/>
      <c r="Y811" s="980"/>
      <c r="Z811" s="983"/>
      <c r="AA811" s="562"/>
      <c r="AB811" s="562"/>
      <c r="AC811" s="562" t="b">
        <f>OR(AD811:AE811)</f>
        <v>1</v>
      </c>
      <c r="AD811" s="562" t="b">
        <f>T811</f>
        <v>0</v>
      </c>
      <c r="AE811" s="562" t="b">
        <f>AND(R811,NOT(W811))</f>
        <v>1</v>
      </c>
      <c r="AF811" s="562" t="b">
        <f>AND(AE811,NOT(Q811))</f>
        <v>0</v>
      </c>
      <c r="AG811" s="562"/>
      <c r="AH811" s="562"/>
      <c r="AI811" s="562"/>
      <c r="AJ811" s="562"/>
      <c r="AK811" s="562"/>
      <c r="AL811" s="562"/>
      <c r="AM811" s="562"/>
      <c r="AN811" s="562"/>
      <c r="AO811" s="562"/>
      <c r="AP811" s="190" t="str">
        <f>SUBSTITUTE(SUBSTITUTE(SUBSTITUTE("vch"&amp;$B811&amp;$C811&amp;$D811&amp;$E811&amp;$F811,".","_"),"(","_"),")","")</f>
        <v>vch701_4_3_1_2</v>
      </c>
      <c r="AQ811" s="190">
        <f>W811</f>
        <v>0</v>
      </c>
      <c r="AR811" s="562"/>
      <c r="AS811" s="562"/>
      <c r="AT811" s="562"/>
      <c r="AU811" s="562"/>
      <c r="AV811" s="562"/>
      <c r="AW811" s="562"/>
      <c r="AX811" s="594"/>
      <c r="AY811" s="562"/>
      <c r="AZ811" s="562"/>
      <c r="BA811" s="562"/>
      <c r="BB811" s="562"/>
      <c r="BC811" s="562"/>
      <c r="BD811" s="562"/>
      <c r="BE811" s="562"/>
      <c r="BF811" s="562"/>
      <c r="BG811" s="562"/>
      <c r="BH811" s="562"/>
      <c r="BI811" s="562"/>
    </row>
    <row r="812" spans="1:61" s="498" customFormat="1" ht="15" customHeight="1" x14ac:dyDescent="0.2">
      <c r="A812" s="541">
        <v>7</v>
      </c>
      <c r="B812" s="551" t="s">
        <v>2838</v>
      </c>
      <c r="C812" s="551"/>
      <c r="D812" s="544"/>
      <c r="E812" s="544"/>
      <c r="F812" s="544"/>
      <c r="G812" s="543" t="s">
        <v>3343</v>
      </c>
      <c r="H812" s="541" t="s">
        <v>3757</v>
      </c>
      <c r="I812" s="3"/>
      <c r="J812" s="632"/>
      <c r="K812" s="632"/>
      <c r="L812" s="775"/>
      <c r="M812" s="838"/>
      <c r="N812" s="609"/>
      <c r="O812" s="609"/>
      <c r="P812" s="64"/>
      <c r="Q812" s="64"/>
      <c r="R812" s="562"/>
      <c r="S812" s="562"/>
      <c r="T812" s="562"/>
      <c r="U812" s="562"/>
      <c r="V812" s="562"/>
      <c r="W812" s="562"/>
      <c r="X812" s="563"/>
      <c r="Y812" s="578"/>
      <c r="Z812" s="579"/>
      <c r="AA812" s="562"/>
      <c r="AB812" s="562"/>
      <c r="AC812" s="562"/>
      <c r="AD812" s="562"/>
      <c r="AE812" s="562"/>
      <c r="AF812" s="562"/>
      <c r="AG812" s="562"/>
      <c r="AH812" s="562"/>
      <c r="AI812" s="562"/>
      <c r="AJ812" s="562"/>
      <c r="AK812" s="562"/>
      <c r="AL812" s="562"/>
      <c r="AM812" s="562"/>
      <c r="AN812" s="562"/>
      <c r="AO812" s="562"/>
      <c r="AP812" s="190"/>
      <c r="AQ812" s="190"/>
      <c r="AR812" s="562"/>
      <c r="AS812" s="562"/>
      <c r="AT812" s="562"/>
      <c r="AU812" s="562"/>
      <c r="AV812" s="562"/>
      <c r="AW812" s="562"/>
      <c r="AX812" s="594"/>
      <c r="AY812" s="562"/>
      <c r="AZ812" s="562"/>
      <c r="BA812" s="562"/>
      <c r="BB812" s="562"/>
      <c r="BC812" s="562"/>
      <c r="BD812" s="562"/>
      <c r="BE812" s="562"/>
      <c r="BF812" s="562"/>
      <c r="BG812" s="562"/>
      <c r="BH812" s="562"/>
      <c r="BI812" s="562"/>
    </row>
    <row r="813" spans="1:61" ht="16" x14ac:dyDescent="0.2">
      <c r="A813" s="541">
        <v>7</v>
      </c>
      <c r="B813" s="551" t="s">
        <v>2838</v>
      </c>
      <c r="C813" s="551"/>
      <c r="D813" s="544"/>
      <c r="E813" s="544" t="s">
        <v>2196</v>
      </c>
      <c r="F813" s="544"/>
      <c r="G813" s="543" t="s">
        <v>3343</v>
      </c>
      <c r="H813" s="545" t="s">
        <v>3757</v>
      </c>
      <c r="I813" s="3"/>
      <c r="J813" s="632"/>
      <c r="K813" s="181" t="s">
        <v>2196</v>
      </c>
      <c r="L813" s="632" t="s">
        <v>2842</v>
      </c>
      <c r="M813" s="616"/>
      <c r="N813" s="609"/>
      <c r="O813" s="609"/>
      <c r="P813" s="562"/>
      <c r="Q813" s="562"/>
      <c r="R813" s="562"/>
      <c r="S813" s="562"/>
      <c r="T813" s="562"/>
      <c r="U813" s="562"/>
      <c r="V813" s="562"/>
      <c r="W813" s="562"/>
      <c r="X813" s="563"/>
      <c r="Y813" s="578" t="str">
        <f>IF(LEN('Ch7'!X44)=0,"None",'Ch7'!X44)</f>
        <v>None</v>
      </c>
      <c r="Z813" s="579"/>
      <c r="AA813" s="562"/>
      <c r="AB813" s="562"/>
      <c r="AC813" s="562"/>
      <c r="AD813" s="562"/>
      <c r="AE813" s="562"/>
      <c r="AF813" s="562"/>
      <c r="AG813" s="562"/>
      <c r="AH813" s="562"/>
      <c r="AI813" s="562"/>
      <c r="AJ813" s="562"/>
      <c r="AK813" s="562"/>
      <c r="AL813" s="562"/>
      <c r="AM813" s="562"/>
      <c r="AN813" s="562"/>
      <c r="AO813" s="562"/>
      <c r="AP813" s="562"/>
      <c r="AQ813" s="562"/>
      <c r="AR813" s="190" t="str">
        <f t="shared" ref="AR813:AR824" si="234">SUBSTITUTE(SUBSTITUTE(SUBSTITUTE("vnt"&amp;$B813&amp;$C813&amp;$D813&amp;$E813&amp;$F813,".","_"),"(","_"),")","")</f>
        <v>vnt701_4_3_1_a</v>
      </c>
      <c r="AS813" s="190">
        <f t="shared" ref="AS813:AS824" si="235">X813</f>
        <v>0</v>
      </c>
      <c r="AT813" s="562"/>
      <c r="AU813" s="562"/>
      <c r="AV813" s="562"/>
      <c r="AW813" s="562"/>
      <c r="AX813" s="594" t="str">
        <f>'Overview (Verification)'!A30</f>
        <v>Type of Heating System (main system):</v>
      </c>
      <c r="AY813" s="562">
        <f>IF(LEN('Overview (Verification)'!P30)=0,0,'Overview (Verification)'!P30)</f>
        <v>0</v>
      </c>
      <c r="AZ813" s="562"/>
      <c r="BA813" s="562"/>
      <c r="BB813" s="562"/>
      <c r="BC813" s="562"/>
      <c r="BD813" s="562"/>
      <c r="BE813" s="562"/>
      <c r="BF813" s="562"/>
      <c r="BG813" s="562"/>
      <c r="BH813" s="562"/>
      <c r="BI813" s="562"/>
    </row>
    <row r="814" spans="1:61" ht="16" x14ac:dyDescent="0.2">
      <c r="A814" s="541">
        <v>7</v>
      </c>
      <c r="B814" s="551" t="s">
        <v>2838</v>
      </c>
      <c r="C814" s="551"/>
      <c r="D814" s="544"/>
      <c r="E814" s="544" t="s">
        <v>2198</v>
      </c>
      <c r="F814" s="544"/>
      <c r="G814" s="543" t="s">
        <v>3343</v>
      </c>
      <c r="H814" s="545" t="s">
        <v>3757</v>
      </c>
      <c r="I814" s="3"/>
      <c r="J814" s="632"/>
      <c r="K814" s="181" t="s">
        <v>2198</v>
      </c>
      <c r="L814" s="632" t="s">
        <v>2843</v>
      </c>
      <c r="M814" s="616"/>
      <c r="N814" s="609"/>
      <c r="O814" s="609"/>
      <c r="P814" s="562"/>
      <c r="Q814" s="562"/>
      <c r="R814" s="562"/>
      <c r="S814" s="562"/>
      <c r="T814" s="562"/>
      <c r="U814" s="562"/>
      <c r="V814" s="562"/>
      <c r="W814" s="562"/>
      <c r="X814" s="563"/>
      <c r="Y814" s="578" t="str">
        <f>IF(LEN('Ch7'!X45)=0,"None",'Ch7'!X45)</f>
        <v>None</v>
      </c>
      <c r="Z814" s="579"/>
      <c r="AA814" s="562"/>
      <c r="AB814" s="562"/>
      <c r="AC814" s="562"/>
      <c r="AD814" s="562"/>
      <c r="AE814" s="562"/>
      <c r="AF814" s="562"/>
      <c r="AG814" s="562"/>
      <c r="AH814" s="562"/>
      <c r="AI814" s="562"/>
      <c r="AJ814" s="562"/>
      <c r="AK814" s="562"/>
      <c r="AL814" s="562"/>
      <c r="AM814" s="562"/>
      <c r="AN814" s="562"/>
      <c r="AO814" s="562"/>
      <c r="AP814" s="562"/>
      <c r="AQ814" s="562"/>
      <c r="AR814" s="190" t="str">
        <f t="shared" si="234"/>
        <v>vnt701_4_3_1_b</v>
      </c>
      <c r="AS814" s="190">
        <f t="shared" si="235"/>
        <v>0</v>
      </c>
      <c r="AT814" s="562"/>
      <c r="AU814" s="562"/>
      <c r="AV814" s="562"/>
      <c r="AW814" s="562"/>
      <c r="AX814" s="594" t="str">
        <f>'Overview (Verification)'!A31</f>
        <v>Type of Heating System (system 2):</v>
      </c>
      <c r="AY814" s="562">
        <f>IF(LEN('Overview (Verification)'!P31)=0,0,'Overview (Verification)'!P31)</f>
        <v>0</v>
      </c>
      <c r="AZ814" s="562"/>
      <c r="BA814" s="562"/>
      <c r="BB814" s="562"/>
      <c r="BC814" s="562"/>
      <c r="BD814" s="562"/>
      <c r="BE814" s="562"/>
      <c r="BF814" s="562"/>
      <c r="BG814" s="562"/>
      <c r="BH814" s="562"/>
      <c r="BI814" s="562"/>
    </row>
    <row r="815" spans="1:61" ht="15" customHeight="1" x14ac:dyDescent="0.2">
      <c r="A815" s="541">
        <v>7</v>
      </c>
      <c r="B815" s="551" t="s">
        <v>2838</v>
      </c>
      <c r="C815" s="551"/>
      <c r="D815" s="544"/>
      <c r="E815" s="546" t="s">
        <v>2200</v>
      </c>
      <c r="F815" s="546"/>
      <c r="G815" s="543" t="s">
        <v>3343</v>
      </c>
      <c r="H815" s="547" t="s">
        <v>3757</v>
      </c>
      <c r="I815" s="3"/>
      <c r="J815" s="632"/>
      <c r="K815" s="182" t="s">
        <v>2200</v>
      </c>
      <c r="L815" s="632" t="s">
        <v>2844</v>
      </c>
      <c r="M815" s="616"/>
      <c r="N815" s="609"/>
      <c r="O815" s="609"/>
      <c r="P815" s="562"/>
      <c r="Q815" s="562"/>
      <c r="R815" s="562"/>
      <c r="S815" s="562"/>
      <c r="T815" s="562"/>
      <c r="U815" s="562"/>
      <c r="V815" s="562"/>
      <c r="W815" s="562"/>
      <c r="X815" s="563"/>
      <c r="Y815" s="578" t="str">
        <f>IF(LEN('Ch7'!X46)=0,"None",'Ch7'!X46)</f>
        <v>None</v>
      </c>
      <c r="Z815" s="579"/>
      <c r="AA815" s="562"/>
      <c r="AB815" s="562"/>
      <c r="AC815" s="562"/>
      <c r="AD815" s="562"/>
      <c r="AE815" s="562"/>
      <c r="AF815" s="562"/>
      <c r="AG815" s="562"/>
      <c r="AH815" s="562"/>
      <c r="AI815" s="562"/>
      <c r="AJ815" s="562"/>
      <c r="AK815" s="562"/>
      <c r="AL815" s="562"/>
      <c r="AM815" s="562"/>
      <c r="AN815" s="562"/>
      <c r="AO815" s="562"/>
      <c r="AP815" s="562"/>
      <c r="AQ815" s="562"/>
      <c r="AR815" s="190" t="str">
        <f t="shared" si="234"/>
        <v>vnt701_4_3_1_c</v>
      </c>
      <c r="AS815" s="190">
        <f t="shared" si="235"/>
        <v>0</v>
      </c>
      <c r="AT815" s="562"/>
      <c r="AU815" s="562"/>
      <c r="AV815" s="562"/>
      <c r="AW815" s="562"/>
      <c r="AX815" s="594" t="str">
        <f>'Overview (Verification)'!A32</f>
        <v>Type of Heating System (system 3):</v>
      </c>
      <c r="AY815" s="562">
        <f>IF(LEN('Overview (Verification)'!P32)=0,0,'Overview (Verification)'!P32)</f>
        <v>0</v>
      </c>
      <c r="AZ815" s="562"/>
      <c r="BA815" s="562"/>
      <c r="BB815" s="562"/>
      <c r="BC815" s="562"/>
      <c r="BD815" s="562"/>
      <c r="BE815" s="562"/>
      <c r="BF815" s="562"/>
      <c r="BG815" s="562"/>
      <c r="BH815" s="562"/>
      <c r="BI815" s="562"/>
    </row>
    <row r="816" spans="1:61" ht="16" x14ac:dyDescent="0.2">
      <c r="A816" s="541">
        <v>7</v>
      </c>
      <c r="B816" s="551" t="s">
        <v>2838</v>
      </c>
      <c r="C816" s="551"/>
      <c r="D816" s="544"/>
      <c r="E816" s="544" t="s">
        <v>2247</v>
      </c>
      <c r="F816" s="544"/>
      <c r="G816" s="543" t="s">
        <v>3343</v>
      </c>
      <c r="H816" s="541" t="s">
        <v>3757</v>
      </c>
      <c r="I816" s="3"/>
      <c r="J816" s="632"/>
      <c r="K816" s="654" t="s">
        <v>2247</v>
      </c>
      <c r="L816" s="632" t="s">
        <v>2845</v>
      </c>
      <c r="M816" s="616"/>
      <c r="N816" s="609"/>
      <c r="O816" s="609"/>
      <c r="P816" s="562"/>
      <c r="Q816" s="562"/>
      <c r="R816" s="562"/>
      <c r="S816" s="562"/>
      <c r="T816" s="562"/>
      <c r="U816" s="562"/>
      <c r="V816" s="562"/>
      <c r="W816" s="562"/>
      <c r="X816" s="563"/>
      <c r="Y816" s="578" t="str">
        <f>IF(LEN('Ch7'!X47)=0,"None",'Ch7'!X47)</f>
        <v>None</v>
      </c>
      <c r="Z816" s="579"/>
      <c r="AA816" s="562"/>
      <c r="AB816" s="562"/>
      <c r="AC816" s="562"/>
      <c r="AD816" s="562"/>
      <c r="AE816" s="562"/>
      <c r="AF816" s="562"/>
      <c r="AG816" s="562"/>
      <c r="AH816" s="562"/>
      <c r="AI816" s="562"/>
      <c r="AJ816" s="562"/>
      <c r="AK816" s="562"/>
      <c r="AL816" s="562"/>
      <c r="AM816" s="562"/>
      <c r="AN816" s="562"/>
      <c r="AO816" s="562"/>
      <c r="AP816" s="562"/>
      <c r="AQ816" s="562"/>
      <c r="AR816" s="190" t="str">
        <f t="shared" si="234"/>
        <v>vnt701_4_3_1_d</v>
      </c>
      <c r="AS816" s="190">
        <f t="shared" si="235"/>
        <v>0</v>
      </c>
      <c r="AT816" s="562"/>
      <c r="AU816" s="562"/>
      <c r="AV816" s="562"/>
      <c r="AW816" s="562"/>
      <c r="AX816" s="594" t="str">
        <f>'Overview (Verification)'!A33</f>
        <v>Heating Fuel:</v>
      </c>
      <c r="AY816" s="562">
        <f>IF(LEN('Overview (Verification)'!P33)=0,0,'Overview (Verification)'!P33)</f>
        <v>0</v>
      </c>
      <c r="AZ816" s="562"/>
      <c r="BA816" s="562"/>
      <c r="BB816" s="562"/>
      <c r="BC816" s="562"/>
      <c r="BD816" s="562"/>
      <c r="BE816" s="562"/>
      <c r="BF816" s="562"/>
      <c r="BG816" s="562"/>
      <c r="BH816" s="562"/>
      <c r="BI816" s="562"/>
    </row>
    <row r="817" spans="1:61" ht="16" x14ac:dyDescent="0.2">
      <c r="A817" s="541">
        <v>7</v>
      </c>
      <c r="B817" s="551" t="s">
        <v>2838</v>
      </c>
      <c r="C817" s="551"/>
      <c r="D817" s="544"/>
      <c r="E817" s="544" t="s">
        <v>2444</v>
      </c>
      <c r="F817" s="544"/>
      <c r="G817" s="543" t="s">
        <v>3343</v>
      </c>
      <c r="H817" s="541" t="s">
        <v>3757</v>
      </c>
      <c r="I817" s="3"/>
      <c r="J817" s="632"/>
      <c r="K817" s="654" t="s">
        <v>2444</v>
      </c>
      <c r="L817" s="632" t="s">
        <v>2846</v>
      </c>
      <c r="M817" s="616"/>
      <c r="N817" s="609"/>
      <c r="O817" s="609"/>
      <c r="P817" s="562"/>
      <c r="Q817" s="562"/>
      <c r="R817" s="562"/>
      <c r="S817" s="562"/>
      <c r="T817" s="562"/>
      <c r="U817" s="562"/>
      <c r="V817" s="562"/>
      <c r="W817" s="562"/>
      <c r="X817" s="563"/>
      <c r="Y817" s="578" t="str">
        <f>IF(LEN('Ch7'!X48)=0,"None",'Ch7'!X48)</f>
        <v>None</v>
      </c>
      <c r="Z817" s="579"/>
      <c r="AA817" s="562"/>
      <c r="AB817" s="562"/>
      <c r="AC817" s="562"/>
      <c r="AD817" s="562"/>
      <c r="AE817" s="562"/>
      <c r="AF817" s="562"/>
      <c r="AG817" s="562"/>
      <c r="AH817" s="562"/>
      <c r="AI817" s="562"/>
      <c r="AJ817" s="562"/>
      <c r="AK817" s="562"/>
      <c r="AL817" s="562"/>
      <c r="AM817" s="562"/>
      <c r="AN817" s="562"/>
      <c r="AO817" s="562"/>
      <c r="AP817" s="562"/>
      <c r="AQ817" s="562"/>
      <c r="AR817" s="190" t="str">
        <f t="shared" si="234"/>
        <v>vnt701_4_3_1_e</v>
      </c>
      <c r="AS817" s="190">
        <f t="shared" si="235"/>
        <v>0</v>
      </c>
      <c r="AT817" s="562"/>
      <c r="AU817" s="562"/>
      <c r="AV817" s="562"/>
      <c r="AW817" s="562"/>
      <c r="AX817" s="594" t="str">
        <f>'Overview (Verification)'!A34</f>
        <v>Heating Ducts:</v>
      </c>
      <c r="AY817" s="562">
        <f>IF(LEN('Overview (Verification)'!P34)=0,0,'Overview (Verification)'!P34)</f>
        <v>0</v>
      </c>
      <c r="AZ817" s="562"/>
      <c r="BA817" s="562"/>
      <c r="BB817" s="562"/>
      <c r="BC817" s="562"/>
      <c r="BD817" s="562"/>
      <c r="BE817" s="562"/>
      <c r="BF817" s="562"/>
      <c r="BG817" s="562"/>
      <c r="BH817" s="562"/>
      <c r="BI817" s="562"/>
    </row>
    <row r="818" spans="1:61" ht="16" x14ac:dyDescent="0.2">
      <c r="A818" s="541">
        <v>7</v>
      </c>
      <c r="B818" s="551" t="s">
        <v>2838</v>
      </c>
      <c r="C818" s="551"/>
      <c r="D818" s="544"/>
      <c r="E818" s="546" t="s">
        <v>2540</v>
      </c>
      <c r="F818" s="546"/>
      <c r="G818" s="543" t="s">
        <v>3343</v>
      </c>
      <c r="H818" s="547" t="s">
        <v>3757</v>
      </c>
      <c r="I818" s="3"/>
      <c r="J818" s="632"/>
      <c r="K818" s="182" t="s">
        <v>2540</v>
      </c>
      <c r="L818" s="632" t="s">
        <v>2847</v>
      </c>
      <c r="M818" s="616"/>
      <c r="N818" s="609"/>
      <c r="O818" s="609"/>
      <c r="P818" s="562"/>
      <c r="Q818" s="562"/>
      <c r="R818" s="562"/>
      <c r="S818" s="562"/>
      <c r="T818" s="562"/>
      <c r="U818" s="562"/>
      <c r="V818" s="562"/>
      <c r="W818" s="562"/>
      <c r="X818" s="563"/>
      <c r="Y818" s="578" t="str">
        <f>IF(LEN('Ch7'!X49)=0,"None",'Ch7'!X49)</f>
        <v>None</v>
      </c>
      <c r="Z818" s="579"/>
      <c r="AA818" s="562"/>
      <c r="AB818" s="562"/>
      <c r="AC818" s="562"/>
      <c r="AD818" s="562"/>
      <c r="AE818" s="562"/>
      <c r="AF818" s="562"/>
      <c r="AG818" s="562"/>
      <c r="AH818" s="562"/>
      <c r="AI818" s="562"/>
      <c r="AJ818" s="562"/>
      <c r="AK818" s="562"/>
      <c r="AL818" s="562"/>
      <c r="AM818" s="562"/>
      <c r="AN818" s="562"/>
      <c r="AO818" s="562"/>
      <c r="AP818" s="562"/>
      <c r="AQ818" s="562"/>
      <c r="AR818" s="190" t="str">
        <f t="shared" si="234"/>
        <v>vnt701_4_3_1_f</v>
      </c>
      <c r="AS818" s="190">
        <f t="shared" si="235"/>
        <v>0</v>
      </c>
      <c r="AT818" s="562"/>
      <c r="AU818" s="562"/>
      <c r="AV818" s="562"/>
      <c r="AW818" s="562"/>
      <c r="AX818" s="594" t="str">
        <f>'Overview (Verification)'!A35</f>
        <v>Type of Cooling System (main system):</v>
      </c>
      <c r="AY818" s="562">
        <f>IF(LEN('Overview (Verification)'!P35)=0,0,'Overview (Verification)'!P35)</f>
        <v>0</v>
      </c>
      <c r="AZ818" s="562"/>
      <c r="BA818" s="562"/>
      <c r="BB818" s="562"/>
      <c r="BC818" s="562"/>
      <c r="BD818" s="562"/>
      <c r="BE818" s="562"/>
      <c r="BF818" s="562"/>
      <c r="BG818" s="562"/>
      <c r="BH818" s="562"/>
      <c r="BI818" s="562"/>
    </row>
    <row r="819" spans="1:61" ht="16" x14ac:dyDescent="0.2">
      <c r="A819" s="541">
        <v>7</v>
      </c>
      <c r="B819" s="551" t="s">
        <v>2838</v>
      </c>
      <c r="C819" s="551"/>
      <c r="D819" s="544"/>
      <c r="E819" s="544" t="s">
        <v>2542</v>
      </c>
      <c r="F819" s="544"/>
      <c r="G819" s="543" t="s">
        <v>3343</v>
      </c>
      <c r="H819" s="541" t="s">
        <v>3757</v>
      </c>
      <c r="I819" s="3"/>
      <c r="J819" s="632"/>
      <c r="K819" s="654" t="s">
        <v>2542</v>
      </c>
      <c r="L819" s="632" t="s">
        <v>2848</v>
      </c>
      <c r="M819" s="616"/>
      <c r="N819" s="609"/>
      <c r="O819" s="609"/>
      <c r="P819" s="562"/>
      <c r="Q819" s="562"/>
      <c r="R819" s="562"/>
      <c r="S819" s="562"/>
      <c r="T819" s="562"/>
      <c r="U819" s="562"/>
      <c r="V819" s="562"/>
      <c r="W819" s="562"/>
      <c r="X819" s="563"/>
      <c r="Y819" s="578" t="str">
        <f>IF(LEN('Ch7'!X50)=0,"None",'Ch7'!X50)</f>
        <v>None</v>
      </c>
      <c r="Z819" s="579"/>
      <c r="AA819" s="562"/>
      <c r="AB819" s="562"/>
      <c r="AC819" s="562"/>
      <c r="AD819" s="562"/>
      <c r="AE819" s="562"/>
      <c r="AF819" s="562"/>
      <c r="AG819" s="562"/>
      <c r="AH819" s="562"/>
      <c r="AI819" s="562"/>
      <c r="AJ819" s="562"/>
      <c r="AK819" s="562"/>
      <c r="AL819" s="562"/>
      <c r="AM819" s="562"/>
      <c r="AN819" s="562"/>
      <c r="AO819" s="562"/>
      <c r="AP819" s="562"/>
      <c r="AQ819" s="562"/>
      <c r="AR819" s="190" t="str">
        <f t="shared" si="234"/>
        <v>vnt701_4_3_1_g</v>
      </c>
      <c r="AS819" s="190">
        <f t="shared" si="235"/>
        <v>0</v>
      </c>
      <c r="AT819" s="562"/>
      <c r="AU819" s="562"/>
      <c r="AV819" s="562"/>
      <c r="AW819" s="562"/>
      <c r="AX819" s="594" t="str">
        <f>'Overview (Verification)'!A36</f>
        <v>Type of Cooling System (system 2):</v>
      </c>
      <c r="AY819" s="562">
        <f>IF(LEN('Overview (Verification)'!P36)=0,0,'Overview (Verification)'!P36)</f>
        <v>0</v>
      </c>
      <c r="AZ819" s="562"/>
      <c r="BA819" s="562"/>
      <c r="BB819" s="562"/>
      <c r="BC819" s="562"/>
      <c r="BD819" s="562"/>
      <c r="BE819" s="562"/>
      <c r="BF819" s="562"/>
      <c r="BG819" s="562"/>
      <c r="BH819" s="562"/>
      <c r="BI819" s="562"/>
    </row>
    <row r="820" spans="1:61" ht="16" x14ac:dyDescent="0.2">
      <c r="A820" s="541">
        <v>7</v>
      </c>
      <c r="B820" s="551" t="s">
        <v>2838</v>
      </c>
      <c r="C820" s="551"/>
      <c r="D820" s="544"/>
      <c r="E820" s="544" t="s">
        <v>2544</v>
      </c>
      <c r="F820" s="544"/>
      <c r="G820" s="543" t="s">
        <v>3343</v>
      </c>
      <c r="H820" s="541" t="s">
        <v>3757</v>
      </c>
      <c r="I820" s="3"/>
      <c r="J820" s="632"/>
      <c r="K820" s="654" t="s">
        <v>2544</v>
      </c>
      <c r="L820" s="632" t="s">
        <v>2849</v>
      </c>
      <c r="M820" s="616"/>
      <c r="N820" s="609"/>
      <c r="O820" s="609"/>
      <c r="P820" s="562"/>
      <c r="Q820" s="562"/>
      <c r="R820" s="562"/>
      <c r="S820" s="562"/>
      <c r="T820" s="562"/>
      <c r="U820" s="562"/>
      <c r="V820" s="562"/>
      <c r="W820" s="562"/>
      <c r="X820" s="563"/>
      <c r="Y820" s="578" t="str">
        <f>IF(LEN('Ch7'!X51)=0,"None",'Ch7'!X51)</f>
        <v>None</v>
      </c>
      <c r="Z820" s="579"/>
      <c r="AA820" s="562"/>
      <c r="AB820" s="562"/>
      <c r="AC820" s="562"/>
      <c r="AD820" s="562"/>
      <c r="AE820" s="562"/>
      <c r="AF820" s="562"/>
      <c r="AG820" s="562"/>
      <c r="AH820" s="562"/>
      <c r="AI820" s="562"/>
      <c r="AJ820" s="562"/>
      <c r="AK820" s="562"/>
      <c r="AL820" s="562"/>
      <c r="AM820" s="562"/>
      <c r="AN820" s="562"/>
      <c r="AO820" s="562"/>
      <c r="AP820" s="562"/>
      <c r="AQ820" s="562"/>
      <c r="AR820" s="190" t="str">
        <f t="shared" si="234"/>
        <v>vnt701_4_3_1_h</v>
      </c>
      <c r="AS820" s="190">
        <f t="shared" si="235"/>
        <v>0</v>
      </c>
      <c r="AT820" s="562"/>
      <c r="AU820" s="562"/>
      <c r="AV820" s="562"/>
      <c r="AW820" s="562"/>
      <c r="AX820" s="594" t="str">
        <f>'Overview (Verification)'!A37</f>
        <v>Type of Cooling System (system 3):</v>
      </c>
      <c r="AY820" s="562">
        <f>IF(LEN('Overview (Verification)'!P37)=0,0,'Overview (Verification)'!P37)</f>
        <v>0</v>
      </c>
      <c r="AZ820" s="562"/>
      <c r="BA820" s="562"/>
      <c r="BB820" s="562"/>
      <c r="BC820" s="562"/>
      <c r="BD820" s="562"/>
      <c r="BE820" s="562"/>
      <c r="BF820" s="562"/>
      <c r="BG820" s="562"/>
      <c r="BH820" s="562"/>
      <c r="BI820" s="562"/>
    </row>
    <row r="821" spans="1:61" ht="16" x14ac:dyDescent="0.2">
      <c r="A821" s="541">
        <v>7</v>
      </c>
      <c r="B821" s="551" t="s">
        <v>2838</v>
      </c>
      <c r="C821" s="551"/>
      <c r="D821" s="544"/>
      <c r="E821" s="544" t="s">
        <v>2657</v>
      </c>
      <c r="F821" s="544"/>
      <c r="G821" s="543" t="s">
        <v>3343</v>
      </c>
      <c r="H821" s="541" t="s">
        <v>3757</v>
      </c>
      <c r="I821" s="3"/>
      <c r="J821" s="632"/>
      <c r="K821" s="654" t="s">
        <v>2657</v>
      </c>
      <c r="L821" s="632" t="s">
        <v>2850</v>
      </c>
      <c r="M821" s="616"/>
      <c r="N821" s="609"/>
      <c r="O821" s="609"/>
      <c r="P821" s="562"/>
      <c r="Q821" s="562"/>
      <c r="R821" s="562"/>
      <c r="S821" s="562"/>
      <c r="T821" s="562"/>
      <c r="U821" s="562"/>
      <c r="V821" s="562"/>
      <c r="W821" s="562"/>
      <c r="X821" s="563"/>
      <c r="Y821" s="578" t="str">
        <f>IF(LEN('Ch7'!X52)=0,"None",'Ch7'!X52)</f>
        <v>None</v>
      </c>
      <c r="Z821" s="579"/>
      <c r="AA821" s="562"/>
      <c r="AB821" s="562"/>
      <c r="AC821" s="562"/>
      <c r="AD821" s="562"/>
      <c r="AE821" s="562"/>
      <c r="AF821" s="562"/>
      <c r="AG821" s="562"/>
      <c r="AH821" s="562"/>
      <c r="AI821" s="562"/>
      <c r="AJ821" s="562"/>
      <c r="AK821" s="562"/>
      <c r="AL821" s="562"/>
      <c r="AM821" s="562"/>
      <c r="AN821" s="562"/>
      <c r="AO821" s="562"/>
      <c r="AP821" s="562"/>
      <c r="AQ821" s="562"/>
      <c r="AR821" s="190" t="str">
        <f t="shared" si="234"/>
        <v>vnt701_4_3_1_i</v>
      </c>
      <c r="AS821" s="190">
        <f t="shared" si="235"/>
        <v>0</v>
      </c>
      <c r="AT821" s="562"/>
      <c r="AU821" s="562"/>
      <c r="AV821" s="562"/>
      <c r="AW821" s="562"/>
      <c r="AX821" s="594" t="str">
        <f>'Overview (Verification)'!A38</f>
        <v>Cooling Ducts:</v>
      </c>
      <c r="AY821" s="562">
        <f>IF(LEN('Overview (Verification)'!P38)=0,0,'Overview (Verification)'!P38)</f>
        <v>0</v>
      </c>
      <c r="AZ821" s="562"/>
      <c r="BA821" s="562"/>
      <c r="BB821" s="562"/>
      <c r="BC821" s="562"/>
      <c r="BD821" s="562"/>
      <c r="BE821" s="562"/>
      <c r="BF821" s="562"/>
      <c r="BG821" s="562"/>
      <c r="BH821" s="562"/>
      <c r="BI821" s="562"/>
    </row>
    <row r="822" spans="1:61" ht="15" customHeight="1" x14ac:dyDescent="0.2">
      <c r="A822" s="541">
        <v>7</v>
      </c>
      <c r="B822" s="551" t="s">
        <v>2838</v>
      </c>
      <c r="C822" s="551"/>
      <c r="D822" s="544"/>
      <c r="E822" s="544" t="s">
        <v>2851</v>
      </c>
      <c r="F822" s="544"/>
      <c r="G822" s="543" t="s">
        <v>3343</v>
      </c>
      <c r="H822" s="541" t="s">
        <v>3757</v>
      </c>
      <c r="I822" s="3"/>
      <c r="J822" s="632"/>
      <c r="K822" s="654" t="s">
        <v>2851</v>
      </c>
      <c r="L822" s="632" t="s">
        <v>2852</v>
      </c>
      <c r="M822" s="616"/>
      <c r="N822" s="609"/>
      <c r="O822" s="609"/>
      <c r="P822" s="562"/>
      <c r="Q822" s="562"/>
      <c r="R822" s="562"/>
      <c r="S822" s="562"/>
      <c r="T822" s="562"/>
      <c r="U822" s="562"/>
      <c r="V822" s="562"/>
      <c r="W822" s="562"/>
      <c r="X822" s="563"/>
      <c r="Y822" s="578" t="str">
        <f>IF(LEN('Ch7'!X53)=0,"None",'Ch7'!X53)</f>
        <v>None</v>
      </c>
      <c r="Z822" s="579"/>
      <c r="AA822" s="562"/>
      <c r="AB822" s="562"/>
      <c r="AC822" s="562"/>
      <c r="AD822" s="562"/>
      <c r="AE822" s="562"/>
      <c r="AF822" s="562"/>
      <c r="AG822" s="562"/>
      <c r="AH822" s="562"/>
      <c r="AI822" s="562"/>
      <c r="AJ822" s="562"/>
      <c r="AK822" s="562"/>
      <c r="AL822" s="562"/>
      <c r="AM822" s="562"/>
      <c r="AN822" s="562"/>
      <c r="AO822" s="562"/>
      <c r="AP822" s="562"/>
      <c r="AQ822" s="562"/>
      <c r="AR822" s="190" t="str">
        <f t="shared" si="234"/>
        <v>vnt701_4_3_1_j</v>
      </c>
      <c r="AS822" s="190">
        <f t="shared" si="235"/>
        <v>0</v>
      </c>
      <c r="AT822" s="562"/>
      <c r="AU822" s="562"/>
      <c r="AV822" s="562"/>
      <c r="AW822" s="562"/>
      <c r="AX822" s="594"/>
      <c r="AY822" s="562"/>
      <c r="AZ822" s="562"/>
      <c r="BA822" s="562"/>
      <c r="BB822" s="562"/>
      <c r="BC822" s="562"/>
      <c r="BD822" s="562"/>
      <c r="BE822" s="562"/>
      <c r="BF822" s="562"/>
      <c r="BG822" s="562"/>
      <c r="BH822" s="562"/>
      <c r="BI822" s="562"/>
    </row>
    <row r="823" spans="1:61" ht="16" x14ac:dyDescent="0.2">
      <c r="A823" s="541">
        <v>7</v>
      </c>
      <c r="B823" s="551" t="s">
        <v>2838</v>
      </c>
      <c r="C823" s="551"/>
      <c r="D823" s="544"/>
      <c r="E823" s="544" t="s">
        <v>2853</v>
      </c>
      <c r="F823" s="544"/>
      <c r="G823" s="543" t="s">
        <v>3343</v>
      </c>
      <c r="H823" s="541" t="s">
        <v>3757</v>
      </c>
      <c r="I823" s="98"/>
      <c r="J823" s="598"/>
      <c r="K823" s="640" t="s">
        <v>2853</v>
      </c>
      <c r="L823" s="598" t="s">
        <v>2854</v>
      </c>
      <c r="M823" s="610"/>
      <c r="N823" s="607"/>
      <c r="O823" s="607"/>
      <c r="P823" s="64"/>
      <c r="Q823" s="64"/>
      <c r="R823" s="64"/>
      <c r="S823" s="64"/>
      <c r="T823" s="64"/>
      <c r="U823" s="64"/>
      <c r="V823" s="64"/>
      <c r="W823" s="64"/>
      <c r="X823" s="564"/>
      <c r="Y823" s="578" t="str">
        <f>IF(LEN('Ch7'!X54)=0,"None",'Ch7'!X54)</f>
        <v>None</v>
      </c>
      <c r="Z823" s="579"/>
      <c r="AA823" s="562"/>
      <c r="AB823" s="562"/>
      <c r="AC823" s="562"/>
      <c r="AD823" s="562"/>
      <c r="AE823" s="562"/>
      <c r="AF823" s="562"/>
      <c r="AG823" s="562"/>
      <c r="AH823" s="562"/>
      <c r="AI823" s="562"/>
      <c r="AJ823" s="562"/>
      <c r="AK823" s="562"/>
      <c r="AL823" s="562"/>
      <c r="AM823" s="562"/>
      <c r="AN823" s="562"/>
      <c r="AO823" s="562"/>
      <c r="AP823" s="562"/>
      <c r="AQ823" s="562"/>
      <c r="AR823" s="190" t="str">
        <f t="shared" si="234"/>
        <v>vnt701_4_3_1_k</v>
      </c>
      <c r="AS823" s="190">
        <f t="shared" si="235"/>
        <v>0</v>
      </c>
      <c r="AT823" s="562"/>
      <c r="AU823" s="562"/>
      <c r="AV823" s="562"/>
      <c r="AW823" s="562"/>
      <c r="AX823" s="594" t="str">
        <f>'Overview (Verification)'!A40</f>
        <v>Maximum window and door SHGC:</v>
      </c>
      <c r="AY823" s="562">
        <f>IF(LEN('Overview (Verification)'!P40)=0,0,'Overview (Verification)'!P40)</f>
        <v>0</v>
      </c>
      <c r="AZ823" s="562"/>
      <c r="BA823" s="562"/>
      <c r="BB823" s="562"/>
      <c r="BC823" s="562"/>
      <c r="BD823" s="562"/>
      <c r="BE823" s="562"/>
      <c r="BF823" s="562"/>
      <c r="BG823" s="562"/>
      <c r="BH823" s="562"/>
      <c r="BI823" s="562"/>
    </row>
    <row r="824" spans="1:61" ht="16" x14ac:dyDescent="0.2">
      <c r="A824" s="541">
        <v>7</v>
      </c>
      <c r="B824" s="551" t="s">
        <v>2838</v>
      </c>
      <c r="C824" s="551"/>
      <c r="D824" s="544"/>
      <c r="E824" s="544" t="s">
        <v>2855</v>
      </c>
      <c r="F824" s="544"/>
      <c r="G824" s="543" t="s">
        <v>3343</v>
      </c>
      <c r="H824" s="541" t="s">
        <v>3757</v>
      </c>
      <c r="I824" s="165"/>
      <c r="J824" s="599"/>
      <c r="K824" s="641" t="s">
        <v>2855</v>
      </c>
      <c r="L824" s="599" t="s">
        <v>2856</v>
      </c>
      <c r="M824" s="611"/>
      <c r="N824" s="608"/>
      <c r="O824" s="608"/>
      <c r="P824" s="129"/>
      <c r="Q824" s="129"/>
      <c r="R824" s="129"/>
      <c r="S824" s="129"/>
      <c r="T824" s="129"/>
      <c r="U824" s="129"/>
      <c r="V824" s="129"/>
      <c r="W824" s="129"/>
      <c r="X824" s="564"/>
      <c r="Y824" s="578" t="str">
        <f>IF(LEN('Ch7'!X55)=0,"None",'Ch7'!X55)</f>
        <v>None</v>
      </c>
      <c r="Z824" s="579"/>
      <c r="AA824" s="562"/>
      <c r="AB824" s="562"/>
      <c r="AC824" s="562"/>
      <c r="AD824" s="562"/>
      <c r="AE824" s="562"/>
      <c r="AF824" s="562"/>
      <c r="AG824" s="562"/>
      <c r="AH824" s="562"/>
      <c r="AI824" s="562"/>
      <c r="AJ824" s="562"/>
      <c r="AK824" s="562"/>
      <c r="AL824" s="562"/>
      <c r="AM824" s="562"/>
      <c r="AN824" s="562"/>
      <c r="AO824" s="562"/>
      <c r="AP824" s="562"/>
      <c r="AQ824" s="562"/>
      <c r="AR824" s="190" t="str">
        <f t="shared" si="234"/>
        <v>vnt701_4_3_1_l</v>
      </c>
      <c r="AS824" s="190">
        <f t="shared" si="235"/>
        <v>0</v>
      </c>
      <c r="AT824" s="562"/>
      <c r="AU824" s="562"/>
      <c r="AV824" s="562"/>
      <c r="AW824" s="562"/>
      <c r="AX824" s="594" t="str">
        <f>'Overview (Verification)'!A41</f>
        <v>Maximum skylight SHGC:</v>
      </c>
      <c r="AY824" s="562">
        <f>IF(LEN('Overview (Verification)'!P41)=0,0,'Overview (Verification)'!P41)</f>
        <v>0</v>
      </c>
      <c r="AZ824" s="562"/>
      <c r="BA824" s="562"/>
      <c r="BB824" s="562"/>
      <c r="BC824" s="562"/>
      <c r="BD824" s="562"/>
      <c r="BE824" s="562"/>
      <c r="BF824" s="562"/>
      <c r="BG824" s="562"/>
      <c r="BH824" s="562"/>
      <c r="BI824" s="562"/>
    </row>
    <row r="825" spans="1:61" x14ac:dyDescent="0.2">
      <c r="A825" s="541">
        <v>7</v>
      </c>
      <c r="B825" s="551" t="s">
        <v>2857</v>
      </c>
      <c r="C825" s="551"/>
      <c r="D825" s="544"/>
      <c r="E825" s="544"/>
      <c r="F825" s="544"/>
      <c r="G825" s="543" t="s">
        <v>3343</v>
      </c>
      <c r="H825" s="541" t="s">
        <v>3751</v>
      </c>
      <c r="I825" s="41" t="s">
        <v>2858</v>
      </c>
      <c r="J825" s="632"/>
      <c r="K825" s="632"/>
      <c r="L825" s="775" t="s">
        <v>2859</v>
      </c>
      <c r="M825" s="838" t="str">
        <f>IF(R828,"Mandatory","N/A")</f>
        <v>Mandatory</v>
      </c>
      <c r="N825" s="609"/>
      <c r="O825" s="609"/>
      <c r="P825" s="562"/>
      <c r="Q825" s="562"/>
      <c r="R825" s="562"/>
      <c r="S825" s="562"/>
      <c r="T825" s="562"/>
      <c r="U825" s="562"/>
      <c r="V825" s="562"/>
      <c r="W825" s="562" t="s">
        <v>2860</v>
      </c>
      <c r="X825" s="562"/>
      <c r="Y825" s="562"/>
      <c r="Z825" s="430"/>
      <c r="AA825" s="562"/>
      <c r="AB825" s="562"/>
      <c r="AC825" s="562"/>
      <c r="AD825" s="562"/>
      <c r="AE825" s="562"/>
      <c r="AF825" s="562"/>
      <c r="AG825" s="562"/>
      <c r="AH825" s="562"/>
      <c r="AI825" s="562"/>
      <c r="AJ825" s="562"/>
      <c r="AK825" s="562"/>
      <c r="AL825" s="190" t="str">
        <f t="shared" ref="AL825" si="236">SUBSTITUTE(SUBSTITUTE(SUBSTITUTE("vpa"&amp;$B825&amp;$C825&amp;$D825&amp;$E825&amp;$F825,".","_"),"(","_"),")","")</f>
        <v>vpa701_4_3_2</v>
      </c>
      <c r="AM825" s="190" t="str">
        <f>M825</f>
        <v>Mandatory</v>
      </c>
      <c r="AN825" s="562"/>
      <c r="AO825" s="562"/>
      <c r="AP825" s="562"/>
      <c r="AQ825" s="562"/>
      <c r="AR825" s="562"/>
      <c r="AS825" s="562"/>
      <c r="AT825" s="562"/>
      <c r="AU825" s="562"/>
      <c r="AV825" s="562"/>
      <c r="AW825" s="562"/>
      <c r="AX825" s="594" t="str">
        <f>'Overview (Verification)'!A42</f>
        <v>Maximum window and door U-value:</v>
      </c>
      <c r="AY825" s="562">
        <f>IF(LEN('Overview (Verification)'!P42)=0,0,'Overview (Verification)'!P42)</f>
        <v>0</v>
      </c>
      <c r="AZ825" s="562"/>
      <c r="BA825" s="562"/>
      <c r="BB825" s="562"/>
      <c r="BC825" s="562"/>
      <c r="BD825" s="562"/>
      <c r="BE825" s="562"/>
      <c r="BF825" s="562"/>
      <c r="BG825" s="562"/>
      <c r="BH825" s="562"/>
      <c r="BI825" s="562"/>
    </row>
    <row r="826" spans="1:61" x14ac:dyDescent="0.2">
      <c r="A826" s="541">
        <v>7</v>
      </c>
      <c r="B826" s="551" t="s">
        <v>2857</v>
      </c>
      <c r="C826" s="551"/>
      <c r="D826" s="544"/>
      <c r="E826" s="544"/>
      <c r="F826" s="544"/>
      <c r="G826" s="543" t="s">
        <v>3343</v>
      </c>
      <c r="H826" s="541" t="s">
        <v>3751</v>
      </c>
      <c r="I826" s="3"/>
      <c r="J826" s="632"/>
      <c r="K826" s="632"/>
      <c r="L826" s="775"/>
      <c r="M826" s="838"/>
      <c r="N826" s="609"/>
      <c r="O826" s="609"/>
      <c r="P826" s="562" t="b">
        <v>1</v>
      </c>
      <c r="Q826" s="562" t="b">
        <v>1</v>
      </c>
      <c r="R826" s="562" t="b">
        <v>0</v>
      </c>
      <c r="S826" s="562" t="b">
        <v>1</v>
      </c>
      <c r="T826" s="562" t="b">
        <v>0</v>
      </c>
      <c r="U826" s="562"/>
      <c r="V826" s="562"/>
      <c r="W826" s="18"/>
      <c r="X826" s="562"/>
      <c r="Y826" s="562"/>
      <c r="Z826" s="430"/>
      <c r="AA826" s="562"/>
      <c r="AB826" s="562"/>
      <c r="AC826" s="562"/>
      <c r="AD826" s="562"/>
      <c r="AE826" s="562"/>
      <c r="AF826" s="562"/>
      <c r="AG826" s="562"/>
      <c r="AH826" s="562"/>
      <c r="AI826" s="562"/>
      <c r="AJ826" s="562"/>
      <c r="AK826" s="562"/>
      <c r="AL826" s="562"/>
      <c r="AM826" s="562"/>
      <c r="AN826" s="562"/>
      <c r="AO826" s="562"/>
      <c r="AP826" s="190" t="str">
        <f>SUBSTITUTE(SUBSTITUTE(SUBSTITUTE("vch"&amp;$B826&amp;$C826&amp;$D826&amp;$E826&amp;$F826,".","_"),"(","_"),")","")</f>
        <v>vch701_4_3_2</v>
      </c>
      <c r="AQ826" s="190">
        <f>W826</f>
        <v>0</v>
      </c>
      <c r="AR826" s="562"/>
      <c r="AS826" s="562"/>
      <c r="AT826" s="562"/>
      <c r="AU826" s="562"/>
      <c r="AV826" s="562"/>
      <c r="AW826" s="562"/>
      <c r="AX826" s="594" t="str">
        <f>'Overview (Verification)'!A43</f>
        <v>Maximum skylight U-value:</v>
      </c>
      <c r="AY826" s="562">
        <f>IF(LEN('Overview (Verification)'!P43)=0,0,'Overview (Verification)'!P43)</f>
        <v>0</v>
      </c>
      <c r="AZ826" s="562"/>
      <c r="BA826" s="562"/>
      <c r="BB826" s="562"/>
      <c r="BC826" s="562"/>
      <c r="BD826" s="562"/>
      <c r="BE826" s="562"/>
      <c r="BF826" s="562"/>
      <c r="BG826" s="562"/>
      <c r="BH826" s="562"/>
      <c r="BI826" s="562"/>
    </row>
    <row r="827" spans="1:61" x14ac:dyDescent="0.2">
      <c r="A827" s="541">
        <v>7</v>
      </c>
      <c r="B827" s="551" t="s">
        <v>2857</v>
      </c>
      <c r="C827" s="551"/>
      <c r="D827" s="544"/>
      <c r="E827" s="544"/>
      <c r="F827" s="544"/>
      <c r="G827" s="543" t="s">
        <v>3343</v>
      </c>
      <c r="H827" s="541" t="s">
        <v>3751</v>
      </c>
      <c r="I827" s="3"/>
      <c r="J827" s="632"/>
      <c r="K827" s="632"/>
      <c r="L827" s="775"/>
      <c r="M827" s="838"/>
      <c r="N827" s="609"/>
      <c r="O827" s="609"/>
      <c r="P827" s="562"/>
      <c r="Q827" s="562"/>
      <c r="R827" s="562"/>
      <c r="S827" s="562"/>
      <c r="T827" s="562"/>
      <c r="U827" s="562"/>
      <c r="V827" s="562"/>
      <c r="W827" s="562" t="s">
        <v>2861</v>
      </c>
      <c r="X827" s="562"/>
      <c r="Y827" s="562"/>
      <c r="Z827" s="430"/>
      <c r="AA827" s="562"/>
      <c r="AB827" s="562"/>
      <c r="AC827" s="562"/>
      <c r="AD827" s="562"/>
      <c r="AE827" s="562"/>
      <c r="AF827" s="562"/>
      <c r="AG827" s="562"/>
      <c r="AH827" s="562"/>
      <c r="AI827" s="562"/>
      <c r="AJ827" s="562"/>
      <c r="AK827" s="562"/>
      <c r="AL827" s="562"/>
      <c r="AM827" s="562"/>
      <c r="AN827" s="562"/>
      <c r="AO827" s="562"/>
      <c r="AP827" s="562"/>
      <c r="AQ827" s="562"/>
      <c r="AR827" s="562"/>
      <c r="AS827" s="562"/>
      <c r="AT827" s="562"/>
      <c r="AU827" s="562"/>
      <c r="AV827" s="562"/>
      <c r="AW827" s="562"/>
      <c r="AX827" s="594" t="str">
        <f>'Overview (Verification)'!A44</f>
        <v>Renewable Energy:</v>
      </c>
      <c r="AY827" s="562">
        <f>IF(LEN('Overview (Verification)'!P44)=0,0,'Overview (Verification)'!P44)</f>
        <v>0</v>
      </c>
      <c r="AZ827" s="562"/>
      <c r="BA827" s="562"/>
      <c r="BB827" s="562"/>
      <c r="BC827" s="562"/>
      <c r="BD827" s="562"/>
      <c r="BE827" s="562"/>
      <c r="BF827" s="562"/>
      <c r="BG827" s="562"/>
      <c r="BH827" s="562"/>
      <c r="BI827" s="562"/>
    </row>
    <row r="828" spans="1:61" x14ac:dyDescent="0.2">
      <c r="A828" s="541">
        <v>7</v>
      </c>
      <c r="B828" s="551" t="s">
        <v>2857</v>
      </c>
      <c r="C828" s="551"/>
      <c r="D828" s="544" t="s">
        <v>2862</v>
      </c>
      <c r="E828" s="544"/>
      <c r="F828" s="544"/>
      <c r="G828" s="543" t="s">
        <v>3343</v>
      </c>
      <c r="H828" s="541" t="s">
        <v>3751</v>
      </c>
      <c r="I828" s="3"/>
      <c r="J828" s="181" t="s">
        <v>2181</v>
      </c>
      <c r="K828" s="632"/>
      <c r="L828" s="775" t="s">
        <v>2863</v>
      </c>
      <c r="M828" s="616"/>
      <c r="N828" s="609"/>
      <c r="O828" s="609"/>
      <c r="P828" s="64" t="b">
        <v>1</v>
      </c>
      <c r="Q828" s="64" t="b">
        <v>1</v>
      </c>
      <c r="R828" s="562" t="b">
        <f>AND(S828,NOT(OR(AND(BF794=2,BG794="Dry"),BI794="Tropical",W826=TRUE)))</f>
        <v>1</v>
      </c>
      <c r="S828" s="562" t="b">
        <f>AND(NOT(W809),LEN(W831)&lt;=0)</f>
        <v>1</v>
      </c>
      <c r="T828" s="64" t="b">
        <f>IF(AND(NOT(S828),LEN(W828)&gt;0),TRUE,FALSE)</f>
        <v>0</v>
      </c>
      <c r="U828" s="562"/>
      <c r="V828" s="562"/>
      <c r="W828" s="222"/>
      <c r="X828" s="825"/>
      <c r="Y828" s="969" t="str">
        <f>IF(LEN('Ch7'!X59)=0,"None",'Ch7'!X59)</f>
        <v>None</v>
      </c>
      <c r="Z828" s="972"/>
      <c r="AA828" s="562"/>
      <c r="AB828" s="562"/>
      <c r="AC828" s="562" t="b">
        <f>OR(AD828:AE828)</f>
        <v>1</v>
      </c>
      <c r="AD828" s="562" t="b">
        <f>T828</f>
        <v>0</v>
      </c>
      <c r="AE828" s="562" t="b">
        <f>AND(R828,LEN(W828)=0)</f>
        <v>1</v>
      </c>
      <c r="AF828" s="562" t="b">
        <f>AND(AE828,NOT(Q828))</f>
        <v>0</v>
      </c>
      <c r="AG828" s="562"/>
      <c r="AH828" s="562"/>
      <c r="AI828" s="562"/>
      <c r="AJ828" s="562"/>
      <c r="AK828" s="562"/>
      <c r="AL828" s="562"/>
      <c r="AM828" s="562"/>
      <c r="AN828" s="562"/>
      <c r="AO828" s="562"/>
      <c r="AP828" s="190" t="str">
        <f>SUBSTITUTE(SUBSTITUTE(SUBSTITUTE("vch"&amp;$B828&amp;$C828&amp;$D828&amp;$E828&amp;$F828,".","_"),"(","_"),")","")</f>
        <v>vch701_4_3_2_1_</v>
      </c>
      <c r="AQ828" s="190">
        <f>W828</f>
        <v>0</v>
      </c>
      <c r="AR828" s="190" t="str">
        <f>SUBSTITUTE(SUBSTITUTE(SUBSTITUTE("vnt"&amp;$B828&amp;$C828&amp;$D828&amp;$E828&amp;$F828,".","_"),"(","_"),")","")</f>
        <v>vnt701_4_3_2_1_</v>
      </c>
      <c r="AS828" s="190">
        <f>X828</f>
        <v>0</v>
      </c>
      <c r="AT828" s="562"/>
      <c r="AU828" s="562"/>
      <c r="AV828" s="562"/>
      <c r="AW828" s="562"/>
      <c r="AX828" s="594" t="str">
        <f>'Overview (Verification)'!A45</f>
        <v>Thermal Envelope Insulation:</v>
      </c>
      <c r="AY828" s="562">
        <f>IF(LEN('Overview (Verification)'!P45)=0,0,'Overview (Verification)'!P45)</f>
        <v>0</v>
      </c>
      <c r="AZ828" s="562"/>
      <c r="BA828" s="562"/>
      <c r="BB828" s="562"/>
      <c r="BC828" s="562"/>
      <c r="BD828" s="562"/>
      <c r="BE828" s="562"/>
      <c r="BF828" s="562"/>
      <c r="BG828" s="562"/>
      <c r="BH828" s="562"/>
      <c r="BI828" s="562"/>
    </row>
    <row r="829" spans="1:61" x14ac:dyDescent="0.2">
      <c r="A829" s="541">
        <v>7</v>
      </c>
      <c r="B829" s="551" t="s">
        <v>2857</v>
      </c>
      <c r="C829" s="551"/>
      <c r="D829" s="544" t="s">
        <v>2181</v>
      </c>
      <c r="E829" s="544"/>
      <c r="F829" s="544"/>
      <c r="G829" s="543" t="s">
        <v>3343</v>
      </c>
      <c r="H829" s="541" t="s">
        <v>3751</v>
      </c>
      <c r="I829" s="3"/>
      <c r="J829" s="632"/>
      <c r="K829" s="632"/>
      <c r="L829" s="775"/>
      <c r="M829" s="616"/>
      <c r="N829" s="609"/>
      <c r="O829" s="609"/>
      <c r="P829" s="562"/>
      <c r="Q829" s="562"/>
      <c r="R829" s="562"/>
      <c r="S829" s="562"/>
      <c r="T829" s="562"/>
      <c r="U829" s="562"/>
      <c r="V829" s="562"/>
      <c r="W829" s="562"/>
      <c r="X829" s="797"/>
      <c r="Y829" s="970"/>
      <c r="Z829" s="973"/>
      <c r="AA829" s="562"/>
      <c r="AB829" s="562"/>
      <c r="AC829" s="562"/>
      <c r="AD829" s="562"/>
      <c r="AE829" s="562"/>
      <c r="AF829" s="562"/>
      <c r="AG829" s="562"/>
      <c r="AH829" s="562"/>
      <c r="AI829" s="562"/>
      <c r="AJ829" s="562"/>
      <c r="AK829" s="562"/>
      <c r="AL829" s="562"/>
      <c r="AM829" s="562"/>
      <c r="AN829" s="562"/>
      <c r="AO829" s="562"/>
      <c r="AP829" s="562"/>
      <c r="AQ829" s="562"/>
      <c r="AR829" s="562"/>
      <c r="AS829" s="562"/>
      <c r="AT829" s="562"/>
      <c r="AU829" s="562"/>
      <c r="AV829" s="562"/>
      <c r="AW829" s="562"/>
      <c r="AX829" s="594" t="str">
        <f>'Overview (Verification)'!A46</f>
        <v>Attic Type:</v>
      </c>
      <c r="AY829" s="562">
        <f>IF(LEN('Overview (Verification)'!P46)=0,0,'Overview (Verification)'!P46)</f>
        <v>0</v>
      </c>
      <c r="AZ829" s="562"/>
      <c r="BA829" s="562"/>
      <c r="BB829" s="562"/>
      <c r="BC829" s="562"/>
      <c r="BD829" s="562"/>
      <c r="BE829" s="562"/>
      <c r="BF829" s="562"/>
      <c r="BG829" s="562"/>
      <c r="BH829" s="562"/>
      <c r="BI829" s="562"/>
    </row>
    <row r="830" spans="1:61" x14ac:dyDescent="0.2">
      <c r="A830" s="541">
        <v>7</v>
      </c>
      <c r="B830" s="551" t="s">
        <v>2857</v>
      </c>
      <c r="C830" s="551"/>
      <c r="D830" s="544" t="s">
        <v>2181</v>
      </c>
      <c r="E830" s="544"/>
      <c r="F830" s="544"/>
      <c r="G830" s="543" t="s">
        <v>3343</v>
      </c>
      <c r="H830" s="541" t="s">
        <v>3751</v>
      </c>
      <c r="I830" s="3"/>
      <c r="J830" s="632"/>
      <c r="K830" s="632"/>
      <c r="L830" s="775"/>
      <c r="M830" s="616"/>
      <c r="N830" s="609"/>
      <c r="O830" s="609"/>
      <c r="P830" s="64"/>
      <c r="Q830" s="64"/>
      <c r="R830" s="562"/>
      <c r="S830" s="562"/>
      <c r="T830" s="562"/>
      <c r="U830" s="562"/>
      <c r="V830" s="562"/>
      <c r="W830" s="562" t="s">
        <v>2864</v>
      </c>
      <c r="X830" s="786"/>
      <c r="Y830" s="975"/>
      <c r="Z830" s="976"/>
      <c r="AA830" s="562"/>
      <c r="AB830" s="562"/>
      <c r="AC830" s="562"/>
      <c r="AD830" s="562"/>
      <c r="AE830" s="562"/>
      <c r="AF830" s="562"/>
      <c r="AG830" s="562"/>
      <c r="AH830" s="562"/>
      <c r="AI830" s="562"/>
      <c r="AJ830" s="562"/>
      <c r="AK830" s="562"/>
      <c r="AL830" s="562"/>
      <c r="AM830" s="562"/>
      <c r="AN830" s="562"/>
      <c r="AO830" s="562"/>
      <c r="AP830" s="562"/>
      <c r="AQ830" s="562"/>
      <c r="AR830" s="562"/>
      <c r="AS830" s="562"/>
      <c r="AT830" s="562"/>
      <c r="AU830" s="562"/>
      <c r="AV830" s="562"/>
      <c r="AW830" s="562"/>
      <c r="AX830" s="594" t="str">
        <f>'Overview (Verification)'!A47</f>
        <v>Attached Garage:</v>
      </c>
      <c r="AY830" s="562">
        <f>IF(LEN('Overview (Verification)'!P47)=0,0,'Overview (Verification)'!P47)</f>
        <v>0</v>
      </c>
      <c r="AZ830" s="562"/>
      <c r="BA830" s="562"/>
      <c r="BB830" s="562"/>
      <c r="BC830" s="562"/>
      <c r="BD830" s="562"/>
      <c r="BE830" s="562"/>
      <c r="BF830" s="562"/>
      <c r="BG830" s="562"/>
      <c r="BH830" s="562"/>
      <c r="BI830" s="562"/>
    </row>
    <row r="831" spans="1:61" x14ac:dyDescent="0.2">
      <c r="A831" s="541">
        <v>7</v>
      </c>
      <c r="B831" s="551" t="s">
        <v>2857</v>
      </c>
      <c r="C831" s="551"/>
      <c r="D831" s="544" t="s">
        <v>2337</v>
      </c>
      <c r="E831" s="544"/>
      <c r="F831" s="544"/>
      <c r="G831" s="543" t="s">
        <v>3343</v>
      </c>
      <c r="H831" s="541" t="s">
        <v>3751</v>
      </c>
      <c r="I831" s="3"/>
      <c r="J831" s="632"/>
      <c r="K831" s="632"/>
      <c r="L831" s="775"/>
      <c r="M831" s="616"/>
      <c r="N831" s="609"/>
      <c r="O831" s="609"/>
      <c r="P831" s="64" t="b">
        <v>1</v>
      </c>
      <c r="Q831" s="64" t="b">
        <v>1</v>
      </c>
      <c r="R831" s="562" t="b">
        <f>AND(S831,NOT(OR(AND(BF794=2,BG794="Dry"),BI794="Tropical",W826=TRUE)))</f>
        <v>1</v>
      </c>
      <c r="S831" s="562" t="b">
        <f>AND(NOT(W809),LEN(W828)&lt;=0)</f>
        <v>1</v>
      </c>
      <c r="T831" s="64" t="b">
        <f>IF(AND(NOT(S831),LEN(W831)&gt;0),TRUE,FALSE)</f>
        <v>0</v>
      </c>
      <c r="U831" s="562"/>
      <c r="V831" s="562"/>
      <c r="W831" s="222"/>
      <c r="X831" s="825"/>
      <c r="Y831" s="969" t="str">
        <f>IF(LEN('Ch7'!X62)=0,"None",'Ch7'!X62)</f>
        <v>None</v>
      </c>
      <c r="Z831" s="972"/>
      <c r="AA831" s="562"/>
      <c r="AB831" s="562"/>
      <c r="AC831" s="562" t="b">
        <f>OR(AD831:AE831)</f>
        <v>1</v>
      </c>
      <c r="AD831" s="562" t="b">
        <f>T831</f>
        <v>0</v>
      </c>
      <c r="AE831" s="562" t="b">
        <f>AND(R831,LEN(W831)=0)</f>
        <v>1</v>
      </c>
      <c r="AF831" s="562" t="b">
        <f>AND(AE831,NOT(Q831))</f>
        <v>0</v>
      </c>
      <c r="AG831" s="562"/>
      <c r="AH831" s="562"/>
      <c r="AI831" s="562"/>
      <c r="AJ831" s="562"/>
      <c r="AK831" s="562"/>
      <c r="AL831" s="562"/>
      <c r="AM831" s="562"/>
      <c r="AN831" s="562"/>
      <c r="AO831" s="562"/>
      <c r="AP831" s="190" t="str">
        <f>SUBSTITUTE(SUBSTITUTE(SUBSTITUTE("vch"&amp;$B831&amp;$C831&amp;$D831&amp;$E831&amp;$F831,".","_"),"(","_"),")","")</f>
        <v>vch701_4_3_2e</v>
      </c>
      <c r="AQ831" s="190">
        <f>W831</f>
        <v>0</v>
      </c>
      <c r="AR831" s="190" t="str">
        <f>SUBSTITUTE(SUBSTITUTE(SUBSTITUTE("vnt"&amp;$B831&amp;$C831&amp;$D831&amp;$E831&amp;$F831,".","_"),"(","_"),")","")</f>
        <v>vnt701_4_3_2e</v>
      </c>
      <c r="AS831" s="190">
        <f>X831</f>
        <v>0</v>
      </c>
      <c r="AT831" s="562"/>
      <c r="AU831" s="562"/>
      <c r="AV831" s="562"/>
      <c r="AW831" s="562"/>
      <c r="AX831" s="594" t="str">
        <f>'Overview (Verification)'!A48</f>
        <v>Recessed Lighting:</v>
      </c>
      <c r="AY831" s="562">
        <f>IF(LEN('Overview (Verification)'!P48)=0,0,'Overview (Verification)'!P48)</f>
        <v>0</v>
      </c>
      <c r="AZ831" s="562"/>
      <c r="BA831" s="562"/>
      <c r="BB831" s="562"/>
      <c r="BC831" s="562"/>
      <c r="BD831" s="562"/>
      <c r="BE831" s="562"/>
      <c r="BF831" s="562"/>
      <c r="BG831" s="562"/>
      <c r="BH831" s="562"/>
      <c r="BI831" s="562"/>
    </row>
    <row r="832" spans="1:61" x14ac:dyDescent="0.2">
      <c r="A832" s="541">
        <v>7</v>
      </c>
      <c r="B832" s="551" t="s">
        <v>2857</v>
      </c>
      <c r="C832" s="551"/>
      <c r="D832" s="544" t="s">
        <v>2181</v>
      </c>
      <c r="E832" s="544"/>
      <c r="F832" s="544"/>
      <c r="G832" s="543" t="s">
        <v>3343</v>
      </c>
      <c r="H832" s="541" t="s">
        <v>3751</v>
      </c>
      <c r="I832" s="3"/>
      <c r="J832" s="632"/>
      <c r="K832" s="632"/>
      <c r="L832" s="775"/>
      <c r="M832" s="616"/>
      <c r="N832" s="609"/>
      <c r="O832" s="609"/>
      <c r="P832" s="562"/>
      <c r="Q832" s="562"/>
      <c r="R832" s="562"/>
      <c r="S832" s="562"/>
      <c r="T832" s="562"/>
      <c r="U832" s="562"/>
      <c r="V832" s="562"/>
      <c r="W832" s="562"/>
      <c r="X832" s="786"/>
      <c r="Y832" s="975"/>
      <c r="Z832" s="976"/>
      <c r="AA832" s="562"/>
      <c r="AB832" s="562"/>
      <c r="AC832" s="562"/>
      <c r="AD832" s="562"/>
      <c r="AE832" s="562"/>
      <c r="AF832" s="562"/>
      <c r="AG832" s="562"/>
      <c r="AH832" s="562"/>
      <c r="AI832" s="562"/>
      <c r="AJ832" s="562"/>
      <c r="AK832" s="562"/>
      <c r="AL832" s="562"/>
      <c r="AM832" s="562"/>
      <c r="AN832" s="562"/>
      <c r="AO832" s="562"/>
      <c r="AP832" s="562"/>
      <c r="AQ832" s="562"/>
      <c r="AR832" s="562"/>
      <c r="AS832" s="562"/>
      <c r="AT832" s="562"/>
      <c r="AU832" s="562"/>
      <c r="AV832" s="562"/>
      <c r="AW832" s="562"/>
      <c r="AX832" s="594"/>
      <c r="AY832" s="562"/>
      <c r="AZ832" s="562"/>
      <c r="BA832" s="562"/>
      <c r="BB832" s="562"/>
      <c r="BC832" s="562"/>
      <c r="BD832" s="562"/>
      <c r="BE832" s="562"/>
      <c r="BF832" s="562"/>
      <c r="BG832" s="562"/>
      <c r="BH832" s="562"/>
      <c r="BI832" s="562"/>
    </row>
    <row r="833" spans="1:61" ht="16" x14ac:dyDescent="0.2">
      <c r="A833" s="541">
        <v>7</v>
      </c>
      <c r="B833" s="551" t="s">
        <v>2857</v>
      </c>
      <c r="C833" s="551"/>
      <c r="D833" s="544" t="s">
        <v>2181</v>
      </c>
      <c r="E833" s="544" t="s">
        <v>2196</v>
      </c>
      <c r="F833" s="544"/>
      <c r="G833" s="543" t="s">
        <v>3343</v>
      </c>
      <c r="H833" s="541" t="s">
        <v>3751</v>
      </c>
      <c r="I833" s="3"/>
      <c r="J833" s="632"/>
      <c r="K833" s="181" t="s">
        <v>2196</v>
      </c>
      <c r="L833" s="632" t="s">
        <v>2865</v>
      </c>
      <c r="M833" s="616"/>
      <c r="N833" s="609"/>
      <c r="O833" s="609"/>
      <c r="P833" s="562"/>
      <c r="Q833" s="562"/>
      <c r="R833" s="562"/>
      <c r="S833" s="562"/>
      <c r="T833" s="562"/>
      <c r="U833" s="562"/>
      <c r="V833" s="562"/>
      <c r="W833" s="562"/>
      <c r="X833" s="563"/>
      <c r="Y833" s="578" t="str">
        <f>IF(LEN('Ch7'!X64)=0,"None",'Ch7'!X64)</f>
        <v>None</v>
      </c>
      <c r="Z833" s="579"/>
      <c r="AA833" s="562"/>
      <c r="AB833" s="562"/>
      <c r="AC833" s="562"/>
      <c r="AD833" s="562"/>
      <c r="AE833" s="562"/>
      <c r="AF833" s="562"/>
      <c r="AG833" s="562"/>
      <c r="AH833" s="562"/>
      <c r="AI833" s="562"/>
      <c r="AJ833" s="562"/>
      <c r="AK833" s="562"/>
      <c r="AL833" s="562"/>
      <c r="AM833" s="562"/>
      <c r="AN833" s="562"/>
      <c r="AO833" s="562"/>
      <c r="AP833" s="562"/>
      <c r="AQ833" s="562"/>
      <c r="AR833" s="190" t="str">
        <f t="shared" ref="AR833:AR834" si="237">SUBSTITUTE(SUBSTITUTE(SUBSTITUTE("vnt"&amp;$B833&amp;$C833&amp;$D833&amp;$E833&amp;$F833,".","_"),"(","_"),")","")</f>
        <v>vnt701_4_3_2_1_a</v>
      </c>
      <c r="AS833" s="190">
        <f>X833</f>
        <v>0</v>
      </c>
      <c r="AT833" s="562"/>
      <c r="AU833" s="562"/>
      <c r="AV833" s="562"/>
      <c r="AW833" s="562"/>
      <c r="AX833" s="594"/>
      <c r="AY833" s="562"/>
      <c r="AZ833" s="562"/>
      <c r="BA833" s="562"/>
      <c r="BB833" s="562"/>
      <c r="BC833" s="562"/>
      <c r="BD833" s="562"/>
      <c r="BE833" s="562"/>
      <c r="BF833" s="562"/>
      <c r="BG833" s="562"/>
      <c r="BH833" s="562"/>
      <c r="BI833" s="562"/>
    </row>
    <row r="834" spans="1:61" x14ac:dyDescent="0.2">
      <c r="A834" s="541">
        <v>7</v>
      </c>
      <c r="B834" s="551" t="s">
        <v>2857</v>
      </c>
      <c r="C834" s="551"/>
      <c r="D834" s="544" t="s">
        <v>2181</v>
      </c>
      <c r="E834" s="544" t="s">
        <v>2198</v>
      </c>
      <c r="F834" s="544"/>
      <c r="G834" s="543" t="s">
        <v>3343</v>
      </c>
      <c r="H834" s="541" t="s">
        <v>3751</v>
      </c>
      <c r="I834" s="3"/>
      <c r="J834" s="632"/>
      <c r="K834" s="181" t="s">
        <v>2198</v>
      </c>
      <c r="L834" s="817" t="s">
        <v>2866</v>
      </c>
      <c r="M834" s="616"/>
      <c r="N834" s="609"/>
      <c r="O834" s="609"/>
      <c r="P834" s="562"/>
      <c r="Q834" s="562"/>
      <c r="R834" s="562"/>
      <c r="S834" s="562"/>
      <c r="T834" s="562"/>
      <c r="U834" s="562"/>
      <c r="V834" s="562"/>
      <c r="W834" s="562"/>
      <c r="X834" s="787"/>
      <c r="Y834" s="980" t="str">
        <f>IF(LEN('Ch7'!X65)=0,"None",'Ch7'!X65)</f>
        <v>None</v>
      </c>
      <c r="Z834" s="983"/>
      <c r="AA834" s="562"/>
      <c r="AB834" s="562"/>
      <c r="AC834" s="562"/>
      <c r="AD834" s="562"/>
      <c r="AE834" s="562"/>
      <c r="AF834" s="562"/>
      <c r="AG834" s="562"/>
      <c r="AH834" s="562"/>
      <c r="AI834" s="562"/>
      <c r="AJ834" s="562"/>
      <c r="AK834" s="562"/>
      <c r="AL834" s="562"/>
      <c r="AM834" s="562"/>
      <c r="AN834" s="562"/>
      <c r="AO834" s="562"/>
      <c r="AP834" s="562"/>
      <c r="AQ834" s="562"/>
      <c r="AR834" s="190" t="str">
        <f t="shared" si="237"/>
        <v>vnt701_4_3_2_1_b</v>
      </c>
      <c r="AS834" s="190">
        <f>X834</f>
        <v>0</v>
      </c>
      <c r="AT834" s="562"/>
      <c r="AU834" s="562"/>
      <c r="AV834" s="562"/>
      <c r="AW834" s="562"/>
      <c r="AX834" s="594" t="str">
        <f>'Overview (Verification)'!A51</f>
        <v>Passive Solar:</v>
      </c>
      <c r="AY834" s="562">
        <f>IF(LEN('Overview (Verification)'!P51)=0,0,'Overview (Verification)'!P51)</f>
        <v>0</v>
      </c>
      <c r="AZ834" s="562"/>
      <c r="BA834" s="562"/>
      <c r="BB834" s="562"/>
      <c r="BC834" s="562"/>
      <c r="BD834" s="562"/>
      <c r="BE834" s="562"/>
      <c r="BF834" s="562"/>
      <c r="BG834" s="562"/>
      <c r="BH834" s="562"/>
      <c r="BI834" s="562"/>
    </row>
    <row r="835" spans="1:61" x14ac:dyDescent="0.2">
      <c r="A835" s="541">
        <v>7</v>
      </c>
      <c r="B835" s="551" t="s">
        <v>2857</v>
      </c>
      <c r="C835" s="551"/>
      <c r="D835" s="544" t="s">
        <v>2181</v>
      </c>
      <c r="E835" s="544" t="s">
        <v>2198</v>
      </c>
      <c r="F835" s="544"/>
      <c r="G835" s="543" t="s">
        <v>3343</v>
      </c>
      <c r="H835" s="541" t="s">
        <v>3751</v>
      </c>
      <c r="I835" s="3"/>
      <c r="J835" s="632"/>
      <c r="K835" s="181"/>
      <c r="L835" s="817"/>
      <c r="M835" s="616"/>
      <c r="N835" s="609"/>
      <c r="O835" s="609"/>
      <c r="P835" s="562"/>
      <c r="Q835" s="562"/>
      <c r="R835" s="562"/>
      <c r="S835" s="562"/>
      <c r="T835" s="562"/>
      <c r="U835" s="562"/>
      <c r="V835" s="562"/>
      <c r="W835" s="562"/>
      <c r="X835" s="787"/>
      <c r="Y835" s="980"/>
      <c r="Z835" s="983"/>
      <c r="AA835" s="562"/>
      <c r="AB835" s="562"/>
      <c r="AC835" s="562"/>
      <c r="AD835" s="562"/>
      <c r="AE835" s="562"/>
      <c r="AF835" s="562"/>
      <c r="AG835" s="562"/>
      <c r="AH835" s="562"/>
      <c r="AI835" s="562"/>
      <c r="AJ835" s="562"/>
      <c r="AK835" s="562"/>
      <c r="AL835" s="562"/>
      <c r="AM835" s="562"/>
      <c r="AN835" s="562"/>
      <c r="AO835" s="562"/>
      <c r="AP835" s="562"/>
      <c r="AQ835" s="562"/>
      <c r="AR835" s="562"/>
      <c r="AS835" s="562"/>
      <c r="AT835" s="562"/>
      <c r="AU835" s="562"/>
      <c r="AV835" s="562"/>
      <c r="AW835" s="562"/>
      <c r="AX835" s="594" t="str">
        <f>'Overview (Verification)'!A52</f>
        <v>Mass Walls:</v>
      </c>
      <c r="AY835" s="562">
        <f>IF(LEN('Overview (Verification)'!P52)=0,0,'Overview (Verification)'!P52)</f>
        <v>0</v>
      </c>
      <c r="AZ835" s="562"/>
      <c r="BA835" s="562"/>
      <c r="BB835" s="562"/>
      <c r="BC835" s="562"/>
      <c r="BD835" s="562"/>
      <c r="BE835" s="562"/>
      <c r="BF835" s="562"/>
      <c r="BG835" s="562"/>
      <c r="BH835" s="562"/>
      <c r="BI835" s="562"/>
    </row>
    <row r="836" spans="1:61" ht="16" x14ac:dyDescent="0.2">
      <c r="A836" s="541">
        <v>7</v>
      </c>
      <c r="B836" s="551" t="s">
        <v>2857</v>
      </c>
      <c r="C836" s="551"/>
      <c r="D836" s="544" t="s">
        <v>2181</v>
      </c>
      <c r="E836" s="546" t="s">
        <v>2200</v>
      </c>
      <c r="F836" s="546"/>
      <c r="G836" s="543" t="s">
        <v>3343</v>
      </c>
      <c r="H836" s="541" t="s">
        <v>3751</v>
      </c>
      <c r="I836" s="3"/>
      <c r="J836" s="632"/>
      <c r="K836" s="182" t="s">
        <v>2200</v>
      </c>
      <c r="L836" s="632" t="s">
        <v>2867</v>
      </c>
      <c r="M836" s="616"/>
      <c r="N836" s="609"/>
      <c r="O836" s="609"/>
      <c r="P836" s="562"/>
      <c r="Q836" s="562"/>
      <c r="R836" s="562"/>
      <c r="S836" s="562"/>
      <c r="T836" s="562"/>
      <c r="U836" s="562"/>
      <c r="V836" s="562"/>
      <c r="W836" s="562"/>
      <c r="X836" s="563"/>
      <c r="Y836" s="578" t="str">
        <f>IF(LEN('Ch7'!X67)=0,"None",'Ch7'!X67)</f>
        <v>None</v>
      </c>
      <c r="Z836" s="579"/>
      <c r="AA836" s="562"/>
      <c r="AB836" s="562"/>
      <c r="AC836" s="562"/>
      <c r="AD836" s="562"/>
      <c r="AE836" s="562"/>
      <c r="AF836" s="562"/>
      <c r="AG836" s="562"/>
      <c r="AH836" s="562"/>
      <c r="AI836" s="562"/>
      <c r="AJ836" s="562"/>
      <c r="AK836" s="562"/>
      <c r="AL836" s="562"/>
      <c r="AM836" s="562"/>
      <c r="AN836" s="562"/>
      <c r="AO836" s="562"/>
      <c r="AP836" s="562"/>
      <c r="AQ836" s="562"/>
      <c r="AR836" s="190" t="str">
        <f t="shared" ref="AR836:AR837" si="238">SUBSTITUTE(SUBSTITUTE(SUBSTITUTE("vnt"&amp;$B836&amp;$C836&amp;$D836&amp;$E836&amp;$F836,".","_"),"(","_"),")","")</f>
        <v>vnt701_4_3_2_1_c</v>
      </c>
      <c r="AS836" s="190">
        <f>X836</f>
        <v>0</v>
      </c>
      <c r="AT836" s="562"/>
      <c r="AU836" s="562"/>
      <c r="AV836" s="562"/>
      <c r="AW836" s="562"/>
      <c r="AX836" s="594" t="str">
        <f>'Overview (Verification)'!A53</f>
        <v>Ductless:</v>
      </c>
      <c r="AY836" s="562">
        <f>IF(LEN('Overview (Verification)'!P53)=0,0,'Overview (Verification)'!P53)</f>
        <v>0</v>
      </c>
      <c r="AZ836" s="562"/>
      <c r="BA836" s="562"/>
      <c r="BB836" s="562"/>
      <c r="BC836" s="562"/>
      <c r="BD836" s="562"/>
      <c r="BE836" s="562"/>
      <c r="BF836" s="562"/>
      <c r="BG836" s="562"/>
      <c r="BH836" s="562"/>
      <c r="BI836" s="562"/>
    </row>
    <row r="837" spans="1:61" x14ac:dyDescent="0.2">
      <c r="A837" s="541">
        <v>7</v>
      </c>
      <c r="B837" s="551" t="s">
        <v>2857</v>
      </c>
      <c r="C837" s="551"/>
      <c r="D837" s="544" t="s">
        <v>2181</v>
      </c>
      <c r="E837" s="544" t="s">
        <v>2247</v>
      </c>
      <c r="F837" s="544"/>
      <c r="G837" s="543" t="s">
        <v>3343</v>
      </c>
      <c r="H837" s="541" t="s">
        <v>3751</v>
      </c>
      <c r="I837" s="3"/>
      <c r="J837" s="632"/>
      <c r="K837" s="654" t="s">
        <v>2247</v>
      </c>
      <c r="L837" s="817" t="s">
        <v>2868</v>
      </c>
      <c r="M837" s="616"/>
      <c r="N837" s="609"/>
      <c r="O837" s="609"/>
      <c r="P837" s="562"/>
      <c r="Q837" s="562"/>
      <c r="R837" s="562"/>
      <c r="S837" s="562"/>
      <c r="T837" s="562"/>
      <c r="U837" s="562"/>
      <c r="V837" s="562"/>
      <c r="W837" s="562"/>
      <c r="X837" s="787"/>
      <c r="Y837" s="980" t="str">
        <f>IF(LEN('Ch7'!X68)=0,"None",'Ch7'!X68)</f>
        <v>None</v>
      </c>
      <c r="Z837" s="983"/>
      <c r="AA837" s="562"/>
      <c r="AB837" s="562"/>
      <c r="AC837" s="562"/>
      <c r="AD837" s="562"/>
      <c r="AE837" s="562"/>
      <c r="AF837" s="562"/>
      <c r="AG837" s="562"/>
      <c r="AH837" s="562"/>
      <c r="AI837" s="562"/>
      <c r="AJ837" s="562"/>
      <c r="AK837" s="562"/>
      <c r="AL837" s="562"/>
      <c r="AM837" s="562"/>
      <c r="AN837" s="562"/>
      <c r="AO837" s="562"/>
      <c r="AP837" s="562"/>
      <c r="AQ837" s="562"/>
      <c r="AR837" s="190" t="str">
        <f t="shared" si="238"/>
        <v>vnt701_4_3_2_1_d</v>
      </c>
      <c r="AS837" s="190">
        <f>X837</f>
        <v>0</v>
      </c>
      <c r="AT837" s="562"/>
      <c r="AU837" s="562"/>
      <c r="AV837" s="562"/>
      <c r="AW837" s="562"/>
      <c r="AX837" s="594" t="str">
        <f>'Overview (Verification)'!A54</f>
        <v>Radiant/Hydronic:</v>
      </c>
      <c r="AY837" s="562">
        <f>IF(LEN('Overview (Verification)'!P54)=0,0,'Overview (Verification)'!P54)</f>
        <v>0</v>
      </c>
      <c r="AZ837" s="562"/>
      <c r="BA837" s="562"/>
      <c r="BB837" s="562"/>
      <c r="BC837" s="562"/>
      <c r="BD837" s="562"/>
      <c r="BE837" s="562"/>
      <c r="BF837" s="562"/>
      <c r="BG837" s="562"/>
      <c r="BH837" s="562"/>
      <c r="BI837" s="562"/>
    </row>
    <row r="838" spans="1:61" x14ac:dyDescent="0.2">
      <c r="A838" s="541">
        <v>7</v>
      </c>
      <c r="B838" s="551" t="s">
        <v>2857</v>
      </c>
      <c r="C838" s="551"/>
      <c r="D838" s="544" t="s">
        <v>2181</v>
      </c>
      <c r="E838" s="544" t="s">
        <v>2247</v>
      </c>
      <c r="F838" s="544"/>
      <c r="G838" s="543" t="s">
        <v>3343</v>
      </c>
      <c r="H838" s="541" t="s">
        <v>3751</v>
      </c>
      <c r="I838" s="3"/>
      <c r="J838" s="632"/>
      <c r="K838" s="654"/>
      <c r="L838" s="817"/>
      <c r="M838" s="616"/>
      <c r="N838" s="609"/>
      <c r="O838" s="609"/>
      <c r="P838" s="562"/>
      <c r="Q838" s="562"/>
      <c r="R838" s="562"/>
      <c r="S838" s="562"/>
      <c r="T838" s="562"/>
      <c r="U838" s="562"/>
      <c r="V838" s="562"/>
      <c r="W838" s="562"/>
      <c r="X838" s="787"/>
      <c r="Y838" s="980"/>
      <c r="Z838" s="983"/>
      <c r="AA838" s="562"/>
      <c r="AB838" s="562"/>
      <c r="AC838" s="562"/>
      <c r="AD838" s="562"/>
      <c r="AE838" s="562"/>
      <c r="AF838" s="562"/>
      <c r="AG838" s="562"/>
      <c r="AH838" s="562"/>
      <c r="AI838" s="562"/>
      <c r="AJ838" s="562"/>
      <c r="AK838" s="562"/>
      <c r="AL838" s="562"/>
      <c r="AM838" s="562"/>
      <c r="AN838" s="562"/>
      <c r="AO838" s="562"/>
      <c r="AP838" s="562"/>
      <c r="AQ838" s="562"/>
      <c r="AR838" s="562"/>
      <c r="AS838" s="562"/>
      <c r="AT838" s="562"/>
      <c r="AU838" s="562"/>
      <c r="AV838" s="562"/>
      <c r="AW838" s="562"/>
      <c r="AX838" s="594" t="str">
        <f>'Overview (Verification)'!A55</f>
        <v>Tankless Water Heater:</v>
      </c>
      <c r="AY838" s="562">
        <f>IF(LEN('Overview (Verification)'!P55)=0,0,'Overview (Verification)'!P55)</f>
        <v>0</v>
      </c>
      <c r="AZ838" s="562"/>
      <c r="BA838" s="562"/>
      <c r="BB838" s="562"/>
      <c r="BC838" s="562"/>
      <c r="BD838" s="562"/>
      <c r="BE838" s="562"/>
      <c r="BF838" s="562"/>
      <c r="BG838" s="562"/>
      <c r="BH838" s="562"/>
      <c r="BI838" s="562"/>
    </row>
    <row r="839" spans="1:61" ht="16" x14ac:dyDescent="0.2">
      <c r="A839" s="541">
        <v>7</v>
      </c>
      <c r="B839" s="551" t="s">
        <v>2857</v>
      </c>
      <c r="C839" s="551"/>
      <c r="D839" s="544" t="s">
        <v>2181</v>
      </c>
      <c r="E839" s="544" t="s">
        <v>2444</v>
      </c>
      <c r="F839" s="544"/>
      <c r="G839" s="543" t="s">
        <v>3343</v>
      </c>
      <c r="H839" s="541" t="s">
        <v>3751</v>
      </c>
      <c r="I839" s="3"/>
      <c r="J839" s="632"/>
      <c r="K839" s="654" t="s">
        <v>2444</v>
      </c>
      <c r="L839" s="632" t="s">
        <v>2869</v>
      </c>
      <c r="M839" s="616"/>
      <c r="N839" s="609"/>
      <c r="O839" s="609"/>
      <c r="P839" s="562"/>
      <c r="Q839" s="562"/>
      <c r="R839" s="562"/>
      <c r="S839" s="562"/>
      <c r="T839" s="562"/>
      <c r="U839" s="562"/>
      <c r="V839" s="562"/>
      <c r="W839" s="562"/>
      <c r="X839" s="563"/>
      <c r="Y839" s="578" t="str">
        <f>IF(LEN('Ch7'!X70)=0,"None",'Ch7'!X70)</f>
        <v>None</v>
      </c>
      <c r="Z839" s="579"/>
      <c r="AA839" s="562"/>
      <c r="AB839" s="562"/>
      <c r="AC839" s="562"/>
      <c r="AD839" s="562"/>
      <c r="AE839" s="562"/>
      <c r="AF839" s="562"/>
      <c r="AG839" s="562"/>
      <c r="AH839" s="562"/>
      <c r="AI839" s="562"/>
      <c r="AJ839" s="562"/>
      <c r="AK839" s="562"/>
      <c r="AL839" s="562"/>
      <c r="AM839" s="562"/>
      <c r="AN839" s="562"/>
      <c r="AO839" s="562"/>
      <c r="AP839" s="562"/>
      <c r="AQ839" s="562"/>
      <c r="AR839" s="190" t="str">
        <f t="shared" ref="AR839:AR842" si="239">SUBSTITUTE(SUBSTITUTE(SUBSTITUTE("vnt"&amp;$B839&amp;$C839&amp;$D839&amp;$E839&amp;$F839,".","_"),"(","_"),")","")</f>
        <v>vnt701_4_3_2_1_e</v>
      </c>
      <c r="AS839" s="190">
        <f>X839</f>
        <v>0</v>
      </c>
      <c r="AT839" s="562"/>
      <c r="AU839" s="562"/>
      <c r="AV839" s="562"/>
      <c r="AW839" s="562"/>
      <c r="AX839" s="594" t="str">
        <f>'Overview (Verification)'!A56</f>
        <v>Composting Toilet:</v>
      </c>
      <c r="AY839" s="562">
        <f>IF(LEN('Overview (Verification)'!P56)=0,0,'Overview (Verification)'!P56)</f>
        <v>0</v>
      </c>
      <c r="AZ839" s="562"/>
      <c r="BA839" s="562"/>
      <c r="BB839" s="562"/>
      <c r="BC839" s="562"/>
      <c r="BD839" s="562"/>
      <c r="BE839" s="562"/>
      <c r="BF839" s="562"/>
      <c r="BG839" s="562"/>
      <c r="BH839" s="562"/>
      <c r="BI839" s="562"/>
    </row>
    <row r="840" spans="1:61" ht="16" x14ac:dyDescent="0.2">
      <c r="A840" s="541">
        <v>7</v>
      </c>
      <c r="B840" s="551" t="s">
        <v>2857</v>
      </c>
      <c r="C840" s="551"/>
      <c r="D840" s="544" t="s">
        <v>2181</v>
      </c>
      <c r="E840" s="546" t="s">
        <v>2540</v>
      </c>
      <c r="F840" s="546"/>
      <c r="G840" s="543" t="s">
        <v>3343</v>
      </c>
      <c r="H840" s="541" t="s">
        <v>3751</v>
      </c>
      <c r="I840" s="3"/>
      <c r="J840" s="632"/>
      <c r="K840" s="182" t="s">
        <v>2540</v>
      </c>
      <c r="L840" s="632" t="s">
        <v>2870</v>
      </c>
      <c r="M840" s="616"/>
      <c r="N840" s="609"/>
      <c r="O840" s="609"/>
      <c r="P840" s="562"/>
      <c r="Q840" s="562"/>
      <c r="R840" s="562"/>
      <c r="S840" s="562"/>
      <c r="T840" s="562"/>
      <c r="U840" s="562"/>
      <c r="V840" s="562"/>
      <c r="W840" s="562"/>
      <c r="X840" s="563"/>
      <c r="Y840" s="578" t="str">
        <f>IF(LEN('Ch7'!X71)=0,"None",'Ch7'!X71)</f>
        <v>None</v>
      </c>
      <c r="Z840" s="579"/>
      <c r="AA840" s="562"/>
      <c r="AB840" s="562"/>
      <c r="AC840" s="562"/>
      <c r="AD840" s="562"/>
      <c r="AE840" s="562"/>
      <c r="AF840" s="562"/>
      <c r="AG840" s="562"/>
      <c r="AH840" s="562"/>
      <c r="AI840" s="562"/>
      <c r="AJ840" s="562"/>
      <c r="AK840" s="562"/>
      <c r="AL840" s="562"/>
      <c r="AM840" s="562"/>
      <c r="AN840" s="562"/>
      <c r="AO840" s="562"/>
      <c r="AP840" s="562"/>
      <c r="AQ840" s="562"/>
      <c r="AR840" s="190" t="str">
        <f t="shared" si="239"/>
        <v>vnt701_4_3_2_1_f</v>
      </c>
      <c r="AS840" s="190">
        <f>X840</f>
        <v>0</v>
      </c>
      <c r="AT840" s="562"/>
      <c r="AU840" s="562"/>
      <c r="AV840" s="562"/>
      <c r="AW840" s="562"/>
      <c r="AX840" s="594"/>
      <c r="AY840" s="562"/>
      <c r="AZ840" s="562"/>
      <c r="BA840" s="562"/>
      <c r="BB840" s="562"/>
      <c r="BC840" s="562"/>
      <c r="BD840" s="562"/>
      <c r="BE840" s="562"/>
      <c r="BF840" s="562"/>
      <c r="BG840" s="562"/>
      <c r="BH840" s="562"/>
      <c r="BI840" s="562"/>
    </row>
    <row r="841" spans="1:61" ht="16" x14ac:dyDescent="0.2">
      <c r="A841" s="541">
        <v>7</v>
      </c>
      <c r="B841" s="551" t="s">
        <v>2857</v>
      </c>
      <c r="C841" s="551"/>
      <c r="D841" s="544" t="s">
        <v>2181</v>
      </c>
      <c r="E841" s="544" t="s">
        <v>2542</v>
      </c>
      <c r="F841" s="544"/>
      <c r="G841" s="543" t="s">
        <v>3343</v>
      </c>
      <c r="H841" s="541" t="s">
        <v>3757</v>
      </c>
      <c r="I841" s="3"/>
      <c r="J841" s="632"/>
      <c r="K841" s="654" t="s">
        <v>2542</v>
      </c>
      <c r="L841" s="632" t="s">
        <v>2871</v>
      </c>
      <c r="M841" s="616"/>
      <c r="N841" s="609"/>
      <c r="O841" s="609"/>
      <c r="P841" s="562"/>
      <c r="Q841" s="562"/>
      <c r="R841" s="562"/>
      <c r="S841" s="562"/>
      <c r="T841" s="562"/>
      <c r="U841" s="562"/>
      <c r="V841" s="562"/>
      <c r="W841" s="562"/>
      <c r="X841" s="563"/>
      <c r="Y841" s="578" t="str">
        <f>IF(LEN('Ch7'!X72)=0,"None",'Ch7'!X72)</f>
        <v>None</v>
      </c>
      <c r="Z841" s="579"/>
      <c r="AA841" s="562"/>
      <c r="AB841" s="562"/>
      <c r="AC841" s="562"/>
      <c r="AD841" s="562"/>
      <c r="AE841" s="562"/>
      <c r="AF841" s="562"/>
      <c r="AG841" s="562"/>
      <c r="AH841" s="562"/>
      <c r="AI841" s="562"/>
      <c r="AJ841" s="562"/>
      <c r="AK841" s="562"/>
      <c r="AL841" s="562"/>
      <c r="AM841" s="562"/>
      <c r="AN841" s="562"/>
      <c r="AO841" s="562"/>
      <c r="AP841" s="562"/>
      <c r="AQ841" s="562"/>
      <c r="AR841" s="190" t="str">
        <f t="shared" si="239"/>
        <v>vnt701_4_3_2_1_g</v>
      </c>
      <c r="AS841" s="190">
        <f>X841</f>
        <v>0</v>
      </c>
      <c r="AT841" s="562"/>
      <c r="AU841" s="562"/>
      <c r="AV841" s="562"/>
      <c r="AW841" s="562"/>
      <c r="AX841" s="594" t="str">
        <f>'Overview (Verification)'!A58</f>
        <v>Local Energy Code:</v>
      </c>
      <c r="AY841" s="562">
        <f>IF(LEN('Overview (Verification)'!P58)=0,0,'Overview (Verification)'!P58)</f>
        <v>0</v>
      </c>
      <c r="AZ841" s="562"/>
      <c r="BA841" s="562"/>
      <c r="BB841" s="562"/>
      <c r="BC841" s="562"/>
      <c r="BD841" s="562"/>
      <c r="BE841" s="562"/>
      <c r="BF841" s="562"/>
      <c r="BG841" s="562"/>
      <c r="BH841" s="562"/>
      <c r="BI841" s="562"/>
    </row>
    <row r="842" spans="1:61" x14ac:dyDescent="0.2">
      <c r="A842" s="541">
        <v>7</v>
      </c>
      <c r="B842" s="551" t="s">
        <v>2857</v>
      </c>
      <c r="C842" s="551"/>
      <c r="D842" s="544" t="s">
        <v>2181</v>
      </c>
      <c r="E842" s="544" t="s">
        <v>2544</v>
      </c>
      <c r="F842" s="544"/>
      <c r="G842" s="543" t="s">
        <v>3343</v>
      </c>
      <c r="H842" s="541" t="s">
        <v>3757</v>
      </c>
      <c r="I842" s="3"/>
      <c r="J842" s="598"/>
      <c r="K842" s="281"/>
      <c r="L842" s="849" t="s">
        <v>2872</v>
      </c>
      <c r="M842" s="616"/>
      <c r="N842" s="609"/>
      <c r="O842" s="609"/>
      <c r="P842" s="562"/>
      <c r="Q842" s="562"/>
      <c r="R842" s="562"/>
      <c r="S842" s="562"/>
      <c r="T842" s="562"/>
      <c r="U842" s="562"/>
      <c r="V842" s="562"/>
      <c r="W842" s="562"/>
      <c r="X842" s="787"/>
      <c r="Y842" s="980" t="str">
        <f>IF(LEN('Ch7'!X73)=0,"None",'Ch7'!X73)</f>
        <v>None</v>
      </c>
      <c r="Z842" s="983"/>
      <c r="AA842" s="562"/>
      <c r="AB842" s="562"/>
      <c r="AC842" s="562"/>
      <c r="AD842" s="562"/>
      <c r="AE842" s="562"/>
      <c r="AF842" s="562"/>
      <c r="AG842" s="562"/>
      <c r="AH842" s="562"/>
      <c r="AI842" s="562"/>
      <c r="AJ842" s="562"/>
      <c r="AK842" s="562"/>
      <c r="AL842" s="562"/>
      <c r="AM842" s="562"/>
      <c r="AN842" s="562"/>
      <c r="AO842" s="562"/>
      <c r="AP842" s="562"/>
      <c r="AQ842" s="562"/>
      <c r="AR842" s="190" t="str">
        <f t="shared" si="239"/>
        <v>vnt701_4_3_2_1_h</v>
      </c>
      <c r="AS842" s="190">
        <f>X842</f>
        <v>0</v>
      </c>
      <c r="AT842" s="562"/>
      <c r="AU842" s="562"/>
      <c r="AV842" s="562"/>
      <c r="AW842" s="562"/>
      <c r="AX842" s="594" t="str">
        <f>'Overview (Verification)'!A59</f>
        <v>Local Building Code:</v>
      </c>
      <c r="AY842" s="562">
        <f>IF(LEN('Overview (Verification)'!P59)=0,0,'Overview (Verification)'!P59)</f>
        <v>0</v>
      </c>
      <c r="AZ842" s="562"/>
      <c r="BA842" s="562"/>
      <c r="BB842" s="562"/>
      <c r="BC842" s="562"/>
      <c r="BD842" s="562"/>
      <c r="BE842" s="562"/>
      <c r="BF842" s="562"/>
      <c r="BG842" s="562"/>
      <c r="BH842" s="562"/>
      <c r="BI842" s="562"/>
    </row>
    <row r="843" spans="1:61" x14ac:dyDescent="0.2">
      <c r="A843" s="541">
        <v>7</v>
      </c>
      <c r="B843" s="551" t="s">
        <v>2857</v>
      </c>
      <c r="C843" s="551"/>
      <c r="D843" s="544" t="s">
        <v>2181</v>
      </c>
      <c r="E843" s="544"/>
      <c r="F843" s="544"/>
      <c r="G843" s="543" t="s">
        <v>3343</v>
      </c>
      <c r="H843" s="541" t="s">
        <v>3757</v>
      </c>
      <c r="I843" s="3"/>
      <c r="J843" s="599"/>
      <c r="K843" s="282"/>
      <c r="L843" s="850"/>
      <c r="M843" s="616"/>
      <c r="N843" s="609"/>
      <c r="O843" s="609"/>
      <c r="P843" s="562"/>
      <c r="Q843" s="562"/>
      <c r="R843" s="562"/>
      <c r="S843" s="562"/>
      <c r="T843" s="562"/>
      <c r="U843" s="562"/>
      <c r="V843" s="562"/>
      <c r="W843" s="562"/>
      <c r="X843" s="787"/>
      <c r="Y843" s="980"/>
      <c r="Z843" s="983"/>
      <c r="AA843" s="562"/>
      <c r="AB843" s="562"/>
      <c r="AC843" s="562"/>
      <c r="AD843" s="562"/>
      <c r="AE843" s="562"/>
      <c r="AF843" s="562"/>
      <c r="AG843" s="562"/>
      <c r="AH843" s="562"/>
      <c r="AI843" s="562"/>
      <c r="AJ843" s="562"/>
      <c r="AK843" s="562"/>
      <c r="AL843" s="562"/>
      <c r="AM843" s="562"/>
      <c r="AN843" s="562"/>
      <c r="AO843" s="562"/>
      <c r="AP843" s="562"/>
      <c r="AQ843" s="562"/>
      <c r="AR843" s="562"/>
      <c r="AS843" s="562"/>
      <c r="AT843" s="562"/>
      <c r="AU843" s="562"/>
      <c r="AV843" s="562"/>
      <c r="AW843" s="562"/>
      <c r="AX843" s="562"/>
      <c r="AY843" s="562"/>
      <c r="AZ843" s="562"/>
      <c r="BA843" s="562"/>
      <c r="BB843" s="562"/>
      <c r="BC843" s="562"/>
      <c r="BD843" s="562"/>
      <c r="BE843" s="562"/>
      <c r="BF843" s="562"/>
      <c r="BG843" s="562"/>
      <c r="BH843" s="562"/>
      <c r="BI843" s="562"/>
    </row>
    <row r="844" spans="1:61" x14ac:dyDescent="0.2">
      <c r="A844" s="541">
        <v>7</v>
      </c>
      <c r="B844" s="551" t="s">
        <v>2857</v>
      </c>
      <c r="C844" s="551"/>
      <c r="D844" s="544" t="s">
        <v>2183</v>
      </c>
      <c r="E844" s="544"/>
      <c r="F844" s="544"/>
      <c r="G844" s="543" t="s">
        <v>3343</v>
      </c>
      <c r="H844" s="541" t="s">
        <v>3757</v>
      </c>
      <c r="I844" s="98"/>
      <c r="J844" s="270" t="s">
        <v>2183</v>
      </c>
      <c r="K844" s="598"/>
      <c r="L844" s="820" t="s">
        <v>2873</v>
      </c>
      <c r="M844" s="610"/>
      <c r="N844" s="607"/>
      <c r="O844" s="607"/>
      <c r="P844" s="64" t="b">
        <v>1</v>
      </c>
      <c r="Q844" s="64" t="b">
        <v>1</v>
      </c>
      <c r="R844" s="64" t="b">
        <f>AND(S844,NOT(W826=TRUE))</f>
        <v>1</v>
      </c>
      <c r="S844" s="64" t="b">
        <v>1</v>
      </c>
      <c r="T844" s="64" t="b">
        <f>AND(NOT(S844),W844=TRUE)</f>
        <v>0</v>
      </c>
      <c r="U844" s="64"/>
      <c r="V844" s="64"/>
      <c r="W844" s="18"/>
      <c r="X844" s="798"/>
      <c r="Y844" s="980" t="str">
        <f>IF(LEN('Ch7'!X75)=0,"None",'Ch7'!X75)</f>
        <v>None</v>
      </c>
      <c r="Z844" s="983"/>
      <c r="AA844" s="562"/>
      <c r="AB844" s="562"/>
      <c r="AC844" s="562" t="b">
        <f>OR(AD844:AE844)</f>
        <v>1</v>
      </c>
      <c r="AD844" s="562" t="b">
        <f>T844</f>
        <v>0</v>
      </c>
      <c r="AE844" s="562" t="b">
        <f>AND(R844,NOT(W844))</f>
        <v>1</v>
      </c>
      <c r="AF844" s="562" t="b">
        <f>AND(AE844,NOT(Q844))</f>
        <v>0</v>
      </c>
      <c r="AG844" s="562"/>
      <c r="AH844" s="562"/>
      <c r="AI844" s="562"/>
      <c r="AJ844" s="562"/>
      <c r="AK844" s="562"/>
      <c r="AL844" s="562"/>
      <c r="AM844" s="562"/>
      <c r="AN844" s="562"/>
      <c r="AO844" s="562"/>
      <c r="AP844" s="190" t="str">
        <f>SUBSTITUTE(SUBSTITUTE(SUBSTITUTE("vch"&amp;$B844&amp;$C844&amp;$D844&amp;$E844&amp;$F844,".","_"),"(","_"),")","")</f>
        <v>vch701_4_3_2_2</v>
      </c>
      <c r="AQ844" s="190">
        <f>W844</f>
        <v>0</v>
      </c>
      <c r="AR844" s="190" t="str">
        <f>SUBSTITUTE(SUBSTITUTE(SUBSTITUTE("vnt"&amp;$B844&amp;$C844&amp;$D844&amp;$E844&amp;$F844,".","_"),"(","_"),")","")</f>
        <v>vnt701_4_3_2_2</v>
      </c>
      <c r="AS844" s="190">
        <f>X844</f>
        <v>0</v>
      </c>
      <c r="AT844" s="562"/>
      <c r="AU844" s="562"/>
      <c r="AV844" s="562"/>
      <c r="AW844" s="562"/>
      <c r="AX844" s="562"/>
      <c r="AY844" s="562"/>
      <c r="AZ844" s="562"/>
      <c r="BA844" s="562"/>
      <c r="BB844" s="562"/>
      <c r="BC844" s="562"/>
      <c r="BD844" s="562"/>
      <c r="BE844" s="562"/>
      <c r="BF844" s="562"/>
      <c r="BG844" s="562"/>
      <c r="BH844" s="562"/>
      <c r="BI844" s="562"/>
    </row>
    <row r="845" spans="1:61" x14ac:dyDescent="0.2">
      <c r="A845" s="541">
        <v>7</v>
      </c>
      <c r="B845" s="551" t="s">
        <v>2857</v>
      </c>
      <c r="C845" s="551"/>
      <c r="D845" s="544" t="s">
        <v>2183</v>
      </c>
      <c r="E845" s="544"/>
      <c r="F845" s="544"/>
      <c r="G845" s="543" t="s">
        <v>3343</v>
      </c>
      <c r="H845" s="541" t="s">
        <v>3757</v>
      </c>
      <c r="I845" s="98"/>
      <c r="J845" s="598"/>
      <c r="K845" s="598"/>
      <c r="L845" s="820"/>
      <c r="M845" s="610"/>
      <c r="N845" s="607"/>
      <c r="O845" s="607"/>
      <c r="P845" s="64"/>
      <c r="Q845" s="64"/>
      <c r="R845" s="64"/>
      <c r="S845" s="64"/>
      <c r="T845" s="64"/>
      <c r="U845" s="64"/>
      <c r="V845" s="64"/>
      <c r="W845" s="64"/>
      <c r="X845" s="798"/>
      <c r="Y845" s="980"/>
      <c r="Z845" s="983"/>
      <c r="AA845" s="562"/>
      <c r="AB845" s="562"/>
      <c r="AC845" s="562"/>
      <c r="AD845" s="562"/>
      <c r="AE845" s="562"/>
      <c r="AF845" s="562"/>
      <c r="AG845" s="562"/>
      <c r="AH845" s="562"/>
      <c r="AI845" s="562"/>
      <c r="AJ845" s="562"/>
      <c r="AK845" s="562"/>
      <c r="AL845" s="562"/>
      <c r="AM845" s="562"/>
      <c r="AN845" s="562"/>
      <c r="AO845" s="562"/>
      <c r="AP845" s="562"/>
      <c r="AQ845" s="562"/>
      <c r="AR845" s="562"/>
      <c r="AS845" s="562"/>
      <c r="AT845" s="562"/>
      <c r="AU845" s="562"/>
      <c r="AV845" s="562"/>
      <c r="AW845" s="562"/>
      <c r="AX845" s="562"/>
      <c r="AY845" s="562"/>
      <c r="AZ845" s="562"/>
      <c r="BA845" s="562"/>
      <c r="BB845" s="562"/>
      <c r="BC845" s="562"/>
      <c r="BD845" s="562"/>
      <c r="BE845" s="562"/>
      <c r="BF845" s="562"/>
      <c r="BG845" s="562"/>
      <c r="BH845" s="562"/>
      <c r="BI845" s="562"/>
    </row>
    <row r="846" spans="1:61" x14ac:dyDescent="0.2">
      <c r="A846" s="541">
        <v>7</v>
      </c>
      <c r="B846" s="551" t="s">
        <v>2857</v>
      </c>
      <c r="C846" s="551"/>
      <c r="D846" s="544" t="s">
        <v>2183</v>
      </c>
      <c r="E846" s="544"/>
      <c r="F846" s="544"/>
      <c r="G846" s="543" t="s">
        <v>3343</v>
      </c>
      <c r="H846" s="541" t="s">
        <v>3757</v>
      </c>
      <c r="I846" s="165"/>
      <c r="J846" s="599"/>
      <c r="K846" s="599"/>
      <c r="L846" s="275" t="s">
        <v>2874</v>
      </c>
      <c r="M846" s="611"/>
      <c r="N846" s="608"/>
      <c r="O846" s="608"/>
      <c r="P846" s="129"/>
      <c r="Q846" s="129"/>
      <c r="R846" s="129"/>
      <c r="S846" s="129"/>
      <c r="T846" s="129"/>
      <c r="U846" s="129"/>
      <c r="V846" s="129"/>
      <c r="W846" s="129"/>
      <c r="X846" s="798"/>
      <c r="Y846" s="980"/>
      <c r="Z846" s="983"/>
      <c r="AA846" s="562"/>
      <c r="AB846" s="562"/>
      <c r="AC846" s="562"/>
      <c r="AD846" s="562"/>
      <c r="AE846" s="562"/>
      <c r="AF846" s="562"/>
      <c r="AG846" s="562"/>
      <c r="AH846" s="562"/>
      <c r="AI846" s="562"/>
      <c r="AJ846" s="562"/>
      <c r="AK846" s="562"/>
      <c r="AL846" s="562"/>
      <c r="AM846" s="562"/>
      <c r="AN846" s="562"/>
      <c r="AO846" s="562"/>
      <c r="AP846" s="562"/>
      <c r="AQ846" s="562"/>
      <c r="AR846" s="562"/>
      <c r="AS846" s="562"/>
      <c r="AT846" s="562"/>
      <c r="AU846" s="562"/>
      <c r="AV846" s="562"/>
      <c r="AW846" s="562"/>
      <c r="AX846" s="562"/>
      <c r="AY846" s="562"/>
      <c r="AZ846" s="562"/>
      <c r="BA846" s="562"/>
      <c r="BB846" s="562"/>
      <c r="BC846" s="562"/>
      <c r="BD846" s="562"/>
      <c r="BE846" s="562"/>
      <c r="BF846" s="562"/>
      <c r="BG846" s="562"/>
      <c r="BH846" s="562"/>
      <c r="BI846" s="562"/>
    </row>
    <row r="847" spans="1:61" x14ac:dyDescent="0.2">
      <c r="A847" s="541">
        <v>7</v>
      </c>
      <c r="B847" s="551" t="s">
        <v>2875</v>
      </c>
      <c r="C847" s="551"/>
      <c r="D847" s="544"/>
      <c r="E847" s="544"/>
      <c r="F847" s="544"/>
      <c r="G847" s="543" t="s">
        <v>3343</v>
      </c>
      <c r="H847" s="541" t="s">
        <v>3757</v>
      </c>
      <c r="I847" s="41" t="s">
        <v>2876</v>
      </c>
      <c r="J847" s="632"/>
      <c r="K847" s="632"/>
      <c r="L847" s="654" t="s">
        <v>2877</v>
      </c>
      <c r="M847" s="630" t="str">
        <f>IF(R847,"Mandatory","N/A")</f>
        <v>Mandatory</v>
      </c>
      <c r="N847" s="609"/>
      <c r="O847" s="609"/>
      <c r="P847" s="64" t="b">
        <v>1</v>
      </c>
      <c r="Q847" s="64" t="b">
        <v>0</v>
      </c>
      <c r="R847" s="562" t="b">
        <f>AND(S847,NOT(W826=TRUE))</f>
        <v>1</v>
      </c>
      <c r="S847" s="64" t="b">
        <v>1</v>
      </c>
      <c r="T847" s="64" t="b">
        <f>AND(NOT(S847),W847=TRUE)</f>
        <v>0</v>
      </c>
      <c r="U847" s="562"/>
      <c r="V847" s="562"/>
      <c r="W847" s="18"/>
      <c r="X847" s="562"/>
      <c r="Y847" s="562"/>
      <c r="Z847" s="430"/>
      <c r="AA847" s="562"/>
      <c r="AB847" s="562"/>
      <c r="AC847" s="562" t="b">
        <f>OR(AD847:AE847)</f>
        <v>1</v>
      </c>
      <c r="AD847" s="562" t="b">
        <f>T847</f>
        <v>0</v>
      </c>
      <c r="AE847" s="562" t="b">
        <f>AND(R847,NOT(W847))</f>
        <v>1</v>
      </c>
      <c r="AF847" s="562" t="b">
        <f>AND(AE847,NOT(Q847))</f>
        <v>1</v>
      </c>
      <c r="AG847" s="562"/>
      <c r="AH847" s="562"/>
      <c r="AI847" s="562"/>
      <c r="AJ847" s="562"/>
      <c r="AK847" s="562"/>
      <c r="AL847" s="190" t="str">
        <f t="shared" ref="AL847" si="240">SUBSTITUTE(SUBSTITUTE(SUBSTITUTE("vpa"&amp;$B847&amp;$C847&amp;$D847&amp;$E847&amp;$F847,".","_"),"(","_"),")","")</f>
        <v>vpa701_4_3_2_1</v>
      </c>
      <c r="AM847" s="190" t="str">
        <f>M847</f>
        <v>Mandatory</v>
      </c>
      <c r="AN847" s="562"/>
      <c r="AO847" s="562"/>
      <c r="AP847" s="190" t="str">
        <f>SUBSTITUTE(SUBSTITUTE(SUBSTITUTE("vch"&amp;$B847&amp;$C847&amp;$D847&amp;$E847&amp;$F847,".","_"),"(","_"),")","")</f>
        <v>vch701_4_3_2_1</v>
      </c>
      <c r="AQ847" s="190">
        <f>W847</f>
        <v>0</v>
      </c>
      <c r="AR847" s="562"/>
      <c r="AS847" s="562"/>
      <c r="AT847" s="562"/>
      <c r="AU847" s="562"/>
      <c r="AV847" s="562"/>
      <c r="AW847" s="562"/>
      <c r="AX847" s="562"/>
      <c r="AY847" s="562"/>
      <c r="AZ847" s="562"/>
      <c r="BA847" s="562"/>
      <c r="BB847" s="562"/>
      <c r="BC847" s="562"/>
      <c r="BD847" s="562"/>
      <c r="BE847" s="562"/>
      <c r="BF847" s="562"/>
      <c r="BG847" s="562"/>
      <c r="BH847" s="562"/>
      <c r="BI847" s="562"/>
    </row>
    <row r="848" spans="1:61" ht="16" x14ac:dyDescent="0.2">
      <c r="A848" s="541">
        <v>7</v>
      </c>
      <c r="B848" s="551" t="s">
        <v>2875</v>
      </c>
      <c r="C848" s="551"/>
      <c r="D848" s="544" t="s">
        <v>2181</v>
      </c>
      <c r="E848" s="544"/>
      <c r="F848" s="544"/>
      <c r="G848" s="543" t="s">
        <v>3343</v>
      </c>
      <c r="H848" s="545" t="s">
        <v>3757</v>
      </c>
      <c r="I848" s="3"/>
      <c r="J848" s="277" t="s">
        <v>2181</v>
      </c>
      <c r="K848" s="599"/>
      <c r="L848" s="599" t="s">
        <v>2878</v>
      </c>
      <c r="M848" s="616"/>
      <c r="N848" s="609"/>
      <c r="O848" s="609"/>
      <c r="P848" s="562"/>
      <c r="Q848" s="562"/>
      <c r="R848" s="562"/>
      <c r="S848" s="562"/>
      <c r="T848" s="562"/>
      <c r="U848" s="562"/>
      <c r="V848" s="562"/>
      <c r="W848" s="562"/>
      <c r="X848" s="563"/>
      <c r="Y848" s="578" t="str">
        <f>IF(LEN('Ch7'!X79)=0,"None",'Ch7'!X79)</f>
        <v>None</v>
      </c>
      <c r="Z848" s="579"/>
      <c r="AA848" s="562"/>
      <c r="AB848" s="562"/>
      <c r="AC848" s="562"/>
      <c r="AD848" s="562"/>
      <c r="AE848" s="562"/>
      <c r="AF848" s="562"/>
      <c r="AG848" s="562"/>
      <c r="AH848" s="562"/>
      <c r="AI848" s="562"/>
      <c r="AJ848" s="562"/>
      <c r="AK848" s="562"/>
      <c r="AL848" s="562"/>
      <c r="AM848" s="562"/>
      <c r="AN848" s="562"/>
      <c r="AO848" s="562"/>
      <c r="AP848" s="562"/>
      <c r="AQ848" s="562"/>
      <c r="AR848" s="190" t="str">
        <f t="shared" ref="AR848:AR849" si="241">SUBSTITUTE(SUBSTITUTE(SUBSTITUTE("vnt"&amp;$B848&amp;$C848&amp;$D848&amp;$E848&amp;$F848,".","_"),"(","_"),")","")</f>
        <v>vnt701_4_3_2_1_1</v>
      </c>
      <c r="AS848" s="190">
        <f>X848</f>
        <v>0</v>
      </c>
      <c r="AT848" s="562"/>
      <c r="AU848" s="562"/>
      <c r="AV848" s="562"/>
      <c r="AW848" s="562"/>
      <c r="AX848" s="562"/>
      <c r="AY848" s="562"/>
      <c r="AZ848" s="562"/>
      <c r="BA848" s="562"/>
      <c r="BB848" s="562"/>
      <c r="BC848" s="562"/>
      <c r="BD848" s="562"/>
      <c r="BE848" s="562"/>
      <c r="BF848" s="562"/>
      <c r="BG848" s="562"/>
      <c r="BH848" s="562"/>
      <c r="BI848" s="562"/>
    </row>
    <row r="849" spans="1:61" x14ac:dyDescent="0.2">
      <c r="A849" s="541">
        <v>7</v>
      </c>
      <c r="B849" s="551" t="s">
        <v>2875</v>
      </c>
      <c r="C849" s="551"/>
      <c r="D849" s="544" t="s">
        <v>2183</v>
      </c>
      <c r="E849" s="544"/>
      <c r="F849" s="544"/>
      <c r="G849" s="543" t="s">
        <v>3343</v>
      </c>
      <c r="H849" s="545" t="s">
        <v>3757</v>
      </c>
      <c r="I849" s="3"/>
      <c r="J849" s="283" t="s">
        <v>2183</v>
      </c>
      <c r="K849" s="638"/>
      <c r="L849" s="831" t="s">
        <v>2879</v>
      </c>
      <c r="M849" s="616"/>
      <c r="N849" s="609"/>
      <c r="O849" s="609"/>
      <c r="P849" s="562"/>
      <c r="Q849" s="562"/>
      <c r="R849" s="562"/>
      <c r="S849" s="562"/>
      <c r="T849" s="562"/>
      <c r="U849" s="562"/>
      <c r="V849" s="562"/>
      <c r="W849" s="562"/>
      <c r="X849" s="787"/>
      <c r="Y849" s="980" t="str">
        <f>IF(LEN('Ch7'!X80)=0,"None",'Ch7'!X80)</f>
        <v>None</v>
      </c>
      <c r="Z849" s="983"/>
      <c r="AA849" s="562"/>
      <c r="AB849" s="562"/>
      <c r="AC849" s="562"/>
      <c r="AD849" s="562"/>
      <c r="AE849" s="562"/>
      <c r="AF849" s="562"/>
      <c r="AG849" s="562"/>
      <c r="AH849" s="562"/>
      <c r="AI849" s="562"/>
      <c r="AJ849" s="562"/>
      <c r="AK849" s="562"/>
      <c r="AL849" s="562"/>
      <c r="AM849" s="562"/>
      <c r="AN849" s="562"/>
      <c r="AO849" s="562"/>
      <c r="AP849" s="562"/>
      <c r="AQ849" s="562"/>
      <c r="AR849" s="190" t="str">
        <f t="shared" si="241"/>
        <v>vnt701_4_3_2_1_2</v>
      </c>
      <c r="AS849" s="190">
        <f>X849</f>
        <v>0</v>
      </c>
      <c r="AT849" s="562"/>
      <c r="AU849" s="562"/>
      <c r="AV849" s="562"/>
      <c r="AW849" s="562"/>
      <c r="AX849" s="562"/>
      <c r="AY849" s="562"/>
      <c r="AZ849" s="562"/>
      <c r="BA849" s="562"/>
      <c r="BB849" s="562"/>
      <c r="BC849" s="562"/>
      <c r="BD849" s="562"/>
      <c r="BE849" s="562"/>
      <c r="BF849" s="562"/>
      <c r="BG849" s="562"/>
      <c r="BH849" s="562"/>
      <c r="BI849" s="562"/>
    </row>
    <row r="850" spans="1:61" x14ac:dyDescent="0.2">
      <c r="A850" s="541">
        <v>7</v>
      </c>
      <c r="B850" s="551" t="s">
        <v>2875</v>
      </c>
      <c r="C850" s="551"/>
      <c r="D850" s="544" t="s">
        <v>2183</v>
      </c>
      <c r="E850" s="544"/>
      <c r="F850" s="544"/>
      <c r="G850" s="543" t="s">
        <v>3343</v>
      </c>
      <c r="H850" s="545" t="s">
        <v>3757</v>
      </c>
      <c r="I850" s="3"/>
      <c r="J850" s="277"/>
      <c r="K850" s="599"/>
      <c r="L850" s="792"/>
      <c r="M850" s="616"/>
      <c r="N850" s="609"/>
      <c r="O850" s="609"/>
      <c r="P850" s="562"/>
      <c r="Q850" s="562"/>
      <c r="R850" s="562"/>
      <c r="S850" s="562"/>
      <c r="T850" s="562"/>
      <c r="U850" s="562"/>
      <c r="V850" s="562"/>
      <c r="W850" s="562"/>
      <c r="X850" s="787"/>
      <c r="Y850" s="980"/>
      <c r="Z850" s="983"/>
      <c r="AA850" s="562"/>
      <c r="AB850" s="562"/>
      <c r="AC850" s="562"/>
      <c r="AD850" s="562"/>
      <c r="AE850" s="562"/>
      <c r="AF850" s="562"/>
      <c r="AG850" s="562"/>
      <c r="AH850" s="562"/>
      <c r="AI850" s="562"/>
      <c r="AJ850" s="562"/>
      <c r="AK850" s="562"/>
      <c r="AL850" s="562"/>
      <c r="AM850" s="562"/>
      <c r="AN850" s="562"/>
      <c r="AO850" s="562"/>
      <c r="AP850" s="562"/>
      <c r="AQ850" s="562"/>
      <c r="AR850" s="562"/>
      <c r="AS850" s="562"/>
      <c r="AT850" s="562"/>
      <c r="AU850" s="562"/>
      <c r="AV850" s="562"/>
      <c r="AW850" s="562"/>
      <c r="AX850" s="562"/>
      <c r="AY850" s="562"/>
      <c r="AZ850" s="562"/>
      <c r="BA850" s="562"/>
      <c r="BB850" s="562"/>
      <c r="BC850" s="562"/>
      <c r="BD850" s="562"/>
      <c r="BE850" s="562"/>
      <c r="BF850" s="562"/>
      <c r="BG850" s="562"/>
      <c r="BH850" s="562"/>
      <c r="BI850" s="562"/>
    </row>
    <row r="851" spans="1:61" ht="16" x14ac:dyDescent="0.2">
      <c r="A851" s="541">
        <v>7</v>
      </c>
      <c r="B851" s="551" t="s">
        <v>2875</v>
      </c>
      <c r="C851" s="551"/>
      <c r="D851" s="544" t="s">
        <v>2185</v>
      </c>
      <c r="E851" s="544"/>
      <c r="F851" s="544"/>
      <c r="G851" s="543" t="s">
        <v>3343</v>
      </c>
      <c r="H851" s="545" t="s">
        <v>3757</v>
      </c>
      <c r="I851" s="3"/>
      <c r="J851" s="284" t="s">
        <v>2185</v>
      </c>
      <c r="K851" s="205"/>
      <c r="L851" s="205" t="s">
        <v>2880</v>
      </c>
      <c r="M851" s="616"/>
      <c r="N851" s="609"/>
      <c r="O851" s="609"/>
      <c r="P851" s="562"/>
      <c r="Q851" s="562"/>
      <c r="R851" s="562"/>
      <c r="S851" s="562"/>
      <c r="T851" s="562"/>
      <c r="U851" s="562"/>
      <c r="V851" s="562"/>
      <c r="W851" s="562"/>
      <c r="X851" s="563"/>
      <c r="Y851" s="578" t="str">
        <f>IF(LEN('Ch7'!X82)=0,"None",'Ch7'!X82)</f>
        <v>None</v>
      </c>
      <c r="Z851" s="579"/>
      <c r="AA851" s="562"/>
      <c r="AB851" s="562"/>
      <c r="AC851" s="562"/>
      <c r="AD851" s="562"/>
      <c r="AE851" s="562"/>
      <c r="AF851" s="562"/>
      <c r="AG851" s="562"/>
      <c r="AH851" s="562"/>
      <c r="AI851" s="562"/>
      <c r="AJ851" s="562"/>
      <c r="AK851" s="562"/>
      <c r="AL851" s="562"/>
      <c r="AM851" s="562"/>
      <c r="AN851" s="562"/>
      <c r="AO851" s="562"/>
      <c r="AP851" s="562"/>
      <c r="AQ851" s="562"/>
      <c r="AR851" s="190" t="str">
        <f t="shared" ref="AR851:AR852" si="242">SUBSTITUTE(SUBSTITUTE(SUBSTITUTE("vnt"&amp;$B851&amp;$C851&amp;$D851&amp;$E851&amp;$F851,".","_"),"(","_"),")","")</f>
        <v>vnt701_4_3_2_1_3</v>
      </c>
      <c r="AS851" s="190">
        <f>X851</f>
        <v>0</v>
      </c>
      <c r="AT851" s="562"/>
      <c r="AU851" s="562"/>
      <c r="AV851" s="562"/>
      <c r="AW851" s="562"/>
      <c r="AX851" s="562"/>
      <c r="AY851" s="562"/>
      <c r="AZ851" s="562"/>
      <c r="BA851" s="562"/>
      <c r="BB851" s="562"/>
      <c r="BC851" s="562"/>
      <c r="BD851" s="562"/>
      <c r="BE851" s="562"/>
      <c r="BF851" s="562"/>
      <c r="BG851" s="562"/>
      <c r="BH851" s="562"/>
      <c r="BI851" s="562"/>
    </row>
    <row r="852" spans="1:61" x14ac:dyDescent="0.2">
      <c r="A852" s="541">
        <v>7</v>
      </c>
      <c r="B852" s="551" t="s">
        <v>2875</v>
      </c>
      <c r="C852" s="551"/>
      <c r="D852" s="544" t="s">
        <v>2192</v>
      </c>
      <c r="E852" s="544"/>
      <c r="F852" s="544"/>
      <c r="G852" s="543" t="s">
        <v>3343</v>
      </c>
      <c r="H852" s="545" t="s">
        <v>3757</v>
      </c>
      <c r="I852" s="3"/>
      <c r="J852" s="181" t="s">
        <v>2192</v>
      </c>
      <c r="K852" s="632"/>
      <c r="L852" s="817" t="s">
        <v>2881</v>
      </c>
      <c r="M852" s="616"/>
      <c r="N852" s="609"/>
      <c r="O852" s="609"/>
      <c r="P852" s="562"/>
      <c r="Q852" s="562"/>
      <c r="R852" s="562"/>
      <c r="S852" s="562"/>
      <c r="T852" s="562"/>
      <c r="U852" s="562"/>
      <c r="V852" s="562"/>
      <c r="W852" s="562"/>
      <c r="X852" s="787"/>
      <c r="Y852" s="980" t="str">
        <f>IF(LEN('Ch7'!X83)=0,"None",'Ch7'!X83)</f>
        <v>None</v>
      </c>
      <c r="Z852" s="983"/>
      <c r="AA852" s="562"/>
      <c r="AB852" s="562"/>
      <c r="AC852" s="562"/>
      <c r="AD852" s="562"/>
      <c r="AE852" s="562"/>
      <c r="AF852" s="562"/>
      <c r="AG852" s="562"/>
      <c r="AH852" s="562"/>
      <c r="AI852" s="562"/>
      <c r="AJ852" s="562"/>
      <c r="AK852" s="562"/>
      <c r="AL852" s="562"/>
      <c r="AM852" s="562"/>
      <c r="AN852" s="562"/>
      <c r="AO852" s="562"/>
      <c r="AP852" s="562"/>
      <c r="AQ852" s="562"/>
      <c r="AR852" s="190" t="str">
        <f t="shared" si="242"/>
        <v>vnt701_4_3_2_1_4</v>
      </c>
      <c r="AS852" s="190">
        <f>X852</f>
        <v>0</v>
      </c>
      <c r="AT852" s="562"/>
      <c r="AU852" s="562"/>
      <c r="AV852" s="562"/>
      <c r="AW852" s="562"/>
      <c r="AX852" s="562"/>
      <c r="AY852" s="562"/>
      <c r="AZ852" s="562"/>
      <c r="BA852" s="562"/>
      <c r="BB852" s="562"/>
      <c r="BC852" s="562"/>
      <c r="BD852" s="562"/>
      <c r="BE852" s="562"/>
      <c r="BF852" s="562"/>
      <c r="BG852" s="562"/>
      <c r="BH852" s="562"/>
      <c r="BI852" s="562"/>
    </row>
    <row r="853" spans="1:61" x14ac:dyDescent="0.2">
      <c r="A853" s="541">
        <v>7</v>
      </c>
      <c r="B853" s="551" t="s">
        <v>2875</v>
      </c>
      <c r="C853" s="551"/>
      <c r="D853" s="544" t="s">
        <v>2192</v>
      </c>
      <c r="E853" s="544"/>
      <c r="F853" s="544"/>
      <c r="G853" s="543" t="s">
        <v>3343</v>
      </c>
      <c r="H853" s="545" t="s">
        <v>3757</v>
      </c>
      <c r="I853" s="3"/>
      <c r="J853" s="181"/>
      <c r="K853" s="632"/>
      <c r="L853" s="817"/>
      <c r="M853" s="616"/>
      <c r="N853" s="609"/>
      <c r="O853" s="609"/>
      <c r="P853" s="562"/>
      <c r="Q853" s="562"/>
      <c r="R853" s="562"/>
      <c r="S853" s="562"/>
      <c r="T853" s="562"/>
      <c r="U853" s="562"/>
      <c r="V853" s="562"/>
      <c r="W853" s="562"/>
      <c r="X853" s="787"/>
      <c r="Y853" s="980"/>
      <c r="Z853" s="983"/>
      <c r="AA853" s="562"/>
      <c r="AB853" s="562"/>
      <c r="AC853" s="562"/>
      <c r="AD853" s="562"/>
      <c r="AE853" s="562"/>
      <c r="AF853" s="562"/>
      <c r="AG853" s="562"/>
      <c r="AH853" s="562"/>
      <c r="AI853" s="562"/>
      <c r="AJ853" s="562"/>
      <c r="AK853" s="562"/>
      <c r="AL853" s="562"/>
      <c r="AM853" s="562"/>
      <c r="AN853" s="562"/>
      <c r="AO853" s="562"/>
      <c r="AP853" s="562"/>
      <c r="AQ853" s="562"/>
      <c r="AR853" s="562"/>
      <c r="AS853" s="562"/>
      <c r="AT853" s="562"/>
      <c r="AU853" s="562"/>
      <c r="AV853" s="562"/>
      <c r="AW853" s="562"/>
      <c r="AX853" s="562"/>
      <c r="AY853" s="562"/>
      <c r="AZ853" s="562"/>
      <c r="BA853" s="562"/>
      <c r="BB853" s="562"/>
      <c r="BC853" s="562"/>
      <c r="BD853" s="562"/>
      <c r="BE853" s="562"/>
      <c r="BF853" s="562"/>
      <c r="BG853" s="562"/>
      <c r="BH853" s="562"/>
      <c r="BI853" s="562"/>
    </row>
    <row r="854" spans="1:61" x14ac:dyDescent="0.2">
      <c r="A854" s="541">
        <v>7</v>
      </c>
      <c r="B854" s="551" t="s">
        <v>2875</v>
      </c>
      <c r="C854" s="551"/>
      <c r="D854" s="544" t="s">
        <v>2192</v>
      </c>
      <c r="E854" s="544"/>
      <c r="F854" s="544"/>
      <c r="G854" s="543" t="s">
        <v>3343</v>
      </c>
      <c r="H854" s="545" t="s">
        <v>3757</v>
      </c>
      <c r="I854" s="3"/>
      <c r="J854" s="181"/>
      <c r="K854" s="632"/>
      <c r="L854" s="817"/>
      <c r="M854" s="616"/>
      <c r="N854" s="609"/>
      <c r="O854" s="609"/>
      <c r="P854" s="562"/>
      <c r="Q854" s="562"/>
      <c r="R854" s="562"/>
      <c r="S854" s="562"/>
      <c r="T854" s="562"/>
      <c r="U854" s="562"/>
      <c r="V854" s="562"/>
      <c r="W854" s="562"/>
      <c r="X854" s="787"/>
      <c r="Y854" s="980"/>
      <c r="Z854" s="983"/>
      <c r="AA854" s="562"/>
      <c r="AB854" s="562"/>
      <c r="AC854" s="562"/>
      <c r="AD854" s="562"/>
      <c r="AE854" s="562"/>
      <c r="AF854" s="562"/>
      <c r="AG854" s="562"/>
      <c r="AH854" s="562"/>
      <c r="AI854" s="562"/>
      <c r="AJ854" s="562"/>
      <c r="AK854" s="562"/>
      <c r="AL854" s="562"/>
      <c r="AM854" s="562"/>
      <c r="AN854" s="562"/>
      <c r="AO854" s="562"/>
      <c r="AP854" s="562"/>
      <c r="AQ854" s="562"/>
      <c r="AR854" s="562"/>
      <c r="AS854" s="562"/>
      <c r="AT854" s="562"/>
      <c r="AU854" s="562"/>
      <c r="AV854" s="562"/>
      <c r="AW854" s="562"/>
      <c r="AX854" s="562"/>
      <c r="AY854" s="562"/>
      <c r="AZ854" s="562"/>
      <c r="BA854" s="562"/>
      <c r="BB854" s="562"/>
      <c r="BC854" s="562"/>
      <c r="BD854" s="562"/>
      <c r="BE854" s="562"/>
      <c r="BF854" s="562"/>
      <c r="BG854" s="562"/>
      <c r="BH854" s="562"/>
      <c r="BI854" s="562"/>
    </row>
    <row r="855" spans="1:61" x14ac:dyDescent="0.2">
      <c r="A855" s="541">
        <v>7</v>
      </c>
      <c r="B855" s="551" t="s">
        <v>2875</v>
      </c>
      <c r="C855" s="551"/>
      <c r="D855" s="544" t="s">
        <v>2192</v>
      </c>
      <c r="E855" s="544"/>
      <c r="F855" s="544"/>
      <c r="G855" s="543" t="s">
        <v>3343</v>
      </c>
      <c r="H855" s="545" t="s">
        <v>3757</v>
      </c>
      <c r="I855" s="3"/>
      <c r="J855" s="181"/>
      <c r="K855" s="632"/>
      <c r="L855" s="817"/>
      <c r="M855" s="616"/>
      <c r="N855" s="609"/>
      <c r="O855" s="609"/>
      <c r="P855" s="562"/>
      <c r="Q855" s="562"/>
      <c r="R855" s="562"/>
      <c r="S855" s="562"/>
      <c r="T855" s="562"/>
      <c r="U855" s="562"/>
      <c r="V855" s="562"/>
      <c r="W855" s="562"/>
      <c r="X855" s="787"/>
      <c r="Y855" s="980"/>
      <c r="Z855" s="983"/>
      <c r="AA855" s="562"/>
      <c r="AB855" s="562"/>
      <c r="AC855" s="562"/>
      <c r="AD855" s="562"/>
      <c r="AE855" s="562"/>
      <c r="AF855" s="562"/>
      <c r="AG855" s="562"/>
      <c r="AH855" s="562"/>
      <c r="AI855" s="562"/>
      <c r="AJ855" s="562"/>
      <c r="AK855" s="562"/>
      <c r="AL855" s="562"/>
      <c r="AM855" s="562"/>
      <c r="AN855" s="562"/>
      <c r="AO855" s="562"/>
      <c r="AP855" s="562"/>
      <c r="AQ855" s="562"/>
      <c r="AR855" s="562"/>
      <c r="AS855" s="562"/>
      <c r="AT855" s="562"/>
      <c r="AU855" s="562"/>
      <c r="AV855" s="562"/>
      <c r="AW855" s="562"/>
      <c r="AX855" s="562"/>
      <c r="AY855" s="562"/>
      <c r="AZ855" s="562"/>
      <c r="BA855" s="562"/>
      <c r="BB855" s="562"/>
      <c r="BC855" s="562"/>
      <c r="BD855" s="562"/>
      <c r="BE855" s="562"/>
      <c r="BF855" s="562"/>
      <c r="BG855" s="562"/>
      <c r="BH855" s="562"/>
      <c r="BI855" s="562"/>
    </row>
    <row r="856" spans="1:61" x14ac:dyDescent="0.2">
      <c r="A856" s="541">
        <v>7</v>
      </c>
      <c r="B856" s="551" t="s">
        <v>2875</v>
      </c>
      <c r="C856" s="551"/>
      <c r="D856" s="544" t="s">
        <v>2194</v>
      </c>
      <c r="E856" s="544"/>
      <c r="F856" s="544"/>
      <c r="G856" s="543" t="s">
        <v>3343</v>
      </c>
      <c r="H856" s="545" t="s">
        <v>3757</v>
      </c>
      <c r="I856" s="3"/>
      <c r="J856" s="270" t="s">
        <v>2194</v>
      </c>
      <c r="K856" s="598"/>
      <c r="L856" s="791" t="s">
        <v>2882</v>
      </c>
      <c r="M856" s="616"/>
      <c r="N856" s="609"/>
      <c r="O856" s="609"/>
      <c r="P856" s="562"/>
      <c r="Q856" s="562"/>
      <c r="R856" s="562"/>
      <c r="S856" s="562"/>
      <c r="T856" s="562"/>
      <c r="U856" s="562"/>
      <c r="V856" s="562"/>
      <c r="W856" s="562"/>
      <c r="X856" s="787"/>
      <c r="Y856" s="980" t="str">
        <f>IF(LEN('Ch7'!X87)=0,"None",'Ch7'!X87)</f>
        <v>None</v>
      </c>
      <c r="Z856" s="983"/>
      <c r="AA856" s="562"/>
      <c r="AB856" s="562"/>
      <c r="AC856" s="562"/>
      <c r="AD856" s="562"/>
      <c r="AE856" s="562"/>
      <c r="AF856" s="562"/>
      <c r="AG856" s="562"/>
      <c r="AH856" s="562"/>
      <c r="AI856" s="562"/>
      <c r="AJ856" s="562"/>
      <c r="AK856" s="562"/>
      <c r="AL856" s="562"/>
      <c r="AM856" s="562"/>
      <c r="AN856" s="562"/>
      <c r="AO856" s="562"/>
      <c r="AP856" s="562"/>
      <c r="AQ856" s="562"/>
      <c r="AR856" s="190" t="str">
        <f>SUBSTITUTE(SUBSTITUTE(SUBSTITUTE("vnt"&amp;$B856&amp;$C856&amp;$D856&amp;$E856&amp;$F856,".","_"),"(","_"),")","")</f>
        <v>vnt701_4_3_2_1_5</v>
      </c>
      <c r="AS856" s="190">
        <f>X856</f>
        <v>0</v>
      </c>
      <c r="AT856" s="562"/>
      <c r="AU856" s="562"/>
      <c r="AV856" s="562"/>
      <c r="AW856" s="562"/>
      <c r="AX856" s="562"/>
      <c r="AY856" s="562"/>
      <c r="AZ856" s="562"/>
      <c r="BA856" s="562"/>
      <c r="BB856" s="562"/>
      <c r="BC856" s="562"/>
      <c r="BD856" s="562"/>
      <c r="BE856" s="562"/>
      <c r="BF856" s="562"/>
      <c r="BG856" s="562"/>
      <c r="BH856" s="562"/>
      <c r="BI856" s="562"/>
    </row>
    <row r="857" spans="1:61" x14ac:dyDescent="0.2">
      <c r="A857" s="541">
        <v>7</v>
      </c>
      <c r="B857" s="551" t="s">
        <v>2875</v>
      </c>
      <c r="C857" s="551"/>
      <c r="D857" s="544" t="s">
        <v>2194</v>
      </c>
      <c r="E857" s="544"/>
      <c r="F857" s="544"/>
      <c r="G857" s="543" t="s">
        <v>3343</v>
      </c>
      <c r="H857" s="545" t="s">
        <v>3757</v>
      </c>
      <c r="I857" s="3"/>
      <c r="J857" s="277"/>
      <c r="K857" s="599"/>
      <c r="L857" s="792"/>
      <c r="M857" s="616"/>
      <c r="N857" s="609"/>
      <c r="O857" s="609"/>
      <c r="P857" s="562"/>
      <c r="Q857" s="562"/>
      <c r="R857" s="562"/>
      <c r="S857" s="562"/>
      <c r="T857" s="562"/>
      <c r="U857" s="562"/>
      <c r="V857" s="562"/>
      <c r="W857" s="562"/>
      <c r="X857" s="787"/>
      <c r="Y857" s="980"/>
      <c r="Z857" s="983"/>
      <c r="AA857" s="562"/>
      <c r="AB857" s="562"/>
      <c r="AC857" s="562"/>
      <c r="AD857" s="562"/>
      <c r="AE857" s="562"/>
      <c r="AF857" s="562"/>
      <c r="AG857" s="562"/>
      <c r="AH857" s="562"/>
      <c r="AI857" s="562"/>
      <c r="AJ857" s="562"/>
      <c r="AK857" s="562"/>
      <c r="AL857" s="562"/>
      <c r="AM857" s="562"/>
      <c r="AN857" s="562"/>
      <c r="AO857" s="562"/>
      <c r="AP857" s="562"/>
      <c r="AQ857" s="562"/>
      <c r="AR857" s="562"/>
      <c r="AS857" s="562"/>
      <c r="AT857" s="562"/>
      <c r="AU857" s="562"/>
      <c r="AV857" s="562"/>
      <c r="AW857" s="562"/>
      <c r="AX857" s="562"/>
      <c r="AY857" s="562"/>
      <c r="AZ857" s="562"/>
      <c r="BA857" s="562"/>
      <c r="BB857" s="562"/>
      <c r="BC857" s="562"/>
      <c r="BD857" s="562"/>
      <c r="BE857" s="562"/>
      <c r="BF857" s="562"/>
      <c r="BG857" s="562"/>
      <c r="BH857" s="562"/>
      <c r="BI857" s="562"/>
    </row>
    <row r="858" spans="1:61" x14ac:dyDescent="0.2">
      <c r="A858" s="541">
        <v>7</v>
      </c>
      <c r="B858" s="551" t="s">
        <v>2875</v>
      </c>
      <c r="C858" s="551"/>
      <c r="D858" s="544" t="s">
        <v>2221</v>
      </c>
      <c r="E858" s="544"/>
      <c r="F858" s="544"/>
      <c r="G858" s="543" t="s">
        <v>3343</v>
      </c>
      <c r="H858" s="545" t="s">
        <v>3757</v>
      </c>
      <c r="I858" s="3"/>
      <c r="J858" s="283" t="s">
        <v>2221</v>
      </c>
      <c r="K858" s="638"/>
      <c r="L858" s="831" t="s">
        <v>2883</v>
      </c>
      <c r="M858" s="616"/>
      <c r="N858" s="609"/>
      <c r="O858" s="609"/>
      <c r="P858" s="562"/>
      <c r="Q858" s="562"/>
      <c r="R858" s="562"/>
      <c r="S858" s="562"/>
      <c r="T858" s="562"/>
      <c r="U858" s="562"/>
      <c r="V858" s="562"/>
      <c r="W858" s="562"/>
      <c r="X858" s="787"/>
      <c r="Y858" s="980" t="str">
        <f>IF(LEN('Ch7'!X89)=0,"None",'Ch7'!X89)</f>
        <v>None</v>
      </c>
      <c r="Z858" s="983"/>
      <c r="AA858" s="562"/>
      <c r="AB858" s="562"/>
      <c r="AC858" s="562"/>
      <c r="AD858" s="562"/>
      <c r="AE858" s="562"/>
      <c r="AF858" s="562"/>
      <c r="AG858" s="562"/>
      <c r="AH858" s="562"/>
      <c r="AI858" s="562"/>
      <c r="AJ858" s="562"/>
      <c r="AK858" s="562"/>
      <c r="AL858" s="562"/>
      <c r="AM858" s="562"/>
      <c r="AN858" s="562"/>
      <c r="AO858" s="562"/>
      <c r="AP858" s="562"/>
      <c r="AQ858" s="562"/>
      <c r="AR858" s="190" t="str">
        <f>SUBSTITUTE(SUBSTITUTE(SUBSTITUTE("vnt"&amp;$B858&amp;$C858&amp;$D858&amp;$E858&amp;$F858,".","_"),"(","_"),")","")</f>
        <v>vnt701_4_3_2_1_6</v>
      </c>
      <c r="AS858" s="190">
        <f>X858</f>
        <v>0</v>
      </c>
      <c r="AT858" s="562"/>
      <c r="AU858" s="562"/>
      <c r="AV858" s="562"/>
      <c r="AW858" s="562"/>
      <c r="AX858" s="562"/>
      <c r="AY858" s="562"/>
      <c r="AZ858" s="562"/>
      <c r="BA858" s="562"/>
      <c r="BB858" s="562"/>
      <c r="BC858" s="562"/>
      <c r="BD858" s="562"/>
      <c r="BE858" s="562"/>
      <c r="BF858" s="562"/>
      <c r="BG858" s="562"/>
      <c r="BH858" s="562"/>
      <c r="BI858" s="562"/>
    </row>
    <row r="859" spans="1:61" x14ac:dyDescent="0.2">
      <c r="A859" s="541">
        <v>7</v>
      </c>
      <c r="B859" s="551" t="s">
        <v>2875</v>
      </c>
      <c r="C859" s="551"/>
      <c r="D859" s="544" t="s">
        <v>2221</v>
      </c>
      <c r="E859" s="544"/>
      <c r="F859" s="544"/>
      <c r="G859" s="543" t="s">
        <v>3343</v>
      </c>
      <c r="H859" s="545" t="s">
        <v>3757</v>
      </c>
      <c r="I859" s="3"/>
      <c r="J859" s="270"/>
      <c r="K859" s="598"/>
      <c r="L859" s="791"/>
      <c r="M859" s="616"/>
      <c r="N859" s="609"/>
      <c r="O859" s="609"/>
      <c r="P859" s="562"/>
      <c r="Q859" s="562"/>
      <c r="R859" s="562"/>
      <c r="S859" s="562"/>
      <c r="T859" s="562"/>
      <c r="U859" s="562"/>
      <c r="V859" s="562"/>
      <c r="W859" s="562"/>
      <c r="X859" s="787"/>
      <c r="Y859" s="980"/>
      <c r="Z859" s="983"/>
      <c r="AA859" s="562"/>
      <c r="AB859" s="562"/>
      <c r="AC859" s="562"/>
      <c r="AD859" s="562"/>
      <c r="AE859" s="562"/>
      <c r="AF859" s="562"/>
      <c r="AG859" s="562"/>
      <c r="AH859" s="562"/>
      <c r="AI859" s="562"/>
      <c r="AJ859" s="562"/>
      <c r="AK859" s="562"/>
      <c r="AL859" s="562"/>
      <c r="AM859" s="562"/>
      <c r="AN859" s="562"/>
      <c r="AO859" s="562"/>
      <c r="AP859" s="562"/>
      <c r="AQ859" s="562"/>
      <c r="AR859" s="562"/>
      <c r="AS859" s="562"/>
      <c r="AT859" s="562"/>
      <c r="AU859" s="562"/>
      <c r="AV859" s="562"/>
      <c r="AW859" s="562"/>
      <c r="AX859" s="562"/>
      <c r="AY859" s="562"/>
      <c r="AZ859" s="562"/>
      <c r="BA859" s="562"/>
      <c r="BB859" s="562"/>
      <c r="BC859" s="562"/>
      <c r="BD859" s="562"/>
      <c r="BE859" s="562"/>
      <c r="BF859" s="562"/>
      <c r="BG859" s="562"/>
      <c r="BH859" s="562"/>
      <c r="BI859" s="562"/>
    </row>
    <row r="860" spans="1:61" x14ac:dyDescent="0.2">
      <c r="A860" s="541">
        <v>7</v>
      </c>
      <c r="B860" s="551" t="s">
        <v>2875</v>
      </c>
      <c r="C860" s="551"/>
      <c r="D860" s="544" t="s">
        <v>2221</v>
      </c>
      <c r="E860" s="544"/>
      <c r="F860" s="544"/>
      <c r="G860" s="543" t="s">
        <v>3343</v>
      </c>
      <c r="H860" s="545" t="s">
        <v>3757</v>
      </c>
      <c r="I860" s="3"/>
      <c r="J860" s="277"/>
      <c r="K860" s="599"/>
      <c r="L860" s="792"/>
      <c r="M860" s="616"/>
      <c r="N860" s="609"/>
      <c r="O860" s="609"/>
      <c r="P860" s="562"/>
      <c r="Q860" s="562"/>
      <c r="R860" s="562"/>
      <c r="S860" s="562"/>
      <c r="T860" s="562"/>
      <c r="U860" s="562"/>
      <c r="V860" s="562"/>
      <c r="W860" s="562"/>
      <c r="X860" s="787"/>
      <c r="Y860" s="980"/>
      <c r="Z860" s="983"/>
      <c r="AA860" s="562"/>
      <c r="AB860" s="562"/>
      <c r="AC860" s="562"/>
      <c r="AD860" s="562"/>
      <c r="AE860" s="562"/>
      <c r="AF860" s="562"/>
      <c r="AG860" s="562"/>
      <c r="AH860" s="562"/>
      <c r="AI860" s="562"/>
      <c r="AJ860" s="562"/>
      <c r="AK860" s="562"/>
      <c r="AL860" s="562"/>
      <c r="AM860" s="562"/>
      <c r="AN860" s="562"/>
      <c r="AO860" s="562"/>
      <c r="AP860" s="562"/>
      <c r="AQ860" s="562"/>
      <c r="AR860" s="562"/>
      <c r="AS860" s="562"/>
      <c r="AT860" s="562"/>
      <c r="AU860" s="562"/>
      <c r="AV860" s="562"/>
      <c r="AW860" s="562"/>
      <c r="AX860" s="562"/>
      <c r="AY860" s="562"/>
      <c r="AZ860" s="562"/>
      <c r="BA860" s="562"/>
      <c r="BB860" s="562"/>
      <c r="BC860" s="562"/>
      <c r="BD860" s="562"/>
      <c r="BE860" s="562"/>
      <c r="BF860" s="562"/>
      <c r="BG860" s="562"/>
      <c r="BH860" s="562"/>
      <c r="BI860" s="562"/>
    </row>
    <row r="861" spans="1:61" x14ac:dyDescent="0.2">
      <c r="A861" s="541">
        <v>7</v>
      </c>
      <c r="B861" s="551" t="s">
        <v>2875</v>
      </c>
      <c r="C861" s="551"/>
      <c r="D861" s="544" t="s">
        <v>2223</v>
      </c>
      <c r="E861" s="544"/>
      <c r="F861" s="544"/>
      <c r="G861" s="543" t="s">
        <v>3343</v>
      </c>
      <c r="H861" s="545" t="s">
        <v>3757</v>
      </c>
      <c r="I861" s="3"/>
      <c r="J861" s="283" t="s">
        <v>2223</v>
      </c>
      <c r="K861" s="638"/>
      <c r="L861" s="831" t="s">
        <v>2884</v>
      </c>
      <c r="M861" s="616"/>
      <c r="N861" s="609"/>
      <c r="O861" s="609"/>
      <c r="P861" s="562"/>
      <c r="Q861" s="562"/>
      <c r="R861" s="562"/>
      <c r="S861" s="562"/>
      <c r="T861" s="562"/>
      <c r="U861" s="562"/>
      <c r="V861" s="562"/>
      <c r="W861" s="562"/>
      <c r="X861" s="787"/>
      <c r="Y861" s="980" t="str">
        <f>IF(LEN('Ch7'!X92)=0,"None",'Ch7'!X92)</f>
        <v>None</v>
      </c>
      <c r="Z861" s="983"/>
      <c r="AA861" s="562"/>
      <c r="AB861" s="562"/>
      <c r="AC861" s="562"/>
      <c r="AD861" s="562"/>
      <c r="AE861" s="562"/>
      <c r="AF861" s="562"/>
      <c r="AG861" s="562"/>
      <c r="AH861" s="562"/>
      <c r="AI861" s="562"/>
      <c r="AJ861" s="562"/>
      <c r="AK861" s="562"/>
      <c r="AL861" s="562"/>
      <c r="AM861" s="562"/>
      <c r="AN861" s="562"/>
      <c r="AO861" s="562"/>
      <c r="AP861" s="562"/>
      <c r="AQ861" s="562"/>
      <c r="AR861" s="190" t="str">
        <f>SUBSTITUTE(SUBSTITUTE(SUBSTITUTE("vnt"&amp;$B861&amp;$C861&amp;$D861&amp;$E861&amp;$F861,".","_"),"(","_"),")","")</f>
        <v>vnt701_4_3_2_1_7</v>
      </c>
      <c r="AS861" s="190">
        <f>X861</f>
        <v>0</v>
      </c>
      <c r="AT861" s="562"/>
      <c r="AU861" s="562"/>
      <c r="AV861" s="562"/>
      <c r="AW861" s="562"/>
      <c r="AX861" s="562"/>
      <c r="AY861" s="562"/>
      <c r="AZ861" s="562"/>
      <c r="BA861" s="562"/>
      <c r="BB861" s="562"/>
      <c r="BC861" s="562"/>
      <c r="BD861" s="562"/>
      <c r="BE861" s="562"/>
      <c r="BF861" s="562"/>
      <c r="BG861" s="562"/>
      <c r="BH861" s="562"/>
      <c r="BI861" s="562"/>
    </row>
    <row r="862" spans="1:61" x14ac:dyDescent="0.2">
      <c r="A862" s="541">
        <v>7</v>
      </c>
      <c r="B862" s="551" t="s">
        <v>2875</v>
      </c>
      <c r="C862" s="551"/>
      <c r="D862" s="544" t="s">
        <v>2223</v>
      </c>
      <c r="E862" s="544"/>
      <c r="F862" s="544"/>
      <c r="G862" s="543" t="s">
        <v>3343</v>
      </c>
      <c r="H862" s="545" t="s">
        <v>3757</v>
      </c>
      <c r="I862" s="3"/>
      <c r="J862" s="277"/>
      <c r="K862" s="599"/>
      <c r="L862" s="792"/>
      <c r="M862" s="616"/>
      <c r="N862" s="609"/>
      <c r="O862" s="609"/>
      <c r="P862" s="562"/>
      <c r="Q862" s="562"/>
      <c r="R862" s="562"/>
      <c r="S862" s="562"/>
      <c r="T862" s="562"/>
      <c r="U862" s="562"/>
      <c r="V862" s="562"/>
      <c r="W862" s="562"/>
      <c r="X862" s="787"/>
      <c r="Y862" s="980"/>
      <c r="Z862" s="983"/>
      <c r="AA862" s="562"/>
      <c r="AB862" s="562"/>
      <c r="AC862" s="562"/>
      <c r="AD862" s="562"/>
      <c r="AE862" s="562"/>
      <c r="AF862" s="562"/>
      <c r="AG862" s="562"/>
      <c r="AH862" s="562"/>
      <c r="AI862" s="562"/>
      <c r="AJ862" s="562"/>
      <c r="AK862" s="562"/>
      <c r="AL862" s="562"/>
      <c r="AM862" s="562"/>
      <c r="AN862" s="562"/>
      <c r="AO862" s="562"/>
      <c r="AP862" s="562"/>
      <c r="AQ862" s="562"/>
      <c r="AR862" s="562"/>
      <c r="AS862" s="562"/>
      <c r="AT862" s="562"/>
      <c r="AU862" s="562"/>
      <c r="AV862" s="562"/>
      <c r="AW862" s="562"/>
      <c r="AX862" s="562"/>
      <c r="AY862" s="562"/>
      <c r="AZ862" s="562"/>
      <c r="BA862" s="562"/>
      <c r="BB862" s="562"/>
      <c r="BC862" s="562"/>
      <c r="BD862" s="562"/>
      <c r="BE862" s="562"/>
      <c r="BF862" s="562"/>
      <c r="BG862" s="562"/>
      <c r="BH862" s="562"/>
      <c r="BI862" s="562"/>
    </row>
    <row r="863" spans="1:61" ht="15" customHeight="1" x14ac:dyDescent="0.2">
      <c r="A863" s="541">
        <v>7</v>
      </c>
      <c r="B863" s="551" t="s">
        <v>2875</v>
      </c>
      <c r="C863" s="551"/>
      <c r="D863" s="544" t="s">
        <v>2282</v>
      </c>
      <c r="E863" s="544"/>
      <c r="F863" s="544"/>
      <c r="G863" s="543" t="s">
        <v>3343</v>
      </c>
      <c r="H863" s="545" t="s">
        <v>3757</v>
      </c>
      <c r="I863" s="3"/>
      <c r="J863" s="284" t="s">
        <v>2282</v>
      </c>
      <c r="K863" s="205"/>
      <c r="L863" s="205" t="s">
        <v>2885</v>
      </c>
      <c r="M863" s="616"/>
      <c r="N863" s="609"/>
      <c r="O863" s="609"/>
      <c r="P863" s="562"/>
      <c r="Q863" s="562"/>
      <c r="R863" s="562"/>
      <c r="S863" s="562"/>
      <c r="T863" s="562"/>
      <c r="U863" s="562"/>
      <c r="V863" s="562"/>
      <c r="W863" s="562"/>
      <c r="X863" s="563"/>
      <c r="Y863" s="578" t="str">
        <f>IF(LEN('Ch7'!X94)=0,"None",'Ch7'!X94)</f>
        <v>None</v>
      </c>
      <c r="Z863" s="579"/>
      <c r="AA863" s="562"/>
      <c r="AB863" s="562"/>
      <c r="AC863" s="562"/>
      <c r="AD863" s="562"/>
      <c r="AE863" s="562"/>
      <c r="AF863" s="562"/>
      <c r="AG863" s="562"/>
      <c r="AH863" s="562"/>
      <c r="AI863" s="562"/>
      <c r="AJ863" s="562"/>
      <c r="AK863" s="562"/>
      <c r="AL863" s="562"/>
      <c r="AM863" s="562"/>
      <c r="AN863" s="562"/>
      <c r="AO863" s="562"/>
      <c r="AP863" s="562"/>
      <c r="AQ863" s="562"/>
      <c r="AR863" s="190" t="str">
        <f t="shared" ref="AR863:AR865" si="243">SUBSTITUTE(SUBSTITUTE(SUBSTITUTE("vnt"&amp;$B863&amp;$C863&amp;$D863&amp;$E863&amp;$F863,".","_"),"(","_"),")","")</f>
        <v>vnt701_4_3_2_1_8</v>
      </c>
      <c r="AS863" s="190">
        <f>X863</f>
        <v>0</v>
      </c>
      <c r="AT863" s="562"/>
      <c r="AU863" s="562"/>
      <c r="AV863" s="562"/>
      <c r="AW863" s="562"/>
      <c r="AX863" s="562"/>
      <c r="AY863" s="562"/>
      <c r="AZ863" s="562"/>
      <c r="BA863" s="562"/>
      <c r="BB863" s="562"/>
      <c r="BC863" s="562"/>
      <c r="BD863" s="562"/>
      <c r="BE863" s="562"/>
      <c r="BF863" s="562"/>
      <c r="BG863" s="562"/>
      <c r="BH863" s="562"/>
      <c r="BI863" s="562"/>
    </row>
    <row r="864" spans="1:61" ht="16" x14ac:dyDescent="0.2">
      <c r="A864" s="541">
        <v>7</v>
      </c>
      <c r="B864" s="551" t="s">
        <v>2875</v>
      </c>
      <c r="C864" s="551"/>
      <c r="D864" s="544" t="s">
        <v>2284</v>
      </c>
      <c r="E864" s="544"/>
      <c r="F864" s="544"/>
      <c r="G864" s="543" t="s">
        <v>3343</v>
      </c>
      <c r="H864" s="545" t="s">
        <v>3757</v>
      </c>
      <c r="I864" s="3"/>
      <c r="J864" s="284" t="s">
        <v>2284</v>
      </c>
      <c r="K864" s="205"/>
      <c r="L864" s="205" t="s">
        <v>2886</v>
      </c>
      <c r="M864" s="616"/>
      <c r="N864" s="609"/>
      <c r="O864" s="609"/>
      <c r="P864" s="562"/>
      <c r="Q864" s="562"/>
      <c r="R864" s="562"/>
      <c r="S864" s="562"/>
      <c r="T864" s="562"/>
      <c r="U864" s="562"/>
      <c r="V864" s="562"/>
      <c r="W864" s="562"/>
      <c r="X864" s="563"/>
      <c r="Y864" s="578" t="str">
        <f>IF(LEN('Ch7'!X95)=0,"None",'Ch7'!X95)</f>
        <v>None</v>
      </c>
      <c r="Z864" s="579"/>
      <c r="AA864" s="562"/>
      <c r="AB864" s="562"/>
      <c r="AC864" s="562"/>
      <c r="AD864" s="562"/>
      <c r="AE864" s="562"/>
      <c r="AF864" s="562"/>
      <c r="AG864" s="562"/>
      <c r="AH864" s="562"/>
      <c r="AI864" s="562"/>
      <c r="AJ864" s="562"/>
      <c r="AK864" s="562"/>
      <c r="AL864" s="562"/>
      <c r="AM864" s="562"/>
      <c r="AN864" s="562"/>
      <c r="AO864" s="562"/>
      <c r="AP864" s="562"/>
      <c r="AQ864" s="562"/>
      <c r="AR864" s="190" t="str">
        <f t="shared" si="243"/>
        <v>vnt701_4_3_2_1_9</v>
      </c>
      <c r="AS864" s="190">
        <f>X864</f>
        <v>0</v>
      </c>
      <c r="AT864" s="562"/>
      <c r="AU864" s="562"/>
      <c r="AV864" s="562"/>
      <c r="AW864" s="562"/>
      <c r="AX864" s="562"/>
      <c r="AY864" s="562"/>
      <c r="AZ864" s="562"/>
      <c r="BA864" s="562"/>
      <c r="BB864" s="562"/>
      <c r="BC864" s="562"/>
      <c r="BD864" s="562"/>
      <c r="BE864" s="562"/>
      <c r="BF864" s="562"/>
      <c r="BG864" s="562"/>
      <c r="BH864" s="562"/>
      <c r="BI864" s="562"/>
    </row>
    <row r="865" spans="1:61" ht="15" customHeight="1" x14ac:dyDescent="0.2">
      <c r="A865" s="541">
        <v>7</v>
      </c>
      <c r="B865" s="551" t="s">
        <v>2875</v>
      </c>
      <c r="C865" s="551"/>
      <c r="D865" s="544" t="s">
        <v>2286</v>
      </c>
      <c r="E865" s="544"/>
      <c r="F865" s="544"/>
      <c r="G865" s="543" t="s">
        <v>3343</v>
      </c>
      <c r="H865" s="545" t="s">
        <v>3757</v>
      </c>
      <c r="I865" s="3"/>
      <c r="J865" s="283" t="s">
        <v>2286</v>
      </c>
      <c r="K865" s="638"/>
      <c r="L865" s="831" t="s">
        <v>2887</v>
      </c>
      <c r="M865" s="616"/>
      <c r="N865" s="609"/>
      <c r="O865" s="609"/>
      <c r="P865" s="562"/>
      <c r="Q865" s="562"/>
      <c r="R865" s="562"/>
      <c r="S865" s="562"/>
      <c r="T865" s="562"/>
      <c r="U865" s="562"/>
      <c r="V865" s="562"/>
      <c r="W865" s="562"/>
      <c r="X865" s="787"/>
      <c r="Y865" s="980" t="str">
        <f>IF(LEN('Ch7'!X96)=0,"None",'Ch7'!X96)</f>
        <v>None</v>
      </c>
      <c r="Z865" s="983"/>
      <c r="AA865" s="562"/>
      <c r="AB865" s="562"/>
      <c r="AC865" s="562"/>
      <c r="AD865" s="562"/>
      <c r="AE865" s="562"/>
      <c r="AF865" s="562"/>
      <c r="AG865" s="562"/>
      <c r="AH865" s="562"/>
      <c r="AI865" s="562"/>
      <c r="AJ865" s="562"/>
      <c r="AK865" s="562"/>
      <c r="AL865" s="562"/>
      <c r="AM865" s="562"/>
      <c r="AN865" s="562"/>
      <c r="AO865" s="562"/>
      <c r="AP865" s="562"/>
      <c r="AQ865" s="562"/>
      <c r="AR865" s="190" t="str">
        <f t="shared" si="243"/>
        <v>vnt701_4_3_2_1_10</v>
      </c>
      <c r="AS865" s="190">
        <f>X865</f>
        <v>0</v>
      </c>
      <c r="AT865" s="562"/>
      <c r="AU865" s="562"/>
      <c r="AV865" s="562"/>
      <c r="AW865" s="562"/>
      <c r="AX865" s="562"/>
      <c r="AY865" s="562"/>
      <c r="AZ865" s="562"/>
      <c r="BA865" s="562"/>
      <c r="BB865" s="562"/>
      <c r="BC865" s="562"/>
      <c r="BD865" s="562"/>
      <c r="BE865" s="562"/>
      <c r="BF865" s="562"/>
      <c r="BG865" s="562"/>
      <c r="BH865" s="562"/>
      <c r="BI865" s="562"/>
    </row>
    <row r="866" spans="1:61" x14ac:dyDescent="0.2">
      <c r="A866" s="541">
        <v>7</v>
      </c>
      <c r="B866" s="551" t="s">
        <v>2875</v>
      </c>
      <c r="C866" s="551"/>
      <c r="D866" s="544" t="s">
        <v>2286</v>
      </c>
      <c r="E866" s="544"/>
      <c r="F866" s="544"/>
      <c r="G866" s="543" t="s">
        <v>3343</v>
      </c>
      <c r="H866" s="545" t="s">
        <v>3757</v>
      </c>
      <c r="I866" s="3"/>
      <c r="J866" s="270"/>
      <c r="K866" s="598"/>
      <c r="L866" s="791"/>
      <c r="M866" s="616"/>
      <c r="N866" s="609"/>
      <c r="O866" s="609"/>
      <c r="P866" s="562"/>
      <c r="Q866" s="562"/>
      <c r="R866" s="562"/>
      <c r="S866" s="562"/>
      <c r="T866" s="562"/>
      <c r="U866" s="562"/>
      <c r="V866" s="562"/>
      <c r="W866" s="562"/>
      <c r="X866" s="787"/>
      <c r="Y866" s="980"/>
      <c r="Z866" s="983"/>
      <c r="AA866" s="562"/>
      <c r="AB866" s="562"/>
      <c r="AC866" s="562"/>
      <c r="AD866" s="562"/>
      <c r="AE866" s="562"/>
      <c r="AF866" s="562"/>
      <c r="AG866" s="562"/>
      <c r="AH866" s="562"/>
      <c r="AI866" s="562"/>
      <c r="AJ866" s="562"/>
      <c r="AK866" s="562"/>
      <c r="AL866" s="562"/>
      <c r="AM866" s="562"/>
      <c r="AN866" s="562"/>
      <c r="AO866" s="562"/>
      <c r="AP866" s="562"/>
      <c r="AQ866" s="562"/>
      <c r="AR866" s="562"/>
      <c r="AS866" s="562"/>
      <c r="AT866" s="562"/>
      <c r="AU866" s="562"/>
      <c r="AV866" s="562"/>
      <c r="AW866" s="562"/>
      <c r="AX866" s="562"/>
      <c r="AY866" s="562"/>
      <c r="AZ866" s="562"/>
      <c r="BA866" s="562"/>
      <c r="BB866" s="562"/>
      <c r="BC866" s="562"/>
      <c r="BD866" s="562"/>
      <c r="BE866" s="562"/>
      <c r="BF866" s="562"/>
      <c r="BG866" s="562"/>
      <c r="BH866" s="562"/>
      <c r="BI866" s="562"/>
    </row>
    <row r="867" spans="1:61" x14ac:dyDescent="0.2">
      <c r="A867" s="541">
        <v>7</v>
      </c>
      <c r="B867" s="551" t="s">
        <v>2875</v>
      </c>
      <c r="C867" s="551"/>
      <c r="D867" s="544" t="s">
        <v>2286</v>
      </c>
      <c r="E867" s="544"/>
      <c r="F867" s="544"/>
      <c r="G867" s="543" t="s">
        <v>3343</v>
      </c>
      <c r="H867" s="545" t="s">
        <v>3757</v>
      </c>
      <c r="I867" s="3"/>
      <c r="J867" s="277"/>
      <c r="K867" s="599"/>
      <c r="L867" s="792"/>
      <c r="M867" s="616"/>
      <c r="N867" s="609"/>
      <c r="O867" s="609"/>
      <c r="P867" s="562"/>
      <c r="Q867" s="562"/>
      <c r="R867" s="562"/>
      <c r="S867" s="562"/>
      <c r="T867" s="562"/>
      <c r="U867" s="562"/>
      <c r="V867" s="562"/>
      <c r="W867" s="562"/>
      <c r="X867" s="787"/>
      <c r="Y867" s="980"/>
      <c r="Z867" s="983"/>
      <c r="AA867" s="562"/>
      <c r="AB867" s="562"/>
      <c r="AC867" s="562"/>
      <c r="AD867" s="562"/>
      <c r="AE867" s="562"/>
      <c r="AF867" s="562"/>
      <c r="AG867" s="562"/>
      <c r="AH867" s="562"/>
      <c r="AI867" s="562"/>
      <c r="AJ867" s="562"/>
      <c r="AK867" s="562"/>
      <c r="AL867" s="562"/>
      <c r="AM867" s="562"/>
      <c r="AN867" s="562"/>
      <c r="AO867" s="562"/>
      <c r="AP867" s="562"/>
      <c r="AQ867" s="562"/>
      <c r="AR867" s="562"/>
      <c r="AS867" s="562"/>
      <c r="AT867" s="562"/>
      <c r="AU867" s="562"/>
      <c r="AV867" s="562"/>
      <c r="AW867" s="562"/>
      <c r="AX867" s="562"/>
      <c r="AY867" s="562"/>
      <c r="AZ867" s="562"/>
      <c r="BA867" s="562"/>
      <c r="BB867" s="562"/>
      <c r="BC867" s="562"/>
      <c r="BD867" s="562"/>
      <c r="BE867" s="562"/>
      <c r="BF867" s="562"/>
      <c r="BG867" s="562"/>
      <c r="BH867" s="562"/>
      <c r="BI867" s="562"/>
    </row>
    <row r="868" spans="1:61" ht="15" customHeight="1" x14ac:dyDescent="0.2">
      <c r="A868" s="541">
        <v>7</v>
      </c>
      <c r="B868" s="551" t="s">
        <v>2875</v>
      </c>
      <c r="C868" s="551"/>
      <c r="D868" s="544" t="s">
        <v>2288</v>
      </c>
      <c r="E868" s="544"/>
      <c r="F868" s="544"/>
      <c r="G868" s="543" t="s">
        <v>3343</v>
      </c>
      <c r="H868" s="545" t="s">
        <v>3757</v>
      </c>
      <c r="I868" s="98"/>
      <c r="J868" s="270" t="s">
        <v>2288</v>
      </c>
      <c r="K868" s="598"/>
      <c r="L868" s="791" t="s">
        <v>2888</v>
      </c>
      <c r="M868" s="610"/>
      <c r="N868" s="607"/>
      <c r="O868" s="607"/>
      <c r="P868" s="64"/>
      <c r="Q868" s="64"/>
      <c r="R868" s="64"/>
      <c r="S868" s="64"/>
      <c r="T868" s="64"/>
      <c r="U868" s="64"/>
      <c r="V868" s="64"/>
      <c r="W868" s="64"/>
      <c r="X868" s="798"/>
      <c r="Y868" s="980" t="str">
        <f>IF(LEN('Ch7'!X99)=0,"None",'Ch7'!X99)</f>
        <v>None</v>
      </c>
      <c r="Z868" s="983"/>
      <c r="AA868" s="562"/>
      <c r="AB868" s="562"/>
      <c r="AC868" s="562"/>
      <c r="AD868" s="562"/>
      <c r="AE868" s="562"/>
      <c r="AF868" s="562"/>
      <c r="AG868" s="562"/>
      <c r="AH868" s="562"/>
      <c r="AI868" s="562"/>
      <c r="AJ868" s="562"/>
      <c r="AK868" s="562"/>
      <c r="AL868" s="562"/>
      <c r="AM868" s="562"/>
      <c r="AN868" s="562"/>
      <c r="AO868" s="562"/>
      <c r="AP868" s="562"/>
      <c r="AQ868" s="562"/>
      <c r="AR868" s="190" t="str">
        <f>SUBSTITUTE(SUBSTITUTE(SUBSTITUTE("vnt"&amp;$B868&amp;$C868&amp;$D868&amp;$E868&amp;$F868,".","_"),"(","_"),")","")</f>
        <v>vnt701_4_3_2_1_11</v>
      </c>
      <c r="AS868" s="190">
        <f>X868</f>
        <v>0</v>
      </c>
      <c r="AT868" s="562"/>
      <c r="AU868" s="562"/>
      <c r="AV868" s="562"/>
      <c r="AW868" s="562"/>
      <c r="AX868" s="562"/>
      <c r="AY868" s="562"/>
      <c r="AZ868" s="562"/>
      <c r="BA868" s="562"/>
      <c r="BB868" s="562"/>
      <c r="BC868" s="562"/>
      <c r="BD868" s="562"/>
      <c r="BE868" s="562"/>
      <c r="BF868" s="562"/>
      <c r="BG868" s="562"/>
      <c r="BH868" s="562"/>
      <c r="BI868" s="562"/>
    </row>
    <row r="869" spans="1:61" x14ac:dyDescent="0.2">
      <c r="A869" s="541">
        <v>7</v>
      </c>
      <c r="B869" s="551" t="s">
        <v>2875</v>
      </c>
      <c r="C869" s="551"/>
      <c r="D869" s="544" t="s">
        <v>2288</v>
      </c>
      <c r="E869" s="544"/>
      <c r="F869" s="544"/>
      <c r="G869" s="543" t="s">
        <v>3343</v>
      </c>
      <c r="H869" s="545" t="s">
        <v>3757</v>
      </c>
      <c r="I869" s="98"/>
      <c r="J869" s="270"/>
      <c r="K869" s="598"/>
      <c r="L869" s="791"/>
      <c r="M869" s="610"/>
      <c r="N869" s="607"/>
      <c r="O869" s="607"/>
      <c r="P869" s="64"/>
      <c r="Q869" s="64"/>
      <c r="R869" s="64"/>
      <c r="S869" s="64"/>
      <c r="T869" s="64"/>
      <c r="U869" s="64"/>
      <c r="V869" s="64"/>
      <c r="W869" s="64"/>
      <c r="X869" s="798"/>
      <c r="Y869" s="980"/>
      <c r="Z869" s="983"/>
      <c r="AA869" s="562"/>
      <c r="AB869" s="562"/>
      <c r="AC869" s="562"/>
      <c r="AD869" s="562"/>
      <c r="AE869" s="562"/>
      <c r="AF869" s="562"/>
      <c r="AG869" s="562"/>
      <c r="AH869" s="562"/>
      <c r="AI869" s="562"/>
      <c r="AJ869" s="562"/>
      <c r="AK869" s="562"/>
      <c r="AL869" s="562"/>
      <c r="AM869" s="562"/>
      <c r="AN869" s="562"/>
      <c r="AO869" s="562"/>
      <c r="AP869" s="562"/>
      <c r="AQ869" s="562"/>
      <c r="AR869" s="562"/>
      <c r="AS869" s="562"/>
      <c r="AT869" s="562"/>
      <c r="AU869" s="562"/>
      <c r="AV869" s="562"/>
      <c r="AW869" s="562"/>
      <c r="AX869" s="562"/>
      <c r="AY869" s="562"/>
      <c r="AZ869" s="562"/>
      <c r="BA869" s="562"/>
      <c r="BB869" s="562"/>
      <c r="BC869" s="562"/>
      <c r="BD869" s="562"/>
      <c r="BE869" s="562"/>
      <c r="BF869" s="562"/>
      <c r="BG869" s="562"/>
      <c r="BH869" s="562"/>
      <c r="BI869" s="562"/>
    </row>
    <row r="870" spans="1:61" ht="15" customHeight="1" x14ac:dyDescent="0.2">
      <c r="A870" s="541">
        <v>7</v>
      </c>
      <c r="B870" s="551" t="s">
        <v>2875</v>
      </c>
      <c r="C870" s="551"/>
      <c r="D870" s="544" t="s">
        <v>2288</v>
      </c>
      <c r="E870" s="544"/>
      <c r="F870" s="544"/>
      <c r="G870" s="543" t="s">
        <v>3343</v>
      </c>
      <c r="H870" s="545" t="s">
        <v>3757</v>
      </c>
      <c r="I870" s="165"/>
      <c r="J870" s="277"/>
      <c r="K870" s="599"/>
      <c r="L870" s="792"/>
      <c r="M870" s="611"/>
      <c r="N870" s="608"/>
      <c r="O870" s="608"/>
      <c r="P870" s="129"/>
      <c r="Q870" s="129"/>
      <c r="R870" s="129"/>
      <c r="S870" s="129"/>
      <c r="T870" s="129"/>
      <c r="U870" s="129"/>
      <c r="V870" s="129"/>
      <c r="W870" s="129"/>
      <c r="X870" s="798"/>
      <c r="Y870" s="980"/>
      <c r="Z870" s="983"/>
      <c r="AA870" s="562"/>
      <c r="AB870" s="562"/>
      <c r="AC870" s="562"/>
      <c r="AD870" s="562"/>
      <c r="AE870" s="562"/>
      <c r="AF870" s="562"/>
      <c r="AG870" s="562"/>
      <c r="AH870" s="562"/>
      <c r="AI870" s="562"/>
      <c r="AJ870" s="562"/>
      <c r="AK870" s="562"/>
      <c r="AL870" s="562"/>
      <c r="AM870" s="562"/>
      <c r="AN870" s="562"/>
      <c r="AO870" s="562"/>
      <c r="AP870" s="562"/>
      <c r="AQ870" s="562"/>
      <c r="AR870" s="562"/>
      <c r="AS870" s="562"/>
      <c r="AT870" s="562"/>
      <c r="AU870" s="562"/>
      <c r="AV870" s="562"/>
      <c r="AW870" s="562"/>
      <c r="AX870" s="562"/>
      <c r="AY870" s="562"/>
      <c r="AZ870" s="562"/>
      <c r="BA870" s="562"/>
      <c r="BB870" s="562"/>
      <c r="BC870" s="562"/>
      <c r="BD870" s="562"/>
      <c r="BE870" s="562"/>
      <c r="BF870" s="562"/>
      <c r="BG870" s="562"/>
      <c r="BH870" s="562"/>
      <c r="BI870" s="562"/>
    </row>
    <row r="871" spans="1:61" x14ac:dyDescent="0.2">
      <c r="A871" s="541">
        <v>7</v>
      </c>
      <c r="B871" s="551" t="s">
        <v>2889</v>
      </c>
      <c r="C871" s="551"/>
      <c r="D871" s="544"/>
      <c r="E871" s="544"/>
      <c r="F871" s="544"/>
      <c r="G871" s="543" t="s">
        <v>3343</v>
      </c>
      <c r="H871" s="541" t="s">
        <v>3757</v>
      </c>
      <c r="I871" s="145" t="s">
        <v>2890</v>
      </c>
      <c r="J871" s="638"/>
      <c r="K871" s="638"/>
      <c r="L871" s="847" t="s">
        <v>3464</v>
      </c>
      <c r="M871" s="624"/>
      <c r="N871" s="617"/>
      <c r="O871" s="617"/>
      <c r="P871" s="148"/>
      <c r="Q871" s="148"/>
      <c r="R871" s="148"/>
      <c r="S871" s="148"/>
      <c r="T871" s="148"/>
      <c r="U871" s="148"/>
      <c r="V871" s="148"/>
      <c r="W871" s="148" t="s">
        <v>2892</v>
      </c>
      <c r="X871" s="798"/>
      <c r="Y871" s="980" t="str">
        <f>IF(LEN('Ch7'!X102)=0,"None",'Ch7'!X102)</f>
        <v>None</v>
      </c>
      <c r="Z871" s="983"/>
      <c r="AA871" s="562"/>
      <c r="AB871" s="562"/>
      <c r="AC871" s="562"/>
      <c r="AD871" s="562"/>
      <c r="AE871" s="562"/>
      <c r="AF871" s="562"/>
      <c r="AG871" s="562"/>
      <c r="AH871" s="562"/>
      <c r="AI871" s="562"/>
      <c r="AJ871" s="562"/>
      <c r="AK871" s="562"/>
      <c r="AL871" s="562"/>
      <c r="AM871" s="562"/>
      <c r="AN871" s="562"/>
      <c r="AO871" s="562"/>
      <c r="AP871" s="562"/>
      <c r="AQ871" s="562"/>
      <c r="AR871" s="190" t="str">
        <f>SUBSTITUTE(SUBSTITUTE(SUBSTITUTE("vnt"&amp;$B871&amp;$C871&amp;$D871&amp;$E871&amp;$F871,".","_"),"(","_"),")","")</f>
        <v>vnt701_4_3_3_3</v>
      </c>
      <c r="AS871" s="190">
        <f>X871</f>
        <v>0</v>
      </c>
      <c r="AT871" s="562"/>
      <c r="AU871" s="562"/>
      <c r="AV871" s="562"/>
      <c r="AW871" s="562"/>
      <c r="AX871" s="562"/>
      <c r="AY871" s="562"/>
      <c r="AZ871" s="562"/>
      <c r="BA871" s="562"/>
      <c r="BB871" s="562"/>
      <c r="BC871" s="562"/>
      <c r="BD871" s="562"/>
      <c r="BE871" s="562"/>
      <c r="BF871" s="562"/>
      <c r="BG871" s="562"/>
      <c r="BH871" s="562"/>
      <c r="BI871" s="562"/>
    </row>
    <row r="872" spans="1:61" ht="15" customHeight="1" x14ac:dyDescent="0.2">
      <c r="A872" s="541">
        <v>7</v>
      </c>
      <c r="B872" s="551" t="s">
        <v>2889</v>
      </c>
      <c r="C872" s="551"/>
      <c r="D872" s="544"/>
      <c r="E872" s="544"/>
      <c r="F872" s="544"/>
      <c r="G872" s="543" t="s">
        <v>3343</v>
      </c>
      <c r="H872" s="541" t="s">
        <v>3757</v>
      </c>
      <c r="I872" s="99"/>
      <c r="J872" s="598"/>
      <c r="K872" s="598"/>
      <c r="L872" s="820"/>
      <c r="M872" s="610"/>
      <c r="N872" s="607"/>
      <c r="O872" s="607"/>
      <c r="P872" s="64"/>
      <c r="Q872" s="64"/>
      <c r="R872" s="64"/>
      <c r="S872" s="64"/>
      <c r="T872" s="64"/>
      <c r="U872" s="64"/>
      <c r="V872" s="64"/>
      <c r="W872" s="64"/>
      <c r="X872" s="798"/>
      <c r="Y872" s="980"/>
      <c r="Z872" s="983"/>
      <c r="AA872" s="562"/>
      <c r="AB872" s="562"/>
      <c r="AC872" s="562"/>
      <c r="AD872" s="562"/>
      <c r="AE872" s="562"/>
      <c r="AF872" s="562"/>
      <c r="AG872" s="562"/>
      <c r="AH872" s="562"/>
      <c r="AI872" s="562"/>
      <c r="AJ872" s="562"/>
      <c r="AK872" s="562"/>
      <c r="AL872" s="562"/>
      <c r="AM872" s="562"/>
      <c r="AN872" s="562"/>
      <c r="AO872" s="562"/>
      <c r="AP872" s="562"/>
      <c r="AQ872" s="562"/>
      <c r="AR872" s="562"/>
      <c r="AS872" s="562"/>
      <c r="AT872" s="562"/>
      <c r="AU872" s="562"/>
      <c r="AV872" s="562"/>
      <c r="AW872" s="562"/>
      <c r="AX872" s="562"/>
      <c r="AY872" s="562"/>
      <c r="AZ872" s="562"/>
      <c r="BA872" s="562"/>
      <c r="BB872" s="562"/>
      <c r="BC872" s="562"/>
      <c r="BD872" s="562"/>
      <c r="BE872" s="562"/>
      <c r="BF872" s="562"/>
      <c r="BG872" s="562"/>
      <c r="BH872" s="562"/>
      <c r="BI872" s="562"/>
    </row>
    <row r="873" spans="1:61" x14ac:dyDescent="0.2">
      <c r="A873" s="541">
        <v>7</v>
      </c>
      <c r="B873" s="551" t="s">
        <v>2889</v>
      </c>
      <c r="C873" s="551"/>
      <c r="D873" s="544"/>
      <c r="E873" s="544"/>
      <c r="F873" s="544"/>
      <c r="G873" s="543" t="s">
        <v>3343</v>
      </c>
      <c r="H873" s="541" t="s">
        <v>3757</v>
      </c>
      <c r="I873" s="170"/>
      <c r="J873" s="599"/>
      <c r="K873" s="599"/>
      <c r="L873" s="832"/>
      <c r="M873" s="611"/>
      <c r="N873" s="608"/>
      <c r="O873" s="608"/>
      <c r="P873" s="129"/>
      <c r="Q873" s="129"/>
      <c r="R873" s="129"/>
      <c r="S873" s="129"/>
      <c r="T873" s="129"/>
      <c r="U873" s="129"/>
      <c r="V873" s="129"/>
      <c r="W873" s="129"/>
      <c r="X873" s="798"/>
      <c r="Y873" s="980"/>
      <c r="Z873" s="983"/>
      <c r="AA873" s="562"/>
      <c r="AB873" s="562"/>
      <c r="AC873" s="562"/>
      <c r="AD873" s="562"/>
      <c r="AE873" s="562"/>
      <c r="AF873" s="562"/>
      <c r="AG873" s="562"/>
      <c r="AH873" s="562"/>
      <c r="AI873" s="562"/>
      <c r="AJ873" s="562"/>
      <c r="AK873" s="562"/>
      <c r="AL873" s="562"/>
      <c r="AM873" s="562"/>
      <c r="AN873" s="562"/>
      <c r="AO873" s="562"/>
      <c r="AP873" s="562"/>
      <c r="AQ873" s="562"/>
      <c r="AR873" s="562"/>
      <c r="AS873" s="562"/>
      <c r="AT873" s="562"/>
      <c r="AU873" s="562"/>
      <c r="AV873" s="562"/>
      <c r="AW873" s="562"/>
      <c r="AX873" s="562"/>
      <c r="AY873" s="562"/>
      <c r="AZ873" s="562"/>
      <c r="BA873" s="562"/>
      <c r="BB873" s="562"/>
      <c r="BC873" s="562"/>
      <c r="BD873" s="562"/>
      <c r="BE873" s="562"/>
      <c r="BF873" s="562"/>
      <c r="BG873" s="562"/>
      <c r="BH873" s="562"/>
      <c r="BI873" s="562"/>
    </row>
    <row r="874" spans="1:61" x14ac:dyDescent="0.2">
      <c r="A874" s="541">
        <v>7</v>
      </c>
      <c r="B874" s="551" t="s">
        <v>2893</v>
      </c>
      <c r="C874" s="551"/>
      <c r="D874" s="544"/>
      <c r="E874" s="544"/>
      <c r="F874" s="544"/>
      <c r="G874" s="543" t="s">
        <v>3343</v>
      </c>
      <c r="H874" s="541" t="s">
        <v>3757</v>
      </c>
      <c r="I874" s="145" t="s">
        <v>2894</v>
      </c>
      <c r="J874" s="638"/>
      <c r="K874" s="638"/>
      <c r="L874" s="847" t="s">
        <v>2895</v>
      </c>
      <c r="M874" s="867" t="str">
        <f>IF(R874,"Mandatory","N/A")</f>
        <v>Mandatory</v>
      </c>
      <c r="N874" s="617"/>
      <c r="O874" s="617"/>
      <c r="P874" s="64" t="b">
        <v>1</v>
      </c>
      <c r="Q874" s="64" t="b">
        <v>1</v>
      </c>
      <c r="R874" s="148" t="b">
        <f>AND(S874,NOT(W826=TRUE))</f>
        <v>1</v>
      </c>
      <c r="S874" s="463" t="b">
        <v>1</v>
      </c>
      <c r="T874" s="148" t="b">
        <f>AND(NOT(S874),W874=TRUE)</f>
        <v>0</v>
      </c>
      <c r="U874" s="148"/>
      <c r="V874" s="148"/>
      <c r="W874" s="18"/>
      <c r="X874" s="798"/>
      <c r="Y874" s="980" t="str">
        <f>IF(LEN('Ch7'!X105)=0,"None",'Ch7'!X105)</f>
        <v>None</v>
      </c>
      <c r="Z874" s="983"/>
      <c r="AA874" s="562"/>
      <c r="AB874" s="562"/>
      <c r="AC874" s="562" t="b">
        <f>OR(AD874:AE874)</f>
        <v>1</v>
      </c>
      <c r="AD874" s="562" t="b">
        <f>T874</f>
        <v>0</v>
      </c>
      <c r="AE874" s="562" t="b">
        <f>AND(R874,NOT(W874))</f>
        <v>1</v>
      </c>
      <c r="AF874" s="562" t="b">
        <f>AND(AE874,NOT(Q874))</f>
        <v>0</v>
      </c>
      <c r="AG874" s="562"/>
      <c r="AH874" s="562"/>
      <c r="AI874" s="562"/>
      <c r="AJ874" s="562"/>
      <c r="AK874" s="562"/>
      <c r="AL874" s="190" t="str">
        <f t="shared" ref="AL874" si="244">SUBSTITUTE(SUBSTITUTE(SUBSTITUTE("vpa"&amp;$B874&amp;$C874&amp;$D874&amp;$E874&amp;$F874,".","_"),"(","_"),")","")</f>
        <v>vpa701_4_3_3_4</v>
      </c>
      <c r="AM874" s="190" t="str">
        <f>M874</f>
        <v>Mandatory</v>
      </c>
      <c r="AN874" s="562"/>
      <c r="AO874" s="562"/>
      <c r="AP874" s="190" t="str">
        <f>SUBSTITUTE(SUBSTITUTE(SUBSTITUTE("vch"&amp;$B874&amp;$C874&amp;$D874&amp;$E874&amp;$F874,".","_"),"(","_"),")","")</f>
        <v>vch701_4_3_3_4</v>
      </c>
      <c r="AQ874" s="190">
        <f>W874</f>
        <v>0</v>
      </c>
      <c r="AR874" s="190" t="str">
        <f>SUBSTITUTE(SUBSTITUTE(SUBSTITUTE("vnt"&amp;$B874&amp;$C874&amp;$D874&amp;$E874&amp;$F874,".","_"),"(","_"),")","")</f>
        <v>vnt701_4_3_3_4</v>
      </c>
      <c r="AS874" s="190">
        <f>X874</f>
        <v>0</v>
      </c>
      <c r="AT874" s="562"/>
      <c r="AU874" s="562"/>
      <c r="AV874" s="562"/>
      <c r="AW874" s="562"/>
      <c r="AX874" s="562"/>
      <c r="AY874" s="562"/>
      <c r="AZ874" s="562"/>
      <c r="BA874" s="562"/>
      <c r="BB874" s="562"/>
      <c r="BC874" s="562"/>
      <c r="BD874" s="562"/>
      <c r="BE874" s="562"/>
      <c r="BF874" s="562"/>
      <c r="BG874" s="562"/>
      <c r="BH874" s="562"/>
      <c r="BI874" s="562"/>
    </row>
    <row r="875" spans="1:61" ht="15" customHeight="1" x14ac:dyDescent="0.2">
      <c r="A875" s="541">
        <v>7</v>
      </c>
      <c r="B875" s="551" t="s">
        <v>2893</v>
      </c>
      <c r="C875" s="551"/>
      <c r="D875" s="544"/>
      <c r="E875" s="544"/>
      <c r="F875" s="544"/>
      <c r="G875" s="543" t="s">
        <v>3343</v>
      </c>
      <c r="H875" s="541" t="s">
        <v>3757</v>
      </c>
      <c r="I875" s="98"/>
      <c r="J875" s="598"/>
      <c r="K875" s="598"/>
      <c r="L875" s="820"/>
      <c r="M875" s="838"/>
      <c r="N875" s="607"/>
      <c r="O875" s="607"/>
      <c r="P875" s="64"/>
      <c r="Q875" s="64"/>
      <c r="R875" s="64"/>
      <c r="S875" s="64"/>
      <c r="T875" s="64"/>
      <c r="U875" s="64"/>
      <c r="V875" s="64"/>
      <c r="W875" s="64"/>
      <c r="X875" s="798"/>
      <c r="Y875" s="980"/>
      <c r="Z875" s="983"/>
      <c r="AA875" s="562"/>
      <c r="AB875" s="562"/>
      <c r="AC875" s="562"/>
      <c r="AD875" s="562"/>
      <c r="AE875" s="562"/>
      <c r="AF875" s="562"/>
      <c r="AG875" s="562"/>
      <c r="AH875" s="562"/>
      <c r="AI875" s="562"/>
      <c r="AJ875" s="562"/>
      <c r="AK875" s="562"/>
      <c r="AL875" s="562"/>
      <c r="AM875" s="562"/>
      <c r="AN875" s="562"/>
      <c r="AO875" s="562"/>
      <c r="AP875" s="562"/>
      <c r="AQ875" s="562"/>
      <c r="AR875" s="562"/>
      <c r="AS875" s="562"/>
      <c r="AT875" s="562"/>
      <c r="AU875" s="562"/>
      <c r="AV875" s="562"/>
      <c r="AW875" s="562"/>
      <c r="AX875" s="562"/>
      <c r="AY875" s="562"/>
      <c r="AZ875" s="562"/>
      <c r="BA875" s="562"/>
      <c r="BB875" s="562"/>
      <c r="BC875" s="562"/>
      <c r="BD875" s="562"/>
      <c r="BE875" s="562"/>
      <c r="BF875" s="562"/>
      <c r="BG875" s="562"/>
      <c r="BH875" s="562"/>
      <c r="BI875" s="562"/>
    </row>
    <row r="876" spans="1:61" x14ac:dyDescent="0.2">
      <c r="A876" s="541">
        <v>7</v>
      </c>
      <c r="B876" s="551" t="s">
        <v>2893</v>
      </c>
      <c r="C876" s="551"/>
      <c r="D876" s="544"/>
      <c r="E876" s="544"/>
      <c r="F876" s="544"/>
      <c r="G876" s="543" t="s">
        <v>3343</v>
      </c>
      <c r="H876" s="541" t="s">
        <v>3757</v>
      </c>
      <c r="I876" s="98"/>
      <c r="J876" s="598"/>
      <c r="K876" s="598"/>
      <c r="L876" s="820"/>
      <c r="M876" s="838"/>
      <c r="N876" s="607"/>
      <c r="O876" s="607"/>
      <c r="P876" s="64"/>
      <c r="Q876" s="64"/>
      <c r="R876" s="64"/>
      <c r="S876" s="64"/>
      <c r="T876" s="64"/>
      <c r="U876" s="64"/>
      <c r="V876" s="64"/>
      <c r="W876" s="64"/>
      <c r="X876" s="798"/>
      <c r="Y876" s="980"/>
      <c r="Z876" s="983"/>
      <c r="AA876" s="562"/>
      <c r="AB876" s="562"/>
      <c r="AC876" s="562"/>
      <c r="AD876" s="562"/>
      <c r="AE876" s="562"/>
      <c r="AF876" s="562"/>
      <c r="AG876" s="562"/>
      <c r="AH876" s="562"/>
      <c r="AI876" s="562"/>
      <c r="AJ876" s="562"/>
      <c r="AK876" s="562"/>
      <c r="AL876" s="562"/>
      <c r="AM876" s="562"/>
      <c r="AN876" s="562"/>
      <c r="AO876" s="562"/>
      <c r="AP876" s="562"/>
      <c r="AQ876" s="562"/>
      <c r="AR876" s="562"/>
      <c r="AS876" s="562"/>
      <c r="AT876" s="562"/>
      <c r="AU876" s="562"/>
      <c r="AV876" s="562"/>
      <c r="AW876" s="562"/>
      <c r="AX876" s="562"/>
      <c r="AY876" s="562"/>
      <c r="AZ876" s="562"/>
      <c r="BA876" s="562"/>
      <c r="BB876" s="562"/>
      <c r="BC876" s="562"/>
      <c r="BD876" s="562"/>
      <c r="BE876" s="562"/>
      <c r="BF876" s="562"/>
      <c r="BG876" s="562"/>
      <c r="BH876" s="562"/>
      <c r="BI876" s="562"/>
    </row>
    <row r="877" spans="1:61" x14ac:dyDescent="0.2">
      <c r="A877" s="541">
        <v>7</v>
      </c>
      <c r="B877" s="551" t="s">
        <v>2893</v>
      </c>
      <c r="C877" s="551"/>
      <c r="D877" s="544"/>
      <c r="E877" s="544"/>
      <c r="F877" s="544"/>
      <c r="G877" s="543" t="s">
        <v>3343</v>
      </c>
      <c r="H877" s="541" t="s">
        <v>3757</v>
      </c>
      <c r="I877" s="98"/>
      <c r="J877" s="598"/>
      <c r="K877" s="598"/>
      <c r="L877" s="820"/>
      <c r="M877" s="838"/>
      <c r="N877" s="607"/>
      <c r="O877" s="607"/>
      <c r="P877" s="64"/>
      <c r="Q877" s="64"/>
      <c r="R877" s="64"/>
      <c r="S877" s="64"/>
      <c r="T877" s="64"/>
      <c r="U877" s="64"/>
      <c r="V877" s="64"/>
      <c r="W877" s="64"/>
      <c r="X877" s="798"/>
      <c r="Y877" s="980"/>
      <c r="Z877" s="983"/>
      <c r="AA877" s="562"/>
      <c r="AB877" s="562"/>
      <c r="AC877" s="562"/>
      <c r="AD877" s="562"/>
      <c r="AE877" s="562"/>
      <c r="AF877" s="562"/>
      <c r="AG877" s="562"/>
      <c r="AH877" s="562"/>
      <c r="AI877" s="562"/>
      <c r="AJ877" s="562"/>
      <c r="AK877" s="562"/>
      <c r="AL877" s="562"/>
      <c r="AM877" s="562"/>
      <c r="AN877" s="562"/>
      <c r="AO877" s="562"/>
      <c r="AP877" s="562"/>
      <c r="AQ877" s="562"/>
      <c r="AR877" s="562"/>
      <c r="AS877" s="562"/>
      <c r="AT877" s="562"/>
      <c r="AU877" s="562"/>
      <c r="AV877" s="562"/>
      <c r="AW877" s="562"/>
      <c r="AX877" s="562"/>
      <c r="AY877" s="562"/>
      <c r="AZ877" s="562"/>
      <c r="BA877" s="562"/>
      <c r="BB877" s="562"/>
      <c r="BC877" s="562"/>
      <c r="BD877" s="562"/>
      <c r="BE877" s="562"/>
      <c r="BF877" s="562"/>
      <c r="BG877" s="562"/>
      <c r="BH877" s="562"/>
      <c r="BI877" s="562"/>
    </row>
    <row r="878" spans="1:61" x14ac:dyDescent="0.2">
      <c r="A878" s="541">
        <v>7</v>
      </c>
      <c r="B878" s="551" t="s">
        <v>2893</v>
      </c>
      <c r="C878" s="551"/>
      <c r="D878" s="544"/>
      <c r="E878" s="544"/>
      <c r="F878" s="544"/>
      <c r="G878" s="543" t="s">
        <v>3343</v>
      </c>
      <c r="H878" s="541" t="s">
        <v>3757</v>
      </c>
      <c r="I878" s="98"/>
      <c r="J878" s="598"/>
      <c r="K878" s="598"/>
      <c r="L878" s="820"/>
      <c r="M878" s="838"/>
      <c r="N878" s="607"/>
      <c r="O878" s="607"/>
      <c r="P878" s="64"/>
      <c r="Q878" s="64"/>
      <c r="R878" s="64"/>
      <c r="S878" s="64"/>
      <c r="T878" s="64"/>
      <c r="U878" s="64"/>
      <c r="V878" s="64"/>
      <c r="W878" s="64"/>
      <c r="X878" s="798"/>
      <c r="Y878" s="980"/>
      <c r="Z878" s="983"/>
      <c r="AA878" s="562"/>
      <c r="AB878" s="562"/>
      <c r="AC878" s="562"/>
      <c r="AD878" s="562"/>
      <c r="AE878" s="562"/>
      <c r="AF878" s="562"/>
      <c r="AG878" s="562"/>
      <c r="AH878" s="562"/>
      <c r="AI878" s="562"/>
      <c r="AJ878" s="562"/>
      <c r="AK878" s="562"/>
      <c r="AL878" s="562"/>
      <c r="AM878" s="562"/>
      <c r="AN878" s="562"/>
      <c r="AO878" s="562"/>
      <c r="AP878" s="562"/>
      <c r="AQ878" s="562"/>
      <c r="AR878" s="562"/>
      <c r="AS878" s="562"/>
      <c r="AT878" s="562"/>
      <c r="AU878" s="562"/>
      <c r="AV878" s="562"/>
      <c r="AW878" s="562"/>
      <c r="AX878" s="562"/>
      <c r="AY878" s="562"/>
      <c r="AZ878" s="562"/>
      <c r="BA878" s="562"/>
      <c r="BB878" s="562"/>
      <c r="BC878" s="562"/>
      <c r="BD878" s="562"/>
      <c r="BE878" s="562"/>
      <c r="BF878" s="562"/>
      <c r="BG878" s="562"/>
      <c r="BH878" s="562"/>
      <c r="BI878" s="562"/>
    </row>
    <row r="879" spans="1:61" x14ac:dyDescent="0.2">
      <c r="A879" s="541">
        <v>7</v>
      </c>
      <c r="B879" s="551" t="s">
        <v>2893</v>
      </c>
      <c r="C879" s="551"/>
      <c r="D879" s="544"/>
      <c r="E879" s="544"/>
      <c r="F879" s="544"/>
      <c r="G879" s="543" t="s">
        <v>3343</v>
      </c>
      <c r="H879" s="541" t="s">
        <v>3757</v>
      </c>
      <c r="I879" s="165"/>
      <c r="J879" s="599"/>
      <c r="K879" s="599"/>
      <c r="L879" s="832"/>
      <c r="M879" s="854"/>
      <c r="N879" s="608"/>
      <c r="O879" s="608"/>
      <c r="P879" s="129"/>
      <c r="Q879" s="129"/>
      <c r="R879" s="129"/>
      <c r="S879" s="129"/>
      <c r="T879" s="129"/>
      <c r="U879" s="129"/>
      <c r="V879" s="129"/>
      <c r="W879" s="129"/>
      <c r="X879" s="798"/>
      <c r="Y879" s="980"/>
      <c r="Z879" s="983"/>
      <c r="AA879" s="562"/>
      <c r="AB879" s="562"/>
      <c r="AC879" s="562"/>
      <c r="AD879" s="562"/>
      <c r="AE879" s="562"/>
      <c r="AF879" s="562"/>
      <c r="AG879" s="562"/>
      <c r="AH879" s="562"/>
      <c r="AI879" s="562"/>
      <c r="AJ879" s="562"/>
      <c r="AK879" s="562"/>
      <c r="AL879" s="562"/>
      <c r="AM879" s="562"/>
      <c r="AN879" s="562"/>
      <c r="AO879" s="562"/>
      <c r="AP879" s="562"/>
      <c r="AQ879" s="562"/>
      <c r="AR879" s="562"/>
      <c r="AS879" s="562"/>
      <c r="AT879" s="562"/>
      <c r="AU879" s="562"/>
      <c r="AV879" s="562"/>
      <c r="AW879" s="562"/>
      <c r="AX879" s="562"/>
      <c r="AY879" s="562"/>
      <c r="AZ879" s="562"/>
      <c r="BA879" s="562"/>
      <c r="BB879" s="562"/>
      <c r="BC879" s="562"/>
      <c r="BD879" s="562"/>
      <c r="BE879" s="562"/>
      <c r="BF879" s="562"/>
      <c r="BG879" s="562"/>
      <c r="BH879" s="562"/>
      <c r="BI879" s="562"/>
    </row>
    <row r="880" spans="1:61" x14ac:dyDescent="0.2">
      <c r="A880" s="541">
        <v>7</v>
      </c>
      <c r="B880" s="551" t="s">
        <v>2896</v>
      </c>
      <c r="C880" s="551"/>
      <c r="D880" s="544"/>
      <c r="E880" s="544"/>
      <c r="F880" s="544"/>
      <c r="G880" s="543" t="s">
        <v>3343</v>
      </c>
      <c r="H880" s="541" t="s">
        <v>3757</v>
      </c>
      <c r="I880" s="145" t="s">
        <v>2897</v>
      </c>
      <c r="J880" s="638"/>
      <c r="K880" s="638"/>
      <c r="L880" s="847" t="s">
        <v>2898</v>
      </c>
      <c r="M880" s="867" t="str">
        <f>IF(R880,"Mandatory","N/A")</f>
        <v>Mandatory</v>
      </c>
      <c r="N880" s="617"/>
      <c r="O880" s="617"/>
      <c r="P880" s="64" t="b">
        <v>1</v>
      </c>
      <c r="Q880" s="64" t="b">
        <v>1</v>
      </c>
      <c r="R880" s="148" t="b">
        <f>S880</f>
        <v>1</v>
      </c>
      <c r="S880" s="463" t="b">
        <v>1</v>
      </c>
      <c r="T880" s="148" t="b">
        <f>AND(NOT(S880),LEN(W880)&gt;0)</f>
        <v>0</v>
      </c>
      <c r="U880" s="148" t="str">
        <f>SUBSTITUTE(SUBSTITUTE(SUBSTITUTE("dd"&amp;B880&amp;C880&amp;D880&amp;E880&amp;F880,".","_"),"(","_"),")","")</f>
        <v>dd701_4_3_3_5</v>
      </c>
      <c r="V880" s="148"/>
      <c r="W880" s="6"/>
      <c r="X880" s="798"/>
      <c r="Y880" s="980" t="str">
        <f>IF(LEN('Ch7'!X111)=0,"None",'Ch7'!X111)</f>
        <v>None</v>
      </c>
      <c r="Z880" s="983"/>
      <c r="AA880" s="562"/>
      <c r="AB880" s="562"/>
      <c r="AC880" s="562" t="b">
        <f>OR(AD880:AE880)</f>
        <v>1</v>
      </c>
      <c r="AD880" s="562" t="b">
        <f>T880</f>
        <v>0</v>
      </c>
      <c r="AE880" s="562" t="b">
        <f>AND(R880,OR(W880="Not Met",W880=""))</f>
        <v>1</v>
      </c>
      <c r="AF880" s="562" t="b">
        <f>AND(AE880,NOT(Q880))</f>
        <v>0</v>
      </c>
      <c r="AG880" s="562"/>
      <c r="AH880" s="562"/>
      <c r="AI880" s="562"/>
      <c r="AJ880" s="562"/>
      <c r="AK880" s="562"/>
      <c r="AL880" s="190" t="str">
        <f t="shared" ref="AL880" si="245">SUBSTITUTE(SUBSTITUTE(SUBSTITUTE("vpa"&amp;$B880&amp;$C880&amp;$D880&amp;$E880&amp;$F880,".","_"),"(","_"),")","")</f>
        <v>vpa701_4_3_3_5</v>
      </c>
      <c r="AM880" s="190" t="str">
        <f>M880</f>
        <v>Mandatory</v>
      </c>
      <c r="AN880" s="562"/>
      <c r="AO880" s="562"/>
      <c r="AP880" s="190" t="str">
        <f>SUBSTITUTE(SUBSTITUTE(SUBSTITUTE("vch"&amp;$B880&amp;$C880&amp;$D880&amp;$E880&amp;$F880,".","_"),"(","_"),")","")</f>
        <v>vch701_4_3_3_5</v>
      </c>
      <c r="AQ880" s="190">
        <f>W880</f>
        <v>0</v>
      </c>
      <c r="AR880" s="190" t="str">
        <f>SUBSTITUTE(SUBSTITUTE(SUBSTITUTE("vnt"&amp;$B880&amp;$C880&amp;$D880&amp;$E880&amp;$F880,".","_"),"(","_"),")","")</f>
        <v>vnt701_4_3_3_5</v>
      </c>
      <c r="AS880" s="190">
        <f>X880</f>
        <v>0</v>
      </c>
      <c r="AT880" s="562"/>
      <c r="AU880" s="562"/>
      <c r="AV880" s="562"/>
      <c r="AW880" s="562"/>
      <c r="AX880" s="562"/>
      <c r="AY880" s="562"/>
      <c r="AZ880" s="562"/>
      <c r="BA880" s="562"/>
      <c r="BB880" s="562"/>
      <c r="BC880" s="562"/>
      <c r="BD880" s="562"/>
      <c r="BE880" s="562"/>
      <c r="BF880" s="562"/>
      <c r="BG880" s="562"/>
      <c r="BH880" s="562"/>
      <c r="BI880" s="562"/>
    </row>
    <row r="881" spans="1:61" x14ac:dyDescent="0.2">
      <c r="A881" s="541">
        <v>7</v>
      </c>
      <c r="B881" s="551" t="s">
        <v>2896</v>
      </c>
      <c r="C881" s="551"/>
      <c r="D881" s="544"/>
      <c r="E881" s="544"/>
      <c r="F881" s="544"/>
      <c r="G881" s="543" t="s">
        <v>3343</v>
      </c>
      <c r="H881" s="541" t="s">
        <v>3757</v>
      </c>
      <c r="I881" s="98"/>
      <c r="J881" s="598"/>
      <c r="K881" s="598"/>
      <c r="L881" s="820"/>
      <c r="M881" s="838"/>
      <c r="N881" s="607"/>
      <c r="O881" s="607"/>
      <c r="P881" s="64"/>
      <c r="Q881" s="64"/>
      <c r="R881" s="64"/>
      <c r="S881" s="64"/>
      <c r="T881" s="64"/>
      <c r="U881" s="64"/>
      <c r="V881" s="64"/>
      <c r="W881" s="64"/>
      <c r="X881" s="798"/>
      <c r="Y881" s="980"/>
      <c r="Z881" s="983"/>
      <c r="AA881" s="562"/>
      <c r="AB881" s="562"/>
      <c r="AC881" s="562"/>
      <c r="AD881" s="562"/>
      <c r="AE881" s="562"/>
      <c r="AF881" s="562"/>
      <c r="AG881" s="562"/>
      <c r="AH881" s="562"/>
      <c r="AI881" s="562"/>
      <c r="AJ881" s="562"/>
      <c r="AK881" s="562"/>
      <c r="AL881" s="562"/>
      <c r="AM881" s="562"/>
      <c r="AN881" s="562"/>
      <c r="AO881" s="562"/>
      <c r="AP881" s="562"/>
      <c r="AQ881" s="562"/>
      <c r="AR881" s="562"/>
      <c r="AS881" s="562"/>
      <c r="AT881" s="562"/>
      <c r="AU881" s="562"/>
      <c r="AV881" s="562"/>
      <c r="AW881" s="562"/>
      <c r="AX881" s="562"/>
      <c r="AY881" s="562"/>
      <c r="AZ881" s="562"/>
      <c r="BA881" s="562"/>
      <c r="BB881" s="562"/>
      <c r="BC881" s="562"/>
      <c r="BD881" s="562"/>
      <c r="BE881" s="562"/>
      <c r="BF881" s="562"/>
      <c r="BG881" s="562"/>
      <c r="BH881" s="562"/>
      <c r="BI881" s="562"/>
    </row>
    <row r="882" spans="1:61" x14ac:dyDescent="0.2">
      <c r="A882" s="541">
        <v>7</v>
      </c>
      <c r="B882" s="551" t="s">
        <v>2896</v>
      </c>
      <c r="C882" s="551"/>
      <c r="D882" s="544"/>
      <c r="E882" s="544"/>
      <c r="F882" s="544"/>
      <c r="G882" s="543" t="s">
        <v>3343</v>
      </c>
      <c r="H882" s="541" t="s">
        <v>3757</v>
      </c>
      <c r="I882" s="98"/>
      <c r="J882" s="598"/>
      <c r="K882" s="598"/>
      <c r="L882" s="820"/>
      <c r="M882" s="838"/>
      <c r="N882" s="607"/>
      <c r="O882" s="607"/>
      <c r="P882" s="64"/>
      <c r="Q882" s="64"/>
      <c r="R882" s="64"/>
      <c r="S882" s="64"/>
      <c r="T882" s="64"/>
      <c r="U882" s="64"/>
      <c r="V882" s="64"/>
      <c r="W882" s="64"/>
      <c r="X882" s="798"/>
      <c r="Y882" s="980"/>
      <c r="Z882" s="983"/>
      <c r="AA882" s="562"/>
      <c r="AB882" s="562"/>
      <c r="AC882" s="562"/>
      <c r="AD882" s="562"/>
      <c r="AE882" s="562"/>
      <c r="AF882" s="562"/>
      <c r="AG882" s="562"/>
      <c r="AH882" s="562"/>
      <c r="AI882" s="562"/>
      <c r="AJ882" s="562"/>
      <c r="AK882" s="562"/>
      <c r="AL882" s="562"/>
      <c r="AM882" s="562"/>
      <c r="AN882" s="562"/>
      <c r="AO882" s="562"/>
      <c r="AP882" s="562"/>
      <c r="AQ882" s="562"/>
      <c r="AR882" s="562"/>
      <c r="AS882" s="562"/>
      <c r="AT882" s="562"/>
      <c r="AU882" s="562"/>
      <c r="AV882" s="562"/>
      <c r="AW882" s="562"/>
      <c r="AX882" s="562"/>
      <c r="AY882" s="562"/>
      <c r="AZ882" s="562"/>
      <c r="BA882" s="562"/>
      <c r="BB882" s="562"/>
      <c r="BC882" s="562"/>
      <c r="BD882" s="562"/>
      <c r="BE882" s="562"/>
      <c r="BF882" s="562"/>
      <c r="BG882" s="562"/>
      <c r="BH882" s="562"/>
      <c r="BI882" s="562"/>
    </row>
    <row r="883" spans="1:61" x14ac:dyDescent="0.2">
      <c r="A883" s="541">
        <v>7</v>
      </c>
      <c r="B883" s="551" t="s">
        <v>2896</v>
      </c>
      <c r="C883" s="551"/>
      <c r="D883" s="544"/>
      <c r="E883" s="544"/>
      <c r="F883" s="544"/>
      <c r="G883" s="543" t="s">
        <v>3343</v>
      </c>
      <c r="H883" s="541" t="s">
        <v>3757</v>
      </c>
      <c r="I883" s="98"/>
      <c r="J883" s="598"/>
      <c r="K883" s="598"/>
      <c r="L883" s="820"/>
      <c r="M883" s="838"/>
      <c r="N883" s="607"/>
      <c r="O883" s="607"/>
      <c r="P883" s="64"/>
      <c r="Q883" s="64"/>
      <c r="R883" s="64"/>
      <c r="S883" s="64"/>
      <c r="T883" s="64"/>
      <c r="U883" s="64"/>
      <c r="V883" s="64"/>
      <c r="W883" s="64"/>
      <c r="X883" s="798"/>
      <c r="Y883" s="980"/>
      <c r="Z883" s="983"/>
      <c r="AA883" s="562"/>
      <c r="AB883" s="562"/>
      <c r="AC883" s="562"/>
      <c r="AD883" s="562"/>
      <c r="AE883" s="562"/>
      <c r="AF883" s="562"/>
      <c r="AG883" s="562"/>
      <c r="AH883" s="562"/>
      <c r="AI883" s="562"/>
      <c r="AJ883" s="562"/>
      <c r="AK883" s="562"/>
      <c r="AL883" s="562"/>
      <c r="AM883" s="562"/>
      <c r="AN883" s="562"/>
      <c r="AO883" s="562"/>
      <c r="AP883" s="562"/>
      <c r="AQ883" s="562"/>
      <c r="AR883" s="562"/>
      <c r="AS883" s="562"/>
      <c r="AT883" s="562"/>
      <c r="AU883" s="562"/>
      <c r="AV883" s="562"/>
      <c r="AW883" s="562"/>
      <c r="AX883" s="562"/>
      <c r="AY883" s="562"/>
      <c r="AZ883" s="562"/>
      <c r="BA883" s="562"/>
      <c r="BB883" s="562"/>
      <c r="BC883" s="562"/>
      <c r="BD883" s="562"/>
      <c r="BE883" s="562"/>
      <c r="BF883" s="562"/>
      <c r="BG883" s="562"/>
      <c r="BH883" s="562"/>
      <c r="BI883" s="562"/>
    </row>
    <row r="884" spans="1:61" x14ac:dyDescent="0.2">
      <c r="A884" s="541">
        <v>7</v>
      </c>
      <c r="B884" s="551" t="s">
        <v>2896</v>
      </c>
      <c r="C884" s="551"/>
      <c r="D884" s="544"/>
      <c r="E884" s="544"/>
      <c r="F884" s="544"/>
      <c r="G884" s="543" t="s">
        <v>3343</v>
      </c>
      <c r="H884" s="541" t="s">
        <v>3757</v>
      </c>
      <c r="I884" s="98"/>
      <c r="J884" s="598"/>
      <c r="K884" s="598"/>
      <c r="L884" s="820"/>
      <c r="M884" s="838"/>
      <c r="N884" s="607"/>
      <c r="O884" s="607"/>
      <c r="P884" s="64"/>
      <c r="Q884" s="64"/>
      <c r="R884" s="64"/>
      <c r="S884" s="64"/>
      <c r="T884" s="64"/>
      <c r="U884" s="64"/>
      <c r="V884" s="64"/>
      <c r="W884" s="64"/>
      <c r="X884" s="798"/>
      <c r="Y884" s="980"/>
      <c r="Z884" s="983"/>
      <c r="AA884" s="562"/>
      <c r="AB884" s="562"/>
      <c r="AC884" s="562"/>
      <c r="AD884" s="562"/>
      <c r="AE884" s="562"/>
      <c r="AF884" s="562"/>
      <c r="AG884" s="562"/>
      <c r="AH884" s="562"/>
      <c r="AI884" s="562"/>
      <c r="AJ884" s="562"/>
      <c r="AK884" s="562"/>
      <c r="AL884" s="562"/>
      <c r="AM884" s="562"/>
      <c r="AN884" s="562"/>
      <c r="AO884" s="562"/>
      <c r="AP884" s="562"/>
      <c r="AQ884" s="562"/>
      <c r="AR884" s="562"/>
      <c r="AS884" s="562"/>
      <c r="AT884" s="562"/>
      <c r="AU884" s="562"/>
      <c r="AV884" s="562"/>
      <c r="AW884" s="562"/>
      <c r="AX884" s="562"/>
      <c r="AY884" s="562"/>
      <c r="AZ884" s="562"/>
      <c r="BA884" s="562"/>
      <c r="BB884" s="562"/>
      <c r="BC884" s="562"/>
      <c r="BD884" s="562"/>
      <c r="BE884" s="562"/>
      <c r="BF884" s="562"/>
      <c r="BG884" s="562"/>
      <c r="BH884" s="562"/>
      <c r="BI884" s="562"/>
    </row>
    <row r="885" spans="1:61" x14ac:dyDescent="0.2">
      <c r="A885" s="541">
        <v>7</v>
      </c>
      <c r="B885" s="551" t="s">
        <v>2896</v>
      </c>
      <c r="C885" s="551"/>
      <c r="D885" s="544"/>
      <c r="E885" s="544"/>
      <c r="F885" s="544"/>
      <c r="G885" s="543" t="s">
        <v>3343</v>
      </c>
      <c r="H885" s="541" t="s">
        <v>3757</v>
      </c>
      <c r="I885" s="165"/>
      <c r="J885" s="599"/>
      <c r="K885" s="599"/>
      <c r="L885" s="832"/>
      <c r="M885" s="854"/>
      <c r="N885" s="608"/>
      <c r="O885" s="608"/>
      <c r="P885" s="129"/>
      <c r="Q885" s="129"/>
      <c r="R885" s="129"/>
      <c r="S885" s="129"/>
      <c r="T885" s="129"/>
      <c r="U885" s="129"/>
      <c r="V885" s="129"/>
      <c r="W885" s="129"/>
      <c r="X885" s="798"/>
      <c r="Y885" s="980"/>
      <c r="Z885" s="983"/>
      <c r="AA885" s="562"/>
      <c r="AB885" s="562"/>
      <c r="AC885" s="562"/>
      <c r="AD885" s="562"/>
      <c r="AE885" s="562"/>
      <c r="AF885" s="562"/>
      <c r="AG885" s="562"/>
      <c r="AH885" s="562"/>
      <c r="AI885" s="562"/>
      <c r="AJ885" s="562"/>
      <c r="AK885" s="562"/>
      <c r="AL885" s="562"/>
      <c r="AM885" s="562"/>
      <c r="AN885" s="562"/>
      <c r="AO885" s="562"/>
      <c r="AP885" s="562"/>
      <c r="AQ885" s="562"/>
      <c r="AR885" s="562"/>
      <c r="AS885" s="562"/>
      <c r="AT885" s="562"/>
      <c r="AU885" s="562"/>
      <c r="AV885" s="562"/>
      <c r="AW885" s="562"/>
      <c r="AX885" s="562"/>
      <c r="AY885" s="562"/>
      <c r="AZ885" s="562"/>
      <c r="BA885" s="562"/>
      <c r="BB885" s="562"/>
      <c r="BC885" s="562"/>
      <c r="BD885" s="562"/>
      <c r="BE885" s="562"/>
      <c r="BF885" s="562"/>
      <c r="BG885" s="562"/>
      <c r="BH885" s="562"/>
      <c r="BI885" s="562"/>
    </row>
    <row r="886" spans="1:61" x14ac:dyDescent="0.2">
      <c r="A886" s="541">
        <v>7</v>
      </c>
      <c r="B886" s="551" t="s">
        <v>2899</v>
      </c>
      <c r="C886" s="556"/>
      <c r="D886" s="544"/>
      <c r="E886" s="544"/>
      <c r="F886" s="544"/>
      <c r="G886" s="543" t="s">
        <v>3343</v>
      </c>
      <c r="H886" s="541" t="s">
        <v>3751</v>
      </c>
      <c r="I886" s="40" t="s">
        <v>2900</v>
      </c>
      <c r="J886" s="632"/>
      <c r="K886" s="632"/>
      <c r="L886" s="775" t="s">
        <v>2901</v>
      </c>
      <c r="M886" s="838" t="str">
        <f>IF(S888,"Mandatory","N/A")</f>
        <v>Mandatory</v>
      </c>
      <c r="N886" s="609"/>
      <c r="O886" s="609"/>
      <c r="P886" s="562"/>
      <c r="Q886" s="562"/>
      <c r="R886" s="562"/>
      <c r="S886" s="562"/>
      <c r="T886" s="562"/>
      <c r="U886" s="562"/>
      <c r="V886" s="562"/>
      <c r="W886" s="562"/>
      <c r="X886" s="562"/>
      <c r="Y886" s="562"/>
      <c r="Z886" s="430"/>
      <c r="AA886" s="562"/>
      <c r="AB886" s="562"/>
      <c r="AC886" s="562"/>
      <c r="AD886" s="562"/>
      <c r="AE886" s="562"/>
      <c r="AF886" s="562"/>
      <c r="AG886" s="562"/>
      <c r="AH886" s="562"/>
      <c r="AI886" s="562"/>
      <c r="AJ886" s="562"/>
      <c r="AK886" s="562"/>
      <c r="AL886" s="190" t="str">
        <f t="shared" ref="AL886" si="246">SUBSTITUTE(SUBSTITUTE(SUBSTITUTE("vpa"&amp;$B886&amp;$C886&amp;$D886&amp;$E886&amp;$F886,".","_"),"(","_"),")","")</f>
        <v>vpa701_4_4</v>
      </c>
      <c r="AM886" s="190" t="str">
        <f>M886</f>
        <v>Mandatory</v>
      </c>
      <c r="AN886" s="562"/>
      <c r="AO886" s="562"/>
      <c r="AP886" s="562"/>
      <c r="AQ886" s="562"/>
      <c r="AR886" s="562"/>
      <c r="AS886" s="562"/>
      <c r="AT886" s="562"/>
      <c r="AU886" s="562"/>
      <c r="AV886" s="562"/>
      <c r="AW886" s="562"/>
      <c r="AX886" s="562"/>
      <c r="AY886" s="562"/>
      <c r="AZ886" s="562"/>
      <c r="BA886" s="562"/>
      <c r="BB886" s="562"/>
      <c r="BC886" s="562"/>
      <c r="BD886" s="562"/>
      <c r="BE886" s="562"/>
      <c r="BF886" s="562"/>
      <c r="BG886" s="562"/>
      <c r="BH886" s="562"/>
      <c r="BI886" s="562"/>
    </row>
    <row r="887" spans="1:61" x14ac:dyDescent="0.2">
      <c r="A887" s="541">
        <v>7</v>
      </c>
      <c r="B887" s="551" t="s">
        <v>2899</v>
      </c>
      <c r="C887" s="556"/>
      <c r="D887" s="544"/>
      <c r="E887" s="544"/>
      <c r="F887" s="544"/>
      <c r="G887" s="543" t="s">
        <v>3343</v>
      </c>
      <c r="H887" s="541" t="s">
        <v>3751</v>
      </c>
      <c r="I887" s="3"/>
      <c r="J887" s="632"/>
      <c r="K887" s="632"/>
      <c r="L887" s="775"/>
      <c r="M887" s="838"/>
      <c r="N887" s="609"/>
      <c r="O887" s="609"/>
      <c r="P887" s="562"/>
      <c r="Q887" s="562"/>
      <c r="R887" s="562"/>
      <c r="S887" s="562"/>
      <c r="T887" s="562"/>
      <c r="U887" s="562"/>
      <c r="V887" s="562"/>
      <c r="W887" s="562"/>
      <c r="X887" s="562"/>
      <c r="Y887" s="562"/>
      <c r="Z887" s="430"/>
      <c r="AA887" s="562"/>
      <c r="AB887" s="562"/>
      <c r="AC887" s="562"/>
      <c r="AD887" s="562"/>
      <c r="AE887" s="562"/>
      <c r="AF887" s="562"/>
      <c r="AG887" s="562"/>
      <c r="AH887" s="562"/>
      <c r="AI887" s="562"/>
      <c r="AJ887" s="562"/>
      <c r="AK887" s="562"/>
      <c r="AL887" s="562"/>
      <c r="AM887" s="562"/>
      <c r="AN887" s="562"/>
      <c r="AO887" s="562"/>
      <c r="AP887" s="562"/>
      <c r="AQ887" s="562"/>
      <c r="AR887" s="562"/>
      <c r="AS887" s="562"/>
      <c r="AT887" s="562"/>
      <c r="AU887" s="562"/>
      <c r="AV887" s="562"/>
      <c r="AW887" s="562"/>
      <c r="AX887" s="562"/>
      <c r="AY887" s="562"/>
      <c r="AZ887" s="562"/>
      <c r="BA887" s="562"/>
      <c r="BB887" s="562"/>
      <c r="BC887" s="562"/>
      <c r="BD887" s="562"/>
      <c r="BE887" s="562"/>
      <c r="BF887" s="562"/>
      <c r="BG887" s="562"/>
      <c r="BH887" s="562"/>
      <c r="BI887" s="562"/>
    </row>
    <row r="888" spans="1:61" x14ac:dyDescent="0.2">
      <c r="A888" s="541">
        <v>7</v>
      </c>
      <c r="B888" s="551" t="s">
        <v>2899</v>
      </c>
      <c r="C888" s="556"/>
      <c r="D888" s="557" t="s">
        <v>2181</v>
      </c>
      <c r="E888" s="544"/>
      <c r="F888" s="544"/>
      <c r="G888" s="543" t="s">
        <v>3343</v>
      </c>
      <c r="H888" s="541" t="s">
        <v>3751</v>
      </c>
      <c r="I888" s="3"/>
      <c r="J888" s="270" t="s">
        <v>2181</v>
      </c>
      <c r="K888" s="598"/>
      <c r="L888" s="791" t="s">
        <v>2902</v>
      </c>
      <c r="M888" s="616"/>
      <c r="N888" s="609"/>
      <c r="O888" s="609"/>
      <c r="P888" s="64" t="b">
        <v>1</v>
      </c>
      <c r="Q888" s="64" t="b">
        <v>1</v>
      </c>
      <c r="R888" s="562" t="b">
        <f>AND(S888,NOT(W890))</f>
        <v>1</v>
      </c>
      <c r="S888" s="463" t="b">
        <v>1</v>
      </c>
      <c r="T888" s="64" t="b">
        <f>AND(NOT(S888),W888=TRUE)</f>
        <v>0</v>
      </c>
      <c r="U888" s="562"/>
      <c r="V888" s="562"/>
      <c r="W888" s="18"/>
      <c r="X888" s="787"/>
      <c r="Y888" s="980" t="str">
        <f>IF(LEN('Ch7'!X119)=0,"None",'Ch7'!X119)</f>
        <v>None</v>
      </c>
      <c r="Z888" s="983"/>
      <c r="AA888" s="562"/>
      <c r="AB888" s="562"/>
      <c r="AC888" s="562" t="b">
        <f>OR(AD888:AE888)</f>
        <v>1</v>
      </c>
      <c r="AD888" s="562" t="b">
        <f>T888</f>
        <v>0</v>
      </c>
      <c r="AE888" s="562" t="b">
        <f>AND(R888,NOT(W888))</f>
        <v>1</v>
      </c>
      <c r="AF888" s="562" t="b">
        <f>AND(AE888,NOT(Q888))</f>
        <v>0</v>
      </c>
      <c r="AG888" s="562"/>
      <c r="AH888" s="562"/>
      <c r="AI888" s="562"/>
      <c r="AJ888" s="562"/>
      <c r="AK888" s="562"/>
      <c r="AL888" s="562"/>
      <c r="AM888" s="562"/>
      <c r="AN888" s="562"/>
      <c r="AO888" s="562"/>
      <c r="AP888" s="190" t="str">
        <f>SUBSTITUTE(SUBSTITUTE(SUBSTITUTE("vch"&amp;$B888&amp;$C888&amp;$D888&amp;$E888&amp;$F888,".","_"),"(","_"),")","")</f>
        <v>vch701_4_4_1</v>
      </c>
      <c r="AQ888" s="190">
        <f>W888</f>
        <v>0</v>
      </c>
      <c r="AR888" s="190" t="str">
        <f>SUBSTITUTE(SUBSTITUTE(SUBSTITUTE("vnt"&amp;$B888&amp;$C888&amp;$D888&amp;$E888&amp;$F888,".","_"),"(","_"),")","")</f>
        <v>vnt701_4_4_1</v>
      </c>
      <c r="AS888" s="190">
        <f>X888</f>
        <v>0</v>
      </c>
      <c r="AT888" s="562"/>
      <c r="AU888" s="562"/>
      <c r="AV888" s="562"/>
      <c r="AW888" s="562"/>
      <c r="AX888" s="562"/>
      <c r="AY888" s="562"/>
      <c r="AZ888" s="562"/>
      <c r="BA888" s="562"/>
      <c r="BB888" s="562"/>
      <c r="BC888" s="562"/>
      <c r="BD888" s="562"/>
      <c r="BE888" s="562"/>
      <c r="BF888" s="562"/>
      <c r="BG888" s="562"/>
      <c r="BH888" s="562"/>
      <c r="BI888" s="562"/>
    </row>
    <row r="889" spans="1:61" x14ac:dyDescent="0.2">
      <c r="A889" s="541">
        <v>7</v>
      </c>
      <c r="B889" s="551" t="s">
        <v>2899</v>
      </c>
      <c r="C889" s="556"/>
      <c r="D889" s="557" t="s">
        <v>2181</v>
      </c>
      <c r="E889" s="544"/>
      <c r="F889" s="544"/>
      <c r="G889" s="543" t="s">
        <v>3343</v>
      </c>
      <c r="H889" s="541" t="s">
        <v>3751</v>
      </c>
      <c r="I889" s="3"/>
      <c r="J889" s="277"/>
      <c r="K889" s="599"/>
      <c r="L889" s="792"/>
      <c r="M889" s="616"/>
      <c r="N889" s="609"/>
      <c r="O889" s="609"/>
      <c r="P889" s="562"/>
      <c r="Q889" s="562"/>
      <c r="R889" s="562"/>
      <c r="S889" s="562"/>
      <c r="T889" s="562"/>
      <c r="U889" s="562"/>
      <c r="V889" s="562"/>
      <c r="W889" s="562"/>
      <c r="X889" s="787"/>
      <c r="Y889" s="980"/>
      <c r="Z889" s="983"/>
      <c r="AA889" s="562"/>
      <c r="AB889" s="562"/>
      <c r="AC889" s="562"/>
      <c r="AD889" s="562"/>
      <c r="AE889" s="562"/>
      <c r="AF889" s="562"/>
      <c r="AG889" s="562"/>
      <c r="AH889" s="562"/>
      <c r="AI889" s="562"/>
      <c r="AJ889" s="562"/>
      <c r="AK889" s="562"/>
      <c r="AL889" s="562"/>
      <c r="AM889" s="562"/>
      <c r="AN889" s="562"/>
      <c r="AO889" s="562"/>
      <c r="AP889" s="562"/>
      <c r="AQ889" s="562"/>
      <c r="AR889" s="562"/>
      <c r="AS889" s="562"/>
      <c r="AT889" s="562"/>
      <c r="AU889" s="562"/>
      <c r="AV889" s="562"/>
      <c r="AW889" s="562"/>
      <c r="AX889" s="562"/>
      <c r="AY889" s="562"/>
      <c r="AZ889" s="562"/>
      <c r="BA889" s="562"/>
      <c r="BB889" s="562"/>
      <c r="BC889" s="562"/>
      <c r="BD889" s="562"/>
      <c r="BE889" s="562"/>
      <c r="BF889" s="562"/>
      <c r="BG889" s="562"/>
      <c r="BH889" s="562"/>
      <c r="BI889" s="562"/>
    </row>
    <row r="890" spans="1:61" ht="16" x14ac:dyDescent="0.2">
      <c r="A890" s="541">
        <v>7</v>
      </c>
      <c r="B890" s="551" t="s">
        <v>2899</v>
      </c>
      <c r="C890" s="556"/>
      <c r="D890" s="557" t="s">
        <v>2183</v>
      </c>
      <c r="E890" s="544"/>
      <c r="F890" s="544"/>
      <c r="G890" s="543" t="s">
        <v>3343</v>
      </c>
      <c r="H890" s="541" t="s">
        <v>3751</v>
      </c>
      <c r="I890" s="165"/>
      <c r="J890" s="277" t="s">
        <v>2183</v>
      </c>
      <c r="K890" s="599"/>
      <c r="L890" s="599" t="s">
        <v>2903</v>
      </c>
      <c r="M890" s="611"/>
      <c r="N890" s="608"/>
      <c r="O890" s="608"/>
      <c r="P890" s="64" t="b">
        <v>1</v>
      </c>
      <c r="Q890" s="64" t="b">
        <v>1</v>
      </c>
      <c r="R890" s="129" t="b">
        <f>AND(S890,NOT(W888))</f>
        <v>1</v>
      </c>
      <c r="S890" s="463" t="b">
        <v>1</v>
      </c>
      <c r="T890" s="129" t="b">
        <f>AND(NOT(S890),W890=TRUE)</f>
        <v>0</v>
      </c>
      <c r="U890" s="129"/>
      <c r="V890" s="129"/>
      <c r="W890" s="18"/>
      <c r="X890" s="564"/>
      <c r="Y890" s="578" t="str">
        <f>IF(LEN('Ch7'!X121)=0,"None",'Ch7'!X121)</f>
        <v>None</v>
      </c>
      <c r="Z890" s="579"/>
      <c r="AA890" s="562"/>
      <c r="AB890" s="562"/>
      <c r="AC890" s="562" t="b">
        <f>OR(AD890:AE890)</f>
        <v>1</v>
      </c>
      <c r="AD890" s="562" t="b">
        <f>T890</f>
        <v>0</v>
      </c>
      <c r="AE890" s="562" t="b">
        <f>AND(R890,NOT(W890))</f>
        <v>1</v>
      </c>
      <c r="AF890" s="562" t="b">
        <f>AND(AE890,NOT(Q890))</f>
        <v>0</v>
      </c>
      <c r="AG890" s="562"/>
      <c r="AH890" s="562"/>
      <c r="AI890" s="562"/>
      <c r="AJ890" s="562"/>
      <c r="AK890" s="562"/>
      <c r="AL890" s="562"/>
      <c r="AM890" s="562"/>
      <c r="AN890" s="562"/>
      <c r="AO890" s="562"/>
      <c r="AP890" s="190" t="str">
        <f t="shared" ref="AP890:AP893" si="247">SUBSTITUTE(SUBSTITUTE(SUBSTITUTE("vch"&amp;$B890&amp;$C890&amp;$D890&amp;$E890&amp;$F890,".","_"),"(","_"),")","")</f>
        <v>vch701_4_4_2</v>
      </c>
      <c r="AQ890" s="190">
        <f>W890</f>
        <v>0</v>
      </c>
      <c r="AR890" s="190" t="str">
        <f t="shared" ref="AR890:AR893" si="248">SUBSTITUTE(SUBSTITUTE(SUBSTITUTE("vnt"&amp;$B890&amp;$C890&amp;$D890&amp;$E890&amp;$F890,".","_"),"(","_"),")","")</f>
        <v>vnt701_4_4_2</v>
      </c>
      <c r="AS890" s="190">
        <f>X890</f>
        <v>0</v>
      </c>
      <c r="AT890" s="562"/>
      <c r="AU890" s="562"/>
      <c r="AV890" s="562"/>
      <c r="AW890" s="562"/>
      <c r="AX890" s="562"/>
      <c r="AY890" s="562"/>
      <c r="AZ890" s="562"/>
      <c r="BA890" s="562"/>
      <c r="BB890" s="562"/>
      <c r="BC890" s="562"/>
      <c r="BD890" s="562"/>
      <c r="BE890" s="562"/>
      <c r="BF890" s="562"/>
      <c r="BG890" s="562"/>
      <c r="BH890" s="562"/>
      <c r="BI890" s="562"/>
    </row>
    <row r="891" spans="1:61" ht="15" customHeight="1" x14ac:dyDescent="0.2">
      <c r="A891" s="541">
        <v>7</v>
      </c>
      <c r="B891" s="551" t="s">
        <v>2904</v>
      </c>
      <c r="C891" s="556"/>
      <c r="D891" s="544"/>
      <c r="E891" s="544"/>
      <c r="F891" s="544"/>
      <c r="G891" s="543" t="s">
        <v>3343</v>
      </c>
      <c r="H891" s="541" t="s">
        <v>3757</v>
      </c>
      <c r="I891" s="40" t="s">
        <v>2905</v>
      </c>
      <c r="J891" s="632"/>
      <c r="K891" s="632"/>
      <c r="L891" s="865" t="s">
        <v>2906</v>
      </c>
      <c r="M891" s="867" t="str">
        <f ca="1">IF(R891,"Mandatory","N/A")</f>
        <v>N/A</v>
      </c>
      <c r="N891" s="609"/>
      <c r="O891" s="609"/>
      <c r="P891" s="64" t="b">
        <v>1</v>
      </c>
      <c r="Q891" s="64" t="b">
        <v>0</v>
      </c>
      <c r="R891" s="562" t="b">
        <f ca="1">S891</f>
        <v>0</v>
      </c>
      <c r="S891" s="462" t="b">
        <f ca="1">AND(OR(AY813=INDEX(INDIRECT('Overview (Design)'!$E$30),2),AY814=INDEX(INDIRECT('Overview (Design)'!$E$30),2),AY815=INDEX(INDIRECT('Overview (Design)'!$E$30),2)))</f>
        <v>0</v>
      </c>
      <c r="T891" s="64" t="b">
        <f ca="1">AND(NOT(S891),W891=TRUE)</f>
        <v>0</v>
      </c>
      <c r="U891" s="562"/>
      <c r="V891" s="562"/>
      <c r="W891" s="495"/>
      <c r="X891" s="825"/>
      <c r="Y891" s="969" t="str">
        <f>IF(LEN('Ch7'!X122)=0,"None",'Ch7'!X122)</f>
        <v>None</v>
      </c>
      <c r="Z891" s="972"/>
      <c r="AA891" s="562"/>
      <c r="AB891" s="562"/>
      <c r="AC891" s="562"/>
      <c r="AD891" s="562"/>
      <c r="AE891" s="562"/>
      <c r="AF891" s="562"/>
      <c r="AG891" s="562"/>
      <c r="AH891" s="562"/>
      <c r="AI891" s="562"/>
      <c r="AJ891" s="562"/>
      <c r="AK891" s="562"/>
      <c r="AL891" s="190" t="str">
        <f t="shared" ref="AL891:AL893" si="249">SUBSTITUTE(SUBSTITUTE(SUBSTITUTE("vpa"&amp;$B891&amp;$C891&amp;$D891&amp;$E891&amp;$F891,".","_"),"(","_"),")","")</f>
        <v>vpa701_4_5</v>
      </c>
      <c r="AM891" s="190" t="str">
        <f ca="1">M891</f>
        <v>N/A</v>
      </c>
      <c r="AN891" s="562"/>
      <c r="AO891" s="562"/>
      <c r="AP891" s="190" t="str">
        <f t="shared" si="247"/>
        <v>vch701_4_5</v>
      </c>
      <c r="AQ891" s="190">
        <f>W891</f>
        <v>0</v>
      </c>
      <c r="AR891" s="190" t="str">
        <f t="shared" si="248"/>
        <v>vnt701_4_5</v>
      </c>
      <c r="AS891" s="190">
        <f>X891</f>
        <v>0</v>
      </c>
      <c r="AT891" s="562"/>
      <c r="AU891" s="562"/>
      <c r="AV891" s="562"/>
      <c r="AW891" s="562"/>
      <c r="AX891" s="562"/>
      <c r="AY891" s="562"/>
      <c r="AZ891" s="562"/>
      <c r="BA891" s="562"/>
      <c r="BB891" s="562"/>
      <c r="BC891" s="562"/>
      <c r="BD891" s="562"/>
      <c r="BE891" s="562"/>
      <c r="BF891" s="562"/>
      <c r="BG891" s="562"/>
      <c r="BH891" s="562"/>
      <c r="BI891" s="562"/>
    </row>
    <row r="892" spans="1:61" s="485" customFormat="1" x14ac:dyDescent="0.2">
      <c r="A892" s="541">
        <v>7</v>
      </c>
      <c r="B892" s="551" t="s">
        <v>2904</v>
      </c>
      <c r="C892" s="556"/>
      <c r="D892" s="544"/>
      <c r="E892" s="544"/>
      <c r="F892" s="544"/>
      <c r="G892" s="543" t="s">
        <v>3343</v>
      </c>
      <c r="H892" s="541" t="s">
        <v>3757</v>
      </c>
      <c r="I892" s="40"/>
      <c r="J892" s="632"/>
      <c r="K892" s="632"/>
      <c r="L892" s="896"/>
      <c r="M892" s="838"/>
      <c r="N892" s="609"/>
      <c r="O892" s="609"/>
      <c r="P892" s="64"/>
      <c r="Q892" s="64"/>
      <c r="R892" s="562"/>
      <c r="S892" s="562"/>
      <c r="T892" s="64"/>
      <c r="U892" s="562"/>
      <c r="V892" s="562"/>
      <c r="W892" s="562"/>
      <c r="X892" s="797"/>
      <c r="Y892" s="975"/>
      <c r="Z892" s="976"/>
      <c r="AA892" s="562"/>
      <c r="AB892" s="562"/>
      <c r="AC892" s="562"/>
      <c r="AD892" s="562"/>
      <c r="AE892" s="562"/>
      <c r="AF892" s="562"/>
      <c r="AG892" s="562"/>
      <c r="AH892" s="562"/>
      <c r="AI892" s="562"/>
      <c r="AJ892" s="562"/>
      <c r="AK892" s="562"/>
      <c r="AL892" s="190"/>
      <c r="AM892" s="190"/>
      <c r="AN892" s="562"/>
      <c r="AO892" s="562"/>
      <c r="AP892" s="190"/>
      <c r="AQ892" s="190"/>
      <c r="AR892" s="190"/>
      <c r="AS892" s="190"/>
      <c r="AT892" s="562"/>
      <c r="AU892" s="562"/>
      <c r="AV892" s="562"/>
      <c r="AW892" s="562"/>
      <c r="AX892" s="562"/>
      <c r="AY892" s="562"/>
      <c r="AZ892" s="562"/>
      <c r="BA892" s="562"/>
      <c r="BB892" s="562"/>
      <c r="BC892" s="562"/>
      <c r="BD892" s="562"/>
      <c r="BE892" s="562"/>
      <c r="BF892" s="562"/>
      <c r="BG892" s="562"/>
      <c r="BH892" s="562"/>
      <c r="BI892" s="562"/>
    </row>
    <row r="893" spans="1:61" s="485" customFormat="1" ht="15" customHeight="1" x14ac:dyDescent="0.2">
      <c r="A893" s="541">
        <v>7</v>
      </c>
      <c r="B893" s="551" t="s">
        <v>2907</v>
      </c>
      <c r="C893" s="556"/>
      <c r="D893" s="544"/>
      <c r="E893" s="544"/>
      <c r="F893" s="544"/>
      <c r="G893" s="543" t="s">
        <v>3343</v>
      </c>
      <c r="H893" s="541" t="s">
        <v>3757</v>
      </c>
      <c r="I893" s="145" t="s">
        <v>2908</v>
      </c>
      <c r="J893" s="638"/>
      <c r="K893" s="638"/>
      <c r="L893" s="865" t="s">
        <v>3762</v>
      </c>
      <c r="M893" s="867" t="str">
        <f>IF(R893,"Mandatory","N/A")</f>
        <v>Mandatory</v>
      </c>
      <c r="N893" s="617"/>
      <c r="O893" s="617"/>
      <c r="P893" s="64" t="b">
        <v>1</v>
      </c>
      <c r="Q893" s="64" t="b">
        <v>1</v>
      </c>
      <c r="R893" s="148" t="b">
        <f>S893</f>
        <v>1</v>
      </c>
      <c r="S893" s="463" t="b">
        <v>1</v>
      </c>
      <c r="T893" s="148" t="b">
        <f>AND(NOT(S893),W893=TRUE)</f>
        <v>0</v>
      </c>
      <c r="U893" s="562"/>
      <c r="V893" s="562"/>
      <c r="W893" s="495"/>
      <c r="X893" s="798"/>
      <c r="Y893" s="977" t="str">
        <f>IF(LEN('Ch7'!X124)=0,"None",'Ch7'!X124)</f>
        <v>None</v>
      </c>
      <c r="Z893" s="978"/>
      <c r="AA893" s="562"/>
      <c r="AB893" s="562"/>
      <c r="AC893" s="492" t="b">
        <f>OR(AD893:AE893)</f>
        <v>1</v>
      </c>
      <c r="AD893" s="492" t="b">
        <f>T893</f>
        <v>0</v>
      </c>
      <c r="AE893" s="492" t="b">
        <f>AND(R893,NOT(W893))</f>
        <v>1</v>
      </c>
      <c r="AF893" s="492" t="b">
        <f>AND(AE893,NOT(Q893))</f>
        <v>0</v>
      </c>
      <c r="AG893" s="562"/>
      <c r="AH893" s="562"/>
      <c r="AI893" s="562"/>
      <c r="AJ893" s="562"/>
      <c r="AK893" s="562"/>
      <c r="AL893" s="493" t="str">
        <f t="shared" si="249"/>
        <v>vpa701_4_6</v>
      </c>
      <c r="AM893" s="493" t="str">
        <f>M893</f>
        <v>Mandatory</v>
      </c>
      <c r="AN893" s="562"/>
      <c r="AO893" s="562"/>
      <c r="AP893" s="493" t="str">
        <f t="shared" si="247"/>
        <v>vch701_4_6</v>
      </c>
      <c r="AQ893" s="493">
        <f>W893</f>
        <v>0</v>
      </c>
      <c r="AR893" s="493" t="str">
        <f t="shared" si="248"/>
        <v>vnt701_4_6</v>
      </c>
      <c r="AS893" s="493">
        <f>X893</f>
        <v>0</v>
      </c>
      <c r="AT893" s="562"/>
      <c r="AU893" s="562"/>
      <c r="AV893" s="562"/>
      <c r="AW893" s="562"/>
      <c r="AX893" s="562"/>
      <c r="AY893" s="562"/>
      <c r="AZ893" s="562"/>
      <c r="BA893" s="562"/>
      <c r="BB893" s="562"/>
      <c r="BC893" s="562"/>
      <c r="BD893" s="562"/>
      <c r="BE893" s="562"/>
      <c r="BF893" s="562"/>
      <c r="BG893" s="562"/>
      <c r="BH893" s="562"/>
      <c r="BI893" s="562"/>
    </row>
    <row r="894" spans="1:61" s="485" customFormat="1" x14ac:dyDescent="0.2">
      <c r="A894" s="541">
        <v>7</v>
      </c>
      <c r="B894" s="551" t="s">
        <v>2907</v>
      </c>
      <c r="C894" s="556"/>
      <c r="D894" s="544"/>
      <c r="E894" s="544"/>
      <c r="F894" s="544"/>
      <c r="G894" s="543" t="s">
        <v>3343</v>
      </c>
      <c r="H894" s="541" t="s">
        <v>3757</v>
      </c>
      <c r="I894" s="99"/>
      <c r="J894" s="598"/>
      <c r="K894" s="598"/>
      <c r="L894" s="866"/>
      <c r="M894" s="838"/>
      <c r="N894" s="607"/>
      <c r="O894" s="607"/>
      <c r="P894" s="64"/>
      <c r="Q894" s="64"/>
      <c r="R894" s="562"/>
      <c r="S894" s="562"/>
      <c r="T894" s="64"/>
      <c r="U894" s="562"/>
      <c r="V894" s="562"/>
      <c r="W894" s="562"/>
      <c r="X894" s="798"/>
      <c r="Y894" s="977"/>
      <c r="Z894" s="978"/>
      <c r="AA894" s="562"/>
      <c r="AB894" s="562"/>
      <c r="AC894" s="562"/>
      <c r="AD894" s="562"/>
      <c r="AE894" s="562"/>
      <c r="AF894" s="562"/>
      <c r="AG894" s="562"/>
      <c r="AH894" s="562"/>
      <c r="AI894" s="562"/>
      <c r="AJ894" s="562"/>
      <c r="AK894" s="562"/>
      <c r="AL894" s="190"/>
      <c r="AM894" s="190"/>
      <c r="AN894" s="562"/>
      <c r="AO894" s="562"/>
      <c r="AP894" s="190"/>
      <c r="AQ894" s="190"/>
      <c r="AR894" s="190"/>
      <c r="AS894" s="190"/>
      <c r="AT894" s="562"/>
      <c r="AU894" s="562"/>
      <c r="AV894" s="562"/>
      <c r="AW894" s="562"/>
      <c r="AX894" s="562"/>
      <c r="AY894" s="562"/>
      <c r="AZ894" s="562"/>
      <c r="BA894" s="562"/>
      <c r="BB894" s="562"/>
      <c r="BC894" s="562"/>
      <c r="BD894" s="562"/>
      <c r="BE894" s="562"/>
      <c r="BF894" s="562"/>
      <c r="BG894" s="562"/>
      <c r="BH894" s="562"/>
      <c r="BI894" s="562"/>
    </row>
    <row r="895" spans="1:61" s="485" customFormat="1" x14ac:dyDescent="0.2">
      <c r="A895" s="541">
        <v>7</v>
      </c>
      <c r="B895" s="551" t="s">
        <v>2907</v>
      </c>
      <c r="C895" s="556"/>
      <c r="D895" s="544"/>
      <c r="E895" s="544"/>
      <c r="F895" s="544"/>
      <c r="G895" s="543" t="s">
        <v>3343</v>
      </c>
      <c r="H895" s="541" t="s">
        <v>3757</v>
      </c>
      <c r="I895" s="99"/>
      <c r="J895" s="598"/>
      <c r="K895" s="598"/>
      <c r="L895" s="866"/>
      <c r="M895" s="838"/>
      <c r="N895" s="64"/>
      <c r="O895" s="64"/>
      <c r="P895" s="64"/>
      <c r="Q895" s="64"/>
      <c r="R895" s="562"/>
      <c r="S895" s="562"/>
      <c r="T895" s="64"/>
      <c r="U895" s="562"/>
      <c r="V895" s="562"/>
      <c r="W895" s="562"/>
      <c r="X895" s="798"/>
      <c r="Y895" s="977"/>
      <c r="Z895" s="978"/>
      <c r="AA895" s="562"/>
      <c r="AB895" s="562"/>
      <c r="AC895" s="562"/>
      <c r="AD895" s="562"/>
      <c r="AE895" s="562"/>
      <c r="AF895" s="562"/>
      <c r="AG895" s="562"/>
      <c r="AH895" s="562"/>
      <c r="AI895" s="562"/>
      <c r="AJ895" s="562"/>
      <c r="AK895" s="562"/>
      <c r="AL895" s="190"/>
      <c r="AM895" s="190"/>
      <c r="AN895" s="562"/>
      <c r="AO895" s="562"/>
      <c r="AP895" s="190"/>
      <c r="AQ895" s="190"/>
      <c r="AR895" s="190"/>
      <c r="AS895" s="190"/>
      <c r="AT895" s="562"/>
      <c r="AU895" s="562"/>
      <c r="AV895" s="562"/>
      <c r="AW895" s="562"/>
      <c r="AX895" s="562"/>
      <c r="AY895" s="562"/>
      <c r="AZ895" s="562"/>
      <c r="BA895" s="562"/>
      <c r="BB895" s="562"/>
      <c r="BC895" s="562"/>
      <c r="BD895" s="562"/>
      <c r="BE895" s="562"/>
      <c r="BF895" s="562"/>
      <c r="BG895" s="562"/>
      <c r="BH895" s="562"/>
      <c r="BI895" s="562"/>
    </row>
    <row r="896" spans="1:61" s="528" customFormat="1" x14ac:dyDescent="0.2">
      <c r="A896" s="541">
        <v>7</v>
      </c>
      <c r="B896" s="551"/>
      <c r="C896" s="556"/>
      <c r="D896" s="544"/>
      <c r="E896" s="544"/>
      <c r="F896" s="544"/>
      <c r="G896" s="543" t="s">
        <v>3343</v>
      </c>
      <c r="H896" s="541" t="s">
        <v>3757</v>
      </c>
      <c r="I896" s="165"/>
      <c r="J896" s="599"/>
      <c r="K896" s="599"/>
      <c r="L896" s="275" t="s">
        <v>2911</v>
      </c>
      <c r="M896" s="64"/>
      <c r="N896" s="129"/>
      <c r="O896" s="129"/>
      <c r="P896" s="64"/>
      <c r="Q896" s="64"/>
      <c r="R896" s="64"/>
      <c r="S896" s="64"/>
      <c r="T896" s="64"/>
      <c r="U896" s="64"/>
      <c r="V896" s="64"/>
      <c r="W896" s="64"/>
      <c r="X896" s="64"/>
      <c r="Y896" s="562"/>
      <c r="Z896" s="576"/>
      <c r="AA896" s="562"/>
      <c r="AB896" s="562"/>
      <c r="AC896" s="562"/>
      <c r="AD896" s="562"/>
      <c r="AE896" s="562"/>
      <c r="AF896" s="562"/>
      <c r="AG896" s="562"/>
      <c r="AH896" s="562"/>
      <c r="AI896" s="562"/>
      <c r="AJ896" s="562"/>
      <c r="AK896" s="562"/>
      <c r="AL896" s="190"/>
      <c r="AM896" s="190"/>
      <c r="AN896" s="562"/>
      <c r="AO896" s="562"/>
      <c r="AP896" s="190"/>
      <c r="AQ896" s="190"/>
      <c r="AR896" s="190"/>
      <c r="AS896" s="190"/>
      <c r="AT896" s="562"/>
      <c r="AU896" s="562"/>
      <c r="AV896" s="562"/>
      <c r="AW896" s="562"/>
      <c r="AX896" s="562"/>
      <c r="AY896" s="562"/>
      <c r="AZ896" s="562"/>
      <c r="BA896" s="562"/>
      <c r="BB896" s="562"/>
      <c r="BC896" s="562"/>
      <c r="BD896" s="562"/>
      <c r="BE896" s="562"/>
      <c r="BF896" s="562"/>
      <c r="BG896" s="562"/>
      <c r="BH896" s="562"/>
      <c r="BI896" s="562"/>
    </row>
    <row r="897" spans="1:60" s="485" customFormat="1" ht="15" customHeight="1" x14ac:dyDescent="0.2">
      <c r="A897" s="541">
        <v>7</v>
      </c>
      <c r="B897" s="551" t="s">
        <v>2912</v>
      </c>
      <c r="C897" s="556"/>
      <c r="D897" s="544"/>
      <c r="E897" s="544"/>
      <c r="F897" s="544"/>
      <c r="G897" s="543" t="s">
        <v>3343</v>
      </c>
      <c r="H897" s="541" t="s">
        <v>3757</v>
      </c>
      <c r="I897" s="40" t="s">
        <v>2913</v>
      </c>
      <c r="J897" s="632"/>
      <c r="K897" s="632"/>
      <c r="L897" s="865" t="s">
        <v>3763</v>
      </c>
      <c r="M897" s="867" t="str">
        <f>IF(R897,"Mandatory","N/A")</f>
        <v>Mandatory</v>
      </c>
      <c r="N897" s="609"/>
      <c r="O897" s="609"/>
      <c r="P897" s="64" t="b">
        <v>1</v>
      </c>
      <c r="Q897" s="64" t="b">
        <v>1</v>
      </c>
      <c r="R897" s="148" t="b">
        <f>S897</f>
        <v>1</v>
      </c>
      <c r="S897" s="463" t="b">
        <v>1</v>
      </c>
      <c r="T897" s="148" t="b">
        <f>AND(NOT(S897),W897=TRUE)</f>
        <v>0</v>
      </c>
      <c r="U897" s="562"/>
      <c r="V897" s="562"/>
      <c r="W897" s="495"/>
      <c r="X897" s="798"/>
      <c r="Y897" s="977" t="str">
        <f>IF(LEN('Ch7'!X128)=0,"None",'Ch7'!X128)</f>
        <v>None</v>
      </c>
      <c r="Z897" s="978"/>
      <c r="AA897" s="562"/>
      <c r="AB897" s="562"/>
      <c r="AC897" s="492" t="b">
        <f>OR(AD897:AE897)</f>
        <v>1</v>
      </c>
      <c r="AD897" s="492" t="b">
        <f>T897</f>
        <v>0</v>
      </c>
      <c r="AE897" s="492" t="b">
        <f>AND(R897,NOT(W897))</f>
        <v>1</v>
      </c>
      <c r="AF897" s="492" t="b">
        <f>AND(AE897,NOT(Q897))</f>
        <v>0</v>
      </c>
      <c r="AG897" s="562"/>
      <c r="AH897" s="562"/>
      <c r="AI897" s="562"/>
      <c r="AJ897" s="562"/>
      <c r="AK897" s="562"/>
      <c r="AL897" s="493" t="str">
        <f t="shared" ref="AL897" si="250">SUBSTITUTE(SUBSTITUTE(SUBSTITUTE("vpa"&amp;$B897&amp;$C897&amp;$D897&amp;$E897&amp;$F897,".","_"),"(","_"),")","")</f>
        <v>vpa701_4_7</v>
      </c>
      <c r="AM897" s="493" t="str">
        <f>M897</f>
        <v>Mandatory</v>
      </c>
      <c r="AN897" s="562"/>
      <c r="AO897" s="562"/>
      <c r="AP897" s="493" t="str">
        <f t="shared" ref="AP897" si="251">SUBSTITUTE(SUBSTITUTE(SUBSTITUTE("vch"&amp;$B897&amp;$C897&amp;$D897&amp;$E897&amp;$F897,".","_"),"(","_"),")","")</f>
        <v>vch701_4_7</v>
      </c>
      <c r="AQ897" s="493">
        <f>W897</f>
        <v>0</v>
      </c>
      <c r="AR897" s="493" t="str">
        <f t="shared" ref="AR897" si="252">SUBSTITUTE(SUBSTITUTE(SUBSTITUTE("vnt"&amp;$B897&amp;$C897&amp;$D897&amp;$E897&amp;$F897,".","_"),"(","_"),")","")</f>
        <v>vnt701_4_7</v>
      </c>
      <c r="AS897" s="493">
        <f>X897</f>
        <v>0</v>
      </c>
      <c r="AT897" s="562"/>
      <c r="AU897" s="562"/>
      <c r="AV897" s="562"/>
      <c r="AW897" s="562"/>
      <c r="AX897" s="562"/>
      <c r="AY897" s="562"/>
      <c r="AZ897" s="562"/>
      <c r="BA897" s="562"/>
      <c r="BB897" s="562"/>
      <c r="BC897" s="562"/>
      <c r="BD897" s="562"/>
      <c r="BE897" s="562"/>
      <c r="BF897" s="562"/>
      <c r="BG897" s="562"/>
      <c r="BH897" s="562"/>
    </row>
    <row r="898" spans="1:60" s="485" customFormat="1" x14ac:dyDescent="0.2">
      <c r="A898" s="541">
        <v>7</v>
      </c>
      <c r="B898" s="551" t="s">
        <v>2912</v>
      </c>
      <c r="C898" s="556"/>
      <c r="D898" s="544"/>
      <c r="E898" s="544"/>
      <c r="F898" s="544"/>
      <c r="G898" s="543" t="s">
        <v>3343</v>
      </c>
      <c r="H898" s="541" t="s">
        <v>3757</v>
      </c>
      <c r="I898" s="40"/>
      <c r="J898" s="632"/>
      <c r="K898" s="632"/>
      <c r="L898" s="866"/>
      <c r="M898" s="838"/>
      <c r="N898" s="609"/>
      <c r="O898" s="609"/>
      <c r="P898" s="64"/>
      <c r="Q898" s="64"/>
      <c r="R898" s="562"/>
      <c r="S898" s="562"/>
      <c r="T898" s="64"/>
      <c r="U898" s="562"/>
      <c r="V898" s="562"/>
      <c r="W898" s="562"/>
      <c r="X898" s="798"/>
      <c r="Y898" s="977"/>
      <c r="Z898" s="978"/>
      <c r="AA898" s="562"/>
      <c r="AB898" s="562"/>
      <c r="AC898" s="562"/>
      <c r="AD898" s="562"/>
      <c r="AE898" s="562"/>
      <c r="AF898" s="562"/>
      <c r="AG898" s="562"/>
      <c r="AH898" s="562"/>
      <c r="AI898" s="562"/>
      <c r="AJ898" s="562"/>
      <c r="AK898" s="562"/>
      <c r="AL898" s="190"/>
      <c r="AM898" s="190"/>
      <c r="AN898" s="562"/>
      <c r="AO898" s="562"/>
      <c r="AP898" s="190"/>
      <c r="AQ898" s="190"/>
      <c r="AR898" s="190"/>
      <c r="AS898" s="190"/>
      <c r="AT898" s="562"/>
      <c r="AU898" s="562"/>
      <c r="AV898" s="562"/>
      <c r="AW898" s="562"/>
      <c r="AX898" s="562"/>
      <c r="AY898" s="562"/>
      <c r="AZ898" s="562"/>
      <c r="BA898" s="562"/>
      <c r="BB898" s="562"/>
      <c r="BC898" s="562"/>
      <c r="BD898" s="562"/>
      <c r="BE898" s="562"/>
      <c r="BF898" s="562"/>
      <c r="BG898" s="562"/>
      <c r="BH898" s="562"/>
    </row>
    <row r="899" spans="1:60" s="485" customFormat="1" x14ac:dyDescent="0.2">
      <c r="A899" s="541">
        <v>7</v>
      </c>
      <c r="B899" s="551" t="s">
        <v>2912</v>
      </c>
      <c r="C899" s="556"/>
      <c r="D899" s="544"/>
      <c r="E899" s="544"/>
      <c r="F899" s="544"/>
      <c r="G899" s="543" t="s">
        <v>3343</v>
      </c>
      <c r="H899" s="541" t="s">
        <v>3757</v>
      </c>
      <c r="I899" s="40"/>
      <c r="J899" s="632"/>
      <c r="K899" s="632"/>
      <c r="L899" s="866"/>
      <c r="M899" s="838"/>
      <c r="N899" s="609"/>
      <c r="O899" s="609"/>
      <c r="P899" s="64"/>
      <c r="Q899" s="64"/>
      <c r="R899" s="562"/>
      <c r="S899" s="562"/>
      <c r="T899" s="64"/>
      <c r="U899" s="562"/>
      <c r="V899" s="562"/>
      <c r="W899" s="562"/>
      <c r="X899" s="798"/>
      <c r="Y899" s="977"/>
      <c r="Z899" s="978"/>
      <c r="AA899" s="562"/>
      <c r="AB899" s="562"/>
      <c r="AC899" s="562"/>
      <c r="AD899" s="562"/>
      <c r="AE899" s="562"/>
      <c r="AF899" s="562"/>
      <c r="AG899" s="562"/>
      <c r="AH899" s="562"/>
      <c r="AI899" s="562"/>
      <c r="AJ899" s="562"/>
      <c r="AK899" s="562"/>
      <c r="AL899" s="190"/>
      <c r="AM899" s="190"/>
      <c r="AN899" s="562"/>
      <c r="AO899" s="562"/>
      <c r="AP899" s="190"/>
      <c r="AQ899" s="190"/>
      <c r="AR899" s="190"/>
      <c r="AS899" s="190"/>
      <c r="AT899" s="562"/>
      <c r="AU899" s="562"/>
      <c r="AV899" s="562"/>
      <c r="AW899" s="562"/>
      <c r="AX899" s="562"/>
      <c r="AY899" s="562"/>
      <c r="AZ899" s="562"/>
      <c r="BA899" s="562"/>
      <c r="BB899" s="562"/>
      <c r="BC899" s="562"/>
      <c r="BD899" s="562"/>
      <c r="BE899" s="562"/>
      <c r="BF899" s="562"/>
      <c r="BG899" s="562"/>
      <c r="BH899" s="562"/>
    </row>
    <row r="900" spans="1:60" s="485" customFormat="1" x14ac:dyDescent="0.2">
      <c r="A900" s="541">
        <v>7</v>
      </c>
      <c r="B900" s="551" t="s">
        <v>2912</v>
      </c>
      <c r="C900" s="556"/>
      <c r="D900" s="544"/>
      <c r="E900" s="544"/>
      <c r="F900" s="544"/>
      <c r="G900" s="543" t="s">
        <v>3343</v>
      </c>
      <c r="H900" s="541" t="s">
        <v>3757</v>
      </c>
      <c r="I900" s="40"/>
      <c r="J900" s="632"/>
      <c r="K900" s="632"/>
      <c r="L900" s="866"/>
      <c r="M900" s="838"/>
      <c r="N900" s="609"/>
      <c r="O900" s="609"/>
      <c r="P900" s="64"/>
      <c r="Q900" s="64"/>
      <c r="R900" s="562"/>
      <c r="S900" s="562"/>
      <c r="T900" s="64"/>
      <c r="U900" s="562"/>
      <c r="V900" s="562"/>
      <c r="W900" s="562"/>
      <c r="X900" s="798"/>
      <c r="Y900" s="977"/>
      <c r="Z900" s="978"/>
      <c r="AA900" s="562"/>
      <c r="AB900" s="562"/>
      <c r="AC900" s="562"/>
      <c r="AD900" s="562"/>
      <c r="AE900" s="562"/>
      <c r="AF900" s="562"/>
      <c r="AG900" s="562"/>
      <c r="AH900" s="562"/>
      <c r="AI900" s="562"/>
      <c r="AJ900" s="562"/>
      <c r="AK900" s="562"/>
      <c r="AL900" s="190"/>
      <c r="AM900" s="190"/>
      <c r="AN900" s="562"/>
      <c r="AO900" s="562"/>
      <c r="AP900" s="190"/>
      <c r="AQ900" s="190"/>
      <c r="AR900" s="190"/>
      <c r="AS900" s="190"/>
      <c r="AT900" s="562"/>
      <c r="AU900" s="562"/>
      <c r="AV900" s="562"/>
      <c r="AW900" s="562"/>
      <c r="AX900" s="562"/>
      <c r="AY900" s="562"/>
      <c r="AZ900" s="562"/>
      <c r="BA900" s="562"/>
      <c r="BB900" s="562"/>
      <c r="BC900" s="562"/>
      <c r="BD900" s="562"/>
      <c r="BE900" s="562"/>
      <c r="BF900" s="562"/>
      <c r="BG900" s="562"/>
      <c r="BH900" s="562"/>
    </row>
    <row r="901" spans="1:60" s="528" customFormat="1" x14ac:dyDescent="0.2">
      <c r="A901" s="541">
        <v>7</v>
      </c>
      <c r="B901" s="551"/>
      <c r="C901" s="556"/>
      <c r="D901" s="544"/>
      <c r="E901" s="544"/>
      <c r="F901" s="544"/>
      <c r="G901" s="543" t="s">
        <v>3343</v>
      </c>
      <c r="H901" s="541" t="s">
        <v>3757</v>
      </c>
      <c r="I901" s="98"/>
      <c r="J901" s="598"/>
      <c r="K901" s="598"/>
      <c r="L901" s="275" t="s">
        <v>2911</v>
      </c>
      <c r="M901" s="64"/>
      <c r="N901" s="64"/>
      <c r="O901" s="64"/>
      <c r="P901" s="64"/>
      <c r="Q901" s="64"/>
      <c r="R901" s="64"/>
      <c r="S901" s="64"/>
      <c r="T901" s="64"/>
      <c r="U901" s="64"/>
      <c r="V901" s="64"/>
      <c r="W901" s="64"/>
      <c r="X901" s="64"/>
      <c r="Y901" s="562"/>
      <c r="Z901" s="535"/>
      <c r="AA901" s="562"/>
      <c r="AB901" s="562"/>
      <c r="AC901" s="562"/>
      <c r="AD901" s="562"/>
      <c r="AE901" s="562"/>
      <c r="AF901" s="562"/>
      <c r="AG901" s="562"/>
      <c r="AH901" s="562"/>
      <c r="AI901" s="562"/>
      <c r="AJ901" s="562"/>
      <c r="AK901" s="562"/>
      <c r="AL901" s="190"/>
      <c r="AM901" s="190"/>
      <c r="AN901" s="562"/>
      <c r="AO901" s="562"/>
      <c r="AP901" s="190"/>
      <c r="AQ901" s="190"/>
      <c r="AR901" s="190"/>
      <c r="AS901" s="190"/>
      <c r="AT901" s="562"/>
      <c r="AU901" s="562"/>
      <c r="AV901" s="562"/>
      <c r="AW901" s="562"/>
      <c r="AX901" s="562"/>
      <c r="AY901" s="562"/>
      <c r="AZ901" s="562"/>
      <c r="BA901" s="562"/>
      <c r="BB901" s="562"/>
      <c r="BC901" s="562"/>
      <c r="BD901" s="562"/>
      <c r="BE901" s="562"/>
      <c r="BF901" s="562"/>
      <c r="BG901" s="562"/>
      <c r="BH901" s="562"/>
    </row>
    <row r="902" spans="1:60" s="503" customFormat="1" ht="19" x14ac:dyDescent="0.25">
      <c r="A902" s="541">
        <v>7</v>
      </c>
      <c r="B902" s="551" t="s">
        <v>3761</v>
      </c>
      <c r="C902" s="541"/>
      <c r="D902" s="541"/>
      <c r="E902" s="541"/>
      <c r="F902" s="541"/>
      <c r="G902" s="543" t="s">
        <v>3343</v>
      </c>
      <c r="H902" s="541" t="s">
        <v>3751</v>
      </c>
      <c r="I902" s="15" t="s">
        <v>3764</v>
      </c>
      <c r="J902" s="15"/>
      <c r="K902" s="15"/>
      <c r="L902" s="16"/>
      <c r="M902" s="17"/>
      <c r="N902" s="17"/>
      <c r="O902" s="17"/>
      <c r="P902" s="562" t="s">
        <v>48</v>
      </c>
      <c r="Q902" s="562" t="s">
        <v>48</v>
      </c>
      <c r="R902" s="562" t="s">
        <v>48</v>
      </c>
      <c r="S902" s="562" t="s">
        <v>48</v>
      </c>
      <c r="T902" s="562" t="s">
        <v>48</v>
      </c>
      <c r="U902" s="562" t="s">
        <v>48</v>
      </c>
      <c r="V902" s="562" t="s">
        <v>48</v>
      </c>
      <c r="W902" s="16"/>
      <c r="X902" s="16"/>
      <c r="Y902" s="16"/>
      <c r="Z902" s="453"/>
      <c r="AA902" s="562"/>
      <c r="AB902" s="586"/>
      <c r="AC902" s="586"/>
      <c r="AD902" s="586"/>
      <c r="AE902" s="586"/>
      <c r="AF902" s="586"/>
      <c r="AG902" s="586"/>
      <c r="AH902" s="586"/>
      <c r="AI902" s="586"/>
      <c r="AJ902" s="586"/>
      <c r="AK902" s="586"/>
      <c r="AL902" s="586"/>
      <c r="AM902" s="586"/>
      <c r="AN902" s="586"/>
      <c r="AO902" s="586"/>
      <c r="AP902" s="586"/>
      <c r="AQ902" s="586"/>
      <c r="AR902" s="586"/>
      <c r="AS902" s="586"/>
      <c r="AT902" s="562"/>
      <c r="AU902" s="562"/>
      <c r="AV902" s="562"/>
      <c r="AW902" s="586"/>
      <c r="AX902" s="562"/>
      <c r="AY902" s="562"/>
      <c r="AZ902" s="562"/>
      <c r="BA902" s="562"/>
      <c r="BB902" s="562"/>
      <c r="BC902" s="562"/>
      <c r="BD902" s="562"/>
      <c r="BE902" s="562"/>
      <c r="BF902" s="562"/>
      <c r="BG902" s="562"/>
      <c r="BH902" s="562"/>
    </row>
    <row r="903" spans="1:60" x14ac:dyDescent="0.2">
      <c r="A903" s="541">
        <v>7</v>
      </c>
      <c r="B903" s="551" t="s">
        <v>3761</v>
      </c>
      <c r="G903" s="543" t="s">
        <v>3343</v>
      </c>
      <c r="H903" s="541" t="s">
        <v>3751</v>
      </c>
      <c r="I903" s="99" t="s">
        <v>2910</v>
      </c>
      <c r="J903" s="598"/>
      <c r="K903" s="598"/>
      <c r="L903" s="791" t="s">
        <v>2915</v>
      </c>
      <c r="M903" s="562"/>
      <c r="N903" s="562"/>
      <c r="O903" s="562"/>
      <c r="P903" s="562"/>
      <c r="Q903" s="562"/>
      <c r="R903" s="562"/>
      <c r="S903" s="562"/>
      <c r="T903" s="562"/>
      <c r="U903" s="562"/>
      <c r="V903" s="562"/>
      <c r="W903" s="562"/>
      <c r="X903" s="562"/>
      <c r="Y903" s="562"/>
      <c r="Z903" s="562"/>
      <c r="AA903" s="562"/>
      <c r="AB903" s="562"/>
      <c r="AC903" s="562"/>
      <c r="AD903" s="562"/>
      <c r="AE903" s="562"/>
      <c r="AF903" s="562"/>
      <c r="AG903" s="562"/>
      <c r="AH903" s="562"/>
      <c r="AI903" s="562"/>
      <c r="AJ903" s="562"/>
      <c r="AK903" s="562"/>
      <c r="AL903" s="562"/>
      <c r="AM903" s="562"/>
      <c r="AN903" s="562"/>
      <c r="AO903" s="562"/>
      <c r="AP903" s="562"/>
      <c r="AQ903" s="562"/>
      <c r="AR903" s="562"/>
      <c r="AS903" s="562"/>
      <c r="AT903" s="562"/>
      <c r="AU903" s="562"/>
      <c r="AV903" s="562"/>
      <c r="AW903" s="562"/>
      <c r="AX903" s="562"/>
      <c r="AY903" s="562"/>
      <c r="AZ903" s="562"/>
      <c r="BA903" s="562"/>
      <c r="BB903" s="562"/>
      <c r="BC903" s="562"/>
      <c r="BD903" s="562"/>
      <c r="BE903" s="562"/>
      <c r="BF903" s="562"/>
      <c r="BG903" s="562"/>
      <c r="BH903" s="562"/>
    </row>
    <row r="904" spans="1:60" s="503" customFormat="1" x14ac:dyDescent="0.2">
      <c r="A904" s="541">
        <v>7</v>
      </c>
      <c r="B904" s="551" t="s">
        <v>3761</v>
      </c>
      <c r="C904" s="294"/>
      <c r="D904" s="294"/>
      <c r="E904" s="294"/>
      <c r="F904" s="294"/>
      <c r="G904" s="543" t="s">
        <v>3343</v>
      </c>
      <c r="H904" s="541" t="s">
        <v>3751</v>
      </c>
      <c r="I904" s="99"/>
      <c r="J904" s="598"/>
      <c r="K904" s="598"/>
      <c r="L904" s="791"/>
      <c r="M904" s="562"/>
      <c r="N904" s="562"/>
      <c r="O904" s="562"/>
      <c r="P904" s="562"/>
      <c r="Q904" s="562"/>
      <c r="R904" s="562"/>
      <c r="S904" s="562"/>
      <c r="T904" s="562"/>
      <c r="U904" s="562"/>
      <c r="V904" s="562"/>
      <c r="W904" s="562"/>
      <c r="X904" s="562"/>
      <c r="Y904" s="562"/>
      <c r="Z904" s="562"/>
      <c r="AA904" s="562"/>
      <c r="AB904" s="562"/>
      <c r="AC904" s="492" t="b">
        <f>OR(AD904:AE904)</f>
        <v>1</v>
      </c>
      <c r="AD904" s="492" t="b">
        <f>'Verification (Ch. 7)'!AI3</f>
        <v>0</v>
      </c>
      <c r="AE904" s="492" t="b">
        <f>'Verification (Ch. 7)'!AG3</f>
        <v>1</v>
      </c>
      <c r="AF904" s="492" t="b">
        <f>'Verification (Ch. 7)'!AI3</f>
        <v>0</v>
      </c>
      <c r="AG904" s="562"/>
      <c r="AH904" s="562"/>
      <c r="AI904" s="562"/>
      <c r="AJ904" s="562"/>
      <c r="AK904" s="562"/>
      <c r="AL904" s="562"/>
      <c r="AM904" s="562"/>
      <c r="AN904" s="562"/>
      <c r="AO904" s="562"/>
      <c r="AP904" s="562"/>
      <c r="AQ904" s="562"/>
      <c r="AR904" s="562"/>
      <c r="AS904" s="562"/>
      <c r="AT904" s="562"/>
      <c r="AU904" s="562"/>
      <c r="AV904" s="562"/>
      <c r="AW904" s="562"/>
      <c r="AX904" s="562"/>
      <c r="AY904" s="562"/>
      <c r="AZ904" s="562"/>
      <c r="BA904" s="562"/>
      <c r="BB904" s="562"/>
      <c r="BC904" s="562"/>
      <c r="BD904" s="562"/>
      <c r="BE904" s="562"/>
      <c r="BF904" s="562"/>
      <c r="BG904" s="562"/>
      <c r="BH904" s="562"/>
    </row>
    <row r="905" spans="1:60" s="503" customFormat="1" x14ac:dyDescent="0.2">
      <c r="A905" s="541">
        <v>7</v>
      </c>
      <c r="B905" s="551" t="s">
        <v>3761</v>
      </c>
      <c r="C905" s="294"/>
      <c r="D905" s="294"/>
      <c r="E905" s="294"/>
      <c r="F905" s="294"/>
      <c r="G905" s="543" t="s">
        <v>3343</v>
      </c>
      <c r="H905" s="541" t="s">
        <v>3751</v>
      </c>
      <c r="I905" s="99"/>
      <c r="J905" s="598"/>
      <c r="K905" s="598"/>
      <c r="L905" s="275" t="s">
        <v>3765</v>
      </c>
      <c r="M905" s="562"/>
      <c r="N905" s="562"/>
      <c r="O905" s="562"/>
      <c r="P905" s="562"/>
      <c r="Q905" s="562"/>
      <c r="R905" s="562"/>
      <c r="S905" s="562"/>
      <c r="T905" s="562"/>
      <c r="U905" s="562"/>
      <c r="V905" s="562"/>
      <c r="W905" s="562"/>
      <c r="X905" s="562"/>
      <c r="Y905" s="562"/>
      <c r="Z905" s="562"/>
      <c r="AA905" s="562"/>
      <c r="AB905" s="562"/>
      <c r="AC905" s="562"/>
      <c r="AD905" s="562"/>
      <c r="AE905" s="562"/>
      <c r="AF905" s="562"/>
      <c r="AG905" s="562"/>
      <c r="AH905" s="562"/>
      <c r="AI905" s="562"/>
      <c r="AJ905" s="562"/>
      <c r="AK905" s="562"/>
      <c r="AL905" s="562"/>
      <c r="AM905" s="562"/>
      <c r="AN905" s="562"/>
      <c r="AO905" s="562"/>
      <c r="AP905" s="562"/>
      <c r="AQ905" s="562"/>
      <c r="AR905" s="562"/>
      <c r="AS905" s="562"/>
      <c r="AT905" s="562"/>
      <c r="AU905" s="562"/>
      <c r="AV905" s="562"/>
      <c r="AW905" s="562"/>
      <c r="AX905" s="562"/>
      <c r="AY905" s="562"/>
      <c r="AZ905" s="562"/>
      <c r="BA905" s="562"/>
      <c r="BB905" s="562"/>
      <c r="BC905" s="562"/>
      <c r="BD905" s="562"/>
      <c r="BE905" s="562"/>
      <c r="BF905" s="562"/>
      <c r="BG905" s="562"/>
      <c r="BH905" s="562"/>
    </row>
    <row r="906" spans="1:60" s="503" customFormat="1" ht="19" x14ac:dyDescent="0.25">
      <c r="A906" s="541">
        <v>8</v>
      </c>
      <c r="B906" s="551" t="s">
        <v>3766</v>
      </c>
      <c r="C906" s="541"/>
      <c r="D906" s="541"/>
      <c r="E906" s="541"/>
      <c r="F906" s="541"/>
      <c r="G906" s="543" t="s">
        <v>3343</v>
      </c>
      <c r="H906" s="541" t="s">
        <v>3751</v>
      </c>
      <c r="I906" s="15" t="s">
        <v>3767</v>
      </c>
      <c r="J906" s="15"/>
      <c r="K906" s="15"/>
      <c r="L906" s="16"/>
      <c r="M906" s="17"/>
      <c r="N906" s="17"/>
      <c r="O906" s="17"/>
      <c r="P906" s="562" t="s">
        <v>48</v>
      </c>
      <c r="Q906" s="562" t="s">
        <v>48</v>
      </c>
      <c r="R906" s="562" t="s">
        <v>48</v>
      </c>
      <c r="S906" s="562" t="s">
        <v>48</v>
      </c>
      <c r="T906" s="562" t="s">
        <v>48</v>
      </c>
      <c r="U906" s="562" t="s">
        <v>48</v>
      </c>
      <c r="V906" s="562" t="s">
        <v>48</v>
      </c>
      <c r="W906" s="16"/>
      <c r="X906" s="16"/>
      <c r="Y906" s="16"/>
      <c r="Z906" s="453"/>
      <c r="AA906" s="562"/>
      <c r="AB906" s="586"/>
      <c r="AC906" s="586"/>
      <c r="AD906" s="586"/>
      <c r="AE906" s="586"/>
      <c r="AF906" s="586"/>
      <c r="AG906" s="586"/>
      <c r="AH906" s="586"/>
      <c r="AI906" s="586"/>
      <c r="AJ906" s="586"/>
      <c r="AK906" s="586"/>
      <c r="AL906" s="586"/>
      <c r="AM906" s="586"/>
      <c r="AN906" s="586"/>
      <c r="AO906" s="586"/>
      <c r="AP906" s="586"/>
      <c r="AQ906" s="586"/>
      <c r="AR906" s="586"/>
      <c r="AS906" s="586"/>
      <c r="AT906" s="562"/>
      <c r="AU906" s="562"/>
      <c r="AV906" s="562"/>
      <c r="AW906" s="586"/>
      <c r="AX906" s="562"/>
      <c r="AY906" s="562"/>
      <c r="AZ906" s="562"/>
      <c r="BA906" s="562"/>
      <c r="BB906" s="562"/>
      <c r="BC906" s="562"/>
      <c r="BD906" s="562"/>
      <c r="BE906" s="562"/>
      <c r="BF906" s="562"/>
      <c r="BG906" s="562"/>
      <c r="BH906" s="562"/>
    </row>
    <row r="907" spans="1:60" s="503" customFormat="1" ht="15" customHeight="1" x14ac:dyDescent="0.2">
      <c r="A907" s="541">
        <v>8</v>
      </c>
      <c r="B907" s="551" t="s">
        <v>3766</v>
      </c>
      <c r="C907" s="294"/>
      <c r="D907" s="294"/>
      <c r="E907" s="294"/>
      <c r="F907" s="294"/>
      <c r="G907" s="543" t="s">
        <v>3343</v>
      </c>
      <c r="H907" s="541" t="s">
        <v>3751</v>
      </c>
      <c r="I907" s="99" t="s">
        <v>2937</v>
      </c>
      <c r="J907" s="598"/>
      <c r="K907" s="562"/>
      <c r="L907" s="791" t="s">
        <v>2938</v>
      </c>
      <c r="M907" s="605"/>
      <c r="N907" s="605"/>
      <c r="O907" s="605"/>
      <c r="P907" s="605"/>
      <c r="Q907" s="605"/>
      <c r="R907" s="562"/>
      <c r="S907" s="562"/>
      <c r="T907" s="562"/>
      <c r="U907" s="562"/>
      <c r="V907" s="562"/>
      <c r="W907" s="562"/>
      <c r="X907" s="562"/>
      <c r="Y907" s="562"/>
      <c r="Z907" s="562"/>
      <c r="AA907" s="562"/>
      <c r="AB907" s="562"/>
      <c r="AC907" s="562"/>
      <c r="AD907" s="562"/>
      <c r="AE907" s="562"/>
      <c r="AF907" s="562"/>
      <c r="AG907" s="562"/>
      <c r="AH907" s="562"/>
      <c r="AI907" s="562"/>
      <c r="AJ907" s="562"/>
      <c r="AK907" s="562"/>
      <c r="AL907" s="562"/>
      <c r="AM907" s="562"/>
      <c r="AN907" s="562"/>
      <c r="AO907" s="562"/>
      <c r="AP907" s="562"/>
      <c r="AQ907" s="562"/>
      <c r="AR907" s="562"/>
      <c r="AS907" s="562"/>
      <c r="AT907" s="562"/>
      <c r="AU907" s="562"/>
      <c r="AV907" s="562"/>
      <c r="AW907" s="562"/>
      <c r="AX907" s="562"/>
      <c r="AY907" s="562"/>
      <c r="AZ907" s="562"/>
      <c r="BA907" s="562"/>
      <c r="BB907" s="562"/>
      <c r="BC907" s="562"/>
      <c r="BD907" s="562"/>
      <c r="BE907" s="562"/>
      <c r="BF907" s="562"/>
      <c r="BG907" s="562"/>
      <c r="BH907" s="562"/>
    </row>
    <row r="908" spans="1:60" s="503" customFormat="1" x14ac:dyDescent="0.2">
      <c r="A908" s="541">
        <v>8</v>
      </c>
      <c r="B908" s="551" t="s">
        <v>3766</v>
      </c>
      <c r="C908" s="294"/>
      <c r="D908" s="294"/>
      <c r="E908" s="294"/>
      <c r="F908" s="294"/>
      <c r="G908" s="543" t="s">
        <v>3343</v>
      </c>
      <c r="H908" s="541" t="s">
        <v>3751</v>
      </c>
      <c r="I908" s="99"/>
      <c r="J908" s="598"/>
      <c r="K908" s="605"/>
      <c r="L908" s="791"/>
      <c r="M908" s="605"/>
      <c r="N908" s="605"/>
      <c r="O908" s="605"/>
      <c r="P908" s="605"/>
      <c r="Q908" s="605"/>
      <c r="R908" s="562"/>
      <c r="S908" s="562"/>
      <c r="T908" s="562"/>
      <c r="U908" s="562"/>
      <c r="V908" s="562"/>
      <c r="W908" s="562"/>
      <c r="X908" s="562"/>
      <c r="Y908" s="562"/>
      <c r="Z908" s="562"/>
      <c r="AA908" s="562"/>
      <c r="AB908" s="562"/>
      <c r="AC908" s="492" t="b">
        <f>OR(AD908:AE908)</f>
        <v>1</v>
      </c>
      <c r="AD908" s="492" t="b">
        <f>'Verification (Ch.8)'!AB3</f>
        <v>0</v>
      </c>
      <c r="AE908" s="492" t="b">
        <f>'Verification (Ch.8)'!X32</f>
        <v>1</v>
      </c>
      <c r="AF908" s="492" t="b">
        <f>'Verification (Ch.8)'!Y32</f>
        <v>1</v>
      </c>
      <c r="AG908" s="562"/>
      <c r="AH908" s="562"/>
      <c r="AI908" s="562"/>
      <c r="AJ908" s="562"/>
      <c r="AK908" s="562"/>
      <c r="AL908" s="562"/>
      <c r="AM908" s="562"/>
      <c r="AN908" s="562"/>
      <c r="AO908" s="562"/>
      <c r="AP908" s="562"/>
      <c r="AQ908" s="562"/>
      <c r="AR908" s="562"/>
      <c r="AS908" s="562"/>
      <c r="AT908" s="562"/>
      <c r="AU908" s="562"/>
      <c r="AV908" s="562"/>
      <c r="AW908" s="562"/>
      <c r="AX908" s="562"/>
      <c r="AY908" s="562"/>
      <c r="AZ908" s="562"/>
      <c r="BA908" s="562"/>
      <c r="BB908" s="562"/>
      <c r="BC908" s="562"/>
      <c r="BD908" s="562"/>
      <c r="BE908" s="562"/>
      <c r="BF908" s="562"/>
      <c r="BG908" s="562"/>
      <c r="BH908" s="562"/>
    </row>
    <row r="909" spans="1:60" s="503" customFormat="1" x14ac:dyDescent="0.2">
      <c r="A909" s="541">
        <v>8</v>
      </c>
      <c r="B909" s="551" t="s">
        <v>3766</v>
      </c>
      <c r="C909" s="294"/>
      <c r="D909" s="294"/>
      <c r="E909" s="294"/>
      <c r="F909" s="294"/>
      <c r="G909" s="543" t="s">
        <v>3343</v>
      </c>
      <c r="H909" s="541" t="s">
        <v>3751</v>
      </c>
      <c r="I909" s="99"/>
      <c r="J909" s="598"/>
      <c r="K909" s="605"/>
      <c r="L909" s="275" t="s">
        <v>3768</v>
      </c>
      <c r="M909" s="605"/>
      <c r="N909" s="605"/>
      <c r="O909" s="605"/>
      <c r="P909" s="605"/>
      <c r="Q909" s="605"/>
      <c r="R909" s="562"/>
      <c r="S909" s="562"/>
      <c r="T909" s="562"/>
      <c r="U909" s="562"/>
      <c r="V909" s="562"/>
      <c r="W909" s="562"/>
      <c r="X909" s="562"/>
      <c r="Y909" s="562"/>
      <c r="Z909" s="562"/>
      <c r="AA909" s="562"/>
      <c r="AB909" s="562"/>
      <c r="AC909" s="562"/>
      <c r="AD909" s="562"/>
      <c r="AE909" s="562"/>
      <c r="AF909" s="562"/>
      <c r="AG909" s="562"/>
      <c r="AH909" s="562"/>
      <c r="AI909" s="562"/>
      <c r="AJ909" s="562"/>
      <c r="AK909" s="562"/>
      <c r="AL909" s="562"/>
      <c r="AM909" s="562"/>
      <c r="AN909" s="562"/>
      <c r="AO909" s="562"/>
      <c r="AP909" s="562"/>
      <c r="AQ909" s="562"/>
      <c r="AR909" s="562"/>
      <c r="AS909" s="562"/>
      <c r="AT909" s="562"/>
      <c r="AU909" s="562"/>
      <c r="AV909" s="562"/>
      <c r="AW909" s="562"/>
      <c r="AX909" s="562"/>
      <c r="AY909" s="562"/>
      <c r="AZ909" s="562"/>
      <c r="BA909" s="562"/>
      <c r="BB909" s="562"/>
      <c r="BC909" s="562"/>
      <c r="BD909" s="562"/>
      <c r="BE909" s="562"/>
      <c r="BF909" s="562"/>
      <c r="BG909" s="562"/>
      <c r="BH909" s="562"/>
    </row>
    <row r="910" spans="1:60" ht="19" x14ac:dyDescent="0.25">
      <c r="A910" s="541">
        <v>9</v>
      </c>
      <c r="B910" s="551" t="s">
        <v>3769</v>
      </c>
      <c r="C910" s="541"/>
      <c r="D910" s="541"/>
      <c r="E910" s="541"/>
      <c r="F910" s="541"/>
      <c r="G910" s="543" t="s">
        <v>3343</v>
      </c>
      <c r="H910" s="541" t="s">
        <v>3751</v>
      </c>
      <c r="I910" s="15" t="s">
        <v>2979</v>
      </c>
      <c r="J910" s="15"/>
      <c r="K910" s="15"/>
      <c r="L910" s="16"/>
      <c r="M910" s="17"/>
      <c r="N910" s="17"/>
      <c r="O910" s="17"/>
      <c r="P910" s="562" t="s">
        <v>48</v>
      </c>
      <c r="Q910" s="562" t="s">
        <v>48</v>
      </c>
      <c r="R910" s="562" t="s">
        <v>48</v>
      </c>
      <c r="S910" s="562" t="s">
        <v>48</v>
      </c>
      <c r="T910" s="562" t="s">
        <v>48</v>
      </c>
      <c r="U910" s="562" t="s">
        <v>48</v>
      </c>
      <c r="V910" s="562" t="s">
        <v>48</v>
      </c>
      <c r="W910" s="16"/>
      <c r="X910" s="16"/>
      <c r="Y910" s="16"/>
      <c r="Z910" s="453"/>
      <c r="AA910" s="562"/>
      <c r="AB910" s="586"/>
      <c r="AC910" s="586"/>
      <c r="AD910" s="586"/>
      <c r="AE910" s="586"/>
      <c r="AF910" s="586"/>
      <c r="AG910" s="586"/>
      <c r="AH910" s="586"/>
      <c r="AI910" s="586"/>
      <c r="AJ910" s="586"/>
      <c r="AK910" s="586"/>
      <c r="AL910" s="586"/>
      <c r="AM910" s="586"/>
      <c r="AN910" s="586"/>
      <c r="AO910" s="586"/>
      <c r="AP910" s="586"/>
      <c r="AQ910" s="586"/>
      <c r="AR910" s="586"/>
      <c r="AS910" s="586"/>
      <c r="AT910" s="562"/>
      <c r="AU910" s="562"/>
      <c r="AV910" s="562"/>
      <c r="AW910" s="586"/>
      <c r="AX910" s="562"/>
      <c r="AY910" s="562"/>
      <c r="AZ910" s="562"/>
      <c r="BA910" s="562"/>
      <c r="BB910" s="562"/>
      <c r="BC910" s="562"/>
      <c r="BD910" s="562"/>
      <c r="BE910" s="562"/>
      <c r="BF910" s="562"/>
      <c r="BG910" s="562"/>
      <c r="BH910" s="562"/>
    </row>
    <row r="911" spans="1:60" x14ac:dyDescent="0.2">
      <c r="A911" s="541">
        <v>9</v>
      </c>
      <c r="B911" s="551" t="s">
        <v>2980</v>
      </c>
      <c r="C911" s="544"/>
      <c r="D911" s="544"/>
      <c r="E911" s="544"/>
      <c r="F911" s="544"/>
      <c r="G911" s="541"/>
      <c r="H911" s="541"/>
      <c r="I911" s="514">
        <v>11.901</v>
      </c>
      <c r="J911" s="3"/>
      <c r="K911" s="3"/>
      <c r="L911" s="654" t="s">
        <v>2982</v>
      </c>
      <c r="M911" s="450"/>
      <c r="N911" s="616"/>
      <c r="O911" s="616"/>
      <c r="P911" s="562"/>
      <c r="Q911" s="562"/>
      <c r="R911" s="562"/>
      <c r="S911" s="562"/>
      <c r="T911" s="562"/>
      <c r="U911" s="562"/>
      <c r="V911" s="562"/>
      <c r="W911" s="562"/>
      <c r="X911" s="562"/>
      <c r="Y911" s="562"/>
      <c r="Z911" s="430"/>
      <c r="AA911" s="562"/>
      <c r="AB911" s="562"/>
      <c r="AC911" s="562"/>
      <c r="AD911" s="562"/>
      <c r="AE911" s="562"/>
      <c r="AF911" s="562"/>
      <c r="AG911" s="562"/>
      <c r="AH911" s="562"/>
      <c r="AI911" s="562"/>
      <c r="AJ911" s="562"/>
      <c r="AK911" s="562"/>
      <c r="AL911" s="562"/>
      <c r="AM911" s="562"/>
      <c r="AN911" s="562"/>
      <c r="AO911" s="562"/>
      <c r="AP911" s="562"/>
      <c r="AQ911" s="562"/>
      <c r="AR911" s="562"/>
      <c r="AS911" s="562"/>
      <c r="AT911" s="562"/>
      <c r="AU911" s="562"/>
      <c r="AV911" s="562"/>
      <c r="AW911" s="562"/>
      <c r="AX911" s="562"/>
      <c r="AY911" s="562"/>
      <c r="AZ911" s="562"/>
      <c r="BA911" s="562"/>
      <c r="BB911" s="562"/>
      <c r="BC911" s="562"/>
      <c r="BD911" s="562"/>
      <c r="BE911" s="562"/>
      <c r="BF911" s="562"/>
      <c r="BG911" s="562"/>
      <c r="BH911" s="562"/>
    </row>
    <row r="912" spans="1:60" x14ac:dyDescent="0.2">
      <c r="A912" s="541">
        <v>9</v>
      </c>
      <c r="B912" s="551">
        <v>901.1</v>
      </c>
      <c r="C912" s="544"/>
      <c r="D912" s="544"/>
      <c r="E912" s="544"/>
      <c r="F912" s="544"/>
      <c r="G912" s="539" t="str">
        <f ca="1">IF(COUNTIF(G913:G937,"P")&gt;0,"P","")</f>
        <v>P</v>
      </c>
      <c r="H912" s="541" t="s">
        <v>3751</v>
      </c>
      <c r="I912" s="184" t="s">
        <v>2983</v>
      </c>
      <c r="J912" s="98"/>
      <c r="K912" s="98"/>
      <c r="L912" s="640" t="s">
        <v>2984</v>
      </c>
      <c r="M912" s="341"/>
      <c r="N912" s="610"/>
      <c r="O912" s="610"/>
      <c r="P912" s="64"/>
      <c r="Q912" s="64"/>
      <c r="R912" s="64"/>
      <c r="S912" s="64"/>
      <c r="T912" s="64"/>
      <c r="U912" s="64"/>
      <c r="V912" s="64"/>
      <c r="W912" s="64"/>
      <c r="X912" s="64"/>
      <c r="Y912" s="562"/>
      <c r="Z912" s="430"/>
      <c r="AA912" s="562"/>
      <c r="AB912" s="562"/>
      <c r="AC912" s="562"/>
      <c r="AD912" s="562"/>
      <c r="AE912" s="562"/>
      <c r="AF912" s="562"/>
      <c r="AG912" s="562"/>
      <c r="AH912" s="562"/>
      <c r="AI912" s="562"/>
      <c r="AJ912" s="562"/>
      <c r="AK912" s="562"/>
      <c r="AL912" s="562"/>
      <c r="AM912" s="562"/>
      <c r="AN912" s="562"/>
      <c r="AO912" s="562"/>
      <c r="AP912" s="562"/>
      <c r="AQ912" s="562"/>
      <c r="AR912" s="562"/>
      <c r="AS912" s="562"/>
      <c r="AT912" s="562"/>
      <c r="AU912" s="562"/>
      <c r="AV912" s="562"/>
      <c r="AW912" s="562"/>
      <c r="AX912" s="562"/>
      <c r="AY912" s="562"/>
      <c r="AZ912" s="562"/>
      <c r="BA912" s="562"/>
      <c r="BB912" s="562"/>
      <c r="BC912" s="562"/>
      <c r="BD912" s="562"/>
      <c r="BE912" s="562"/>
      <c r="BF912" s="562"/>
      <c r="BG912" s="562"/>
      <c r="BH912" s="562"/>
    </row>
    <row r="913" spans="1:60" x14ac:dyDescent="0.2">
      <c r="A913" s="541">
        <v>9</v>
      </c>
      <c r="B913" s="551" t="s">
        <v>2985</v>
      </c>
      <c r="C913" s="544"/>
      <c r="D913" s="544"/>
      <c r="E913" s="544"/>
      <c r="F913" s="544"/>
      <c r="G913" s="543" t="str">
        <f>IF(N913&gt;0,"P","")</f>
        <v/>
      </c>
      <c r="H913" s="541" t="s">
        <v>3751</v>
      </c>
      <c r="I913" s="184" t="s">
        <v>2986</v>
      </c>
      <c r="J913" s="98"/>
      <c r="K913" s="98"/>
      <c r="L913" s="820" t="s">
        <v>2987</v>
      </c>
      <c r="M913" s="800">
        <v>5</v>
      </c>
      <c r="N913" s="793">
        <f>'Ch9'!O12</f>
        <v>0</v>
      </c>
      <c r="O913" s="793">
        <f>M913*S913*W913</f>
        <v>0</v>
      </c>
      <c r="P913" s="64" t="b">
        <v>1</v>
      </c>
      <c r="Q913" s="64" t="b">
        <v>1</v>
      </c>
      <c r="R913" s="64" t="b">
        <v>0</v>
      </c>
      <c r="S913" s="64" t="b">
        <v>1</v>
      </c>
      <c r="T913" s="64" t="b">
        <v>0</v>
      </c>
      <c r="U913" s="64"/>
      <c r="V913" s="64"/>
      <c r="W913" s="18"/>
      <c r="X913" s="798"/>
      <c r="Y913" s="980" t="str">
        <f>IF(LEN('Ch9'!X12)=0,"None",'Ch9'!X12)</f>
        <v>None</v>
      </c>
      <c r="Z913" s="983"/>
      <c r="AA913" s="562"/>
      <c r="AB913" s="562"/>
      <c r="AC913" s="562" t="b">
        <f>OR(AD913:AE913)</f>
        <v>0</v>
      </c>
      <c r="AD913" s="562" t="b">
        <f>T913</f>
        <v>0</v>
      </c>
      <c r="AE913" s="562" t="b">
        <f>AND(R913,NOT(W913))</f>
        <v>0</v>
      </c>
      <c r="AF913" s="562" t="b">
        <f>AND(AE913,NOT(Q913))</f>
        <v>0</v>
      </c>
      <c r="AG913" s="562"/>
      <c r="AH913" s="562"/>
      <c r="AI913" s="562"/>
      <c r="AJ913" s="562"/>
      <c r="AK913" s="562"/>
      <c r="AL913" s="190" t="str">
        <f t="shared" ref="AL913" si="253">SUBSTITUTE(SUBSTITUTE(SUBSTITUTE("vpa"&amp;$B913&amp;$C913&amp;$D913&amp;$E913&amp;$F913,".","_"),"(","_"),")","")</f>
        <v>vpa901_1_1</v>
      </c>
      <c r="AM913" s="190">
        <f>M913</f>
        <v>5</v>
      </c>
      <c r="AN913" s="190" t="str">
        <f>SUBSTITUTE(SUBSTITUTE(SUBSTITUTE("vpc"&amp;$B913&amp;$C913&amp;$D913&amp;$E913&amp;$F913,".","_"),"(","_"),")","")</f>
        <v>vpc901_1_1</v>
      </c>
      <c r="AO913" s="190">
        <f>O913</f>
        <v>0</v>
      </c>
      <c r="AP913" s="190" t="str">
        <f>SUBSTITUTE(SUBSTITUTE(SUBSTITUTE("vch"&amp;$B913&amp;$C913&amp;$D913&amp;$E913&amp;$F913,".","_"),"(","_"),")","")</f>
        <v>vch901_1_1</v>
      </c>
      <c r="AQ913" s="190">
        <f>W913</f>
        <v>0</v>
      </c>
      <c r="AR913" s="190" t="str">
        <f>SUBSTITUTE(SUBSTITUTE(SUBSTITUTE("vnt"&amp;$B913&amp;$C913&amp;$D913&amp;$E913&amp;$F913,".","_"),"(","_"),")","")</f>
        <v>vnt901_1_1</v>
      </c>
      <c r="AS913" s="190">
        <f>X913</f>
        <v>0</v>
      </c>
      <c r="AT913" s="562"/>
      <c r="AU913" s="562"/>
      <c r="AV913" s="562"/>
      <c r="AW913" s="562"/>
      <c r="AX913" s="562"/>
      <c r="AY913" s="562"/>
      <c r="AZ913" s="562"/>
      <c r="BA913" s="562"/>
      <c r="BB913" s="562"/>
      <c r="BC913" s="562"/>
      <c r="BD913" s="562"/>
      <c r="BE913" s="562"/>
      <c r="BF913" s="562"/>
      <c r="BG913" s="562"/>
      <c r="BH913" s="562"/>
    </row>
    <row r="914" spans="1:60" x14ac:dyDescent="0.2">
      <c r="A914" s="541">
        <v>9</v>
      </c>
      <c r="B914" s="551" t="s">
        <v>2985</v>
      </c>
      <c r="C914" s="544"/>
      <c r="D914" s="544"/>
      <c r="E914" s="544"/>
      <c r="F914" s="544"/>
      <c r="G914" s="543" t="str">
        <f t="shared" ref="G914:G918" si="254">G913</f>
        <v/>
      </c>
      <c r="H914" s="541" t="s">
        <v>3751</v>
      </c>
      <c r="I914" s="253"/>
      <c r="J914" s="98"/>
      <c r="K914" s="98"/>
      <c r="L914" s="820"/>
      <c r="M914" s="800"/>
      <c r="N914" s="793"/>
      <c r="O914" s="793"/>
      <c r="P914" s="64"/>
      <c r="Q914" s="64"/>
      <c r="R914" s="64"/>
      <c r="S914" s="64"/>
      <c r="T914" s="64"/>
      <c r="U914" s="64"/>
      <c r="V914" s="64"/>
      <c r="W914" s="64"/>
      <c r="X914" s="798"/>
      <c r="Y914" s="980"/>
      <c r="Z914" s="983"/>
      <c r="AA914" s="562"/>
      <c r="AB914" s="562"/>
      <c r="AC914" s="562"/>
      <c r="AD914" s="562"/>
      <c r="AE914" s="562"/>
      <c r="AF914" s="562"/>
      <c r="AG914" s="562"/>
      <c r="AH914" s="562"/>
      <c r="AI914" s="562"/>
      <c r="AJ914" s="562"/>
      <c r="AK914" s="562"/>
      <c r="AL914" s="562"/>
      <c r="AM914" s="562"/>
      <c r="AN914" s="562"/>
      <c r="AO914" s="562"/>
      <c r="AP914" s="562"/>
      <c r="AQ914" s="562"/>
      <c r="AR914" s="562"/>
      <c r="AS914" s="562"/>
      <c r="AT914" s="562"/>
      <c r="AU914" s="562"/>
      <c r="AV914" s="562"/>
      <c r="AW914" s="562"/>
      <c r="AX914" s="562"/>
      <c r="AY914" s="562"/>
      <c r="AZ914" s="562"/>
      <c r="BA914" s="562"/>
      <c r="BB914" s="562"/>
      <c r="BC914" s="562"/>
      <c r="BD914" s="562"/>
      <c r="BE914" s="562"/>
      <c r="BF914" s="562"/>
      <c r="BG914" s="562"/>
      <c r="BH914" s="562"/>
    </row>
    <row r="915" spans="1:60" x14ac:dyDescent="0.2">
      <c r="A915" s="541">
        <v>9</v>
      </c>
      <c r="B915" s="551" t="s">
        <v>2985</v>
      </c>
      <c r="C915" s="544"/>
      <c r="D915" s="544"/>
      <c r="E915" s="544"/>
      <c r="F915" s="544"/>
      <c r="G915" s="543" t="str">
        <f t="shared" si="254"/>
        <v/>
      </c>
      <c r="H915" s="541" t="s">
        <v>3751</v>
      </c>
      <c r="I915" s="253"/>
      <c r="J915" s="98"/>
      <c r="K915" s="98"/>
      <c r="L915" s="820"/>
      <c r="M915" s="800"/>
      <c r="N915" s="793"/>
      <c r="O915" s="793"/>
      <c r="P915" s="64"/>
      <c r="Q915" s="64"/>
      <c r="R915" s="64"/>
      <c r="S915" s="64"/>
      <c r="T915" s="64"/>
      <c r="U915" s="64"/>
      <c r="V915" s="64"/>
      <c r="W915" s="64"/>
      <c r="X915" s="798"/>
      <c r="Y915" s="980"/>
      <c r="Z915" s="983"/>
      <c r="AA915" s="562"/>
      <c r="AB915" s="562"/>
      <c r="AC915" s="562"/>
      <c r="AD915" s="562"/>
      <c r="AE915" s="562"/>
      <c r="AF915" s="562"/>
      <c r="AG915" s="562"/>
      <c r="AH915" s="562"/>
      <c r="AI915" s="562"/>
      <c r="AJ915" s="562"/>
      <c r="AK915" s="562"/>
      <c r="AL915" s="562"/>
      <c r="AM915" s="562"/>
      <c r="AN915" s="562"/>
      <c r="AO915" s="562"/>
      <c r="AP915" s="562"/>
      <c r="AQ915" s="562"/>
      <c r="AR915" s="562"/>
      <c r="AS915" s="562"/>
      <c r="AT915" s="562"/>
      <c r="AU915" s="562"/>
      <c r="AV915" s="562"/>
      <c r="AW915" s="562"/>
      <c r="AX915" s="562"/>
      <c r="AY915" s="562"/>
      <c r="AZ915" s="562"/>
      <c r="BA915" s="562"/>
      <c r="BB915" s="562"/>
      <c r="BC915" s="562"/>
      <c r="BD915" s="562"/>
      <c r="BE915" s="562"/>
      <c r="BF915" s="562"/>
      <c r="BG915" s="562"/>
      <c r="BH915" s="562"/>
    </row>
    <row r="916" spans="1:60" x14ac:dyDescent="0.2">
      <c r="A916" s="541">
        <v>9</v>
      </c>
      <c r="B916" s="551" t="s">
        <v>2985</v>
      </c>
      <c r="C916" s="544"/>
      <c r="D916" s="544"/>
      <c r="E916" s="544"/>
      <c r="F916" s="544"/>
      <c r="G916" s="543" t="str">
        <f t="shared" si="254"/>
        <v/>
      </c>
      <c r="H916" s="541" t="s">
        <v>3751</v>
      </c>
      <c r="I916" s="253"/>
      <c r="J916" s="98"/>
      <c r="K916" s="98"/>
      <c r="L916" s="820"/>
      <c r="M916" s="800"/>
      <c r="N916" s="793"/>
      <c r="O916" s="793"/>
      <c r="P916" s="64"/>
      <c r="Q916" s="64"/>
      <c r="R916" s="64"/>
      <c r="S916" s="64"/>
      <c r="T916" s="64"/>
      <c r="U916" s="64"/>
      <c r="V916" s="64"/>
      <c r="W916" s="64"/>
      <c r="X916" s="798"/>
      <c r="Y916" s="980"/>
      <c r="Z916" s="983"/>
      <c r="AA916" s="562"/>
      <c r="AB916" s="562"/>
      <c r="AC916" s="562"/>
      <c r="AD916" s="562"/>
      <c r="AE916" s="562"/>
      <c r="AF916" s="562"/>
      <c r="AG916" s="562"/>
      <c r="AH916" s="562"/>
      <c r="AI916" s="562"/>
      <c r="AJ916" s="562"/>
      <c r="AK916" s="562"/>
      <c r="AL916" s="562"/>
      <c r="AM916" s="562"/>
      <c r="AN916" s="562"/>
      <c r="AO916" s="562"/>
      <c r="AP916" s="562"/>
      <c r="AQ916" s="562"/>
      <c r="AR916" s="562"/>
      <c r="AS916" s="562"/>
      <c r="AT916" s="562"/>
      <c r="AU916" s="562"/>
      <c r="AV916" s="562"/>
      <c r="AW916" s="562"/>
      <c r="AX916" s="562"/>
      <c r="AY916" s="562"/>
      <c r="AZ916" s="562"/>
      <c r="BA916" s="562"/>
      <c r="BB916" s="562"/>
      <c r="BC916" s="562"/>
      <c r="BD916" s="562"/>
      <c r="BE916" s="562"/>
      <c r="BF916" s="562"/>
      <c r="BG916" s="562"/>
      <c r="BH916" s="562"/>
    </row>
    <row r="917" spans="1:60" x14ac:dyDescent="0.2">
      <c r="A917" s="541">
        <v>9</v>
      </c>
      <c r="B917" s="551" t="s">
        <v>2985</v>
      </c>
      <c r="C917" s="544"/>
      <c r="D917" s="544"/>
      <c r="E917" s="544"/>
      <c r="F917" s="544"/>
      <c r="G917" s="543" t="str">
        <f t="shared" si="254"/>
        <v/>
      </c>
      <c r="H917" s="541" t="s">
        <v>3751</v>
      </c>
      <c r="I917" s="253"/>
      <c r="J917" s="98"/>
      <c r="K917" s="98"/>
      <c r="L917" s="881" t="s">
        <v>2988</v>
      </c>
      <c r="M917" s="800"/>
      <c r="N917" s="793"/>
      <c r="O917" s="793"/>
      <c r="P917" s="64"/>
      <c r="Q917" s="64"/>
      <c r="R917" s="64"/>
      <c r="S917" s="64"/>
      <c r="T917" s="64"/>
      <c r="U917" s="64"/>
      <c r="V917" s="64"/>
      <c r="W917" s="64"/>
      <c r="X917" s="798"/>
      <c r="Y917" s="980"/>
      <c r="Z917" s="983"/>
      <c r="AA917" s="562"/>
      <c r="AB917" s="562"/>
      <c r="AC917" s="562"/>
      <c r="AD917" s="562"/>
      <c r="AE917" s="562"/>
      <c r="AF917" s="562"/>
      <c r="AG917" s="562"/>
      <c r="AH917" s="562"/>
      <c r="AI917" s="562"/>
      <c r="AJ917" s="562"/>
      <c r="AK917" s="562"/>
      <c r="AL917" s="562"/>
      <c r="AM917" s="562"/>
      <c r="AN917" s="562"/>
      <c r="AO917" s="562"/>
      <c r="AP917" s="562"/>
      <c r="AQ917" s="562"/>
      <c r="AR917" s="562"/>
      <c r="AS917" s="562"/>
      <c r="AT917" s="586"/>
      <c r="AU917" s="586"/>
      <c r="AV917" s="586"/>
      <c r="AW917" s="562"/>
      <c r="AX917" s="562"/>
      <c r="AY917" s="562"/>
      <c r="AZ917" s="562"/>
      <c r="BA917" s="562"/>
      <c r="BB917" s="562"/>
      <c r="BC917" s="562"/>
      <c r="BD917" s="562"/>
      <c r="BE917" s="562"/>
      <c r="BF917" s="562"/>
      <c r="BG917" s="562"/>
      <c r="BH917" s="562"/>
    </row>
    <row r="918" spans="1:60" x14ac:dyDescent="0.2">
      <c r="A918" s="541">
        <v>9</v>
      </c>
      <c r="B918" s="551" t="s">
        <v>2985</v>
      </c>
      <c r="C918" s="544"/>
      <c r="D918" s="544"/>
      <c r="E918" s="544"/>
      <c r="F918" s="544"/>
      <c r="G918" s="543" t="str">
        <f t="shared" si="254"/>
        <v/>
      </c>
      <c r="H918" s="541" t="s">
        <v>3751</v>
      </c>
      <c r="I918" s="272"/>
      <c r="J918" s="165"/>
      <c r="K918" s="165"/>
      <c r="L918" s="882"/>
      <c r="M918" s="801"/>
      <c r="N918" s="794"/>
      <c r="O918" s="794"/>
      <c r="P918" s="129"/>
      <c r="Q918" s="129"/>
      <c r="R918" s="129"/>
      <c r="S918" s="129"/>
      <c r="T918" s="129"/>
      <c r="U918" s="129"/>
      <c r="V918" s="129"/>
      <c r="W918" s="129"/>
      <c r="X918" s="798"/>
      <c r="Y918" s="980"/>
      <c r="Z918" s="983"/>
      <c r="AA918" s="562"/>
      <c r="AB918" s="562"/>
      <c r="AC918" s="562"/>
      <c r="AD918" s="562"/>
      <c r="AE918" s="562"/>
      <c r="AF918" s="562"/>
      <c r="AG918" s="562"/>
      <c r="AH918" s="562"/>
      <c r="AI918" s="562"/>
      <c r="AJ918" s="562"/>
      <c r="AK918" s="562"/>
      <c r="AL918" s="562"/>
      <c r="AM918" s="562"/>
      <c r="AN918" s="562"/>
      <c r="AO918" s="562"/>
      <c r="AP918" s="562"/>
      <c r="AQ918" s="562"/>
      <c r="AR918" s="562"/>
      <c r="AS918" s="562"/>
      <c r="AT918" s="562"/>
      <c r="AU918" s="562"/>
      <c r="AV918" s="562"/>
      <c r="AW918" s="562"/>
      <c r="AX918" s="562"/>
      <c r="AY918" s="562"/>
      <c r="AZ918" s="562"/>
      <c r="BA918" s="562"/>
      <c r="BB918" s="562"/>
      <c r="BC918" s="562"/>
      <c r="BD918" s="562"/>
      <c r="BE918" s="562"/>
      <c r="BF918" s="562"/>
      <c r="BG918" s="562"/>
      <c r="BH918" s="562"/>
    </row>
    <row r="919" spans="1:60" x14ac:dyDescent="0.2">
      <c r="A919" s="541">
        <v>9</v>
      </c>
      <c r="B919" s="551" t="s">
        <v>2989</v>
      </c>
      <c r="C919" s="544"/>
      <c r="D919" s="544"/>
      <c r="E919" s="544"/>
      <c r="F919" s="544"/>
      <c r="G919" s="543" t="str">
        <f>IF(N919&gt;0,"P","")</f>
        <v/>
      </c>
      <c r="H919" s="541" t="s">
        <v>3757</v>
      </c>
      <c r="I919" s="145" t="s">
        <v>2990</v>
      </c>
      <c r="J919" s="146"/>
      <c r="K919" s="146"/>
      <c r="L919" s="847" t="s">
        <v>2991</v>
      </c>
      <c r="M919" s="824">
        <v>5</v>
      </c>
      <c r="N919" s="815">
        <f>'Ch9'!O18</f>
        <v>0</v>
      </c>
      <c r="O919" s="815">
        <f>M919*S919*W919</f>
        <v>0</v>
      </c>
      <c r="P919" s="64" t="b">
        <v>1</v>
      </c>
      <c r="Q919" s="64" t="b">
        <v>0</v>
      </c>
      <c r="R919" s="148" t="b">
        <v>0</v>
      </c>
      <c r="S919" s="148" t="b">
        <v>1</v>
      </c>
      <c r="T919" s="148" t="b">
        <v>0</v>
      </c>
      <c r="U919" s="148"/>
      <c r="V919" s="148"/>
      <c r="W919" s="18"/>
      <c r="X919" s="798"/>
      <c r="Y919" s="980" t="str">
        <f>IF(LEN('Ch9'!X18)=0,"None",'Ch9'!X18)</f>
        <v>None</v>
      </c>
      <c r="Z919" s="983"/>
      <c r="AA919" s="562"/>
      <c r="AB919" s="562"/>
      <c r="AC919" s="562" t="b">
        <f>OR(AD919:AE919)</f>
        <v>0</v>
      </c>
      <c r="AD919" s="562" t="b">
        <f>T919</f>
        <v>0</v>
      </c>
      <c r="AE919" s="562" t="b">
        <f>AND(R919,NOT(W919))</f>
        <v>0</v>
      </c>
      <c r="AF919" s="562" t="b">
        <f>AND(AE919,NOT(Q919))</f>
        <v>0</v>
      </c>
      <c r="AG919" s="562"/>
      <c r="AH919" s="562"/>
      <c r="AI919" s="562"/>
      <c r="AJ919" s="562"/>
      <c r="AK919" s="562"/>
      <c r="AL919" s="190" t="str">
        <f t="shared" ref="AL919" si="255">SUBSTITUTE(SUBSTITUTE(SUBSTITUTE("vpa"&amp;$B919&amp;$C919&amp;$D919&amp;$E919&amp;$F919,".","_"),"(","_"),")","")</f>
        <v>vpa901_1_2</v>
      </c>
      <c r="AM919" s="190">
        <f>M919</f>
        <v>5</v>
      </c>
      <c r="AN919" s="190" t="str">
        <f>SUBSTITUTE(SUBSTITUTE(SUBSTITUTE("vpc"&amp;$B919&amp;$C919&amp;$D919&amp;$E919&amp;$F919,".","_"),"(","_"),")","")</f>
        <v>vpc901_1_2</v>
      </c>
      <c r="AO919" s="190">
        <f>O919</f>
        <v>0</v>
      </c>
      <c r="AP919" s="190" t="str">
        <f>SUBSTITUTE(SUBSTITUTE(SUBSTITUTE("vch"&amp;$B919&amp;$C919&amp;$D919&amp;$E919&amp;$F919,".","_"),"(","_"),")","")</f>
        <v>vch901_1_2</v>
      </c>
      <c r="AQ919" s="190">
        <f>W919</f>
        <v>0</v>
      </c>
      <c r="AR919" s="190" t="str">
        <f>SUBSTITUTE(SUBSTITUTE(SUBSTITUTE("vnt"&amp;$B919&amp;$C919&amp;$D919&amp;$E919&amp;$F919,".","_"),"(","_"),")","")</f>
        <v>vnt901_1_2</v>
      </c>
      <c r="AS919" s="190">
        <f>X919</f>
        <v>0</v>
      </c>
      <c r="AT919" s="562"/>
      <c r="AU919" s="562"/>
      <c r="AV919" s="562"/>
      <c r="AW919" s="562"/>
      <c r="AX919" s="562"/>
      <c r="AY919" s="562"/>
      <c r="AZ919" s="562"/>
      <c r="BA919" s="562"/>
      <c r="BB919" s="562"/>
      <c r="BC919" s="562"/>
      <c r="BD919" s="562"/>
      <c r="BE919" s="562"/>
      <c r="BF919" s="562"/>
      <c r="BG919" s="562"/>
      <c r="BH919" s="562"/>
    </row>
    <row r="920" spans="1:60" x14ac:dyDescent="0.2">
      <c r="A920" s="541">
        <v>9</v>
      </c>
      <c r="B920" s="551" t="s">
        <v>2989</v>
      </c>
      <c r="C920" s="544"/>
      <c r="D920" s="544"/>
      <c r="E920" s="544"/>
      <c r="F920" s="544"/>
      <c r="G920" s="543" t="str">
        <f t="shared" ref="G920:G921" si="256">G919</f>
        <v/>
      </c>
      <c r="H920" s="541" t="s">
        <v>3757</v>
      </c>
      <c r="I920" s="253"/>
      <c r="J920" s="98"/>
      <c r="K920" s="98"/>
      <c r="L920" s="820"/>
      <c r="M920" s="800"/>
      <c r="N920" s="793"/>
      <c r="O920" s="793"/>
      <c r="P920" s="64"/>
      <c r="Q920" s="64"/>
      <c r="R920" s="64"/>
      <c r="S920" s="64"/>
      <c r="T920" s="64"/>
      <c r="U920" s="64"/>
      <c r="V920" s="64"/>
      <c r="W920" s="64"/>
      <c r="X920" s="798"/>
      <c r="Y920" s="980"/>
      <c r="Z920" s="983"/>
      <c r="AA920" s="562"/>
      <c r="AB920" s="562"/>
      <c r="AC920" s="562"/>
      <c r="AD920" s="562"/>
      <c r="AE920" s="562"/>
      <c r="AF920" s="562"/>
      <c r="AG920" s="562"/>
      <c r="AH920" s="562"/>
      <c r="AI920" s="562"/>
      <c r="AJ920" s="562"/>
      <c r="AK920" s="562"/>
      <c r="AL920" s="562"/>
      <c r="AM920" s="562"/>
      <c r="AN920" s="562"/>
      <c r="AO920" s="562"/>
      <c r="AP920" s="562"/>
      <c r="AQ920" s="562"/>
      <c r="AR920" s="562"/>
      <c r="AS920" s="562"/>
      <c r="AT920" s="562"/>
      <c r="AU920" s="562"/>
      <c r="AV920" s="562"/>
      <c r="AW920" s="562"/>
      <c r="AX920" s="562"/>
      <c r="AY920" s="562"/>
      <c r="AZ920" s="562"/>
      <c r="BA920" s="562"/>
      <c r="BB920" s="562"/>
      <c r="BC920" s="562"/>
      <c r="BD920" s="562"/>
      <c r="BE920" s="562"/>
      <c r="BF920" s="562"/>
      <c r="BG920" s="562"/>
      <c r="BH920" s="562"/>
    </row>
    <row r="921" spans="1:60" x14ac:dyDescent="0.2">
      <c r="A921" s="541">
        <v>9</v>
      </c>
      <c r="B921" s="551" t="s">
        <v>2989</v>
      </c>
      <c r="C921" s="544"/>
      <c r="D921" s="544"/>
      <c r="E921" s="544"/>
      <c r="F921" s="544"/>
      <c r="G921" s="543" t="str">
        <f t="shared" si="256"/>
        <v/>
      </c>
      <c r="H921" s="541" t="s">
        <v>3757</v>
      </c>
      <c r="I921" s="272"/>
      <c r="J921" s="165"/>
      <c r="K921" s="165"/>
      <c r="L921" s="571" t="s">
        <v>2992</v>
      </c>
      <c r="M921" s="611"/>
      <c r="N921" s="608"/>
      <c r="O921" s="608"/>
      <c r="P921" s="129"/>
      <c r="Q921" s="129"/>
      <c r="R921" s="129"/>
      <c r="S921" s="129"/>
      <c r="T921" s="129"/>
      <c r="U921" s="129"/>
      <c r="V921" s="129"/>
      <c r="W921" s="129"/>
      <c r="X921" s="798"/>
      <c r="Y921" s="980"/>
      <c r="Z921" s="983"/>
      <c r="AA921" s="562"/>
      <c r="AB921" s="562"/>
      <c r="AC921" s="562"/>
      <c r="AD921" s="562"/>
      <c r="AE921" s="562"/>
      <c r="AF921" s="562"/>
      <c r="AG921" s="562"/>
      <c r="AH921" s="562"/>
      <c r="AI921" s="562"/>
      <c r="AJ921" s="562"/>
      <c r="AK921" s="562"/>
      <c r="AL921" s="562"/>
      <c r="AM921" s="562"/>
      <c r="AN921" s="562"/>
      <c r="AO921" s="562"/>
      <c r="AP921" s="562"/>
      <c r="AQ921" s="562"/>
      <c r="AR921" s="562"/>
      <c r="AS921" s="562"/>
      <c r="AT921" s="562"/>
      <c r="AU921" s="562"/>
      <c r="AV921" s="562"/>
      <c r="AW921" s="562"/>
      <c r="AX921" s="562"/>
      <c r="AY921" s="562"/>
      <c r="AZ921" s="562"/>
      <c r="BA921" s="562"/>
      <c r="BB921" s="562"/>
      <c r="BC921" s="562"/>
      <c r="BD921" s="562"/>
      <c r="BE921" s="562"/>
      <c r="BF921" s="562"/>
      <c r="BG921" s="562"/>
      <c r="BH921" s="562"/>
    </row>
    <row r="922" spans="1:60" x14ac:dyDescent="0.2">
      <c r="A922" s="541">
        <v>9</v>
      </c>
      <c r="B922" s="551" t="s">
        <v>2993</v>
      </c>
      <c r="C922" s="544"/>
      <c r="D922" s="544"/>
      <c r="E922" s="544"/>
      <c r="F922" s="544"/>
      <c r="G922" s="539" t="str">
        <f ca="1">IF(COUNTIF(G924:G927,"P")&gt;0,"P","")</f>
        <v/>
      </c>
      <c r="H922" s="541" t="s">
        <v>3751</v>
      </c>
      <c r="I922" s="40" t="s">
        <v>2994</v>
      </c>
      <c r="J922" s="3"/>
      <c r="K922" s="3"/>
      <c r="L922" s="775" t="s">
        <v>2995</v>
      </c>
      <c r="M922" s="616"/>
      <c r="N922" s="609"/>
      <c r="O922" s="609"/>
      <c r="P922" s="562"/>
      <c r="Q922" s="562"/>
      <c r="R922" s="562"/>
      <c r="S922" s="562"/>
      <c r="T922" s="562"/>
      <c r="U922" s="562"/>
      <c r="V922" s="562"/>
      <c r="W922" s="562"/>
      <c r="X922" s="562"/>
      <c r="Y922" s="562"/>
      <c r="Z922" s="430"/>
      <c r="AA922" s="562"/>
      <c r="AB922" s="562"/>
      <c r="AC922" s="562"/>
      <c r="AD922" s="562"/>
      <c r="AE922" s="562"/>
      <c r="AF922" s="562"/>
      <c r="AG922" s="562"/>
      <c r="AH922" s="562"/>
      <c r="AI922" s="562"/>
      <c r="AJ922" s="562"/>
      <c r="AK922" s="562"/>
      <c r="AL922" s="562"/>
      <c r="AM922" s="562"/>
      <c r="AN922" s="562"/>
      <c r="AO922" s="562"/>
      <c r="AP922" s="562"/>
      <c r="AQ922" s="562"/>
      <c r="AR922" s="562"/>
      <c r="AS922" s="562"/>
      <c r="AT922" s="562"/>
      <c r="AU922" s="562"/>
      <c r="AV922" s="562"/>
      <c r="AW922" s="562"/>
      <c r="AX922" s="562"/>
      <c r="AY922" s="562"/>
      <c r="AZ922" s="562"/>
      <c r="BA922" s="562"/>
      <c r="BB922" s="562"/>
      <c r="BC922" s="562"/>
      <c r="BD922" s="562"/>
      <c r="BE922" s="562"/>
      <c r="BF922" s="562"/>
      <c r="BG922" s="562"/>
      <c r="BH922" s="562"/>
    </row>
    <row r="923" spans="1:60" x14ac:dyDescent="0.2">
      <c r="A923" s="541">
        <v>9</v>
      </c>
      <c r="B923" s="551" t="s">
        <v>2993</v>
      </c>
      <c r="C923" s="544"/>
      <c r="D923" s="544"/>
      <c r="E923" s="544"/>
      <c r="F923" s="544"/>
      <c r="G923" s="543" t="str">
        <f t="shared" ref="G923" ca="1" si="257">G922</f>
        <v/>
      </c>
      <c r="H923" s="541" t="s">
        <v>3751</v>
      </c>
      <c r="I923" s="121"/>
      <c r="J923" s="3"/>
      <c r="K923" s="3"/>
      <c r="L923" s="775"/>
      <c r="M923" s="616"/>
      <c r="N923" s="609"/>
      <c r="O923" s="609"/>
      <c r="P923" s="562"/>
      <c r="Q923" s="562"/>
      <c r="R923" s="562"/>
      <c r="S923" s="562"/>
      <c r="T923" s="562"/>
      <c r="U923" s="562"/>
      <c r="V923" s="562"/>
      <c r="W923" s="562"/>
      <c r="X923" s="562"/>
      <c r="Y923" s="562"/>
      <c r="Z923" s="430"/>
      <c r="AA923" s="562"/>
      <c r="AB923" s="562"/>
      <c r="AC923" s="562"/>
      <c r="AD923" s="562"/>
      <c r="AE923" s="562"/>
      <c r="AF923" s="562"/>
      <c r="AG923" s="562"/>
      <c r="AH923" s="562"/>
      <c r="AI923" s="562"/>
      <c r="AJ923" s="562"/>
      <c r="AK923" s="562"/>
      <c r="AL923" s="562"/>
      <c r="AM923" s="562"/>
      <c r="AN923" s="562"/>
      <c r="AO923" s="562"/>
      <c r="AP923" s="562"/>
      <c r="AQ923" s="562"/>
      <c r="AR923" s="562"/>
      <c r="AS923" s="562"/>
      <c r="AT923" s="562"/>
      <c r="AU923" s="562"/>
      <c r="AV923" s="562"/>
      <c r="AW923" s="562"/>
      <c r="AX923" s="562"/>
      <c r="AY923" s="562"/>
      <c r="AZ923" s="562"/>
      <c r="BA923" s="562"/>
      <c r="BB923" s="562"/>
      <c r="BC923" s="562"/>
      <c r="BD923" s="562"/>
      <c r="BE923" s="562"/>
      <c r="BF923" s="562"/>
      <c r="BG923" s="562"/>
      <c r="BH923" s="562"/>
    </row>
    <row r="924" spans="1:60" x14ac:dyDescent="0.2">
      <c r="A924" s="541">
        <v>9</v>
      </c>
      <c r="B924" s="551" t="s">
        <v>2993</v>
      </c>
      <c r="C924" s="544"/>
      <c r="D924" s="544"/>
      <c r="E924" s="544" t="s">
        <v>2181</v>
      </c>
      <c r="F924" s="544"/>
      <c r="G924" s="543" t="str">
        <f ca="1">IF(N924&gt;0,"P","")</f>
        <v/>
      </c>
      <c r="H924" s="541" t="s">
        <v>3751</v>
      </c>
      <c r="I924" s="121"/>
      <c r="J924" s="20" t="s">
        <v>2181</v>
      </c>
      <c r="K924" s="3"/>
      <c r="L924" s="632" t="s">
        <v>2996</v>
      </c>
      <c r="M924" s="616"/>
      <c r="N924" s="609">
        <f ca="1">'Ch9'!O23</f>
        <v>0</v>
      </c>
      <c r="O924" s="609">
        <f ca="1">IFERROR(INDEX({3,5},MATCH(W924,INDIRECT(U924),0)),0)*S924</f>
        <v>0</v>
      </c>
      <c r="P924" s="64" t="b">
        <v>1</v>
      </c>
      <c r="Q924" s="64" t="b">
        <v>1</v>
      </c>
      <c r="R924" s="562" t="b">
        <v>0</v>
      </c>
      <c r="S924" s="562" t="b">
        <f>OR(AY959=INDEX(ddHeat1,1),AY959=INDEX(ddHeat1,2),AY960=INDEX(ddHeat2,1),AY960=INDEX(ddHeat2,2),AY961=INDEX(ddHeat3,1),AY961=INDEX(ddHeat3,2))</f>
        <v>0</v>
      </c>
      <c r="T924" s="64" t="b">
        <f>AND(NOT(S924),LEN(W924)&gt;0)</f>
        <v>0</v>
      </c>
      <c r="U924" s="64" t="str">
        <f>SUBSTITUTE(SUBSTITUTE(SUBSTITUTE("dd"&amp;B924&amp;C924&amp;D924&amp;E924&amp;F924,".","_"),"(","_"),")","")</f>
        <v>dd901_1_3_1</v>
      </c>
      <c r="V924" s="562"/>
      <c r="W924" s="6"/>
      <c r="X924" s="787"/>
      <c r="Y924" s="980" t="str">
        <f>IF(LEN('Ch9'!X23)=0,"None",'Ch9'!X23)</f>
        <v>None</v>
      </c>
      <c r="Z924" s="983"/>
      <c r="AA924" s="562"/>
      <c r="AB924" s="562"/>
      <c r="AC924" s="562"/>
      <c r="AD924" s="562"/>
      <c r="AE924" s="562"/>
      <c r="AF924" s="562"/>
      <c r="AG924" s="562"/>
      <c r="AH924" s="562"/>
      <c r="AI924" s="562"/>
      <c r="AJ924" s="562"/>
      <c r="AK924" s="562"/>
      <c r="AL924" s="562"/>
      <c r="AM924" s="562"/>
      <c r="AN924" s="190" t="str">
        <f>SUBSTITUTE(SUBSTITUTE(SUBSTITUTE("vpc"&amp;$B924&amp;$C924&amp;$D924&amp;$E924&amp;$F924,".","_"),"(","_"),")","")</f>
        <v>vpc901_1_3_1</v>
      </c>
      <c r="AO924" s="190">
        <f ca="1">O924</f>
        <v>0</v>
      </c>
      <c r="AP924" s="190" t="str">
        <f>SUBSTITUTE(SUBSTITUTE(SUBSTITUTE("vch"&amp;$B924&amp;$C924&amp;$D924&amp;$E924&amp;$F924,".","_"),"(","_"),")","")</f>
        <v>vch901_1_3_1</v>
      </c>
      <c r="AQ924" s="190">
        <f>W924</f>
        <v>0</v>
      </c>
      <c r="AR924" s="190" t="str">
        <f>SUBSTITUTE(SUBSTITUTE(SUBSTITUTE("vnt"&amp;$B924&amp;$C924&amp;$D924&amp;$E924&amp;$F924,".","_"),"(","_"),")","")</f>
        <v>vnt901_1_3_1</v>
      </c>
      <c r="AS924" s="190">
        <f>X924</f>
        <v>0</v>
      </c>
      <c r="AT924" s="562"/>
      <c r="AU924" s="562"/>
      <c r="AV924" s="562"/>
      <c r="AW924" s="562"/>
      <c r="AX924" s="562"/>
      <c r="AY924" s="562"/>
      <c r="AZ924" s="562"/>
      <c r="BA924" s="562"/>
      <c r="BB924" s="562"/>
      <c r="BC924" s="562"/>
      <c r="BD924" s="562"/>
      <c r="BE924" s="562"/>
      <c r="BF924" s="562"/>
      <c r="BG924" s="562"/>
      <c r="BH924" s="562"/>
    </row>
    <row r="925" spans="1:60" x14ac:dyDescent="0.2">
      <c r="A925" s="541">
        <v>9</v>
      </c>
      <c r="B925" s="551" t="s">
        <v>2993</v>
      </c>
      <c r="C925" s="544"/>
      <c r="D925" s="544"/>
      <c r="E925" s="544" t="s">
        <v>2181</v>
      </c>
      <c r="F925" s="549" t="s">
        <v>2196</v>
      </c>
      <c r="G925" s="543" t="str">
        <f t="shared" ref="G925:G926" ca="1" si="258">G924</f>
        <v/>
      </c>
      <c r="H925" s="558" t="s">
        <v>3751</v>
      </c>
      <c r="I925" s="121"/>
      <c r="J925" s="20"/>
      <c r="K925" s="20" t="s">
        <v>2196</v>
      </c>
      <c r="L925" s="632" t="s">
        <v>2997</v>
      </c>
      <c r="M925" s="616">
        <v>3</v>
      </c>
      <c r="N925" s="609"/>
      <c r="O925" s="609"/>
      <c r="P925" s="562"/>
      <c r="Q925" s="562"/>
      <c r="R925" s="562"/>
      <c r="S925" s="562"/>
      <c r="T925" s="562"/>
      <c r="U925" s="562"/>
      <c r="V925" s="562"/>
      <c r="W925" s="562"/>
      <c r="X925" s="787"/>
      <c r="Y925" s="980"/>
      <c r="Z925" s="983"/>
      <c r="AA925" s="562"/>
      <c r="AB925" s="562"/>
      <c r="AC925" s="562"/>
      <c r="AD925" s="562"/>
      <c r="AE925" s="562"/>
      <c r="AF925" s="562"/>
      <c r="AG925" s="562"/>
      <c r="AH925" s="562"/>
      <c r="AI925" s="562"/>
      <c r="AJ925" s="562"/>
      <c r="AK925" s="562"/>
      <c r="AL925" s="190" t="str">
        <f t="shared" ref="AL925:AL926" si="259">SUBSTITUTE(SUBSTITUTE(SUBSTITUTE("vpa"&amp;$B925&amp;$C925&amp;$D925&amp;$E925&amp;$F925,".","_"),"(","_"),")","")</f>
        <v>vpa901_1_3_1_a</v>
      </c>
      <c r="AM925" s="190">
        <f>M925</f>
        <v>3</v>
      </c>
      <c r="AN925" s="562"/>
      <c r="AO925" s="562"/>
      <c r="AP925" s="562"/>
      <c r="AQ925" s="562"/>
      <c r="AR925" s="562"/>
      <c r="AS925" s="562"/>
      <c r="AT925" s="562"/>
      <c r="AU925" s="562"/>
      <c r="AV925" s="562"/>
      <c r="AW925" s="562"/>
      <c r="AX925" s="562"/>
      <c r="AY925" s="562"/>
      <c r="AZ925" s="562"/>
      <c r="BA925" s="562"/>
      <c r="BB925" s="562"/>
      <c r="BC925" s="562"/>
      <c r="BD925" s="562"/>
      <c r="BE925" s="562"/>
      <c r="BF925" s="562"/>
      <c r="BG925" s="562"/>
      <c r="BH925" s="562"/>
    </row>
    <row r="926" spans="1:60" x14ac:dyDescent="0.2">
      <c r="A926" s="541">
        <v>9</v>
      </c>
      <c r="B926" s="551" t="s">
        <v>2993</v>
      </c>
      <c r="C926" s="544"/>
      <c r="D926" s="544"/>
      <c r="E926" s="544" t="s">
        <v>2181</v>
      </c>
      <c r="F926" s="549" t="s">
        <v>2198</v>
      </c>
      <c r="G926" s="543" t="str">
        <f t="shared" ca="1" si="258"/>
        <v/>
      </c>
      <c r="H926" s="558" t="s">
        <v>3751</v>
      </c>
      <c r="I926" s="121"/>
      <c r="J926" s="159"/>
      <c r="K926" s="159" t="s">
        <v>2198</v>
      </c>
      <c r="L926" s="599" t="s">
        <v>2998</v>
      </c>
      <c r="M926" s="611">
        <v>5</v>
      </c>
      <c r="N926" s="608"/>
      <c r="O926" s="608"/>
      <c r="P926" s="562"/>
      <c r="Q926" s="562"/>
      <c r="R926" s="562"/>
      <c r="S926" s="562"/>
      <c r="T926" s="562"/>
      <c r="U926" s="562"/>
      <c r="V926" s="562"/>
      <c r="W926" s="562"/>
      <c r="X926" s="787"/>
      <c r="Y926" s="980"/>
      <c r="Z926" s="983"/>
      <c r="AA926" s="562"/>
      <c r="AB926" s="562"/>
      <c r="AC926" s="562"/>
      <c r="AD926" s="562"/>
      <c r="AE926" s="562"/>
      <c r="AF926" s="562"/>
      <c r="AG926" s="562"/>
      <c r="AH926" s="562"/>
      <c r="AI926" s="562"/>
      <c r="AJ926" s="562"/>
      <c r="AK926" s="562"/>
      <c r="AL926" s="190" t="str">
        <f t="shared" si="259"/>
        <v>vpa901_1_3_1_b</v>
      </c>
      <c r="AM926" s="190">
        <f>M926</f>
        <v>5</v>
      </c>
      <c r="AN926" s="562"/>
      <c r="AO926" s="562"/>
      <c r="AP926" s="562"/>
      <c r="AQ926" s="562"/>
      <c r="AR926" s="562"/>
      <c r="AS926" s="562"/>
      <c r="AT926" s="562"/>
      <c r="AU926" s="562"/>
      <c r="AV926" s="562"/>
      <c r="AW926" s="562"/>
      <c r="AX926" s="562"/>
      <c r="AY926" s="562"/>
      <c r="AZ926" s="562"/>
      <c r="BA926" s="562"/>
      <c r="BB926" s="562"/>
      <c r="BC926" s="562"/>
      <c r="BD926" s="562"/>
      <c r="BE926" s="562"/>
      <c r="BF926" s="562"/>
      <c r="BG926" s="562"/>
      <c r="BH926" s="562"/>
    </row>
    <row r="927" spans="1:60" x14ac:dyDescent="0.2">
      <c r="A927" s="541">
        <v>9</v>
      </c>
      <c r="B927" s="551" t="s">
        <v>2993</v>
      </c>
      <c r="C927" s="544"/>
      <c r="D927" s="544"/>
      <c r="E927" s="544" t="s">
        <v>2183</v>
      </c>
      <c r="F927" s="549"/>
      <c r="G927" s="543" t="str">
        <f ca="1">IF(N927&gt;0,"P","")</f>
        <v/>
      </c>
      <c r="H927" s="552" t="s">
        <v>3751</v>
      </c>
      <c r="I927" s="253"/>
      <c r="J927" s="134" t="s">
        <v>2183</v>
      </c>
      <c r="K927" s="98"/>
      <c r="L927" s="598" t="s">
        <v>2999</v>
      </c>
      <c r="M927" s="610"/>
      <c r="N927" s="607">
        <f ca="1">'Ch9'!O26</f>
        <v>0</v>
      </c>
      <c r="O927" s="607">
        <f ca="1">IFERROR(INDEX({3,5},MATCH(W927,INDIRECT(U927),0)),0)*S927</f>
        <v>0</v>
      </c>
      <c r="P927" s="64" t="b">
        <v>1</v>
      </c>
      <c r="Q927" s="64" t="b">
        <v>1</v>
      </c>
      <c r="R927" s="64" t="b">
        <v>0</v>
      </c>
      <c r="S927" s="64" t="b">
        <v>1</v>
      </c>
      <c r="T927" s="64" t="b">
        <v>0</v>
      </c>
      <c r="U927" s="64" t="str">
        <f>SUBSTITUTE(SUBSTITUTE(SUBSTITUTE("dd"&amp;B927&amp;C927&amp;D927&amp;E927&amp;F927,".","_"),"(","_"),")","")</f>
        <v>dd901_1_3_2</v>
      </c>
      <c r="V927" s="64"/>
      <c r="W927" s="6"/>
      <c r="X927" s="798"/>
      <c r="Y927" s="980" t="str">
        <f>IF(LEN('Ch9'!X26)=0,"None",'Ch9'!X26)</f>
        <v>None</v>
      </c>
      <c r="Z927" s="983"/>
      <c r="AA927" s="562"/>
      <c r="AB927" s="562"/>
      <c r="AC927" s="562"/>
      <c r="AD927" s="562"/>
      <c r="AE927" s="562"/>
      <c r="AF927" s="562"/>
      <c r="AG927" s="562"/>
      <c r="AH927" s="562"/>
      <c r="AI927" s="562"/>
      <c r="AJ927" s="562"/>
      <c r="AK927" s="562"/>
      <c r="AL927" s="562"/>
      <c r="AM927" s="562"/>
      <c r="AN927" s="190" t="str">
        <f>SUBSTITUTE(SUBSTITUTE(SUBSTITUTE("vpc"&amp;$B927&amp;$C927&amp;$D927&amp;$E927&amp;$F927,".","_"),"(","_"),")","")</f>
        <v>vpc901_1_3_2</v>
      </c>
      <c r="AO927" s="190">
        <f ca="1">O927</f>
        <v>0</v>
      </c>
      <c r="AP927" s="190" t="str">
        <f>SUBSTITUTE(SUBSTITUTE(SUBSTITUTE("vch"&amp;$B927&amp;$C927&amp;$D927&amp;$E927&amp;$F927,".","_"),"(","_"),")","")</f>
        <v>vch901_1_3_2</v>
      </c>
      <c r="AQ927" s="190">
        <f>W927</f>
        <v>0</v>
      </c>
      <c r="AR927" s="190" t="str">
        <f>SUBSTITUTE(SUBSTITUTE(SUBSTITUTE("vnt"&amp;$B927&amp;$C927&amp;$D927&amp;$E927&amp;$F927,".","_"),"(","_"),")","")</f>
        <v>vnt901_1_3_2</v>
      </c>
      <c r="AS927" s="190">
        <f>X927</f>
        <v>0</v>
      </c>
      <c r="AT927" s="562"/>
      <c r="AU927" s="562"/>
      <c r="AV927" s="562"/>
      <c r="AW927" s="562"/>
      <c r="AX927" s="562"/>
      <c r="AY927" s="562"/>
      <c r="AZ927" s="562"/>
      <c r="BA927" s="562"/>
      <c r="BB927" s="562"/>
      <c r="BC927" s="562"/>
      <c r="BD927" s="562"/>
      <c r="BE927" s="562"/>
      <c r="BF927" s="562"/>
      <c r="BG927" s="562"/>
      <c r="BH927" s="562"/>
    </row>
    <row r="928" spans="1:60" x14ac:dyDescent="0.2">
      <c r="A928" s="541">
        <v>9</v>
      </c>
      <c r="B928" s="551" t="s">
        <v>2993</v>
      </c>
      <c r="C928" s="544"/>
      <c r="D928" s="544"/>
      <c r="E928" s="544" t="s">
        <v>2183</v>
      </c>
      <c r="F928" s="549" t="s">
        <v>2196</v>
      </c>
      <c r="G928" s="543" t="str">
        <f t="shared" ref="G928:G929" ca="1" si="260">G927</f>
        <v/>
      </c>
      <c r="H928" s="558" t="s">
        <v>3751</v>
      </c>
      <c r="I928" s="253"/>
      <c r="J928" s="98"/>
      <c r="K928" s="134" t="s">
        <v>2196</v>
      </c>
      <c r="L928" s="598" t="s">
        <v>3000</v>
      </c>
      <c r="M928" s="610">
        <v>3</v>
      </c>
      <c r="N928" s="607"/>
      <c r="O928" s="607"/>
      <c r="P928" s="64"/>
      <c r="Q928" s="64"/>
      <c r="R928" s="64"/>
      <c r="S928" s="64"/>
      <c r="T928" s="64"/>
      <c r="U928" s="64"/>
      <c r="V928" s="64"/>
      <c r="W928" s="64"/>
      <c r="X928" s="798"/>
      <c r="Y928" s="980"/>
      <c r="Z928" s="983"/>
      <c r="AA928" s="562"/>
      <c r="AB928" s="562"/>
      <c r="AC928" s="562"/>
      <c r="AD928" s="562"/>
      <c r="AE928" s="562"/>
      <c r="AF928" s="562"/>
      <c r="AG928" s="562"/>
      <c r="AH928" s="562"/>
      <c r="AI928" s="562"/>
      <c r="AJ928" s="562"/>
      <c r="AK928" s="562"/>
      <c r="AL928" s="190" t="str">
        <f t="shared" ref="AL928:AL930" si="261">SUBSTITUTE(SUBSTITUTE(SUBSTITUTE("vpa"&amp;$B928&amp;$C928&amp;$D928&amp;$E928&amp;$F928,".","_"),"(","_"),")","")</f>
        <v>vpa901_1_3_2_a</v>
      </c>
      <c r="AM928" s="190">
        <f>M928</f>
        <v>3</v>
      </c>
      <c r="AN928" s="562"/>
      <c r="AO928" s="562"/>
      <c r="AP928" s="562"/>
      <c r="AQ928" s="562"/>
      <c r="AR928" s="562"/>
      <c r="AS928" s="562"/>
      <c r="AT928" s="562"/>
      <c r="AU928" s="562"/>
      <c r="AV928" s="562"/>
      <c r="AW928" s="562"/>
      <c r="AX928" s="562"/>
      <c r="AY928" s="562"/>
      <c r="AZ928" s="562"/>
      <c r="BA928" s="562"/>
      <c r="BB928" s="562"/>
      <c r="BC928" s="562"/>
      <c r="BD928" s="562"/>
      <c r="BE928" s="562"/>
      <c r="BF928" s="562"/>
      <c r="BG928" s="562"/>
      <c r="BH928" s="562"/>
    </row>
    <row r="929" spans="1:60" x14ac:dyDescent="0.2">
      <c r="A929" s="541">
        <v>9</v>
      </c>
      <c r="B929" s="551" t="s">
        <v>2993</v>
      </c>
      <c r="C929" s="544"/>
      <c r="D929" s="544"/>
      <c r="E929" s="544" t="s">
        <v>2183</v>
      </c>
      <c r="F929" s="549" t="s">
        <v>2198</v>
      </c>
      <c r="G929" s="543" t="str">
        <f t="shared" ca="1" si="260"/>
        <v/>
      </c>
      <c r="H929" s="558" t="s">
        <v>3751</v>
      </c>
      <c r="I929" s="272"/>
      <c r="J929" s="165"/>
      <c r="K929" s="159" t="s">
        <v>2198</v>
      </c>
      <c r="L929" s="599" t="s">
        <v>3001</v>
      </c>
      <c r="M929" s="611">
        <v>5</v>
      </c>
      <c r="N929" s="608"/>
      <c r="O929" s="608"/>
      <c r="P929" s="129"/>
      <c r="Q929" s="129"/>
      <c r="R929" s="129"/>
      <c r="S929" s="129"/>
      <c r="T929" s="129"/>
      <c r="U929" s="129"/>
      <c r="V929" s="129"/>
      <c r="W929" s="129"/>
      <c r="X929" s="798"/>
      <c r="Y929" s="980"/>
      <c r="Z929" s="983"/>
      <c r="AA929" s="562"/>
      <c r="AB929" s="562"/>
      <c r="AC929" s="562"/>
      <c r="AD929" s="562"/>
      <c r="AE929" s="562"/>
      <c r="AF929" s="562"/>
      <c r="AG929" s="562"/>
      <c r="AH929" s="562"/>
      <c r="AI929" s="562"/>
      <c r="AJ929" s="562"/>
      <c r="AK929" s="562"/>
      <c r="AL929" s="190" t="str">
        <f t="shared" si="261"/>
        <v>vpa901_1_3_2_b</v>
      </c>
      <c r="AM929" s="190">
        <f>M929</f>
        <v>5</v>
      </c>
      <c r="AN929" s="562"/>
      <c r="AO929" s="562"/>
      <c r="AP929" s="562"/>
      <c r="AQ929" s="562"/>
      <c r="AR929" s="562"/>
      <c r="AS929" s="562"/>
      <c r="AT929" s="562"/>
      <c r="AU929" s="562"/>
      <c r="AV929" s="562"/>
      <c r="AW929" s="562"/>
      <c r="AX929" s="562"/>
      <c r="AY929" s="562"/>
      <c r="AZ929" s="562"/>
      <c r="BA929" s="562"/>
      <c r="BB929" s="562"/>
      <c r="BC929" s="562"/>
      <c r="BD929" s="562"/>
      <c r="BE929" s="562"/>
      <c r="BF929" s="562"/>
      <c r="BG929" s="562"/>
      <c r="BH929" s="562"/>
    </row>
    <row r="930" spans="1:60" x14ac:dyDescent="0.2">
      <c r="A930" s="541">
        <v>9</v>
      </c>
      <c r="B930" s="551" t="s">
        <v>3002</v>
      </c>
      <c r="C930" s="544"/>
      <c r="D930" s="544"/>
      <c r="E930" s="544"/>
      <c r="F930" s="544"/>
      <c r="G930" s="543" t="s">
        <v>3343</v>
      </c>
      <c r="H930" s="541" t="s">
        <v>3757</v>
      </c>
      <c r="I930" s="99" t="s">
        <v>3003</v>
      </c>
      <c r="J930" s="98"/>
      <c r="K930" s="98"/>
      <c r="L930" s="820" t="s">
        <v>3004</v>
      </c>
      <c r="M930" s="838" t="str">
        <f>IF(R930,"Mandatory","N/A")</f>
        <v>Mandatory</v>
      </c>
      <c r="N930" s="607"/>
      <c r="O930" s="607"/>
      <c r="P930" s="64" t="b">
        <v>1</v>
      </c>
      <c r="Q930" s="64" t="b">
        <v>0</v>
      </c>
      <c r="R930" s="64" t="b">
        <f>S930</f>
        <v>1</v>
      </c>
      <c r="S930" s="64" t="b">
        <v>1</v>
      </c>
      <c r="T930" s="64" t="b">
        <v>0</v>
      </c>
      <c r="U930" s="64" t="str">
        <f>SUBSTITUTE(SUBSTITUTE(SUBSTITUTE("dd"&amp;B930&amp;C930&amp;D930&amp;E930&amp;F930,".","_"),"(","_"),")","")</f>
        <v>dd901_1_4</v>
      </c>
      <c r="V930" s="64"/>
      <c r="W930" s="6"/>
      <c r="X930" s="786"/>
      <c r="Y930" s="980" t="str">
        <f>IF(LEN('Ch9'!X29)=0,"None",'Ch9'!X29)</f>
        <v>None</v>
      </c>
      <c r="Z930" s="983"/>
      <c r="AA930" s="562"/>
      <c r="AB930" s="562"/>
      <c r="AC930" s="562" t="b">
        <f>OR(AD930:AE930)</f>
        <v>1</v>
      </c>
      <c r="AD930" s="562" t="b">
        <f>T930</f>
        <v>0</v>
      </c>
      <c r="AE930" s="562" t="b">
        <f>AND(R930,OR(W930="Not Met",W930=""))</f>
        <v>1</v>
      </c>
      <c r="AF930" s="562" t="b">
        <f>AND(AE930,NOT(Q930))</f>
        <v>1</v>
      </c>
      <c r="AG930" s="562"/>
      <c r="AH930" s="562"/>
      <c r="AI930" s="562"/>
      <c r="AJ930" s="562"/>
      <c r="AK930" s="562"/>
      <c r="AL930" s="190" t="str">
        <f t="shared" si="261"/>
        <v>vpa901_1_4</v>
      </c>
      <c r="AM930" s="190" t="str">
        <f>M930</f>
        <v>Mandatory</v>
      </c>
      <c r="AN930" s="562"/>
      <c r="AO930" s="562"/>
      <c r="AP930" s="190" t="str">
        <f>SUBSTITUTE(SUBSTITUTE(SUBSTITUTE("vch"&amp;$B930&amp;$C930&amp;$D930&amp;$E930&amp;$F930,".","_"),"(","_"),")","")</f>
        <v>vch901_1_4</v>
      </c>
      <c r="AQ930" s="190">
        <f>W930</f>
        <v>0</v>
      </c>
      <c r="AR930" s="190" t="str">
        <f>SUBSTITUTE(SUBSTITUTE(SUBSTITUTE("vnt"&amp;$B930&amp;$C930&amp;$D930&amp;$E930&amp;$F930,".","_"),"(","_"),")","")</f>
        <v>vnt901_1_4</v>
      </c>
      <c r="AS930" s="190">
        <f>X930</f>
        <v>0</v>
      </c>
      <c r="AT930" s="562"/>
      <c r="AU930" s="562"/>
      <c r="AV930" s="562"/>
      <c r="AW930" s="562"/>
      <c r="AX930" s="562"/>
      <c r="AY930" s="562"/>
      <c r="AZ930" s="562"/>
      <c r="BA930" s="562"/>
      <c r="BB930" s="562"/>
      <c r="BC930" s="562"/>
      <c r="BD930" s="562"/>
      <c r="BE930" s="562"/>
      <c r="BF930" s="562"/>
      <c r="BG930" s="562"/>
      <c r="BH930" s="562"/>
    </row>
    <row r="931" spans="1:60" x14ac:dyDescent="0.2">
      <c r="A931" s="541">
        <v>9</v>
      </c>
      <c r="B931" s="551" t="s">
        <v>3002</v>
      </c>
      <c r="C931" s="544"/>
      <c r="D931" s="544"/>
      <c r="E931" s="544"/>
      <c r="F931" s="544"/>
      <c r="G931" s="543" t="s">
        <v>3343</v>
      </c>
      <c r="H931" s="541" t="s">
        <v>3757</v>
      </c>
      <c r="I931" s="253"/>
      <c r="J931" s="98"/>
      <c r="K931" s="98"/>
      <c r="L931" s="820"/>
      <c r="M931" s="838"/>
      <c r="N931" s="607"/>
      <c r="O931" s="607"/>
      <c r="P931" s="64"/>
      <c r="Q931" s="64"/>
      <c r="R931" s="64"/>
      <c r="S931" s="64"/>
      <c r="T931" s="64"/>
      <c r="U931" s="64"/>
      <c r="V931" s="64"/>
      <c r="W931" s="64"/>
      <c r="X931" s="798"/>
      <c r="Y931" s="980"/>
      <c r="Z931" s="983"/>
      <c r="AA931" s="562"/>
      <c r="AB931" s="562"/>
      <c r="AC931" s="562"/>
      <c r="AD931" s="562"/>
      <c r="AE931" s="562"/>
      <c r="AF931" s="562"/>
      <c r="AG931" s="562"/>
      <c r="AH931" s="562"/>
      <c r="AI931" s="562"/>
      <c r="AJ931" s="562"/>
      <c r="AK931" s="562"/>
      <c r="AL931" s="562"/>
      <c r="AM931" s="562"/>
      <c r="AN931" s="562"/>
      <c r="AO931" s="562"/>
      <c r="AP931" s="562"/>
      <c r="AQ931" s="562"/>
      <c r="AR931" s="562"/>
      <c r="AS931" s="562"/>
      <c r="AT931" s="562"/>
      <c r="AU931" s="562"/>
      <c r="AV931" s="562"/>
      <c r="AW931" s="562"/>
      <c r="AX931" s="562"/>
      <c r="AY931" s="562"/>
      <c r="AZ931" s="562"/>
      <c r="BA931" s="562"/>
      <c r="BB931" s="562"/>
      <c r="BC931" s="562"/>
      <c r="BD931" s="562"/>
      <c r="BE931" s="562"/>
      <c r="BF931" s="562"/>
      <c r="BG931" s="562"/>
      <c r="BH931" s="562"/>
    </row>
    <row r="932" spans="1:60" x14ac:dyDescent="0.2">
      <c r="A932" s="541">
        <v>9</v>
      </c>
      <c r="B932" s="551" t="s">
        <v>3002</v>
      </c>
      <c r="C932" s="544"/>
      <c r="D932" s="544"/>
      <c r="E932" s="544"/>
      <c r="F932" s="544"/>
      <c r="G932" s="543" t="s">
        <v>3343</v>
      </c>
      <c r="H932" s="541" t="s">
        <v>3757</v>
      </c>
      <c r="I932" s="253"/>
      <c r="J932" s="98"/>
      <c r="K932" s="98"/>
      <c r="L932" s="820"/>
      <c r="M932" s="838"/>
      <c r="N932" s="607"/>
      <c r="O932" s="607"/>
      <c r="P932" s="64"/>
      <c r="Q932" s="64"/>
      <c r="R932" s="64"/>
      <c r="S932" s="64"/>
      <c r="T932" s="64"/>
      <c r="U932" s="64"/>
      <c r="V932" s="64"/>
      <c r="W932" s="64"/>
      <c r="X932" s="798"/>
      <c r="Y932" s="980"/>
      <c r="Z932" s="983"/>
      <c r="AA932" s="562"/>
      <c r="AB932" s="562"/>
      <c r="AC932" s="562"/>
      <c r="AD932" s="562"/>
      <c r="AE932" s="562"/>
      <c r="AF932" s="562"/>
      <c r="AG932" s="562"/>
      <c r="AH932" s="562"/>
      <c r="AI932" s="562"/>
      <c r="AJ932" s="562"/>
      <c r="AK932" s="562"/>
      <c r="AL932" s="562"/>
      <c r="AM932" s="562"/>
      <c r="AN932" s="562"/>
      <c r="AO932" s="562"/>
      <c r="AP932" s="562"/>
      <c r="AQ932" s="562"/>
      <c r="AR932" s="562"/>
      <c r="AS932" s="562"/>
      <c r="AT932" s="562"/>
      <c r="AU932" s="562"/>
      <c r="AV932" s="562"/>
      <c r="AW932" s="562"/>
      <c r="AX932" s="562"/>
      <c r="AY932" s="562"/>
      <c r="AZ932" s="562"/>
      <c r="BA932" s="562"/>
      <c r="BB932" s="562"/>
      <c r="BC932" s="562"/>
      <c r="BD932" s="562"/>
      <c r="BE932" s="562"/>
      <c r="BF932" s="562"/>
      <c r="BG932" s="562"/>
      <c r="BH932" s="562"/>
    </row>
    <row r="933" spans="1:60" x14ac:dyDescent="0.2">
      <c r="A933" s="541">
        <v>9</v>
      </c>
      <c r="B933" s="551" t="s">
        <v>3002</v>
      </c>
      <c r="C933" s="544"/>
      <c r="D933" s="544"/>
      <c r="E933" s="544"/>
      <c r="F933" s="544"/>
      <c r="G933" s="543" t="s">
        <v>3343</v>
      </c>
      <c r="H933" s="541" t="s">
        <v>3757</v>
      </c>
      <c r="I933" s="272"/>
      <c r="J933" s="165"/>
      <c r="K933" s="165"/>
      <c r="L933" s="832"/>
      <c r="M933" s="854"/>
      <c r="N933" s="608"/>
      <c r="O933" s="608"/>
      <c r="P933" s="129"/>
      <c r="Q933" s="129"/>
      <c r="R933" s="129"/>
      <c r="S933" s="129"/>
      <c r="T933" s="129"/>
      <c r="U933" s="129"/>
      <c r="V933" s="129"/>
      <c r="W933" s="129"/>
      <c r="X933" s="798"/>
      <c r="Y933" s="980"/>
      <c r="Z933" s="983"/>
      <c r="AA933" s="562"/>
      <c r="AB933" s="562"/>
      <c r="AC933" s="562"/>
      <c r="AD933" s="562"/>
      <c r="AE933" s="562"/>
      <c r="AF933" s="562"/>
      <c r="AG933" s="562"/>
      <c r="AH933" s="562"/>
      <c r="AI933" s="562"/>
      <c r="AJ933" s="562"/>
      <c r="AK933" s="562"/>
      <c r="AL933" s="562"/>
      <c r="AM933" s="562"/>
      <c r="AN933" s="562"/>
      <c r="AO933" s="562"/>
      <c r="AP933" s="562"/>
      <c r="AQ933" s="562"/>
      <c r="AR933" s="562"/>
      <c r="AS933" s="562"/>
      <c r="AT933" s="562"/>
      <c r="AU933" s="562"/>
      <c r="AV933" s="562"/>
      <c r="AW933" s="562"/>
      <c r="AX933" s="562"/>
      <c r="AY933" s="562"/>
      <c r="AZ933" s="562"/>
      <c r="BA933" s="562"/>
      <c r="BB933" s="562"/>
      <c r="BC933" s="562"/>
      <c r="BD933" s="562"/>
      <c r="BE933" s="562"/>
      <c r="BF933" s="562"/>
      <c r="BG933" s="562"/>
      <c r="BH933" s="562"/>
    </row>
    <row r="934" spans="1:60" x14ac:dyDescent="0.2">
      <c r="A934" s="541">
        <v>9</v>
      </c>
      <c r="B934" s="551" t="s">
        <v>3005</v>
      </c>
      <c r="C934" s="544"/>
      <c r="D934" s="544"/>
      <c r="E934" s="544"/>
      <c r="F934" s="544"/>
      <c r="G934" s="543" t="str">
        <f>IF(N934&gt;0,"P","")</f>
        <v/>
      </c>
      <c r="H934" s="541" t="s">
        <v>3751</v>
      </c>
      <c r="I934" s="99" t="s">
        <v>3006</v>
      </c>
      <c r="J934" s="98"/>
      <c r="K934" s="98"/>
      <c r="L934" s="820" t="s">
        <v>3007</v>
      </c>
      <c r="M934" s="800">
        <v>7</v>
      </c>
      <c r="N934" s="793">
        <f>'Ch9'!O33</f>
        <v>0</v>
      </c>
      <c r="O934" s="793">
        <f>M934*S934*W934</f>
        <v>0</v>
      </c>
      <c r="P934" s="64" t="b">
        <v>1</v>
      </c>
      <c r="Q934" s="64" t="b">
        <v>1</v>
      </c>
      <c r="R934" s="64" t="b">
        <v>0</v>
      </c>
      <c r="S934" s="64" t="b">
        <f>NOT(W930="N/A")</f>
        <v>1</v>
      </c>
      <c r="T934" s="64" t="b">
        <f>AND(NOT(S934),W934=TRUE)</f>
        <v>0</v>
      </c>
      <c r="U934" s="64"/>
      <c r="V934" s="64"/>
      <c r="W934" s="18"/>
      <c r="X934" s="786"/>
      <c r="Y934" s="980" t="str">
        <f>IF(LEN('Ch9'!X33)=0,"None",'Ch9'!X33)</f>
        <v>None</v>
      </c>
      <c r="Z934" s="983"/>
      <c r="AA934" s="562"/>
      <c r="AB934" s="562"/>
      <c r="AC934" s="562" t="b">
        <f>OR(AD934:AE934)</f>
        <v>0</v>
      </c>
      <c r="AD934" s="562" t="b">
        <f>T934</f>
        <v>0</v>
      </c>
      <c r="AE934" s="562" t="b">
        <f>AND(R934,NOT(W934))</f>
        <v>0</v>
      </c>
      <c r="AF934" s="562" t="b">
        <f>AND(AE934,NOT(Q934))</f>
        <v>0</v>
      </c>
      <c r="AG934" s="562"/>
      <c r="AH934" s="562"/>
      <c r="AI934" s="562"/>
      <c r="AJ934" s="562"/>
      <c r="AK934" s="562"/>
      <c r="AL934" s="190" t="str">
        <f t="shared" ref="AL934" si="262">SUBSTITUTE(SUBSTITUTE(SUBSTITUTE("vpa"&amp;$B934&amp;$C934&amp;$D934&amp;$E934&amp;$F934,".","_"),"(","_"),")","")</f>
        <v>vpa901_1_5</v>
      </c>
      <c r="AM934" s="190">
        <f>M934</f>
        <v>7</v>
      </c>
      <c r="AN934" s="190" t="str">
        <f>SUBSTITUTE(SUBSTITUTE(SUBSTITUTE("vpc"&amp;$B934&amp;$C934&amp;$D934&amp;$E934&amp;$F934,".","_"),"(","_"),")","")</f>
        <v>vpc901_1_5</v>
      </c>
      <c r="AO934" s="190">
        <f>O934</f>
        <v>0</v>
      </c>
      <c r="AP934" s="190" t="str">
        <f>SUBSTITUTE(SUBSTITUTE(SUBSTITUTE("vch"&amp;$B934&amp;$C934&amp;$D934&amp;$E934&amp;$F934,".","_"),"(","_"),")","")</f>
        <v>vch901_1_5</v>
      </c>
      <c r="AQ934" s="190">
        <f>W934</f>
        <v>0</v>
      </c>
      <c r="AR934" s="190" t="str">
        <f>SUBSTITUTE(SUBSTITUTE(SUBSTITUTE("vnt"&amp;$B934&amp;$C934&amp;$D934&amp;$E934&amp;$F934,".","_"),"(","_"),")","")</f>
        <v>vnt901_1_5</v>
      </c>
      <c r="AS934" s="190">
        <f>X934</f>
        <v>0</v>
      </c>
      <c r="AT934" s="562"/>
      <c r="AU934" s="562"/>
      <c r="AV934" s="562"/>
      <c r="AW934" s="562"/>
      <c r="AX934" s="562"/>
      <c r="AY934" s="562"/>
      <c r="AZ934" s="562"/>
      <c r="BA934" s="562"/>
      <c r="BB934" s="562"/>
      <c r="BC934" s="562"/>
      <c r="BD934" s="562"/>
      <c r="BE934" s="562"/>
      <c r="BF934" s="562"/>
      <c r="BG934" s="562"/>
      <c r="BH934" s="562"/>
    </row>
    <row r="935" spans="1:60" x14ac:dyDescent="0.2">
      <c r="A935" s="541">
        <v>9</v>
      </c>
      <c r="B935" s="551" t="s">
        <v>3005</v>
      </c>
      <c r="C935" s="544"/>
      <c r="D935" s="544"/>
      <c r="E935" s="544"/>
      <c r="F935" s="544"/>
      <c r="G935" s="543" t="str">
        <f t="shared" ref="G935:G936" si="263">G934</f>
        <v/>
      </c>
      <c r="H935" s="541" t="s">
        <v>3751</v>
      </c>
      <c r="I935" s="253"/>
      <c r="J935" s="98"/>
      <c r="K935" s="98"/>
      <c r="L935" s="820"/>
      <c r="M935" s="800"/>
      <c r="N935" s="793"/>
      <c r="O935" s="793"/>
      <c r="P935" s="64"/>
      <c r="Q935" s="64"/>
      <c r="R935" s="64"/>
      <c r="S935" s="64"/>
      <c r="T935" s="64"/>
      <c r="U935" s="64"/>
      <c r="V935" s="64"/>
      <c r="W935" s="64"/>
      <c r="X935" s="798"/>
      <c r="Y935" s="980"/>
      <c r="Z935" s="983"/>
      <c r="AA935" s="562"/>
      <c r="AB935" s="562"/>
      <c r="AC935" s="562"/>
      <c r="AD935" s="562"/>
      <c r="AE935" s="562"/>
      <c r="AF935" s="562"/>
      <c r="AG935" s="562"/>
      <c r="AH935" s="562"/>
      <c r="AI935" s="562"/>
      <c r="AJ935" s="562"/>
      <c r="AK935" s="562"/>
      <c r="AL935" s="562"/>
      <c r="AM935" s="562"/>
      <c r="AN935" s="562"/>
      <c r="AO935" s="562"/>
      <c r="AP935" s="562"/>
      <c r="AQ935" s="562"/>
      <c r="AR935" s="562"/>
      <c r="AS935" s="562"/>
      <c r="AT935" s="562"/>
      <c r="AU935" s="562"/>
      <c r="AV935" s="562"/>
      <c r="AW935" s="562"/>
      <c r="AX935" s="586"/>
      <c r="AY935" s="586"/>
      <c r="AZ935" s="586"/>
      <c r="BA935" s="586"/>
      <c r="BB935" s="586"/>
      <c r="BC935" s="586"/>
      <c r="BD935" s="586"/>
      <c r="BE935" s="586"/>
      <c r="BF935" s="586"/>
      <c r="BG935" s="586"/>
      <c r="BH935" s="586"/>
    </row>
    <row r="936" spans="1:60" x14ac:dyDescent="0.2">
      <c r="A936" s="541">
        <v>9</v>
      </c>
      <c r="B936" s="551" t="s">
        <v>3005</v>
      </c>
      <c r="C936" s="544"/>
      <c r="D936" s="544"/>
      <c r="E936" s="544"/>
      <c r="F936" s="544"/>
      <c r="G936" s="543" t="str">
        <f t="shared" si="263"/>
        <v/>
      </c>
      <c r="H936" s="541" t="s">
        <v>3751</v>
      </c>
      <c r="I936" s="272"/>
      <c r="J936" s="165"/>
      <c r="K936" s="165"/>
      <c r="L936" s="832"/>
      <c r="M936" s="801"/>
      <c r="N936" s="794"/>
      <c r="O936" s="794"/>
      <c r="P936" s="129"/>
      <c r="Q936" s="129"/>
      <c r="R936" s="129"/>
      <c r="S936" s="129"/>
      <c r="T936" s="129"/>
      <c r="U936" s="129"/>
      <c r="V936" s="129"/>
      <c r="W936" s="129"/>
      <c r="X936" s="798"/>
      <c r="Y936" s="980"/>
      <c r="Z936" s="983"/>
      <c r="AA936" s="562"/>
      <c r="AB936" s="562"/>
      <c r="AC936" s="562"/>
      <c r="AD936" s="562"/>
      <c r="AE936" s="562"/>
      <c r="AF936" s="562"/>
      <c r="AG936" s="562"/>
      <c r="AH936" s="562"/>
      <c r="AI936" s="562"/>
      <c r="AJ936" s="562"/>
      <c r="AK936" s="562"/>
      <c r="AL936" s="562"/>
      <c r="AM936" s="562"/>
      <c r="AN936" s="562"/>
      <c r="AO936" s="562"/>
      <c r="AP936" s="562"/>
      <c r="AQ936" s="562"/>
      <c r="AR936" s="562"/>
      <c r="AS936" s="562"/>
      <c r="AT936" s="562"/>
      <c r="AU936" s="562"/>
      <c r="AV936" s="562"/>
      <c r="AW936" s="562"/>
      <c r="AX936" s="562"/>
      <c r="AY936" s="562"/>
      <c r="AZ936" s="562"/>
      <c r="BA936" s="562"/>
      <c r="BB936" s="562"/>
      <c r="BC936" s="562"/>
      <c r="BD936" s="562"/>
      <c r="BE936" s="562"/>
      <c r="BF936" s="562"/>
      <c r="BG936" s="562"/>
      <c r="BH936" s="562"/>
    </row>
    <row r="937" spans="1:60" x14ac:dyDescent="0.2">
      <c r="A937" s="541">
        <v>9</v>
      </c>
      <c r="B937" s="551" t="s">
        <v>3008</v>
      </c>
      <c r="C937" s="544"/>
      <c r="D937" s="544"/>
      <c r="E937" s="544"/>
      <c r="F937" s="544"/>
      <c r="G937" s="543" t="str">
        <f ca="1">IF(N937&gt;0,"P","")</f>
        <v/>
      </c>
      <c r="H937" s="541" t="s">
        <v>3751</v>
      </c>
      <c r="I937" s="99" t="s">
        <v>3009</v>
      </c>
      <c r="J937" s="98"/>
      <c r="K937" s="98"/>
      <c r="L937" s="640" t="s">
        <v>3010</v>
      </c>
      <c r="M937" s="610"/>
      <c r="N937" s="607">
        <f ca="1">'Ch9'!O36</f>
        <v>0</v>
      </c>
      <c r="O937" s="607">
        <f ca="1">IFERROR(INDEX({2,5},MATCH(W937,INDIRECT(U937),0)),0)*S937</f>
        <v>0</v>
      </c>
      <c r="P937" s="64" t="b">
        <v>1</v>
      </c>
      <c r="Q937" s="64" t="b">
        <v>1</v>
      </c>
      <c r="R937" s="64" t="b">
        <v>0</v>
      </c>
      <c r="S937" s="64" t="b">
        <f>OR(AY959=INDEX(ddHeat1,3),AY959=INDEX(ddHeat1,5),AY960=INDEX(ddHeat2,3),AY960=INDEX(ddHeat2,5),AY961=INDEX(ddHeat3,3),AY961=INDEX(ddHeat3,5))</f>
        <v>0</v>
      </c>
      <c r="T937" s="64" t="b">
        <f>AND(NOT(S937),LEN(W937)&gt;0)</f>
        <v>0</v>
      </c>
      <c r="U937" s="64" t="str">
        <f>SUBSTITUTE(SUBSTITUTE(SUBSTITUTE("dd"&amp;B937&amp;C937&amp;D937&amp;E937&amp;F937,".","_"),"(","_"),")","")</f>
        <v>dd901_1_6</v>
      </c>
      <c r="V937" s="64"/>
      <c r="W937" s="6"/>
      <c r="X937" s="786"/>
      <c r="Y937" s="977" t="str">
        <f>IF(LEN('Ch9'!X36)=0,"None",'Ch9'!X36)</f>
        <v>None</v>
      </c>
      <c r="Z937" s="978"/>
      <c r="AA937" s="562"/>
      <c r="AB937" s="562"/>
      <c r="AC937" s="562" t="b">
        <f>OR(AD937:AE937)</f>
        <v>0</v>
      </c>
      <c r="AD937" s="562" t="b">
        <f>T937</f>
        <v>0</v>
      </c>
      <c r="AE937" s="562" t="b">
        <f>AND(R937,OR(W937="Not Met",W937=""))</f>
        <v>0</v>
      </c>
      <c r="AF937" s="562" t="b">
        <f>AND(AE937,NOT(Q937))</f>
        <v>0</v>
      </c>
      <c r="AG937" s="562"/>
      <c r="AH937" s="562"/>
      <c r="AI937" s="562"/>
      <c r="AJ937" s="562"/>
      <c r="AK937" s="562"/>
      <c r="AL937" s="562"/>
      <c r="AM937" s="562"/>
      <c r="AN937" s="190" t="str">
        <f>SUBSTITUTE(SUBSTITUTE(SUBSTITUTE("vpc"&amp;$B937&amp;$C937&amp;$D937&amp;$E937&amp;$F937,".","_"),"(","_"),")","")</f>
        <v>vpc901_1_6</v>
      </c>
      <c r="AO937" s="190">
        <f ca="1">O937</f>
        <v>0</v>
      </c>
      <c r="AP937" s="190" t="str">
        <f>SUBSTITUTE(SUBSTITUTE(SUBSTITUTE("vch"&amp;$B937&amp;$C937&amp;$D937&amp;$E937&amp;$F937,".","_"),"(","_"),")","")</f>
        <v>vch901_1_6</v>
      </c>
      <c r="AQ937" s="190">
        <f>W937</f>
        <v>0</v>
      </c>
      <c r="AR937" s="190" t="str">
        <f>SUBSTITUTE(SUBSTITUTE(SUBSTITUTE("vnt"&amp;$B937&amp;$C937&amp;$D937&amp;$E937&amp;$F937,".","_"),"(","_"),")","")</f>
        <v>vnt901_1_6</v>
      </c>
      <c r="AS937" s="190">
        <f>X937</f>
        <v>0</v>
      </c>
      <c r="AT937" s="562"/>
      <c r="AU937" s="562"/>
      <c r="AV937" s="562"/>
      <c r="AW937" s="562"/>
      <c r="AX937" s="594" t="str">
        <f>'Overview (Verification)'!A8</f>
        <v>Builder Name:</v>
      </c>
      <c r="AY937" s="562" t="str">
        <f>IF(LEN('Overview (Verification)'!P8)=0,0,'Overview (Verification)'!P8)</f>
        <v>AAA Green Builders</v>
      </c>
      <c r="AZ937" s="562"/>
      <c r="BA937" s="562"/>
      <c r="BB937" s="562"/>
      <c r="BC937" s="562"/>
      <c r="BD937" s="562"/>
      <c r="BE937" s="562"/>
      <c r="BF937" s="562"/>
      <c r="BG937" s="562"/>
      <c r="BH937" s="562"/>
    </row>
    <row r="938" spans="1:60" x14ac:dyDescent="0.2">
      <c r="A938" s="541">
        <v>9</v>
      </c>
      <c r="B938" s="551" t="s">
        <v>3008</v>
      </c>
      <c r="C938" s="544"/>
      <c r="D938" s="544"/>
      <c r="E938" s="544" t="s">
        <v>2181</v>
      </c>
      <c r="F938" s="544"/>
      <c r="G938" s="543" t="str">
        <f t="shared" ref="G938:G939" ca="1" si="264">G937</f>
        <v/>
      </c>
      <c r="H938" s="541" t="s">
        <v>3751</v>
      </c>
      <c r="I938" s="253"/>
      <c r="J938" s="159" t="s">
        <v>2181</v>
      </c>
      <c r="K938" s="165"/>
      <c r="L938" s="599" t="s">
        <v>3011</v>
      </c>
      <c r="M938" s="611">
        <v>2</v>
      </c>
      <c r="N938" s="607"/>
      <c r="O938" s="607"/>
      <c r="P938" s="64"/>
      <c r="Q938" s="64"/>
      <c r="R938" s="64"/>
      <c r="S938" s="64"/>
      <c r="T938" s="64"/>
      <c r="U938" s="64"/>
      <c r="V938" s="64"/>
      <c r="W938" s="64"/>
      <c r="X938" s="798"/>
      <c r="Y938" s="977"/>
      <c r="Z938" s="978"/>
      <c r="AA938" s="562"/>
      <c r="AB938" s="562"/>
      <c r="AC938" s="562"/>
      <c r="AD938" s="562"/>
      <c r="AE938" s="562"/>
      <c r="AF938" s="562"/>
      <c r="AG938" s="562"/>
      <c r="AH938" s="562"/>
      <c r="AI938" s="562"/>
      <c r="AJ938" s="562"/>
      <c r="AK938" s="562"/>
      <c r="AL938" s="190" t="str">
        <f t="shared" ref="AL938:AL939" si="265">SUBSTITUTE(SUBSTITUTE(SUBSTITUTE("vpa"&amp;$B938&amp;$C938&amp;$D938&amp;$E938&amp;$F938,".","_"),"(","_"),")","")</f>
        <v>vpa901_1_6_1</v>
      </c>
      <c r="AM938" s="190">
        <f>M938</f>
        <v>2</v>
      </c>
      <c r="AN938" s="562"/>
      <c r="AO938" s="562"/>
      <c r="AP938" s="562"/>
      <c r="AQ938" s="562"/>
      <c r="AR938" s="562"/>
      <c r="AS938" s="562"/>
      <c r="AT938" s="562"/>
      <c r="AU938" s="562"/>
      <c r="AV938" s="562"/>
      <c r="AW938" s="562"/>
      <c r="AX938" s="594" t="str">
        <f>'Overview (Verification)'!A9</f>
        <v>Physical Address of Home:</v>
      </c>
      <c r="AY938" s="562" t="str">
        <f>IF(LEN('Overview (Verification)'!P9)=0,0,'Overview (Verification)'!P9)</f>
        <v>6666 Oak St.</v>
      </c>
      <c r="AZ938" s="562"/>
      <c r="BA938" s="562"/>
      <c r="BB938" s="562"/>
      <c r="BC938" s="562"/>
      <c r="BD938" s="562"/>
      <c r="BE938" s="562"/>
      <c r="BF938" s="562"/>
      <c r="BG938" s="562"/>
      <c r="BH938" s="562"/>
    </row>
    <row r="939" spans="1:60" ht="16" thickBot="1" x14ac:dyDescent="0.25">
      <c r="A939" s="541">
        <v>9</v>
      </c>
      <c r="B939" s="551" t="s">
        <v>3008</v>
      </c>
      <c r="C939" s="544"/>
      <c r="D939" s="544"/>
      <c r="E939" s="544" t="s">
        <v>2183</v>
      </c>
      <c r="F939" s="544"/>
      <c r="G939" s="543" t="str">
        <f t="shared" ca="1" si="264"/>
        <v/>
      </c>
      <c r="H939" s="541" t="s">
        <v>3751</v>
      </c>
      <c r="I939" s="254"/>
      <c r="J939" s="143" t="s">
        <v>2183</v>
      </c>
      <c r="K939" s="185"/>
      <c r="L939" s="626" t="s">
        <v>3012</v>
      </c>
      <c r="M939" s="615">
        <v>5</v>
      </c>
      <c r="N939" s="622"/>
      <c r="O939" s="622"/>
      <c r="P939" s="68"/>
      <c r="Q939" s="68"/>
      <c r="R939" s="68"/>
      <c r="S939" s="68"/>
      <c r="T939" s="68"/>
      <c r="U939" s="68"/>
      <c r="V939" s="68"/>
      <c r="W939" s="68"/>
      <c r="X939" s="799"/>
      <c r="Y939" s="979"/>
      <c r="Z939" s="1007"/>
      <c r="AA939" s="562"/>
      <c r="AB939" s="562"/>
      <c r="AC939" s="562"/>
      <c r="AD939" s="562"/>
      <c r="AE939" s="562"/>
      <c r="AF939" s="562"/>
      <c r="AG939" s="562"/>
      <c r="AH939" s="562"/>
      <c r="AI939" s="562"/>
      <c r="AJ939" s="562"/>
      <c r="AK939" s="562"/>
      <c r="AL939" s="190" t="str">
        <f t="shared" si="265"/>
        <v>vpa901_1_6_2</v>
      </c>
      <c r="AM939" s="190">
        <f>M939</f>
        <v>5</v>
      </c>
      <c r="AN939" s="562"/>
      <c r="AO939" s="562"/>
      <c r="AP939" s="562"/>
      <c r="AQ939" s="562"/>
      <c r="AR939" s="562"/>
      <c r="AS939" s="562"/>
      <c r="AT939" s="562"/>
      <c r="AU939" s="562"/>
      <c r="AV939" s="562"/>
      <c r="AW939" s="562"/>
      <c r="AX939" s="594" t="str">
        <f>'Overview (Verification)'!A10</f>
        <v>Community/Lot #:</v>
      </c>
      <c r="AY939" s="562">
        <f>IF(LEN('Overview (Verification)'!P10)=0,0,'Overview (Verification)'!P10)</f>
        <v>0</v>
      </c>
      <c r="AZ939" s="562"/>
      <c r="BA939" s="562"/>
      <c r="BB939" s="562"/>
      <c r="BC939" s="562"/>
      <c r="BD939" s="562"/>
      <c r="BE939" s="562"/>
      <c r="BF939" s="562"/>
      <c r="BG939" s="562"/>
      <c r="BH939" s="562"/>
    </row>
    <row r="940" spans="1:60" ht="16" thickTop="1" x14ac:dyDescent="0.2">
      <c r="A940" s="541">
        <v>9</v>
      </c>
      <c r="B940" s="551">
        <v>901.2</v>
      </c>
      <c r="C940" s="544"/>
      <c r="D940" s="544"/>
      <c r="E940" s="544"/>
      <c r="F940" s="544"/>
      <c r="G940" s="543" t="s">
        <v>3343</v>
      </c>
      <c r="H940" s="541" t="s">
        <v>3751</v>
      </c>
      <c r="I940" s="131" t="s">
        <v>3013</v>
      </c>
      <c r="J940" s="132"/>
      <c r="K940" s="132"/>
      <c r="L940" s="646" t="s">
        <v>3014</v>
      </c>
      <c r="M940" s="625"/>
      <c r="N940" s="623"/>
      <c r="O940" s="623"/>
      <c r="P940" s="74"/>
      <c r="Q940" s="74"/>
      <c r="R940" s="74"/>
      <c r="S940" s="74"/>
      <c r="T940" s="74"/>
      <c r="U940" s="74"/>
      <c r="V940" s="74"/>
      <c r="W940" s="74"/>
      <c r="X940" s="74"/>
      <c r="Y940" s="562"/>
      <c r="Z940" s="430"/>
      <c r="AA940" s="562"/>
      <c r="AB940" s="562"/>
      <c r="AC940" s="562"/>
      <c r="AD940" s="562"/>
      <c r="AE940" s="562"/>
      <c r="AF940" s="562"/>
      <c r="AG940" s="562"/>
      <c r="AH940" s="562"/>
      <c r="AI940" s="562"/>
      <c r="AJ940" s="562"/>
      <c r="AK940" s="562"/>
      <c r="AL940" s="562"/>
      <c r="AM940" s="562"/>
      <c r="AN940" s="562"/>
      <c r="AO940" s="562"/>
      <c r="AP940" s="562"/>
      <c r="AQ940" s="562"/>
      <c r="AR940" s="562"/>
      <c r="AS940" s="562"/>
      <c r="AT940" s="562"/>
      <c r="AU940" s="562"/>
      <c r="AV940" s="562"/>
      <c r="AW940" s="562"/>
      <c r="AX940" s="594" t="str">
        <f>'Overview (Verification)'!A11</f>
        <v>City:</v>
      </c>
      <c r="AY940" s="562" t="str">
        <f>IF(LEN('Overview (Verification)'!P11)=0,0,'Overview (Verification)'!P11)</f>
        <v>Raleigh</v>
      </c>
      <c r="AZ940" s="562"/>
      <c r="BA940" s="562"/>
      <c r="BB940" s="562"/>
      <c r="BC940" s="562"/>
      <c r="BD940" s="562"/>
      <c r="BE940" s="562"/>
      <c r="BF940" s="562"/>
      <c r="BG940" s="562"/>
      <c r="BH940" s="562"/>
    </row>
    <row r="941" spans="1:60" x14ac:dyDescent="0.2">
      <c r="A941" s="541">
        <v>9</v>
      </c>
      <c r="B941" s="551" t="s">
        <v>3015</v>
      </c>
      <c r="C941" s="544"/>
      <c r="D941" s="544"/>
      <c r="E941" s="544"/>
      <c r="F941" s="544"/>
      <c r="G941" s="543" t="s">
        <v>3343</v>
      </c>
      <c r="H941" s="541" t="s">
        <v>3751</v>
      </c>
      <c r="I941" s="40" t="s">
        <v>3016</v>
      </c>
      <c r="J941" s="3"/>
      <c r="K941" s="3"/>
      <c r="L941" s="775" t="s">
        <v>3017</v>
      </c>
      <c r="M941" s="616"/>
      <c r="N941" s="609"/>
      <c r="O941" s="609"/>
      <c r="P941" s="562"/>
      <c r="Q941" s="562"/>
      <c r="R941" s="562"/>
      <c r="S941" s="562"/>
      <c r="T941" s="562"/>
      <c r="U941" s="562"/>
      <c r="V941" s="562"/>
      <c r="W941" s="562"/>
      <c r="X941" s="562"/>
      <c r="Y941" s="562"/>
      <c r="Z941" s="430"/>
      <c r="AA941" s="562">
        <f>'Photo Review'!H930</f>
        <v>0</v>
      </c>
      <c r="AB941" s="562"/>
      <c r="AC941" s="562"/>
      <c r="AD941" s="562"/>
      <c r="AE941" s="562"/>
      <c r="AF941" s="562"/>
      <c r="AG941" s="562"/>
      <c r="AH941" s="562"/>
      <c r="AI941" s="562"/>
      <c r="AJ941" s="562"/>
      <c r="AK941" s="562"/>
      <c r="AL941" s="562"/>
      <c r="AM941" s="562"/>
      <c r="AN941" s="562"/>
      <c r="AO941" s="562"/>
      <c r="AP941" s="562"/>
      <c r="AQ941" s="562"/>
      <c r="AR941" s="562"/>
      <c r="AS941" s="562"/>
      <c r="AT941" s="562"/>
      <c r="AU941" s="562"/>
      <c r="AV941" s="562"/>
      <c r="AW941" s="562"/>
      <c r="AX941" s="594" t="str">
        <f>'Overview (Verification)'!A12</f>
        <v>State:</v>
      </c>
      <c r="AY941" s="562" t="str">
        <f>IF(LEN('Overview (Verification)'!P12)=0,0,'Overview (Verification)'!P12)</f>
        <v>North Carolina</v>
      </c>
      <c r="AZ941" s="562"/>
      <c r="BA941" s="562"/>
      <c r="BB941" s="562"/>
      <c r="BC941" s="562" t="str">
        <f>'Overview (Verification)'!T12</f>
        <v>State</v>
      </c>
      <c r="BD941" s="562" t="str">
        <f>'Overview (Verification)'!U12</f>
        <v>County</v>
      </c>
      <c r="BE941" s="562" t="str">
        <f>'Overview (Verification)'!V12</f>
        <v>Radon</v>
      </c>
      <c r="BF941" s="562" t="str">
        <f>'Overview (Verification)'!W12</f>
        <v>Climate</v>
      </c>
      <c r="BG941" s="562" t="str">
        <f>'Overview (Verification)'!X12</f>
        <v>Moist</v>
      </c>
      <c r="BH941" s="562" t="str">
        <f>'Overview (Verification)'!Y12</f>
        <v>WarmHumid</v>
      </c>
    </row>
    <row r="942" spans="1:60" x14ac:dyDescent="0.2">
      <c r="A942" s="541">
        <v>9</v>
      </c>
      <c r="B942" s="551" t="s">
        <v>3015</v>
      </c>
      <c r="C942" s="544"/>
      <c r="D942" s="544"/>
      <c r="E942" s="544"/>
      <c r="F942" s="544"/>
      <c r="G942" s="543" t="s">
        <v>3343</v>
      </c>
      <c r="H942" s="541" t="s">
        <v>3751</v>
      </c>
      <c r="I942" s="121"/>
      <c r="J942" s="3"/>
      <c r="K942" s="3"/>
      <c r="L942" s="775"/>
      <c r="M942" s="616"/>
      <c r="N942" s="609"/>
      <c r="O942" s="609"/>
      <c r="P942" s="562"/>
      <c r="Q942" s="562"/>
      <c r="R942" s="562"/>
      <c r="S942" s="562"/>
      <c r="T942" s="562"/>
      <c r="U942" s="562"/>
      <c r="V942" s="562"/>
      <c r="W942" s="562"/>
      <c r="X942" s="562"/>
      <c r="Y942" s="562"/>
      <c r="Z942" s="430"/>
      <c r="AA942" s="562"/>
      <c r="AB942" s="562"/>
      <c r="AC942" s="562"/>
      <c r="AD942" s="562"/>
      <c r="AE942" s="562"/>
      <c r="AF942" s="562"/>
      <c r="AG942" s="562"/>
      <c r="AH942" s="562"/>
      <c r="AI942" s="562"/>
      <c r="AJ942" s="562"/>
      <c r="AK942" s="562"/>
      <c r="AL942" s="562"/>
      <c r="AM942" s="562"/>
      <c r="AN942" s="562"/>
      <c r="AO942" s="562"/>
      <c r="AP942" s="562"/>
      <c r="AQ942" s="562"/>
      <c r="AR942" s="562"/>
      <c r="AS942" s="562"/>
      <c r="AT942" s="562"/>
      <c r="AU942" s="562"/>
      <c r="AV942" s="562"/>
      <c r="AW942" s="562"/>
      <c r="AX942" s="594" t="str">
        <f>'Overview (Verification)'!A13</f>
        <v>County:</v>
      </c>
      <c r="AY942" s="562">
        <f>IF(LEN('Overview (Verification)'!P13)=0,0,'Overview (Verification)'!P13)</f>
        <v>0</v>
      </c>
      <c r="AZ942" s="562"/>
      <c r="BA942" s="562"/>
      <c r="BB942" s="562"/>
      <c r="BC942" s="562" t="str">
        <f>'Overview (Verification)'!T13</f>
        <v>North Carolina</v>
      </c>
      <c r="BD942" s="562" t="str">
        <f>'Overview (Verification)'!U13</f>
        <v/>
      </c>
      <c r="BE942" s="562" t="str">
        <f>'Overview (Verification)'!V13</f>
        <v>!!</v>
      </c>
      <c r="BF942" s="562" t="str">
        <f>'Overview (Verification)'!W13</f>
        <v>!!</v>
      </c>
      <c r="BG942" s="562" t="str">
        <f>'Overview (Verification)'!X13</f>
        <v>!!</v>
      </c>
      <c r="BH942" s="562" t="str">
        <f>'Overview (Verification)'!Y13</f>
        <v>!!</v>
      </c>
    </row>
    <row r="943" spans="1:60" x14ac:dyDescent="0.2">
      <c r="A943" s="541">
        <v>9</v>
      </c>
      <c r="B943" s="551" t="s">
        <v>3015</v>
      </c>
      <c r="C943" s="544"/>
      <c r="D943" s="544"/>
      <c r="E943" s="544" t="s">
        <v>2181</v>
      </c>
      <c r="F943" s="544"/>
      <c r="G943" s="543" t="s">
        <v>3343</v>
      </c>
      <c r="H943" s="541" t="s">
        <v>3751</v>
      </c>
      <c r="I943" s="121"/>
      <c r="J943" s="134" t="s">
        <v>2181</v>
      </c>
      <c r="K943" s="98"/>
      <c r="L943" s="791" t="s">
        <v>3018</v>
      </c>
      <c r="M943" s="630" t="str">
        <f>IF(R943,"Mandatory","N/A")</f>
        <v>Mandatory</v>
      </c>
      <c r="N943" s="793">
        <f>'Ch9'!O42</f>
        <v>0</v>
      </c>
      <c r="O943" s="793">
        <f>M944*S943*(W943="Met")</f>
        <v>0</v>
      </c>
      <c r="P943" s="64" t="b">
        <v>1</v>
      </c>
      <c r="Q943" s="64" t="b">
        <v>1</v>
      </c>
      <c r="R943" s="562" t="b">
        <f>S943</f>
        <v>1</v>
      </c>
      <c r="S943" s="562" t="b">
        <f>NOT(W955)</f>
        <v>1</v>
      </c>
      <c r="T943" s="64" t="b">
        <f>AND(NOT(S943),LEN(W943)&gt;0,W943&lt;&gt;"N/A")</f>
        <v>0</v>
      </c>
      <c r="U943" s="64" t="str">
        <f>SUBSTITUTE(SUBSTITUTE(SUBSTITUTE("dd"&amp;B943&amp;C943&amp;D943&amp;E943&amp;F943,".","_"),"(","_"),")","")</f>
        <v>dd901_2_1_1</v>
      </c>
      <c r="V943" s="562"/>
      <c r="W943" s="6"/>
      <c r="X943" s="787"/>
      <c r="Y943" s="980" t="str">
        <f>IF(LEN('Ch9'!X42)=0,"None",'Ch9'!X42)</f>
        <v>None</v>
      </c>
      <c r="Z943" s="983"/>
      <c r="AA943" s="562"/>
      <c r="AB943" s="562"/>
      <c r="AC943" s="562" t="b">
        <f>OR(AD943:AE943)</f>
        <v>1</v>
      </c>
      <c r="AD943" s="562" t="b">
        <f>T943</f>
        <v>0</v>
      </c>
      <c r="AE943" s="562" t="b">
        <f>AND(R943,OR(W943="Not Met",W943=""))</f>
        <v>1</v>
      </c>
      <c r="AF943" s="562" t="b">
        <f>AND(AE943,NOT(Q943))</f>
        <v>0</v>
      </c>
      <c r="AG943" s="562"/>
      <c r="AH943" s="562"/>
      <c r="AI943" s="562"/>
      <c r="AJ943" s="562"/>
      <c r="AK943" s="562"/>
      <c r="AL943" s="562"/>
      <c r="AM943" s="562"/>
      <c r="AN943" s="190" t="str">
        <f>SUBSTITUTE(SUBSTITUTE(SUBSTITUTE("vpc"&amp;$B943&amp;$C943&amp;$D943&amp;$E943&amp;$F943,".","_"),"(","_"),")","")</f>
        <v>vpc901_2_1_1</v>
      </c>
      <c r="AO943" s="190">
        <f>O943</f>
        <v>0</v>
      </c>
      <c r="AP943" s="190" t="str">
        <f>SUBSTITUTE(SUBSTITUTE(SUBSTITUTE("vch"&amp;$B943&amp;$C943&amp;$D943&amp;$E943&amp;$F943,".","_"),"(","_"),")","")</f>
        <v>vch901_2_1_1</v>
      </c>
      <c r="AQ943" s="190">
        <f>W943</f>
        <v>0</v>
      </c>
      <c r="AR943" s="190" t="str">
        <f>SUBSTITUTE(SUBSTITUTE(SUBSTITUTE("vnt"&amp;$B943&amp;$C943&amp;$D943&amp;$E943&amp;$F943,".","_"),"(","_"),")","")</f>
        <v>vnt901_2_1_1</v>
      </c>
      <c r="AS943" s="190">
        <f>X943</f>
        <v>0</v>
      </c>
      <c r="AT943" s="562"/>
      <c r="AU943" s="562"/>
      <c r="AV943" s="562"/>
      <c r="AW943" s="562"/>
      <c r="AX943" s="594" t="str">
        <f>'Overview (Verification)'!A14</f>
        <v>Zip:</v>
      </c>
      <c r="AY943" s="562" t="str">
        <f>IF(LEN('Overview (Verification)'!P14)=0,0,'Overview (Verification)'!P14)</f>
        <v>99999</v>
      </c>
      <c r="AZ943" s="562"/>
      <c r="BA943" s="562"/>
      <c r="BB943" s="562"/>
      <c r="BC943" s="562"/>
      <c r="BD943" s="562"/>
      <c r="BE943" s="562"/>
      <c r="BF943" s="562"/>
      <c r="BG943" s="562"/>
      <c r="BH943" s="562"/>
    </row>
    <row r="944" spans="1:60" x14ac:dyDescent="0.2">
      <c r="A944" s="541">
        <v>9</v>
      </c>
      <c r="B944" s="551" t="s">
        <v>3015</v>
      </c>
      <c r="C944" s="544"/>
      <c r="D944" s="544"/>
      <c r="E944" s="544" t="s">
        <v>2181</v>
      </c>
      <c r="F944" s="544"/>
      <c r="G944" s="543" t="s">
        <v>3343</v>
      </c>
      <c r="H944" s="541" t="s">
        <v>3751</v>
      </c>
      <c r="I944" s="121"/>
      <c r="J944" s="98"/>
      <c r="K944" s="98"/>
      <c r="L944" s="791"/>
      <c r="M944" s="800">
        <v>4</v>
      </c>
      <c r="N944" s="793"/>
      <c r="O944" s="793"/>
      <c r="P944" s="562"/>
      <c r="Q944" s="562"/>
      <c r="R944" s="562"/>
      <c r="S944" s="562"/>
      <c r="T944" s="562"/>
      <c r="U944" s="562"/>
      <c r="V944" s="562"/>
      <c r="W944" s="562"/>
      <c r="X944" s="787"/>
      <c r="Y944" s="980"/>
      <c r="Z944" s="983"/>
      <c r="AA944" s="562"/>
      <c r="AB944" s="562"/>
      <c r="AC944" s="562"/>
      <c r="AD944" s="562"/>
      <c r="AE944" s="562"/>
      <c r="AF944" s="562"/>
      <c r="AG944" s="562"/>
      <c r="AH944" s="562"/>
      <c r="AI944" s="562"/>
      <c r="AJ944" s="562"/>
      <c r="AK944" s="562"/>
      <c r="AL944" s="190" t="str">
        <f t="shared" ref="AL944" si="266">SUBSTITUTE(SUBSTITUTE(SUBSTITUTE("vpa"&amp;$B944&amp;$C944&amp;$D944&amp;$E944&amp;$F944,".","_"),"(","_"),")","")</f>
        <v>vpa901_2_1_1</v>
      </c>
      <c r="AM944" s="190">
        <f>M944</f>
        <v>4</v>
      </c>
      <c r="AN944" s="562"/>
      <c r="AO944" s="562"/>
      <c r="AP944" s="562"/>
      <c r="AQ944" s="562"/>
      <c r="AR944" s="562"/>
      <c r="AS944" s="562"/>
      <c r="AT944" s="562"/>
      <c r="AU944" s="562"/>
      <c r="AV944" s="562"/>
      <c r="AW944" s="562"/>
      <c r="AX944" s="594"/>
      <c r="AY944" s="562"/>
      <c r="AZ944" s="562"/>
      <c r="BA944" s="562"/>
      <c r="BB944" s="562"/>
      <c r="BC944" s="562"/>
      <c r="BD944" s="562"/>
      <c r="BE944" s="562"/>
      <c r="BF944" s="562"/>
      <c r="BG944" s="562"/>
      <c r="BH944" s="562"/>
    </row>
    <row r="945" spans="1:60" x14ac:dyDescent="0.2">
      <c r="A945" s="541">
        <v>9</v>
      </c>
      <c r="B945" s="551" t="s">
        <v>3015</v>
      </c>
      <c r="C945" s="544"/>
      <c r="D945" s="544"/>
      <c r="E945" s="544" t="s">
        <v>2181</v>
      </c>
      <c r="F945" s="544"/>
      <c r="G945" s="543" t="s">
        <v>3343</v>
      </c>
      <c r="H945" s="541" t="s">
        <v>3751</v>
      </c>
      <c r="I945" s="121"/>
      <c r="J945" s="165"/>
      <c r="K945" s="165"/>
      <c r="L945" s="792"/>
      <c r="M945" s="801"/>
      <c r="N945" s="794"/>
      <c r="O945" s="794"/>
      <c r="P945" s="562"/>
      <c r="Q945" s="562"/>
      <c r="R945" s="562"/>
      <c r="S945" s="562"/>
      <c r="T945" s="562"/>
      <c r="U945" s="562"/>
      <c r="V945" s="562"/>
      <c r="W945" s="562"/>
      <c r="X945" s="787"/>
      <c r="Y945" s="980"/>
      <c r="Z945" s="983"/>
      <c r="AA945" s="562"/>
      <c r="AB945" s="562"/>
      <c r="AC945" s="562"/>
      <c r="AD945" s="562"/>
      <c r="AE945" s="562"/>
      <c r="AF945" s="562"/>
      <c r="AG945" s="562"/>
      <c r="AH945" s="562"/>
      <c r="AI945" s="562"/>
      <c r="AJ945" s="562"/>
      <c r="AK945" s="562"/>
      <c r="AL945" s="562"/>
      <c r="AM945" s="562"/>
      <c r="AN945" s="562"/>
      <c r="AO945" s="562"/>
      <c r="AP945" s="562"/>
      <c r="AQ945" s="562"/>
      <c r="AR945" s="562"/>
      <c r="AS945" s="562"/>
      <c r="AT945" s="562"/>
      <c r="AU945" s="562"/>
      <c r="AV945" s="562"/>
      <c r="AW945" s="562"/>
      <c r="AX945" s="594" t="str">
        <f>'Overview (Verification)'!A16</f>
        <v>Single-Family or Multifamily:</v>
      </c>
      <c r="AY945" s="562" t="str">
        <f>IF(LEN('Overview (Verification)'!P16)=0,0,'Overview (Verification)'!P16)</f>
        <v>Single-Family</v>
      </c>
      <c r="AZ945" s="562"/>
      <c r="BA945" s="562"/>
      <c r="BB945" s="562"/>
      <c r="BC945" s="562"/>
      <c r="BD945" s="562"/>
      <c r="BE945" s="562"/>
      <c r="BF945" s="562"/>
      <c r="BG945" s="562"/>
      <c r="BH945" s="562"/>
    </row>
    <row r="946" spans="1:60" x14ac:dyDescent="0.2">
      <c r="A946" s="541">
        <v>9</v>
      </c>
      <c r="B946" s="551" t="s">
        <v>3015</v>
      </c>
      <c r="C946" s="544"/>
      <c r="D946" s="544"/>
      <c r="E946" s="544" t="s">
        <v>2183</v>
      </c>
      <c r="F946" s="544"/>
      <c r="G946" s="543" t="s">
        <v>3343</v>
      </c>
      <c r="H946" s="541" t="s">
        <v>3751</v>
      </c>
      <c r="I946" s="121"/>
      <c r="J946" s="134" t="s">
        <v>2183</v>
      </c>
      <c r="K946" s="98"/>
      <c r="L946" s="791" t="s">
        <v>3019</v>
      </c>
      <c r="M946" s="630" t="str">
        <f>IF(R946,"Mandatory","N/A")</f>
        <v>Mandatory</v>
      </c>
      <c r="N946" s="793">
        <f>'Ch9'!O45</f>
        <v>0</v>
      </c>
      <c r="O946" s="793">
        <f>M947*S946*(W946="Met")</f>
        <v>0</v>
      </c>
      <c r="P946" s="64" t="b">
        <v>1</v>
      </c>
      <c r="Q946" s="64" t="b">
        <v>1</v>
      </c>
      <c r="R946" s="562" t="b">
        <f>S946</f>
        <v>1</v>
      </c>
      <c r="S946" s="562" t="b">
        <f>NOT(W955)</f>
        <v>1</v>
      </c>
      <c r="T946" s="64" t="b">
        <f>AND(NOT(S946),LEN(W946)&gt;0,W946&lt;&gt;"N/A")</f>
        <v>0</v>
      </c>
      <c r="U946" s="64" t="str">
        <f>SUBSTITUTE(SUBSTITUTE(SUBSTITUTE("dd"&amp;B946&amp;C946&amp;D946&amp;E946&amp;F946,".","_"),"(","_"),")","")</f>
        <v>dd901_2_1_2</v>
      </c>
      <c r="V946" s="562"/>
      <c r="W946" s="6"/>
      <c r="X946" s="787"/>
      <c r="Y946" s="980" t="str">
        <f>IF(LEN('Ch9'!X45)=0,"None",'Ch9'!X45)</f>
        <v>None</v>
      </c>
      <c r="Z946" s="983"/>
      <c r="AA946" s="562"/>
      <c r="AB946" s="562"/>
      <c r="AC946" s="562" t="b">
        <f>OR(AD946:AE946)</f>
        <v>1</v>
      </c>
      <c r="AD946" s="562" t="b">
        <f>T946</f>
        <v>0</v>
      </c>
      <c r="AE946" s="562" t="b">
        <f>AND(R946,OR(W946="Not Met",W946=""))</f>
        <v>1</v>
      </c>
      <c r="AF946" s="562" t="b">
        <f>AND(AE946,NOT(Q946))</f>
        <v>0</v>
      </c>
      <c r="AG946" s="562"/>
      <c r="AH946" s="562"/>
      <c r="AI946" s="562"/>
      <c r="AJ946" s="562"/>
      <c r="AK946" s="562"/>
      <c r="AL946" s="562"/>
      <c r="AM946" s="562"/>
      <c r="AN946" s="190" t="str">
        <f>SUBSTITUTE(SUBSTITUTE(SUBSTITUTE("vpc"&amp;$B946&amp;$C946&amp;$D946&amp;$E946&amp;$F946,".","_"),"(","_"),")","")</f>
        <v>vpc901_2_1_2</v>
      </c>
      <c r="AO946" s="190">
        <f>O946</f>
        <v>0</v>
      </c>
      <c r="AP946" s="190" t="str">
        <f>SUBSTITUTE(SUBSTITUTE(SUBSTITUTE("vch"&amp;$B946&amp;$C946&amp;$D946&amp;$E946&amp;$F946,".","_"),"(","_"),")","")</f>
        <v>vch901_2_1_2</v>
      </c>
      <c r="AQ946" s="190">
        <f>W946</f>
        <v>0</v>
      </c>
      <c r="AR946" s="190" t="str">
        <f>SUBSTITUTE(SUBSTITUTE(SUBSTITUTE("vnt"&amp;$B946&amp;$C946&amp;$D946&amp;$E946&amp;$F946,".","_"),"(","_"),")","")</f>
        <v>vnt901_2_1_2</v>
      </c>
      <c r="AS946" s="190">
        <f>X946</f>
        <v>0</v>
      </c>
      <c r="AT946" s="562"/>
      <c r="AU946" s="562"/>
      <c r="AV946" s="562"/>
      <c r="AW946" s="562"/>
      <c r="AX946" s="594" t="str">
        <f>'Overview (Verification)'!A17</f>
        <v>Number of Units:</v>
      </c>
      <c r="AY946" s="562">
        <f>IF(LEN('Overview (Verification)'!P17)=0,0,'Overview (Verification)'!P17)</f>
        <v>0</v>
      </c>
      <c r="AZ946" s="562"/>
      <c r="BA946" s="562"/>
      <c r="BB946" s="562"/>
      <c r="BC946" s="562"/>
      <c r="BD946" s="562"/>
      <c r="BE946" s="562"/>
      <c r="BF946" s="562"/>
      <c r="BG946" s="562"/>
      <c r="BH946" s="562"/>
    </row>
    <row r="947" spans="1:60" x14ac:dyDescent="0.2">
      <c r="A947" s="541">
        <v>9</v>
      </c>
      <c r="B947" s="551" t="s">
        <v>3015</v>
      </c>
      <c r="C947" s="544"/>
      <c r="D947" s="544"/>
      <c r="E947" s="544" t="s">
        <v>2183</v>
      </c>
      <c r="F947" s="544"/>
      <c r="G947" s="543" t="s">
        <v>3343</v>
      </c>
      <c r="H947" s="541" t="s">
        <v>3751</v>
      </c>
      <c r="I947" s="121"/>
      <c r="J947" s="159"/>
      <c r="K947" s="165"/>
      <c r="L947" s="792"/>
      <c r="M947" s="611">
        <v>6</v>
      </c>
      <c r="N947" s="794"/>
      <c r="O947" s="794"/>
      <c r="P947" s="562"/>
      <c r="Q947" s="562"/>
      <c r="R947" s="562"/>
      <c r="S947" s="562"/>
      <c r="T947" s="562"/>
      <c r="U947" s="562"/>
      <c r="V947" s="562"/>
      <c r="W947" s="562"/>
      <c r="X947" s="787"/>
      <c r="Y947" s="980"/>
      <c r="Z947" s="983"/>
      <c r="AA947" s="562"/>
      <c r="AB947" s="562"/>
      <c r="AC947" s="562"/>
      <c r="AD947" s="562"/>
      <c r="AE947" s="562"/>
      <c r="AF947" s="562"/>
      <c r="AG947" s="562"/>
      <c r="AH947" s="562"/>
      <c r="AI947" s="562"/>
      <c r="AJ947" s="562"/>
      <c r="AK947" s="562"/>
      <c r="AL947" s="190" t="str">
        <f t="shared" ref="AL947" si="267">SUBSTITUTE(SUBSTITUTE(SUBSTITUTE("vpa"&amp;$B947&amp;$C947&amp;$D947&amp;$E947&amp;$F947,".","_"),"(","_"),")","")</f>
        <v>vpa901_2_1_2</v>
      </c>
      <c r="AM947" s="190">
        <f>M947</f>
        <v>6</v>
      </c>
      <c r="AN947" s="562"/>
      <c r="AO947" s="562"/>
      <c r="AP947" s="562"/>
      <c r="AQ947" s="562"/>
      <c r="AR947" s="562"/>
      <c r="AS947" s="562"/>
      <c r="AT947" s="562"/>
      <c r="AU947" s="562"/>
      <c r="AV947" s="562"/>
      <c r="AW947" s="562"/>
      <c r="AX947" s="594" t="str">
        <f>'Overview (Verification)'!A18</f>
        <v>Project Name:</v>
      </c>
      <c r="AY947" s="562">
        <f>IF(LEN('Overview (Verification)'!P18)=0,0,'Overview (Verification)'!P18)</f>
        <v>0</v>
      </c>
      <c r="AZ947" s="562"/>
      <c r="BA947" s="562"/>
      <c r="BB947" s="562"/>
      <c r="BC947" s="562"/>
      <c r="BD947" s="562"/>
      <c r="BE947" s="562"/>
      <c r="BF947" s="562"/>
      <c r="BG947" s="562"/>
      <c r="BH947" s="562"/>
    </row>
    <row r="948" spans="1:60" x14ac:dyDescent="0.2">
      <c r="A948" s="541">
        <v>9</v>
      </c>
      <c r="B948" s="551" t="s">
        <v>3015</v>
      </c>
      <c r="C948" s="544"/>
      <c r="D948" s="544"/>
      <c r="E948" s="544" t="s">
        <v>2185</v>
      </c>
      <c r="F948" s="544"/>
      <c r="G948" s="543" t="s">
        <v>3343</v>
      </c>
      <c r="H948" s="541" t="s">
        <v>3751</v>
      </c>
      <c r="I948" s="121"/>
      <c r="J948" s="134" t="s">
        <v>2185</v>
      </c>
      <c r="K948" s="98"/>
      <c r="L948" s="791" t="s">
        <v>3020</v>
      </c>
      <c r="M948" s="630" t="str">
        <f>IF(R948,"Mandatory","N/A")</f>
        <v>Mandatory</v>
      </c>
      <c r="N948" s="793">
        <f>'Ch9'!O47</f>
        <v>0</v>
      </c>
      <c r="O948" s="793">
        <f>M949*S948*(W948="Met")</f>
        <v>0</v>
      </c>
      <c r="P948" s="64" t="b">
        <v>1</v>
      </c>
      <c r="Q948" s="64" t="b">
        <v>1</v>
      </c>
      <c r="R948" s="562" t="b">
        <f>S948</f>
        <v>1</v>
      </c>
      <c r="S948" s="562" t="b">
        <f>NOT(W955)</f>
        <v>1</v>
      </c>
      <c r="T948" s="64" t="b">
        <f>AND(NOT(S948),LEN(W948)&gt;0,W948&lt;&gt;"N/A")</f>
        <v>0</v>
      </c>
      <c r="U948" s="64" t="str">
        <f>SUBSTITUTE(SUBSTITUTE(SUBSTITUTE("dd"&amp;B948&amp;C948&amp;D948&amp;E948&amp;F948,".","_"),"(","_"),")","")</f>
        <v>dd901_2_1_3</v>
      </c>
      <c r="V948" s="562"/>
      <c r="W948" s="6"/>
      <c r="X948" s="787"/>
      <c r="Y948" s="980" t="str">
        <f>IF(LEN('Ch9'!X47)=0,"None",'Ch9'!X47)</f>
        <v>None</v>
      </c>
      <c r="Z948" s="983"/>
      <c r="AA948" s="562"/>
      <c r="AB948" s="562"/>
      <c r="AC948" s="562" t="b">
        <f>OR(AD948:AE948)</f>
        <v>1</v>
      </c>
      <c r="AD948" s="562" t="b">
        <f>T948</f>
        <v>0</v>
      </c>
      <c r="AE948" s="562" t="b">
        <f>AND(R948,OR(W948="Not Met",W948=""))</f>
        <v>1</v>
      </c>
      <c r="AF948" s="562" t="b">
        <f>AND(AE948,NOT(Q948))</f>
        <v>0</v>
      </c>
      <c r="AG948" s="562"/>
      <c r="AH948" s="562"/>
      <c r="AI948" s="562"/>
      <c r="AJ948" s="562"/>
      <c r="AK948" s="562"/>
      <c r="AL948" s="562"/>
      <c r="AM948" s="562"/>
      <c r="AN948" s="190" t="str">
        <f>SUBSTITUTE(SUBSTITUTE(SUBSTITUTE("vpc"&amp;$B948&amp;$C948&amp;$D948&amp;$E948&amp;$F948,".","_"),"(","_"),")","")</f>
        <v>vpc901_2_1_3</v>
      </c>
      <c r="AO948" s="190">
        <f>O948</f>
        <v>0</v>
      </c>
      <c r="AP948" s="190" t="str">
        <f>SUBSTITUTE(SUBSTITUTE(SUBSTITUTE("vch"&amp;$B948&amp;$C948&amp;$D948&amp;$E948&amp;$F948,".","_"),"(","_"),")","")</f>
        <v>vch901_2_1_3</v>
      </c>
      <c r="AQ948" s="190">
        <f>W948</f>
        <v>0</v>
      </c>
      <c r="AR948" s="190" t="str">
        <f>SUBSTITUTE(SUBSTITUTE(SUBSTITUTE("vnt"&amp;$B948&amp;$C948&amp;$D948&amp;$E948&amp;$F948,".","_"),"(","_"),")","")</f>
        <v>vnt901_2_1_3</v>
      </c>
      <c r="AS948" s="190">
        <f>X948</f>
        <v>0</v>
      </c>
      <c r="AT948" s="562"/>
      <c r="AU948" s="562"/>
      <c r="AV948" s="562"/>
      <c r="AW948" s="562"/>
      <c r="AX948" s="562"/>
      <c r="AY948" s="562"/>
      <c r="AZ948" s="562"/>
      <c r="BA948" s="562"/>
      <c r="BB948" s="562"/>
      <c r="BC948" s="562"/>
      <c r="BD948" s="562"/>
      <c r="BE948" s="562"/>
      <c r="BF948" s="562"/>
      <c r="BG948" s="562"/>
      <c r="BH948" s="562"/>
    </row>
    <row r="949" spans="1:60" x14ac:dyDescent="0.2">
      <c r="A949" s="541">
        <v>9</v>
      </c>
      <c r="B949" s="551" t="s">
        <v>3015</v>
      </c>
      <c r="C949" s="544"/>
      <c r="D949" s="544"/>
      <c r="E949" s="544" t="s">
        <v>2185</v>
      </c>
      <c r="F949" s="544"/>
      <c r="G949" s="543" t="s">
        <v>3343</v>
      </c>
      <c r="H949" s="541" t="s">
        <v>3751</v>
      </c>
      <c r="I949" s="121"/>
      <c r="J949" s="134"/>
      <c r="K949" s="98"/>
      <c r="L949" s="791"/>
      <c r="M949" s="800">
        <v>6</v>
      </c>
      <c r="N949" s="793"/>
      <c r="O949" s="793"/>
      <c r="P949" s="562"/>
      <c r="Q949" s="562"/>
      <c r="R949" s="562"/>
      <c r="S949" s="562"/>
      <c r="T949" s="562"/>
      <c r="U949" s="562"/>
      <c r="V949" s="562"/>
      <c r="W949" s="562"/>
      <c r="X949" s="787"/>
      <c r="Y949" s="980"/>
      <c r="Z949" s="983"/>
      <c r="AA949" s="562"/>
      <c r="AB949" s="562"/>
      <c r="AC949" s="562"/>
      <c r="AD949" s="562"/>
      <c r="AE949" s="562"/>
      <c r="AF949" s="562"/>
      <c r="AG949" s="562"/>
      <c r="AH949" s="562"/>
      <c r="AI949" s="562"/>
      <c r="AJ949" s="562"/>
      <c r="AK949" s="562"/>
      <c r="AL949" s="190" t="str">
        <f t="shared" ref="AL949" si="268">SUBSTITUTE(SUBSTITUTE(SUBSTITUTE("vpa"&amp;$B949&amp;$C949&amp;$D949&amp;$E949&amp;$F949,".","_"),"(","_"),")","")</f>
        <v>vpa901_2_1_3</v>
      </c>
      <c r="AM949" s="190">
        <f>M949</f>
        <v>6</v>
      </c>
      <c r="AN949" s="562"/>
      <c r="AO949" s="562"/>
      <c r="AP949" s="562"/>
      <c r="AQ949" s="562"/>
      <c r="AR949" s="562"/>
      <c r="AS949" s="562"/>
      <c r="AT949" s="562"/>
      <c r="AU949" s="562"/>
      <c r="AV949" s="562"/>
      <c r="AW949" s="562"/>
      <c r="AX949" s="594" t="str">
        <f>'Overview (Verification)'!A20</f>
        <v>Year Built:</v>
      </c>
      <c r="AY949" s="562">
        <f>IF(LEN('Overview (Verification)'!P20)=0,0,'Overview (Verification)'!P20)</f>
        <v>1993</v>
      </c>
      <c r="AZ949" s="562"/>
      <c r="BA949" s="562"/>
      <c r="BB949" s="562"/>
      <c r="BC949" s="562"/>
      <c r="BD949" s="562"/>
      <c r="BE949" s="562"/>
      <c r="BF949" s="562"/>
      <c r="BG949" s="562"/>
      <c r="BH949" s="562"/>
    </row>
    <row r="950" spans="1:60" x14ac:dyDescent="0.2">
      <c r="A950" s="541">
        <v>9</v>
      </c>
      <c r="B950" s="551" t="s">
        <v>3015</v>
      </c>
      <c r="C950" s="544"/>
      <c r="D950" s="544"/>
      <c r="E950" s="544" t="s">
        <v>2185</v>
      </c>
      <c r="F950" s="544"/>
      <c r="G950" s="543" t="s">
        <v>3343</v>
      </c>
      <c r="H950" s="541" t="s">
        <v>3751</v>
      </c>
      <c r="I950" s="121"/>
      <c r="J950" s="159"/>
      <c r="K950" s="165"/>
      <c r="L950" s="792"/>
      <c r="M950" s="801"/>
      <c r="N950" s="794"/>
      <c r="O950" s="794"/>
      <c r="P950" s="562"/>
      <c r="Q950" s="562"/>
      <c r="R950" s="562"/>
      <c r="S950" s="562"/>
      <c r="T950" s="562"/>
      <c r="U950" s="562"/>
      <c r="V950" s="562"/>
      <c r="W950" s="562"/>
      <c r="X950" s="787"/>
      <c r="Y950" s="980"/>
      <c r="Z950" s="983"/>
      <c r="AA950" s="562"/>
      <c r="AB950" s="562"/>
      <c r="AC950" s="562"/>
      <c r="AD950" s="562"/>
      <c r="AE950" s="562"/>
      <c r="AF950" s="562"/>
      <c r="AG950" s="562"/>
      <c r="AH950" s="562"/>
      <c r="AI950" s="562"/>
      <c r="AJ950" s="562"/>
      <c r="AK950" s="562"/>
      <c r="AL950" s="562"/>
      <c r="AM950" s="562"/>
      <c r="AN950" s="562"/>
      <c r="AO950" s="562"/>
      <c r="AP950" s="562"/>
      <c r="AQ950" s="562"/>
      <c r="AR950" s="562"/>
      <c r="AS950" s="562"/>
      <c r="AT950" s="562"/>
      <c r="AU950" s="562"/>
      <c r="AV950" s="562"/>
      <c r="AW950" s="562"/>
      <c r="AX950" s="594" t="str">
        <f>'Overview (Verification)'!A21</f>
        <v>Above grade plane finished floor area:</v>
      </c>
      <c r="AY950" s="562">
        <f>IF(LEN('Overview (Verification)'!P21)=0,0,'Overview (Verification)'!P21)</f>
        <v>0</v>
      </c>
      <c r="AZ950" s="562"/>
      <c r="BA950" s="562"/>
      <c r="BB950" s="562"/>
      <c r="BC950" s="562"/>
      <c r="BD950" s="562"/>
      <c r="BE950" s="562"/>
      <c r="BF950" s="562"/>
      <c r="BG950" s="562"/>
      <c r="BH950" s="562"/>
    </row>
    <row r="951" spans="1:60" x14ac:dyDescent="0.2">
      <c r="A951" s="541">
        <v>9</v>
      </c>
      <c r="B951" s="551" t="s">
        <v>3015</v>
      </c>
      <c r="C951" s="544"/>
      <c r="D951" s="544"/>
      <c r="E951" s="544" t="s">
        <v>2192</v>
      </c>
      <c r="F951" s="544"/>
      <c r="G951" s="543" t="s">
        <v>3343</v>
      </c>
      <c r="H951" s="541" t="s">
        <v>3751</v>
      </c>
      <c r="I951" s="121"/>
      <c r="J951" s="134" t="s">
        <v>2192</v>
      </c>
      <c r="K951" s="98"/>
      <c r="L951" s="776" t="s">
        <v>3021</v>
      </c>
      <c r="M951" s="630" t="str">
        <f>IF(R951,"Mandatory","N/A")</f>
        <v>Mandatory</v>
      </c>
      <c r="N951" s="793">
        <f>'Ch9'!O50</f>
        <v>0</v>
      </c>
      <c r="O951" s="793">
        <f>M952*S951*(W951="Met")</f>
        <v>0</v>
      </c>
      <c r="P951" s="64" t="b">
        <v>1</v>
      </c>
      <c r="Q951" s="64" t="b">
        <v>1</v>
      </c>
      <c r="R951" s="562" t="b">
        <f>S951</f>
        <v>1</v>
      </c>
      <c r="S951" s="562" t="b">
        <f>NOT(W955)</f>
        <v>1</v>
      </c>
      <c r="T951" s="64" t="b">
        <f>AND(NOT(S951),LEN(W951)&gt;0,W951&lt;&gt;"N/A")</f>
        <v>0</v>
      </c>
      <c r="U951" s="64" t="str">
        <f>SUBSTITUTE(SUBSTITUTE(SUBSTITUTE("dd"&amp;B951&amp;C951&amp;D951&amp;E951&amp;F951,".","_"),"(","_"),")","")</f>
        <v>dd901_2_1_4</v>
      </c>
      <c r="V951" s="562"/>
      <c r="W951" s="6"/>
      <c r="X951" s="787"/>
      <c r="Y951" s="980" t="str">
        <f>IF(LEN('Ch9'!X50)=0,"None",'Ch9'!X50)</f>
        <v>None</v>
      </c>
      <c r="Z951" s="983"/>
      <c r="AA951" s="562"/>
      <c r="AB951" s="562"/>
      <c r="AC951" s="562" t="b">
        <f>OR(AD951:AE951)</f>
        <v>1</v>
      </c>
      <c r="AD951" s="562" t="b">
        <f>T951</f>
        <v>0</v>
      </c>
      <c r="AE951" s="562" t="b">
        <f>AND(R951,OR(W951="Not Met",W951=""))</f>
        <v>1</v>
      </c>
      <c r="AF951" s="562" t="b">
        <f>AND(AE951,NOT(Q951))</f>
        <v>0</v>
      </c>
      <c r="AG951" s="562"/>
      <c r="AH951" s="562"/>
      <c r="AI951" s="562"/>
      <c r="AJ951" s="562"/>
      <c r="AK951" s="562"/>
      <c r="AL951" s="562"/>
      <c r="AM951" s="562"/>
      <c r="AN951" s="190" t="str">
        <f>SUBSTITUTE(SUBSTITUTE(SUBSTITUTE("vpc"&amp;$B951&amp;$C951&amp;$D951&amp;$E951&amp;$F951,".","_"),"(","_"),")","")</f>
        <v>vpc901_2_1_4</v>
      </c>
      <c r="AO951" s="190">
        <f>O951</f>
        <v>0</v>
      </c>
      <c r="AP951" s="190" t="str">
        <f>SUBSTITUTE(SUBSTITUTE(SUBSTITUTE("vch"&amp;$B951&amp;$C951&amp;$D951&amp;$E951&amp;$F951,".","_"),"(","_"),")","")</f>
        <v>vch901_2_1_4</v>
      </c>
      <c r="AQ951" s="190">
        <f>W951</f>
        <v>0</v>
      </c>
      <c r="AR951" s="190" t="str">
        <f>SUBSTITUTE(SUBSTITUTE(SUBSTITUTE("vnt"&amp;$B951&amp;$C951&amp;$D951&amp;$E951&amp;$F951,".","_"),"(","_"),")","")</f>
        <v>vnt901_2_1_4</v>
      </c>
      <c r="AS951" s="190">
        <f>X951</f>
        <v>0</v>
      </c>
      <c r="AT951" s="562"/>
      <c r="AU951" s="562"/>
      <c r="AV951" s="562"/>
      <c r="AW951" s="562"/>
      <c r="AX951" s="594" t="str">
        <f>'Overview (Verification)'!A22</f>
        <v>Total conditioned floor area:</v>
      </c>
      <c r="AY951" s="562">
        <f>IF(LEN('Overview (Verification)'!P22)=0,0,'Overview (Verification)'!P22)</f>
        <v>0</v>
      </c>
      <c r="AZ951" s="562"/>
      <c r="BA951" s="562"/>
      <c r="BB951" s="562"/>
      <c r="BC951" s="562"/>
      <c r="BD951" s="562"/>
      <c r="BE951" s="562"/>
      <c r="BF951" s="562"/>
      <c r="BG951" s="562"/>
      <c r="BH951" s="562"/>
    </row>
    <row r="952" spans="1:60" x14ac:dyDescent="0.2">
      <c r="A952" s="541">
        <v>9</v>
      </c>
      <c r="B952" s="551" t="s">
        <v>3015</v>
      </c>
      <c r="C952" s="544"/>
      <c r="D952" s="544"/>
      <c r="E952" s="544" t="s">
        <v>2192</v>
      </c>
      <c r="F952" s="544"/>
      <c r="G952" s="543" t="s">
        <v>3343</v>
      </c>
      <c r="H952" s="541" t="s">
        <v>3751</v>
      </c>
      <c r="I952" s="121"/>
      <c r="J952" s="159"/>
      <c r="K952" s="165"/>
      <c r="L952" s="777"/>
      <c r="M952" s="611">
        <v>6</v>
      </c>
      <c r="N952" s="794"/>
      <c r="O952" s="794"/>
      <c r="P952" s="562"/>
      <c r="Q952" s="562"/>
      <c r="R952" s="562"/>
      <c r="S952" s="562"/>
      <c r="T952" s="562"/>
      <c r="U952" s="562"/>
      <c r="V952" s="562"/>
      <c r="W952" s="562"/>
      <c r="X952" s="787"/>
      <c r="Y952" s="980"/>
      <c r="Z952" s="983"/>
      <c r="AA952" s="562"/>
      <c r="AB952" s="562"/>
      <c r="AC952" s="562"/>
      <c r="AD952" s="562"/>
      <c r="AE952" s="562"/>
      <c r="AF952" s="562"/>
      <c r="AG952" s="562"/>
      <c r="AH952" s="562"/>
      <c r="AI952" s="562"/>
      <c r="AJ952" s="562"/>
      <c r="AK952" s="562"/>
      <c r="AL952" s="190" t="str">
        <f t="shared" ref="AL952" si="269">SUBSTITUTE(SUBSTITUTE(SUBSTITUTE("vpa"&amp;$B952&amp;$C952&amp;$D952&amp;$E952&amp;$F952,".","_"),"(","_"),")","")</f>
        <v>vpa901_2_1_4</v>
      </c>
      <c r="AM952" s="190">
        <f>M952</f>
        <v>6</v>
      </c>
      <c r="AN952" s="562"/>
      <c r="AO952" s="562"/>
      <c r="AP952" s="562"/>
      <c r="AQ952" s="562"/>
      <c r="AR952" s="562"/>
      <c r="AS952" s="562"/>
      <c r="AT952" s="562"/>
      <c r="AU952" s="562"/>
      <c r="AV952" s="562"/>
      <c r="AW952" s="562"/>
      <c r="AX952" s="594" t="str">
        <f>'Overview (Verification)'!A23</f>
        <v>Stories above grade:</v>
      </c>
      <c r="AY952" s="562">
        <f>IF(LEN('Overview (Verification)'!P23)=0,0,'Overview (Verification)'!P23)</f>
        <v>0</v>
      </c>
      <c r="AZ952" s="562"/>
      <c r="BA952" s="562"/>
      <c r="BB952" s="562"/>
      <c r="BC952" s="562"/>
      <c r="BD952" s="562"/>
      <c r="BE952" s="562"/>
      <c r="BF952" s="562"/>
      <c r="BG952" s="562"/>
      <c r="BH952" s="562"/>
    </row>
    <row r="953" spans="1:60" x14ac:dyDescent="0.2">
      <c r="A953" s="541">
        <v>9</v>
      </c>
      <c r="B953" s="551" t="s">
        <v>3015</v>
      </c>
      <c r="C953" s="544"/>
      <c r="D953" s="544"/>
      <c r="E953" s="544" t="s">
        <v>2194</v>
      </c>
      <c r="F953" s="544"/>
      <c r="G953" s="543" t="s">
        <v>3343</v>
      </c>
      <c r="H953" s="541" t="s">
        <v>3751</v>
      </c>
      <c r="I953" s="253"/>
      <c r="J953" s="134" t="s">
        <v>2194</v>
      </c>
      <c r="K953" s="98"/>
      <c r="L953" s="791" t="s">
        <v>3022</v>
      </c>
      <c r="M953" s="630" t="str">
        <f>IF(R953,"Mandatory","N/A")</f>
        <v>Mandatory</v>
      </c>
      <c r="N953" s="793">
        <f>'Ch9'!O52</f>
        <v>0</v>
      </c>
      <c r="O953" s="793">
        <f>M954*S953*(W953="Met")</f>
        <v>0</v>
      </c>
      <c r="P953" s="64" t="b">
        <v>1</v>
      </c>
      <c r="Q953" s="64" t="b">
        <v>1</v>
      </c>
      <c r="R953" s="64" t="b">
        <f>S953</f>
        <v>1</v>
      </c>
      <c r="S953" s="64" t="b">
        <f>NOT(W955)</f>
        <v>1</v>
      </c>
      <c r="T953" s="64" t="b">
        <f>AND(NOT(S953),LEN(W953)&gt;0,W953&lt;&gt;"N/A")</f>
        <v>0</v>
      </c>
      <c r="U953" s="64" t="str">
        <f>SUBSTITUTE(SUBSTITUTE(SUBSTITUTE("dd"&amp;B953&amp;C953&amp;D953&amp;E953&amp;F953,".","_"),"(","_"),")","")</f>
        <v>dd901_2_1_5</v>
      </c>
      <c r="V953" s="64"/>
      <c r="W953" s="6"/>
      <c r="X953" s="798"/>
      <c r="Y953" s="980" t="str">
        <f>IF(LEN('Ch9'!X52)=0,"None",'Ch9'!X52)</f>
        <v>None</v>
      </c>
      <c r="Z953" s="983"/>
      <c r="AA953" s="562"/>
      <c r="AB953" s="562"/>
      <c r="AC953" s="562" t="b">
        <f>OR(AD953:AE953)</f>
        <v>1</v>
      </c>
      <c r="AD953" s="562" t="b">
        <f>T953</f>
        <v>0</v>
      </c>
      <c r="AE953" s="562" t="b">
        <f>AND(R953,OR(W953="Not Met",W953=""))</f>
        <v>1</v>
      </c>
      <c r="AF953" s="562" t="b">
        <f>AND(AE953,NOT(Q953))</f>
        <v>0</v>
      </c>
      <c r="AG953" s="562"/>
      <c r="AH953" s="562"/>
      <c r="AI953" s="562"/>
      <c r="AJ953" s="562"/>
      <c r="AK953" s="562"/>
      <c r="AL953" s="562"/>
      <c r="AM953" s="562"/>
      <c r="AN953" s="190" t="str">
        <f>SUBSTITUTE(SUBSTITUTE(SUBSTITUTE("vpc"&amp;$B953&amp;$C953&amp;$D953&amp;$E953&amp;$F953,".","_"),"(","_"),")","")</f>
        <v>vpc901_2_1_5</v>
      </c>
      <c r="AO953" s="190">
        <f>O953</f>
        <v>0</v>
      </c>
      <c r="AP953" s="190" t="str">
        <f>SUBSTITUTE(SUBSTITUTE(SUBSTITUTE("vch"&amp;$B953&amp;$C953&amp;$D953&amp;$E953&amp;$F953,".","_"),"(","_"),")","")</f>
        <v>vch901_2_1_5</v>
      </c>
      <c r="AQ953" s="190">
        <f>W953</f>
        <v>0</v>
      </c>
      <c r="AR953" s="190" t="str">
        <f>SUBSTITUTE(SUBSTITUTE(SUBSTITUTE("vnt"&amp;$B953&amp;$C953&amp;$D953&amp;$E953&amp;$F953,".","_"),"(","_"),")","")</f>
        <v>vnt901_2_1_5</v>
      </c>
      <c r="AS953" s="190">
        <f>X953</f>
        <v>0</v>
      </c>
      <c r="AT953" s="562"/>
      <c r="AU953" s="562"/>
      <c r="AV953" s="562"/>
      <c r="AW953" s="562"/>
      <c r="AX953" s="594"/>
      <c r="AY953" s="562"/>
      <c r="AZ953" s="562"/>
      <c r="BA953" s="562"/>
      <c r="BB953" s="562"/>
      <c r="BC953" s="562"/>
      <c r="BD953" s="562"/>
      <c r="BE953" s="562"/>
      <c r="BF953" s="562"/>
      <c r="BG953" s="562"/>
      <c r="BH953" s="562"/>
    </row>
    <row r="954" spans="1:60" x14ac:dyDescent="0.2">
      <c r="A954" s="541">
        <v>9</v>
      </c>
      <c r="B954" s="551" t="s">
        <v>3015</v>
      </c>
      <c r="C954" s="544"/>
      <c r="D954" s="544"/>
      <c r="E954" s="544" t="s">
        <v>2194</v>
      </c>
      <c r="F954" s="544"/>
      <c r="G954" s="543" t="s">
        <v>3343</v>
      </c>
      <c r="H954" s="541" t="s">
        <v>3751</v>
      </c>
      <c r="I954" s="272"/>
      <c r="J954" s="159"/>
      <c r="K954" s="165"/>
      <c r="L954" s="792"/>
      <c r="M954" s="611">
        <v>6</v>
      </c>
      <c r="N954" s="794"/>
      <c r="O954" s="794"/>
      <c r="P954" s="129"/>
      <c r="Q954" s="129"/>
      <c r="R954" s="129"/>
      <c r="S954" s="129"/>
      <c r="T954" s="129"/>
      <c r="U954" s="129"/>
      <c r="V954" s="129"/>
      <c r="W954" s="129"/>
      <c r="X954" s="798"/>
      <c r="Y954" s="980"/>
      <c r="Z954" s="983"/>
      <c r="AA954" s="562"/>
      <c r="AB954" s="562"/>
      <c r="AC954" s="562"/>
      <c r="AD954" s="562"/>
      <c r="AE954" s="562"/>
      <c r="AF954" s="562"/>
      <c r="AG954" s="562"/>
      <c r="AH954" s="562"/>
      <c r="AI954" s="562"/>
      <c r="AJ954" s="562"/>
      <c r="AK954" s="562"/>
      <c r="AL954" s="190" t="str">
        <f t="shared" ref="AL954:AL955" si="270">SUBSTITUTE(SUBSTITUTE(SUBSTITUTE("vpa"&amp;$B954&amp;$C954&amp;$D954&amp;$E954&amp;$F954,".","_"),"(","_"),")","")</f>
        <v>vpa901_2_1_5</v>
      </c>
      <c r="AM954" s="190">
        <f>M954</f>
        <v>6</v>
      </c>
      <c r="AN954" s="562"/>
      <c r="AO954" s="562"/>
      <c r="AP954" s="562"/>
      <c r="AQ954" s="562"/>
      <c r="AR954" s="562"/>
      <c r="AS954" s="562"/>
      <c r="AT954" s="562"/>
      <c r="AU954" s="562"/>
      <c r="AV954" s="562"/>
      <c r="AW954" s="562"/>
      <c r="AX954" s="594" t="str">
        <f>'Overview (Verification)'!A25</f>
        <v xml:space="preserve">Project Description (optional): </v>
      </c>
      <c r="AY954" s="562" t="str">
        <f>IF(LEN('Overview (Verification)'!P25)=0,0,'Overview (Verification)'!P25)</f>
        <v>Test Description</v>
      </c>
      <c r="AZ954" s="562"/>
      <c r="BA954" s="562"/>
      <c r="BB954" s="562"/>
      <c r="BC954" s="562"/>
      <c r="BD954" s="562"/>
      <c r="BE954" s="562"/>
      <c r="BF954" s="562"/>
      <c r="BG954" s="562"/>
      <c r="BH954" s="562"/>
    </row>
    <row r="955" spans="1:60" ht="17" thickBot="1" x14ac:dyDescent="0.25">
      <c r="A955" s="541">
        <v>9</v>
      </c>
      <c r="B955" s="551" t="s">
        <v>3023</v>
      </c>
      <c r="C955" s="544"/>
      <c r="D955" s="544"/>
      <c r="E955" s="544"/>
      <c r="F955" s="544"/>
      <c r="G955" s="543" t="str">
        <f>IF(N955&gt;0,"P","")</f>
        <v/>
      </c>
      <c r="H955" s="541" t="s">
        <v>3751</v>
      </c>
      <c r="I955" s="142" t="s">
        <v>3024</v>
      </c>
      <c r="J955" s="185"/>
      <c r="K955" s="185"/>
      <c r="L955" s="273" t="s">
        <v>3025</v>
      </c>
      <c r="M955" s="615">
        <v>6</v>
      </c>
      <c r="N955" s="622">
        <f>'Ch9'!O54</f>
        <v>0</v>
      </c>
      <c r="O955" s="622">
        <f>M955*S955*W955</f>
        <v>0</v>
      </c>
      <c r="P955" s="64" t="b">
        <v>1</v>
      </c>
      <c r="Q955" s="64" t="b">
        <v>1</v>
      </c>
      <c r="R955" s="68" t="b">
        <v>0</v>
      </c>
      <c r="S955" s="68" t="b">
        <f>(COUNTIF(W943:W953,"Met"))=0</f>
        <v>1</v>
      </c>
      <c r="T955" s="68" t="b">
        <f>AND(NOT(S955),W955=TRUE)</f>
        <v>0</v>
      </c>
      <c r="U955" s="68"/>
      <c r="V955" s="68"/>
      <c r="W955" s="69"/>
      <c r="X955" s="569"/>
      <c r="Y955" s="577" t="str">
        <f>IF(LEN('Ch9'!X54)=0,"None",'Ch9'!X54)</f>
        <v>None</v>
      </c>
      <c r="Z955" s="582"/>
      <c r="AA955" s="562">
        <f>'Photo Review'!H944</f>
        <v>0</v>
      </c>
      <c r="AB955" s="562"/>
      <c r="AC955" s="562" t="b">
        <f>OR(AD955:AE955)</f>
        <v>0</v>
      </c>
      <c r="AD955" s="562" t="b">
        <f>T955</f>
        <v>0</v>
      </c>
      <c r="AE955" s="562" t="b">
        <f>AND(R955,NOT(W955))</f>
        <v>0</v>
      </c>
      <c r="AF955" s="562" t="b">
        <f>AND(AE955,NOT(Q955))</f>
        <v>0</v>
      </c>
      <c r="AG955" s="562"/>
      <c r="AH955" s="562"/>
      <c r="AI955" s="562"/>
      <c r="AJ955" s="562"/>
      <c r="AK955" s="562"/>
      <c r="AL955" s="190" t="str">
        <f t="shared" si="270"/>
        <v>vpa901_2_2</v>
      </c>
      <c r="AM955" s="190">
        <f>M955</f>
        <v>6</v>
      </c>
      <c r="AN955" s="190" t="str">
        <f>SUBSTITUTE(SUBSTITUTE(SUBSTITUTE("vpc"&amp;$B955&amp;$C955&amp;$D955&amp;$E955&amp;$F955,".","_"),"(","_"),")","")</f>
        <v>vpc901_2_2</v>
      </c>
      <c r="AO955" s="190">
        <f>O955</f>
        <v>0</v>
      </c>
      <c r="AP955" s="190" t="str">
        <f>SUBSTITUTE(SUBSTITUTE(SUBSTITUTE("vch"&amp;$B955&amp;$C955&amp;$D955&amp;$E955&amp;$F955,".","_"),"(","_"),")","")</f>
        <v>vch901_2_2</v>
      </c>
      <c r="AQ955" s="190">
        <f>W955</f>
        <v>0</v>
      </c>
      <c r="AR955" s="190" t="str">
        <f>SUBSTITUTE(SUBSTITUTE(SUBSTITUTE("vnt"&amp;$B955&amp;$C955&amp;$D955&amp;$E955&amp;$F955,".","_"),"(","_"),")","")</f>
        <v>vnt901_2_2</v>
      </c>
      <c r="AS955" s="190">
        <f>X955</f>
        <v>0</v>
      </c>
      <c r="AT955" s="562"/>
      <c r="AU955" s="562"/>
      <c r="AV955" s="562"/>
      <c r="AW955" s="562"/>
      <c r="AX955" s="594"/>
      <c r="AY955" s="562"/>
      <c r="AZ955" s="562"/>
      <c r="BA955" s="562"/>
      <c r="BB955" s="562"/>
      <c r="BC955" s="562"/>
      <c r="BD955" s="562"/>
      <c r="BE955" s="562"/>
      <c r="BF955" s="562"/>
      <c r="BG955" s="562"/>
      <c r="BH955" s="562"/>
    </row>
    <row r="956" spans="1:60" ht="16" thickTop="1" x14ac:dyDescent="0.2">
      <c r="A956" s="541">
        <v>9</v>
      </c>
      <c r="B956" s="551">
        <v>901.3</v>
      </c>
      <c r="C956" s="544"/>
      <c r="D956" s="544"/>
      <c r="E956" s="544"/>
      <c r="F956" s="544"/>
      <c r="G956" s="543" t="s">
        <v>3343</v>
      </c>
      <c r="H956" s="541" t="s">
        <v>3751</v>
      </c>
      <c r="I956" s="40" t="s">
        <v>3026</v>
      </c>
      <c r="J956" s="3"/>
      <c r="K956" s="3"/>
      <c r="L956" s="654" t="s">
        <v>3027</v>
      </c>
      <c r="M956" s="616"/>
      <c r="N956" s="609"/>
      <c r="O956" s="609"/>
      <c r="P956" s="562"/>
      <c r="Q956" s="562"/>
      <c r="R956" s="562"/>
      <c r="S956" s="562"/>
      <c r="T956" s="562"/>
      <c r="U956" s="562"/>
      <c r="V956" s="562"/>
      <c r="W956" s="562"/>
      <c r="X956" s="562"/>
      <c r="Y956" s="562"/>
      <c r="Z956" s="430"/>
      <c r="AA956" s="562"/>
      <c r="AB956" s="562"/>
      <c r="AC956" s="562"/>
      <c r="AD956" s="562"/>
      <c r="AE956" s="562"/>
      <c r="AF956" s="562"/>
      <c r="AG956" s="562"/>
      <c r="AH956" s="562"/>
      <c r="AI956" s="562"/>
      <c r="AJ956" s="562"/>
      <c r="AK956" s="562"/>
      <c r="AL956" s="562"/>
      <c r="AM956" s="562"/>
      <c r="AN956" s="562"/>
      <c r="AO956" s="562"/>
      <c r="AP956" s="562"/>
      <c r="AQ956" s="562"/>
      <c r="AR956" s="562"/>
      <c r="AS956" s="562"/>
      <c r="AT956" s="562"/>
      <c r="AU956" s="562"/>
      <c r="AV956" s="562"/>
      <c r="AW956" s="562"/>
      <c r="AX956" s="594" t="str">
        <f>'Overview (Verification)'!A27</f>
        <v>HERS Index (if available):</v>
      </c>
      <c r="AY956" s="562">
        <f>IF(LEN('Overview (Verification)'!P27)=0,0,'Overview (Verification)'!P27)</f>
        <v>0</v>
      </c>
      <c r="AZ956" s="562"/>
      <c r="BA956" s="562"/>
      <c r="BB956" s="562"/>
      <c r="BC956" s="562"/>
      <c r="BD956" s="562"/>
      <c r="BE956" s="562"/>
      <c r="BF956" s="562"/>
      <c r="BG956" s="562"/>
      <c r="BH956" s="562"/>
    </row>
    <row r="957" spans="1:60" x14ac:dyDescent="0.2">
      <c r="A957" s="541">
        <v>9</v>
      </c>
      <c r="B957" s="551">
        <v>901.3</v>
      </c>
      <c r="C957" s="544"/>
      <c r="D957" s="544"/>
      <c r="E957" s="544" t="s">
        <v>2181</v>
      </c>
      <c r="F957" s="544"/>
      <c r="G957" s="543" t="s">
        <v>3343</v>
      </c>
      <c r="H957" s="545" t="s">
        <v>3751</v>
      </c>
      <c r="I957" s="121"/>
      <c r="J957" s="20" t="s">
        <v>2181</v>
      </c>
      <c r="K957" s="3"/>
      <c r="L957" s="632" t="s">
        <v>3028</v>
      </c>
      <c r="M957" s="616"/>
      <c r="N957" s="609"/>
      <c r="O957" s="609"/>
      <c r="P957" s="562"/>
      <c r="Q957" s="562"/>
      <c r="R957" s="562"/>
      <c r="S957" s="562"/>
      <c r="T957" s="562"/>
      <c r="U957" s="562"/>
      <c r="V957" s="562"/>
      <c r="W957" s="562"/>
      <c r="X957" s="562"/>
      <c r="Y957" s="562"/>
      <c r="Z957" s="430"/>
      <c r="AA957" s="562">
        <f>'Photo Review'!H946</f>
        <v>0</v>
      </c>
      <c r="AB957" s="562"/>
      <c r="AC957" s="562"/>
      <c r="AD957" s="562"/>
      <c r="AE957" s="562"/>
      <c r="AF957" s="562"/>
      <c r="AG957" s="562"/>
      <c r="AH957" s="562"/>
      <c r="AI957" s="562"/>
      <c r="AJ957" s="562"/>
      <c r="AK957" s="562"/>
      <c r="AL957" s="562"/>
      <c r="AM957" s="562"/>
      <c r="AN957" s="562"/>
      <c r="AO957" s="562"/>
      <c r="AP957" s="562"/>
      <c r="AQ957" s="562"/>
      <c r="AR957" s="562"/>
      <c r="AS957" s="562"/>
      <c r="AT957" s="562"/>
      <c r="AU957" s="562"/>
      <c r="AV957" s="562"/>
      <c r="AW957" s="562"/>
      <c r="AX957" s="594" t="str">
        <f>'Overview (Verification)'!A28</f>
        <v>Foundation Type:</v>
      </c>
      <c r="AY957" s="562">
        <f>IF(LEN('Overview (Verification)'!P28)=0,0,'Overview (Verification)'!P28)</f>
        <v>0</v>
      </c>
      <c r="AZ957" s="562"/>
      <c r="BA957" s="562"/>
      <c r="BB957" s="562"/>
      <c r="BC957" s="562"/>
      <c r="BD957" s="562"/>
      <c r="BE957" s="562"/>
      <c r="BF957" s="562"/>
      <c r="BG957" s="562"/>
      <c r="BH957" s="562"/>
    </row>
    <row r="958" spans="1:60" x14ac:dyDescent="0.2">
      <c r="A958" s="541">
        <v>9</v>
      </c>
      <c r="B958" s="551">
        <v>901.3</v>
      </c>
      <c r="C958" s="544"/>
      <c r="D958" s="544"/>
      <c r="E958" s="544" t="s">
        <v>2181</v>
      </c>
      <c r="F958" s="549" t="s">
        <v>2196</v>
      </c>
      <c r="G958" s="543" t="s">
        <v>3343</v>
      </c>
      <c r="H958" s="558" t="s">
        <v>3758</v>
      </c>
      <c r="I958" s="121"/>
      <c r="J958" s="3"/>
      <c r="K958" s="134" t="s">
        <v>2196</v>
      </c>
      <c r="L958" s="791" t="s">
        <v>3029</v>
      </c>
      <c r="M958" s="630" t="str">
        <f>IF(R958,"Mandatory","N/A")</f>
        <v>Mandatory</v>
      </c>
      <c r="N958" s="793">
        <f>'Ch9'!O57</f>
        <v>0</v>
      </c>
      <c r="O958" s="793">
        <f>M959*S958*(W958="Met")</f>
        <v>0</v>
      </c>
      <c r="P958" s="64" t="b">
        <v>0</v>
      </c>
      <c r="Q958" s="64" t="b">
        <v>1</v>
      </c>
      <c r="R958" s="562" t="b">
        <f>S958</f>
        <v>1</v>
      </c>
      <c r="S958" s="562" t="b">
        <f>NOT(OR(W968,W960="N/A"))</f>
        <v>1</v>
      </c>
      <c r="T958" s="64" t="b">
        <f>AND(NOT(S958),LEN(W958)&gt;"Met")</f>
        <v>0</v>
      </c>
      <c r="U958" s="64" t="str">
        <f>SUBSTITUTE(SUBSTITUTE(SUBSTITUTE("dd"&amp;B958&amp;C958&amp;D958&amp;E958&amp;F958,".","_"),"(","_"),")","")</f>
        <v>dd901,3_1_a</v>
      </c>
      <c r="V958" s="562"/>
      <c r="W958" s="6"/>
      <c r="X958" s="787"/>
      <c r="Y958" s="980" t="str">
        <f>IF(LEN('Ch9'!X57)=0,"None",'Ch9'!X57)</f>
        <v>None</v>
      </c>
      <c r="Z958" s="983"/>
      <c r="AA958" s="562"/>
      <c r="AB958" s="562"/>
      <c r="AC958" s="562" t="b">
        <f>OR(AD958:AE958)</f>
        <v>1</v>
      </c>
      <c r="AD958" s="562" t="b">
        <f>T958</f>
        <v>0</v>
      </c>
      <c r="AE958" s="562" t="b">
        <f>AND(R958,OR(W958="Not Met",W958=""))</f>
        <v>1</v>
      </c>
      <c r="AF958" s="562" t="b">
        <f>AND(AE958,NOT(Q958))</f>
        <v>0</v>
      </c>
      <c r="AG958" s="562"/>
      <c r="AH958" s="562"/>
      <c r="AI958" s="562"/>
      <c r="AJ958" s="562"/>
      <c r="AK958" s="562"/>
      <c r="AL958" s="562"/>
      <c r="AM958" s="562"/>
      <c r="AN958" s="190" t="str">
        <f>SUBSTITUTE(SUBSTITUTE(SUBSTITUTE("vpc"&amp;$B958&amp;$C958&amp;$D958&amp;$E958&amp;$F958,".","_"),"(","_"),")","")</f>
        <v>vpc901,3_1_a</v>
      </c>
      <c r="AO958" s="190">
        <f>O958</f>
        <v>0</v>
      </c>
      <c r="AP958" s="190" t="str">
        <f>SUBSTITUTE(SUBSTITUTE(SUBSTITUTE("vch"&amp;$B958&amp;$C958&amp;$D958&amp;$E958&amp;$F958,".","_"),"(","_"),")","")</f>
        <v>vch901,3_1_a</v>
      </c>
      <c r="AQ958" s="190">
        <f>W958</f>
        <v>0</v>
      </c>
      <c r="AR958" s="190" t="str">
        <f>SUBSTITUTE(SUBSTITUTE(SUBSTITUTE("vnt"&amp;$B958&amp;$C958&amp;$D958&amp;$E958&amp;$F958,".","_"),"(","_"),")","")</f>
        <v>vnt901,3_1_a</v>
      </c>
      <c r="AS958" s="190">
        <f>X958</f>
        <v>0</v>
      </c>
      <c r="AT958" s="562"/>
      <c r="AU958" s="562"/>
      <c r="AV958" s="562"/>
      <c r="AW958" s="562"/>
      <c r="AX958" s="594"/>
      <c r="AY958" s="562"/>
      <c r="AZ958" s="562"/>
      <c r="BA958" s="562"/>
      <c r="BB958" s="562"/>
      <c r="BC958" s="562"/>
      <c r="BD958" s="562"/>
      <c r="BE958" s="562"/>
      <c r="BF958" s="562"/>
      <c r="BG958" s="562"/>
      <c r="BH958" s="562"/>
    </row>
    <row r="959" spans="1:60" x14ac:dyDescent="0.2">
      <c r="A959" s="541">
        <v>9</v>
      </c>
      <c r="B959" s="551">
        <v>901.3</v>
      </c>
      <c r="C959" s="544"/>
      <c r="D959" s="544"/>
      <c r="E959" s="544" t="s">
        <v>2181</v>
      </c>
      <c r="F959" s="549" t="s">
        <v>2196</v>
      </c>
      <c r="G959" s="543" t="s">
        <v>3343</v>
      </c>
      <c r="H959" s="558" t="s">
        <v>3758</v>
      </c>
      <c r="I959" s="121"/>
      <c r="J959" s="3"/>
      <c r="K959" s="159"/>
      <c r="L959" s="792"/>
      <c r="M959" s="611">
        <v>2</v>
      </c>
      <c r="N959" s="794"/>
      <c r="O959" s="794"/>
      <c r="P959" s="562"/>
      <c r="Q959" s="562"/>
      <c r="R959" s="562"/>
      <c r="S959" s="562"/>
      <c r="T959" s="562"/>
      <c r="U959" s="562"/>
      <c r="V959" s="562"/>
      <c r="W959" s="562"/>
      <c r="X959" s="787"/>
      <c r="Y959" s="980"/>
      <c r="Z959" s="983"/>
      <c r="AA959" s="562"/>
      <c r="AB959" s="562"/>
      <c r="AC959" s="562"/>
      <c r="AD959" s="562"/>
      <c r="AE959" s="562"/>
      <c r="AF959" s="562"/>
      <c r="AG959" s="562"/>
      <c r="AH959" s="562"/>
      <c r="AI959" s="562"/>
      <c r="AJ959" s="562"/>
      <c r="AK959" s="562"/>
      <c r="AL959" s="190" t="str">
        <f t="shared" ref="AL959" si="271">SUBSTITUTE(SUBSTITUTE(SUBSTITUTE("vpa"&amp;$B959&amp;$C959&amp;$D959&amp;$E959&amp;$F959,".","_"),"(","_"),")","")</f>
        <v>vpa901,3_1_a</v>
      </c>
      <c r="AM959" s="190">
        <f>M959</f>
        <v>2</v>
      </c>
      <c r="AN959" s="562"/>
      <c r="AO959" s="562"/>
      <c r="AP959" s="562"/>
      <c r="AQ959" s="562"/>
      <c r="AR959" s="562"/>
      <c r="AS959" s="562"/>
      <c r="AT959" s="562"/>
      <c r="AU959" s="562"/>
      <c r="AV959" s="562"/>
      <c r="AW959" s="562"/>
      <c r="AX959" s="594" t="str">
        <f>'Overview (Verification)'!A30</f>
        <v>Type of Heating System (main system):</v>
      </c>
      <c r="AY959" s="562">
        <f>IF(LEN('Overview (Verification)'!P30)=0,0,'Overview (Verification)'!P30)</f>
        <v>0</v>
      </c>
      <c r="AZ959" s="562"/>
      <c r="BA959" s="562"/>
      <c r="BB959" s="562"/>
      <c r="BC959" s="562"/>
      <c r="BD959" s="562"/>
      <c r="BE959" s="562"/>
      <c r="BF959" s="562"/>
      <c r="BG959" s="562"/>
      <c r="BH959" s="562"/>
    </row>
    <row r="960" spans="1:60" x14ac:dyDescent="0.2">
      <c r="A960" s="541">
        <v>9</v>
      </c>
      <c r="B960" s="551">
        <v>901.3</v>
      </c>
      <c r="C960" s="544"/>
      <c r="D960" s="544"/>
      <c r="E960" s="544" t="s">
        <v>2181</v>
      </c>
      <c r="F960" s="549" t="s">
        <v>2198</v>
      </c>
      <c r="G960" s="543" t="s">
        <v>3343</v>
      </c>
      <c r="H960" s="558" t="s">
        <v>3757</v>
      </c>
      <c r="I960" s="121"/>
      <c r="J960" s="3"/>
      <c r="K960" s="134" t="s">
        <v>2198</v>
      </c>
      <c r="L960" s="791" t="s">
        <v>3030</v>
      </c>
      <c r="M960" s="630" t="str">
        <f>IF(R960,"Mandatory","N/A")</f>
        <v>Mandatory</v>
      </c>
      <c r="N960" s="793">
        <f>'Ch9'!O59</f>
        <v>0</v>
      </c>
      <c r="O960" s="793">
        <f>M961*S960*(W960="Met")</f>
        <v>0</v>
      </c>
      <c r="P960" s="64" t="b">
        <v>1</v>
      </c>
      <c r="Q960" s="64" t="b">
        <v>0</v>
      </c>
      <c r="R960" s="562" t="b">
        <f>S960</f>
        <v>1</v>
      </c>
      <c r="S960" s="562" t="b">
        <f>NOT(OR(W968,W958="N/A"))</f>
        <v>1</v>
      </c>
      <c r="T960" s="64" t="b">
        <f>AND(NOT(S960),LEN(W960)&gt;"Met")</f>
        <v>0</v>
      </c>
      <c r="U960" s="64" t="str">
        <f>SUBSTITUTE(SUBSTITUTE(SUBSTITUTE("dd"&amp;B960&amp;C960&amp;D960&amp;E960&amp;F960,".","_"),"(","_"),")","")</f>
        <v>dd901,3_1_b</v>
      </c>
      <c r="V960" s="562"/>
      <c r="W960" s="6"/>
      <c r="X960" s="787"/>
      <c r="Y960" s="980" t="str">
        <f>IF(LEN('Ch9'!X59)=0,"None",'Ch9'!X59)</f>
        <v>None</v>
      </c>
      <c r="Z960" s="983"/>
      <c r="AA960" s="562"/>
      <c r="AB960" s="562"/>
      <c r="AC960" s="562" t="b">
        <f>OR(AD960:AE960)</f>
        <v>1</v>
      </c>
      <c r="AD960" s="562" t="b">
        <f>T960</f>
        <v>0</v>
      </c>
      <c r="AE960" s="562" t="b">
        <f>AND(R960,OR(W960="Not Met",W960=""))</f>
        <v>1</v>
      </c>
      <c r="AF960" s="562" t="b">
        <f>AND(AE960,NOT(Q960))</f>
        <v>1</v>
      </c>
      <c r="AG960" s="562"/>
      <c r="AH960" s="562"/>
      <c r="AI960" s="562"/>
      <c r="AJ960" s="562"/>
      <c r="AK960" s="562"/>
      <c r="AL960" s="562"/>
      <c r="AM960" s="562"/>
      <c r="AN960" s="190" t="str">
        <f>SUBSTITUTE(SUBSTITUTE(SUBSTITUTE("vpc"&amp;$B960&amp;$C960&amp;$D960&amp;$E960&amp;$F960,".","_"),"(","_"),")","")</f>
        <v>vpc901,3_1_b</v>
      </c>
      <c r="AO960" s="190">
        <f>O960</f>
        <v>0</v>
      </c>
      <c r="AP960" s="190" t="str">
        <f>SUBSTITUTE(SUBSTITUTE(SUBSTITUTE("vch"&amp;$B960&amp;$C960&amp;$D960&amp;$E960&amp;$F960,".","_"),"(","_"),")","")</f>
        <v>vch901,3_1_b</v>
      </c>
      <c r="AQ960" s="190">
        <f>W960</f>
        <v>0</v>
      </c>
      <c r="AR960" s="190" t="str">
        <f>SUBSTITUTE(SUBSTITUTE(SUBSTITUTE("vnt"&amp;$B960&amp;$C960&amp;$D960&amp;$E960&amp;$F960,".","_"),"(","_"),")","")</f>
        <v>vnt901,3_1_b</v>
      </c>
      <c r="AS960" s="190">
        <f>X960</f>
        <v>0</v>
      </c>
      <c r="AT960" s="562"/>
      <c r="AU960" s="562"/>
      <c r="AV960" s="562"/>
      <c r="AW960" s="562"/>
      <c r="AX960" s="594" t="str">
        <f>'Overview (Verification)'!A31</f>
        <v>Type of Heating System (system 2):</v>
      </c>
      <c r="AY960" s="562">
        <f>IF(LEN('Overview (Verification)'!P31)=0,0,'Overview (Verification)'!P31)</f>
        <v>0</v>
      </c>
      <c r="AZ960" s="562"/>
      <c r="BA960" s="562"/>
      <c r="BB960" s="562"/>
      <c r="BC960" s="562"/>
      <c r="BD960" s="562"/>
      <c r="BE960" s="562"/>
      <c r="BF960" s="562"/>
      <c r="BG960" s="562"/>
      <c r="BH960" s="562"/>
    </row>
    <row r="961" spans="1:60" x14ac:dyDescent="0.2">
      <c r="A961" s="541">
        <v>9</v>
      </c>
      <c r="B961" s="551">
        <v>901.3</v>
      </c>
      <c r="C961" s="544"/>
      <c r="D961" s="544"/>
      <c r="E961" s="544" t="s">
        <v>2181</v>
      </c>
      <c r="F961" s="549" t="s">
        <v>2198</v>
      </c>
      <c r="G961" s="543" t="s">
        <v>3343</v>
      </c>
      <c r="H961" s="558" t="s">
        <v>3757</v>
      </c>
      <c r="I961" s="121"/>
      <c r="J961" s="3"/>
      <c r="K961" s="165"/>
      <c r="L961" s="792"/>
      <c r="M961" s="611">
        <v>2</v>
      </c>
      <c r="N961" s="794"/>
      <c r="O961" s="794"/>
      <c r="P961" s="562"/>
      <c r="Q961" s="562"/>
      <c r="R961" s="562"/>
      <c r="S961" s="562"/>
      <c r="T961" s="562"/>
      <c r="U961" s="562"/>
      <c r="V961" s="562"/>
      <c r="W961" s="562"/>
      <c r="X961" s="787"/>
      <c r="Y961" s="980"/>
      <c r="Z961" s="983"/>
      <c r="AA961" s="562"/>
      <c r="AB961" s="562"/>
      <c r="AC961" s="562"/>
      <c r="AD961" s="562"/>
      <c r="AE961" s="562"/>
      <c r="AF961" s="562"/>
      <c r="AG961" s="562"/>
      <c r="AH961" s="562"/>
      <c r="AI961" s="562"/>
      <c r="AJ961" s="562"/>
      <c r="AK961" s="562"/>
      <c r="AL961" s="190" t="str">
        <f t="shared" ref="AL961:AL962" si="272">SUBSTITUTE(SUBSTITUTE(SUBSTITUTE("vpa"&amp;$B961&amp;$C961&amp;$D961&amp;$E961&amp;$F961,".","_"),"(","_"),")","")</f>
        <v>vpa901,3_1_b</v>
      </c>
      <c r="AM961" s="190">
        <f>M961</f>
        <v>2</v>
      </c>
      <c r="AN961" s="562"/>
      <c r="AO961" s="562"/>
      <c r="AP961" s="562"/>
      <c r="AQ961" s="562"/>
      <c r="AR961" s="562"/>
      <c r="AS961" s="562"/>
      <c r="AT961" s="562"/>
      <c r="AU961" s="562"/>
      <c r="AV961" s="562"/>
      <c r="AW961" s="562"/>
      <c r="AX961" s="594" t="str">
        <f>'Overview (Verification)'!A32</f>
        <v>Type of Heating System (system 3):</v>
      </c>
      <c r="AY961" s="562">
        <f>IF(LEN('Overview (Verification)'!P32)=0,0,'Overview (Verification)'!P32)</f>
        <v>0</v>
      </c>
      <c r="AZ961" s="562"/>
      <c r="BA961" s="562"/>
      <c r="BB961" s="562"/>
      <c r="BC961" s="562"/>
      <c r="BD961" s="562"/>
      <c r="BE961" s="562"/>
      <c r="BF961" s="562"/>
      <c r="BG961" s="562"/>
      <c r="BH961" s="562"/>
    </row>
    <row r="962" spans="1:60" x14ac:dyDescent="0.2">
      <c r="A962" s="541">
        <v>9</v>
      </c>
      <c r="B962" s="551">
        <v>901.3</v>
      </c>
      <c r="C962" s="544"/>
      <c r="D962" s="544"/>
      <c r="E962" s="544" t="s">
        <v>2181</v>
      </c>
      <c r="F962" s="549" t="s">
        <v>2200</v>
      </c>
      <c r="G962" s="543" t="str">
        <f ca="1">IF(N962&gt;0,"P","")</f>
        <v/>
      </c>
      <c r="H962" s="558" t="s">
        <v>3758</v>
      </c>
      <c r="I962" s="121"/>
      <c r="J962" s="98"/>
      <c r="K962" s="134" t="s">
        <v>2200</v>
      </c>
      <c r="L962" s="791" t="s">
        <v>3031</v>
      </c>
      <c r="M962" s="800">
        <v>8</v>
      </c>
      <c r="N962" s="793">
        <f ca="1">'Ch9'!O61</f>
        <v>0</v>
      </c>
      <c r="O962" s="793">
        <f ca="1">M962*S962*W962</f>
        <v>0</v>
      </c>
      <c r="P962" s="64" t="b">
        <v>0</v>
      </c>
      <c r="Q962" s="64" t="b">
        <v>1</v>
      </c>
      <c r="R962" s="562" t="b">
        <v>0</v>
      </c>
      <c r="S962" s="562" t="b">
        <f ca="1">AND(NOT(W968),$AY$18=INDEX(INDIRECT("ddSingleOrMulti"),1))</f>
        <v>1</v>
      </c>
      <c r="T962" s="64" t="b">
        <f ca="1">AND(NOT(S962),W962=TRUE)</f>
        <v>0</v>
      </c>
      <c r="U962" s="562"/>
      <c r="V962" s="562"/>
      <c r="W962" s="18"/>
      <c r="X962" s="787"/>
      <c r="Y962" s="980" t="str">
        <f>IF(LEN('Ch9'!X61)=0,"None",'Ch9'!X61)</f>
        <v>None</v>
      </c>
      <c r="Z962" s="983"/>
      <c r="AA962" s="562"/>
      <c r="AB962" s="562"/>
      <c r="AC962" s="562" t="b">
        <f ca="1">OR(AD962:AE962)</f>
        <v>0</v>
      </c>
      <c r="AD962" s="562" t="b">
        <f ca="1">T962</f>
        <v>0</v>
      </c>
      <c r="AE962" s="562" t="b">
        <f>AND(R962,NOT(W962))</f>
        <v>0</v>
      </c>
      <c r="AF962" s="562" t="b">
        <f>AND(AE962,NOT(Q962))</f>
        <v>0</v>
      </c>
      <c r="AG962" s="562"/>
      <c r="AH962" s="562"/>
      <c r="AI962" s="562"/>
      <c r="AJ962" s="562"/>
      <c r="AK962" s="562"/>
      <c r="AL962" s="190" t="str">
        <f t="shared" si="272"/>
        <v>vpa901,3_1_c</v>
      </c>
      <c r="AM962" s="190">
        <f>M962</f>
        <v>8</v>
      </c>
      <c r="AN962" s="190" t="str">
        <f>SUBSTITUTE(SUBSTITUTE(SUBSTITUTE("vpc"&amp;$B962&amp;$C962&amp;$D962&amp;$E962&amp;$F962,".","_"),"(","_"),")","")</f>
        <v>vpc901,3_1_c</v>
      </c>
      <c r="AO962" s="190">
        <f ca="1">O962</f>
        <v>0</v>
      </c>
      <c r="AP962" s="190" t="str">
        <f>SUBSTITUTE(SUBSTITUTE(SUBSTITUTE("vch"&amp;$B962&amp;$C962&amp;$D962&amp;$E962&amp;$F962,".","_"),"(","_"),")","")</f>
        <v>vch901,3_1_c</v>
      </c>
      <c r="AQ962" s="190">
        <f>W962</f>
        <v>0</v>
      </c>
      <c r="AR962" s="190" t="str">
        <f>SUBSTITUTE(SUBSTITUTE(SUBSTITUTE("vnt"&amp;$B962&amp;$C962&amp;$D962&amp;$E962&amp;$F962,".","_"),"(","_"),")","")</f>
        <v>vnt901,3_1_c</v>
      </c>
      <c r="AS962" s="190">
        <f>X962</f>
        <v>0</v>
      </c>
      <c r="AT962" s="562"/>
      <c r="AU962" s="562"/>
      <c r="AV962" s="562"/>
      <c r="AW962" s="562"/>
      <c r="AX962" s="594" t="str">
        <f>'Overview (Verification)'!A33</f>
        <v>Heating Fuel:</v>
      </c>
      <c r="AY962" s="562">
        <f>IF(LEN('Overview (Verification)'!P33)=0,0,'Overview (Verification)'!P33)</f>
        <v>0</v>
      </c>
      <c r="AZ962" s="562"/>
      <c r="BA962" s="562"/>
      <c r="BB962" s="562"/>
      <c r="BC962" s="562"/>
      <c r="BD962" s="562"/>
      <c r="BE962" s="562"/>
      <c r="BF962" s="562"/>
      <c r="BG962" s="562"/>
      <c r="BH962" s="562"/>
    </row>
    <row r="963" spans="1:60" x14ac:dyDescent="0.2">
      <c r="A963" s="541">
        <v>9</v>
      </c>
      <c r="B963" s="551">
        <v>901.3</v>
      </c>
      <c r="C963" s="544"/>
      <c r="D963" s="544"/>
      <c r="E963" s="544" t="s">
        <v>2181</v>
      </c>
      <c r="F963" s="549" t="s">
        <v>2200</v>
      </c>
      <c r="G963" s="543" t="str">
        <f t="shared" ref="G963:G967" ca="1" si="273">G962</f>
        <v/>
      </c>
      <c r="H963" s="558" t="s">
        <v>3758</v>
      </c>
      <c r="I963" s="121"/>
      <c r="J963" s="98"/>
      <c r="K963" s="98"/>
      <c r="L963" s="791"/>
      <c r="M963" s="800"/>
      <c r="N963" s="793"/>
      <c r="O963" s="793"/>
      <c r="P963" s="562"/>
      <c r="Q963" s="562"/>
      <c r="R963" s="562"/>
      <c r="S963" s="562"/>
      <c r="T963" s="562"/>
      <c r="U963" s="562"/>
      <c r="V963" s="562"/>
      <c r="W963" s="562"/>
      <c r="X963" s="787"/>
      <c r="Y963" s="980"/>
      <c r="Z963" s="983"/>
      <c r="AA963" s="562"/>
      <c r="AB963" s="562"/>
      <c r="AC963" s="562"/>
      <c r="AD963" s="562"/>
      <c r="AE963" s="562"/>
      <c r="AF963" s="562"/>
      <c r="AG963" s="562"/>
      <c r="AH963" s="562"/>
      <c r="AI963" s="562"/>
      <c r="AJ963" s="562"/>
      <c r="AK963" s="562"/>
      <c r="AL963" s="562"/>
      <c r="AM963" s="562"/>
      <c r="AN963" s="562"/>
      <c r="AO963" s="562"/>
      <c r="AP963" s="562"/>
      <c r="AQ963" s="562"/>
      <c r="AR963" s="562"/>
      <c r="AS963" s="562"/>
      <c r="AT963" s="562"/>
      <c r="AU963" s="562"/>
      <c r="AV963" s="562"/>
      <c r="AW963" s="562"/>
      <c r="AX963" s="594" t="str">
        <f>'Overview (Verification)'!A34</f>
        <v>Heating Ducts:</v>
      </c>
      <c r="AY963" s="562">
        <f>IF(LEN('Overview (Verification)'!P34)=0,0,'Overview (Verification)'!P34)</f>
        <v>0</v>
      </c>
      <c r="AZ963" s="562"/>
      <c r="BA963" s="562"/>
      <c r="BB963" s="562"/>
      <c r="BC963" s="562"/>
      <c r="BD963" s="562"/>
      <c r="BE963" s="562"/>
      <c r="BF963" s="562"/>
      <c r="BG963" s="562"/>
      <c r="BH963" s="562"/>
    </row>
    <row r="964" spans="1:60" x14ac:dyDescent="0.2">
      <c r="A964" s="541">
        <v>9</v>
      </c>
      <c r="B964" s="551">
        <v>901.3</v>
      </c>
      <c r="C964" s="544"/>
      <c r="D964" s="544"/>
      <c r="E964" s="544" t="s">
        <v>2181</v>
      </c>
      <c r="F964" s="549" t="s">
        <v>2200</v>
      </c>
      <c r="G964" s="543" t="str">
        <f t="shared" ca="1" si="273"/>
        <v/>
      </c>
      <c r="H964" s="558" t="s">
        <v>3758</v>
      </c>
      <c r="I964" s="121"/>
      <c r="J964" s="98"/>
      <c r="K964" s="98"/>
      <c r="L964" s="791"/>
      <c r="M964" s="800"/>
      <c r="N964" s="793"/>
      <c r="O964" s="793"/>
      <c r="P964" s="562"/>
      <c r="Q964" s="562"/>
      <c r="R964" s="562"/>
      <c r="S964" s="562"/>
      <c r="T964" s="562"/>
      <c r="U964" s="562"/>
      <c r="V964" s="562"/>
      <c r="W964" s="562"/>
      <c r="X964" s="787"/>
      <c r="Y964" s="980"/>
      <c r="Z964" s="983"/>
      <c r="AA964" s="562"/>
      <c r="AB964" s="562"/>
      <c r="AC964" s="562"/>
      <c r="AD964" s="562"/>
      <c r="AE964" s="562"/>
      <c r="AF964" s="562"/>
      <c r="AG964" s="562"/>
      <c r="AH964" s="562"/>
      <c r="AI964" s="562"/>
      <c r="AJ964" s="562"/>
      <c r="AK964" s="562"/>
      <c r="AL964" s="562"/>
      <c r="AM964" s="562"/>
      <c r="AN964" s="562"/>
      <c r="AO964" s="562"/>
      <c r="AP964" s="562"/>
      <c r="AQ964" s="562"/>
      <c r="AR964" s="562"/>
      <c r="AS964" s="562"/>
      <c r="AT964" s="562"/>
      <c r="AU964" s="562"/>
      <c r="AV964" s="562"/>
      <c r="AW964" s="562"/>
      <c r="AX964" s="594" t="str">
        <f>'Overview (Verification)'!A35</f>
        <v>Type of Cooling System (main system):</v>
      </c>
      <c r="AY964" s="562">
        <f>IF(LEN('Overview (Verification)'!P35)=0,0,'Overview (Verification)'!P35)</f>
        <v>0</v>
      </c>
      <c r="AZ964" s="562"/>
      <c r="BA964" s="562"/>
      <c r="BB964" s="562"/>
      <c r="BC964" s="562"/>
      <c r="BD964" s="562"/>
      <c r="BE964" s="562"/>
      <c r="BF964" s="562"/>
      <c r="BG964" s="562"/>
      <c r="BH964" s="562"/>
    </row>
    <row r="965" spans="1:60" x14ac:dyDescent="0.2">
      <c r="A965" s="541">
        <v>9</v>
      </c>
      <c r="B965" s="551">
        <v>901.3</v>
      </c>
      <c r="C965" s="544"/>
      <c r="D965" s="544"/>
      <c r="E965" s="544" t="s">
        <v>2181</v>
      </c>
      <c r="F965" s="549" t="s">
        <v>2200</v>
      </c>
      <c r="G965" s="543" t="str">
        <f t="shared" ca="1" si="273"/>
        <v/>
      </c>
      <c r="H965" s="558" t="s">
        <v>3758</v>
      </c>
      <c r="I965" s="121"/>
      <c r="J965" s="98"/>
      <c r="K965" s="98"/>
      <c r="L965" s="791"/>
      <c r="M965" s="800"/>
      <c r="N965" s="793"/>
      <c r="O965" s="793"/>
      <c r="P965" s="562"/>
      <c r="Q965" s="562"/>
      <c r="R965" s="562"/>
      <c r="S965" s="562"/>
      <c r="T965" s="562"/>
      <c r="U965" s="562"/>
      <c r="V965" s="562"/>
      <c r="W965" s="562"/>
      <c r="X965" s="787"/>
      <c r="Y965" s="980"/>
      <c r="Z965" s="983"/>
      <c r="AA965" s="562"/>
      <c r="AB965" s="562"/>
      <c r="AC965" s="562"/>
      <c r="AD965" s="562"/>
      <c r="AE965" s="562"/>
      <c r="AF965" s="562"/>
      <c r="AG965" s="562"/>
      <c r="AH965" s="562"/>
      <c r="AI965" s="562"/>
      <c r="AJ965" s="562"/>
      <c r="AK965" s="562"/>
      <c r="AL965" s="562"/>
      <c r="AM965" s="562"/>
      <c r="AN965" s="562"/>
      <c r="AO965" s="562"/>
      <c r="AP965" s="562"/>
      <c r="AQ965" s="562"/>
      <c r="AR965" s="562"/>
      <c r="AS965" s="562"/>
      <c r="AT965" s="562"/>
      <c r="AU965" s="562"/>
      <c r="AV965" s="562"/>
      <c r="AW965" s="562"/>
      <c r="AX965" s="594" t="str">
        <f>'Overview (Verification)'!A36</f>
        <v>Type of Cooling System (system 2):</v>
      </c>
      <c r="AY965" s="562">
        <f>IF(LEN('Overview (Verification)'!P36)=0,0,'Overview (Verification)'!P36)</f>
        <v>0</v>
      </c>
      <c r="AZ965" s="562"/>
      <c r="BA965" s="562"/>
      <c r="BB965" s="562"/>
      <c r="BC965" s="562"/>
      <c r="BD965" s="562"/>
      <c r="BE965" s="562"/>
      <c r="BF965" s="562"/>
      <c r="BG965" s="562"/>
      <c r="BH965" s="562"/>
    </row>
    <row r="966" spans="1:60" x14ac:dyDescent="0.2">
      <c r="A966" s="541">
        <v>9</v>
      </c>
      <c r="B966" s="551">
        <v>901.3</v>
      </c>
      <c r="C966" s="544"/>
      <c r="D966" s="544"/>
      <c r="E966" s="544" t="s">
        <v>2181</v>
      </c>
      <c r="F966" s="549" t="s">
        <v>2200</v>
      </c>
      <c r="G966" s="543" t="str">
        <f t="shared" ca="1" si="273"/>
        <v/>
      </c>
      <c r="H966" s="558" t="s">
        <v>3758</v>
      </c>
      <c r="I966" s="121"/>
      <c r="J966" s="98"/>
      <c r="K966" s="98"/>
      <c r="L966" s="791"/>
      <c r="M966" s="800"/>
      <c r="N966" s="793"/>
      <c r="O966" s="793"/>
      <c r="P966" s="562"/>
      <c r="Q966" s="562"/>
      <c r="R966" s="562"/>
      <c r="S966" s="562"/>
      <c r="T966" s="562"/>
      <c r="U966" s="562"/>
      <c r="V966" s="562"/>
      <c r="W966" s="562"/>
      <c r="X966" s="787"/>
      <c r="Y966" s="980"/>
      <c r="Z966" s="983"/>
      <c r="AA966" s="562"/>
      <c r="AB966" s="562"/>
      <c r="AC966" s="562"/>
      <c r="AD966" s="562"/>
      <c r="AE966" s="562"/>
      <c r="AF966" s="562"/>
      <c r="AG966" s="562"/>
      <c r="AH966" s="562"/>
      <c r="AI966" s="562"/>
      <c r="AJ966" s="562"/>
      <c r="AK966" s="562"/>
      <c r="AL966" s="562"/>
      <c r="AM966" s="562"/>
      <c r="AN966" s="562"/>
      <c r="AO966" s="562"/>
      <c r="AP966" s="562"/>
      <c r="AQ966" s="562"/>
      <c r="AR966" s="562"/>
      <c r="AS966" s="562"/>
      <c r="AT966" s="562"/>
      <c r="AU966" s="562"/>
      <c r="AV966" s="562"/>
      <c r="AW966" s="562"/>
      <c r="AX966" s="594" t="str">
        <f>'Overview (Verification)'!A37</f>
        <v>Type of Cooling System (system 3):</v>
      </c>
      <c r="AY966" s="562">
        <f>IF(LEN('Overview (Verification)'!P37)=0,0,'Overview (Verification)'!P37)</f>
        <v>0</v>
      </c>
      <c r="AZ966" s="562"/>
      <c r="BA966" s="562"/>
      <c r="BB966" s="562"/>
      <c r="BC966" s="562"/>
      <c r="BD966" s="562"/>
      <c r="BE966" s="562"/>
      <c r="BF966" s="562"/>
      <c r="BG966" s="562"/>
      <c r="BH966" s="562"/>
    </row>
    <row r="967" spans="1:60" x14ac:dyDescent="0.2">
      <c r="A967" s="541">
        <v>9</v>
      </c>
      <c r="B967" s="551">
        <v>901.3</v>
      </c>
      <c r="C967" s="544"/>
      <c r="D967" s="544"/>
      <c r="E967" s="544" t="s">
        <v>2181</v>
      </c>
      <c r="F967" s="549" t="s">
        <v>2200</v>
      </c>
      <c r="G967" s="543" t="str">
        <f t="shared" ca="1" si="273"/>
        <v/>
      </c>
      <c r="H967" s="558" t="s">
        <v>3758</v>
      </c>
      <c r="I967" s="121"/>
      <c r="J967" s="165"/>
      <c r="K967" s="165"/>
      <c r="L967" s="792"/>
      <c r="M967" s="801"/>
      <c r="N967" s="794"/>
      <c r="O967" s="794"/>
      <c r="P967" s="562"/>
      <c r="Q967" s="562"/>
      <c r="R967" s="562"/>
      <c r="S967" s="562"/>
      <c r="T967" s="562"/>
      <c r="U967" s="562"/>
      <c r="V967" s="562"/>
      <c r="W967" s="562"/>
      <c r="X967" s="787"/>
      <c r="Y967" s="980"/>
      <c r="Z967" s="983"/>
      <c r="AA967" s="562"/>
      <c r="AB967" s="562"/>
      <c r="AC967" s="562"/>
      <c r="AD967" s="562"/>
      <c r="AE967" s="562"/>
      <c r="AF967" s="562"/>
      <c r="AG967" s="562"/>
      <c r="AH967" s="562"/>
      <c r="AI967" s="562"/>
      <c r="AJ967" s="562"/>
      <c r="AK967" s="562"/>
      <c r="AL967" s="562"/>
      <c r="AM967" s="562"/>
      <c r="AN967" s="562"/>
      <c r="AO967" s="562"/>
      <c r="AP967" s="562"/>
      <c r="AQ967" s="562"/>
      <c r="AR967" s="562"/>
      <c r="AS967" s="562"/>
      <c r="AT967" s="562"/>
      <c r="AU967" s="562"/>
      <c r="AV967" s="562"/>
      <c r="AW967" s="562"/>
      <c r="AX967" s="594" t="str">
        <f>'Overview (Verification)'!A38</f>
        <v>Cooling Ducts:</v>
      </c>
      <c r="AY967" s="562">
        <f>IF(LEN('Overview (Verification)'!P38)=0,0,'Overview (Verification)'!P38)</f>
        <v>0</v>
      </c>
      <c r="AZ967" s="562"/>
      <c r="BA967" s="562"/>
      <c r="BB967" s="562"/>
      <c r="BC967" s="562"/>
      <c r="BD967" s="562"/>
      <c r="BE967" s="562"/>
      <c r="BF967" s="562"/>
      <c r="BG967" s="562"/>
      <c r="BH967" s="562"/>
    </row>
    <row r="968" spans="1:60" ht="15" customHeight="1" thickBot="1" x14ac:dyDescent="0.25">
      <c r="A968" s="541">
        <v>9</v>
      </c>
      <c r="B968" s="551">
        <v>901.3</v>
      </c>
      <c r="C968" s="544"/>
      <c r="D968" s="544"/>
      <c r="E968" s="544" t="s">
        <v>2183</v>
      </c>
      <c r="F968" s="549"/>
      <c r="G968" s="543" t="str">
        <f>IF(N968&gt;0,"P","")</f>
        <v/>
      </c>
      <c r="H968" s="552" t="s">
        <v>3751</v>
      </c>
      <c r="I968" s="254"/>
      <c r="J968" s="143" t="s">
        <v>2183</v>
      </c>
      <c r="K968" s="185"/>
      <c r="L968" s="626" t="s">
        <v>3032</v>
      </c>
      <c r="M968" s="615">
        <v>10</v>
      </c>
      <c r="N968" s="622">
        <f>'Ch9'!O67</f>
        <v>0</v>
      </c>
      <c r="O968" s="622">
        <f>M968*S968*W968</f>
        <v>0</v>
      </c>
      <c r="P968" s="64" t="b">
        <v>1</v>
      </c>
      <c r="Q968" s="64" t="b">
        <v>1</v>
      </c>
      <c r="R968" s="68" t="b">
        <v>0</v>
      </c>
      <c r="S968" s="68" t="b">
        <f>AND(NOT(W962),W958&lt;&gt;"Met",W960&lt;&gt;"Met")</f>
        <v>1</v>
      </c>
      <c r="T968" s="68" t="b">
        <f>AND(NOT(S968),W968=TRUE)</f>
        <v>0</v>
      </c>
      <c r="U968" s="68"/>
      <c r="V968" s="68"/>
      <c r="W968" s="69"/>
      <c r="X968" s="565"/>
      <c r="Y968" s="577" t="str">
        <f>IF(LEN('Ch9'!X67)=0,"None",'Ch9'!X67)</f>
        <v>None</v>
      </c>
      <c r="Z968" s="582"/>
      <c r="AA968" s="562">
        <f>'Photo Review'!H957</f>
        <v>0</v>
      </c>
      <c r="AB968" s="562"/>
      <c r="AC968" s="562" t="b">
        <f>OR(AD968:AE968)</f>
        <v>0</v>
      </c>
      <c r="AD968" s="562" t="b">
        <f>T968</f>
        <v>0</v>
      </c>
      <c r="AE968" s="562" t="b">
        <f>AND(R968,NOT(W968))</f>
        <v>0</v>
      </c>
      <c r="AF968" s="562" t="b">
        <f>AND(AE968,NOT(Q968))</f>
        <v>0</v>
      </c>
      <c r="AG968" s="562"/>
      <c r="AH968" s="562"/>
      <c r="AI968" s="562"/>
      <c r="AJ968" s="562"/>
      <c r="AK968" s="562"/>
      <c r="AL968" s="190" t="str">
        <f t="shared" ref="AL968:AL969" si="274">SUBSTITUTE(SUBSTITUTE(SUBSTITUTE("vpa"&amp;$B968&amp;$C968&amp;$D968&amp;$E968&amp;$F968,".","_"),"(","_"),")","")</f>
        <v>vpa901,3_2</v>
      </c>
      <c r="AM968" s="190">
        <f>M968</f>
        <v>10</v>
      </c>
      <c r="AN968" s="190" t="str">
        <f t="shared" ref="AN968:AN969" si="275">SUBSTITUTE(SUBSTITUTE(SUBSTITUTE("vpc"&amp;$B968&amp;$C968&amp;$D968&amp;$E968&amp;$F968,".","_"),"(","_"),")","")</f>
        <v>vpc901,3_2</v>
      </c>
      <c r="AO968" s="190">
        <f>O968</f>
        <v>0</v>
      </c>
      <c r="AP968" s="190" t="str">
        <f>SUBSTITUTE(SUBSTITUTE(SUBSTITUTE("vch"&amp;$B968&amp;$C968&amp;$D968&amp;$E968&amp;$F968,".","_"),"(","_"),")","")</f>
        <v>vch901,3_2</v>
      </c>
      <c r="AQ968" s="190">
        <f>W968</f>
        <v>0</v>
      </c>
      <c r="AR968" s="190" t="str">
        <f>SUBSTITUTE(SUBSTITUTE(SUBSTITUTE("vnt"&amp;$B968&amp;$C968&amp;$D968&amp;$E968&amp;$F968,".","_"),"(","_"),")","")</f>
        <v>vnt901,3_2</v>
      </c>
      <c r="AS968" s="190">
        <f>X968</f>
        <v>0</v>
      </c>
      <c r="AT968" s="562"/>
      <c r="AU968" s="562"/>
      <c r="AV968" s="562"/>
      <c r="AW968" s="562"/>
      <c r="AX968" s="594"/>
      <c r="AY968" s="562"/>
      <c r="AZ968" s="562"/>
      <c r="BA968" s="562"/>
      <c r="BB968" s="562"/>
      <c r="BC968" s="562"/>
      <c r="BD968" s="562"/>
      <c r="BE968" s="562"/>
      <c r="BF968" s="562"/>
      <c r="BG968" s="562"/>
      <c r="BH968" s="562"/>
    </row>
    <row r="969" spans="1:60" ht="16" thickTop="1" x14ac:dyDescent="0.2">
      <c r="A969" s="541">
        <v>9</v>
      </c>
      <c r="B969" s="551">
        <v>901.4</v>
      </c>
      <c r="C969" s="544"/>
      <c r="D969" s="544"/>
      <c r="E969" s="544"/>
      <c r="F969" s="544"/>
      <c r="G969" s="543" t="s">
        <v>3343</v>
      </c>
      <c r="H969" s="541" t="s">
        <v>3751</v>
      </c>
      <c r="I969" s="40" t="s">
        <v>3033</v>
      </c>
      <c r="J969" s="3"/>
      <c r="K969" s="3"/>
      <c r="L969" s="817" t="s">
        <v>3034</v>
      </c>
      <c r="M969" s="814" t="s">
        <v>2763</v>
      </c>
      <c r="N969" s="823">
        <f ca="1">'Ch9'!O68</f>
        <v>0</v>
      </c>
      <c r="O969" s="823">
        <f ca="1">MIN(10,(IFERROR(INDEX({2,2,3,4,4},MATCH(W978,INDIRECT(U978),0)),0)+IFERROR(INDEX({2,2,3,4,4},MATCH(W979,INDIRECT(U979),0)),0)+IFERROR(INDEX({2,2,3,4,4},MATCH(W980,INDIRECT(U980),0)),0)+IFERROR(INDEX({2,2,3,4,4},MATCH(W981,INDIRECT(U981),0)),0)))*S978</f>
        <v>0</v>
      </c>
      <c r="P969" s="562"/>
      <c r="Q969" s="562"/>
      <c r="R969" s="562"/>
      <c r="S969" s="562"/>
      <c r="T969" s="562"/>
      <c r="U969" s="562"/>
      <c r="V969" s="562"/>
      <c r="W969" s="562"/>
      <c r="X969" s="562"/>
      <c r="Y969" s="562"/>
      <c r="Z969" s="430"/>
      <c r="AA969" s="562"/>
      <c r="AB969" s="562"/>
      <c r="AC969" s="562"/>
      <c r="AD969" s="562"/>
      <c r="AE969" s="562"/>
      <c r="AF969" s="562"/>
      <c r="AG969" s="562"/>
      <c r="AH969" s="562"/>
      <c r="AI969" s="562"/>
      <c r="AJ969" s="562"/>
      <c r="AK969" s="562"/>
      <c r="AL969" s="190" t="str">
        <f t="shared" si="274"/>
        <v>vpa901,4</v>
      </c>
      <c r="AM969" s="190" t="str">
        <f>M969</f>
        <v>10 Max</v>
      </c>
      <c r="AN969" s="190" t="str">
        <f t="shared" si="275"/>
        <v>vpc901,4</v>
      </c>
      <c r="AO969" s="190">
        <f ca="1">O969</f>
        <v>0</v>
      </c>
      <c r="AP969" s="562"/>
      <c r="AQ969" s="562"/>
      <c r="AR969" s="562"/>
      <c r="AS969" s="562"/>
      <c r="AT969" s="562"/>
      <c r="AU969" s="562"/>
      <c r="AV969" s="562"/>
      <c r="AW969" s="562"/>
      <c r="AX969" s="594" t="str">
        <f>'Overview (Verification)'!A40</f>
        <v>Maximum window and door SHGC:</v>
      </c>
      <c r="AY969" s="562">
        <f>IF(LEN('Overview (Verification)'!P40)=0,0,'Overview (Verification)'!P40)</f>
        <v>0</v>
      </c>
      <c r="AZ969" s="562"/>
      <c r="BA969" s="562"/>
      <c r="BB969" s="562"/>
      <c r="BC969" s="562"/>
      <c r="BD969" s="562"/>
      <c r="BE969" s="562"/>
      <c r="BF969" s="562"/>
      <c r="BG969" s="562"/>
      <c r="BH969" s="562"/>
    </row>
    <row r="970" spans="1:60" x14ac:dyDescent="0.2">
      <c r="A970" s="541">
        <v>9</v>
      </c>
      <c r="B970" s="551">
        <v>901.4</v>
      </c>
      <c r="C970" s="544"/>
      <c r="D970" s="544"/>
      <c r="E970" s="544"/>
      <c r="F970" s="544"/>
      <c r="G970" s="543" t="s">
        <v>3343</v>
      </c>
      <c r="H970" s="541" t="s">
        <v>3751</v>
      </c>
      <c r="I970" s="121"/>
      <c r="J970" s="3"/>
      <c r="K970" s="3"/>
      <c r="L970" s="817"/>
      <c r="M970" s="814"/>
      <c r="N970" s="795"/>
      <c r="O970" s="795"/>
      <c r="P970" s="562"/>
      <c r="Q970" s="562"/>
      <c r="R970" s="562"/>
      <c r="S970" s="562"/>
      <c r="T970" s="562"/>
      <c r="U970" s="562"/>
      <c r="V970" s="562"/>
      <c r="W970" s="562"/>
      <c r="X970" s="562"/>
      <c r="Y970" s="562"/>
      <c r="Z970" s="430"/>
      <c r="AA970" s="562"/>
      <c r="AB970" s="562"/>
      <c r="AC970" s="562"/>
      <c r="AD970" s="562"/>
      <c r="AE970" s="562"/>
      <c r="AF970" s="562"/>
      <c r="AG970" s="562"/>
      <c r="AH970" s="562"/>
      <c r="AI970" s="562"/>
      <c r="AJ970" s="562"/>
      <c r="AK970" s="562"/>
      <c r="AL970" s="562"/>
      <c r="AM970" s="562"/>
      <c r="AN970" s="562"/>
      <c r="AO970" s="562"/>
      <c r="AP970" s="562"/>
      <c r="AQ970" s="562"/>
      <c r="AR970" s="562"/>
      <c r="AS970" s="562"/>
      <c r="AT970" s="562"/>
      <c r="AU970" s="562"/>
      <c r="AV970" s="562"/>
      <c r="AW970" s="562"/>
      <c r="AX970" s="594" t="str">
        <f>'Overview (Verification)'!A41</f>
        <v>Maximum skylight SHGC:</v>
      </c>
      <c r="AY970" s="562">
        <f>IF(LEN('Overview (Verification)'!P41)=0,0,'Overview (Verification)'!P41)</f>
        <v>0</v>
      </c>
      <c r="AZ970" s="562"/>
      <c r="BA970" s="562"/>
      <c r="BB970" s="562"/>
      <c r="BC970" s="562"/>
      <c r="BD970" s="562"/>
      <c r="BE970" s="562"/>
      <c r="BF970" s="562"/>
      <c r="BG970" s="562"/>
      <c r="BH970" s="562"/>
    </row>
    <row r="971" spans="1:60" s="496" customFormat="1" x14ac:dyDescent="0.2">
      <c r="A971" s="541">
        <v>9</v>
      </c>
      <c r="B971" s="551">
        <v>901.4</v>
      </c>
      <c r="C971" s="544"/>
      <c r="D971" s="544"/>
      <c r="E971" s="544"/>
      <c r="F971" s="544"/>
      <c r="G971" s="543" t="s">
        <v>3343</v>
      </c>
      <c r="H971" s="541" t="s">
        <v>3751</v>
      </c>
      <c r="I971" s="121"/>
      <c r="J971" s="3"/>
      <c r="K971" s="3"/>
      <c r="L971" s="817"/>
      <c r="M971" s="814"/>
      <c r="N971" s="795"/>
      <c r="O971" s="795"/>
      <c r="P971" s="562"/>
      <c r="Q971" s="562"/>
      <c r="R971" s="562"/>
      <c r="S971" s="562"/>
      <c r="T971" s="562"/>
      <c r="U971" s="562"/>
      <c r="V971" s="562"/>
      <c r="W971" s="562"/>
      <c r="X971" s="562"/>
      <c r="Y971" s="562"/>
      <c r="Z971" s="430"/>
      <c r="AA971" s="562"/>
      <c r="AB971" s="562"/>
      <c r="AC971" s="562"/>
      <c r="AD971" s="562"/>
      <c r="AE971" s="562"/>
      <c r="AF971" s="562"/>
      <c r="AG971" s="562"/>
      <c r="AH971" s="562"/>
      <c r="AI971" s="562"/>
      <c r="AJ971" s="562"/>
      <c r="AK971" s="562"/>
      <c r="AL971" s="562"/>
      <c r="AM971" s="562"/>
      <c r="AN971" s="562"/>
      <c r="AO971" s="562"/>
      <c r="AP971" s="562"/>
      <c r="AQ971" s="562"/>
      <c r="AR971" s="562"/>
      <c r="AS971" s="562"/>
      <c r="AT971" s="562"/>
      <c r="AU971" s="562"/>
      <c r="AV971" s="562"/>
      <c r="AW971" s="562"/>
      <c r="AX971" s="594" t="str">
        <f>'Overview (Verification)'!A42</f>
        <v>Maximum window and door U-value:</v>
      </c>
      <c r="AY971" s="562">
        <f>IF(LEN('Overview (Verification)'!P42)=0,0,'Overview (Verification)'!P42)</f>
        <v>0</v>
      </c>
      <c r="AZ971" s="562"/>
      <c r="BA971" s="562"/>
      <c r="BB971" s="562"/>
      <c r="BC971" s="562"/>
      <c r="BD971" s="562"/>
      <c r="BE971" s="562"/>
      <c r="BF971" s="562"/>
      <c r="BG971" s="562"/>
      <c r="BH971" s="562"/>
    </row>
    <row r="972" spans="1:60" x14ac:dyDescent="0.2">
      <c r="A972" s="541">
        <v>9</v>
      </c>
      <c r="B972" s="551">
        <v>901.4</v>
      </c>
      <c r="C972" s="544"/>
      <c r="D972" s="544"/>
      <c r="E972" s="544"/>
      <c r="F972" s="544"/>
      <c r="G972" s="543" t="s">
        <v>3343</v>
      </c>
      <c r="H972" s="541" t="s">
        <v>3751</v>
      </c>
      <c r="I972" s="121"/>
      <c r="J972" s="3"/>
      <c r="K972" s="3"/>
      <c r="L972" s="817"/>
      <c r="M972" s="814"/>
      <c r="N972" s="795"/>
      <c r="O972" s="795"/>
      <c r="P972" s="562"/>
      <c r="Q972" s="562"/>
      <c r="R972" s="562"/>
      <c r="S972" s="562"/>
      <c r="T972" s="562"/>
      <c r="U972" s="562"/>
      <c r="V972" s="562"/>
      <c r="W972" s="562"/>
      <c r="X972" s="562"/>
      <c r="Y972" s="562"/>
      <c r="Z972" s="430"/>
      <c r="AA972" s="562"/>
      <c r="AB972" s="562"/>
      <c r="AC972" s="562"/>
      <c r="AD972" s="562"/>
      <c r="AE972" s="562"/>
      <c r="AF972" s="562"/>
      <c r="AG972" s="562"/>
      <c r="AH972" s="562"/>
      <c r="AI972" s="562"/>
      <c r="AJ972" s="562"/>
      <c r="AK972" s="562"/>
      <c r="AL972" s="562"/>
      <c r="AM972" s="562"/>
      <c r="AN972" s="562"/>
      <c r="AO972" s="562"/>
      <c r="AP972" s="562"/>
      <c r="AQ972" s="562"/>
      <c r="AR972" s="562"/>
      <c r="AS972" s="562"/>
      <c r="AT972" s="562"/>
      <c r="AU972" s="562"/>
      <c r="AV972" s="562"/>
      <c r="AW972" s="562"/>
      <c r="AX972" s="594"/>
      <c r="AY972" s="562"/>
      <c r="AZ972" s="562"/>
      <c r="BA972" s="562"/>
      <c r="BB972" s="562"/>
      <c r="BC972" s="562"/>
      <c r="BD972" s="562"/>
      <c r="BE972" s="562"/>
      <c r="BF972" s="562"/>
      <c r="BG972" s="562"/>
      <c r="BH972" s="562"/>
    </row>
    <row r="973" spans="1:60" x14ac:dyDescent="0.2">
      <c r="A973" s="541">
        <v>9</v>
      </c>
      <c r="B973" s="551">
        <v>901.4</v>
      </c>
      <c r="C973" s="544"/>
      <c r="D973" s="544"/>
      <c r="E973" s="544" t="s">
        <v>2181</v>
      </c>
      <c r="F973" s="544"/>
      <c r="G973" s="543" t="s">
        <v>3343</v>
      </c>
      <c r="H973" s="541" t="s">
        <v>3757</v>
      </c>
      <c r="I973" s="121"/>
      <c r="J973" s="134" t="s">
        <v>2181</v>
      </c>
      <c r="K973" s="98"/>
      <c r="L973" s="791" t="s">
        <v>3035</v>
      </c>
      <c r="M973" s="838" t="str">
        <f>IF(R973,"Mandatory","N/A")</f>
        <v>Mandatory</v>
      </c>
      <c r="N973" s="562"/>
      <c r="O973" s="562"/>
      <c r="P973" s="64" t="b">
        <v>1</v>
      </c>
      <c r="Q973" s="64" t="b">
        <v>0</v>
      </c>
      <c r="R973" s="562" t="b">
        <f>S973</f>
        <v>1</v>
      </c>
      <c r="S973" s="562" t="b">
        <v>1</v>
      </c>
      <c r="T973" s="562" t="b">
        <v>0</v>
      </c>
      <c r="U973" s="64" t="str">
        <f>SUBSTITUTE(SUBSTITUTE(SUBSTITUTE("dd"&amp;B973&amp;C973&amp;D973&amp;E973&amp;F973,".","_"),"(","_"),")","")</f>
        <v>dd901,4_1</v>
      </c>
      <c r="V973" s="562"/>
      <c r="W973" s="6"/>
      <c r="X973" s="787"/>
      <c r="Y973" s="980" t="str">
        <f>IF(LEN('Ch9'!X72)=0,"None",'Ch9'!X72)</f>
        <v>None</v>
      </c>
      <c r="Z973" s="983"/>
      <c r="AA973" s="562"/>
      <c r="AB973" s="562"/>
      <c r="AC973" s="562" t="b">
        <f>OR(AD973:AE973)</f>
        <v>1</v>
      </c>
      <c r="AD973" s="562" t="b">
        <f>T973</f>
        <v>0</v>
      </c>
      <c r="AE973" s="562" t="b">
        <f>OR(AND(W973="N/A",LEN(X973)=0),AND(R973,OR(W973="Not Met",W973="")))</f>
        <v>1</v>
      </c>
      <c r="AF973" s="562" t="b">
        <f>AND(AE973,NOT(Q973))</f>
        <v>1</v>
      </c>
      <c r="AG973" s="562"/>
      <c r="AH973" s="562"/>
      <c r="AI973" s="562"/>
      <c r="AJ973" s="562"/>
      <c r="AK973" s="562"/>
      <c r="AL973" s="190" t="str">
        <f t="shared" ref="AL973" si="276">SUBSTITUTE(SUBSTITUTE(SUBSTITUTE("vpa"&amp;$B973&amp;$C973&amp;$D973&amp;$E973&amp;$F973,".","_"),"(","_"),")","")</f>
        <v>vpa901,4_1</v>
      </c>
      <c r="AM973" s="190" t="str">
        <f>M973</f>
        <v>Mandatory</v>
      </c>
      <c r="AN973" s="190"/>
      <c r="AO973" s="562"/>
      <c r="AP973" s="190" t="str">
        <f>SUBSTITUTE(SUBSTITUTE(SUBSTITUTE("vch"&amp;$B973&amp;$C973&amp;$D973&amp;$E973&amp;$F973,".","_"),"(","_"),")","")</f>
        <v>vch901,4_1</v>
      </c>
      <c r="AQ973" s="190">
        <f>W973</f>
        <v>0</v>
      </c>
      <c r="AR973" s="190" t="str">
        <f>SUBSTITUTE(SUBSTITUTE(SUBSTITUTE("vnt"&amp;$B973&amp;$C973&amp;$D973&amp;$E973&amp;$F973,".","_"),"(","_"),")","")</f>
        <v>vnt901,4_1</v>
      </c>
      <c r="AS973" s="190">
        <f>X973</f>
        <v>0</v>
      </c>
      <c r="AT973" s="562"/>
      <c r="AU973" s="562"/>
      <c r="AV973" s="562"/>
      <c r="AW973" s="562"/>
      <c r="AX973" s="594" t="str">
        <f>'Overview (Verification)'!A43</f>
        <v>Maximum skylight U-value:</v>
      </c>
      <c r="AY973" s="562">
        <f>IF(LEN('Overview (Verification)'!P43)=0,0,'Overview (Verification)'!P43)</f>
        <v>0</v>
      </c>
      <c r="AZ973" s="562"/>
      <c r="BA973" s="562"/>
      <c r="BB973" s="562"/>
      <c r="BC973" s="562"/>
      <c r="BD973" s="562"/>
      <c r="BE973" s="562"/>
      <c r="BF973" s="562"/>
      <c r="BG973" s="562"/>
      <c r="BH973" s="562"/>
    </row>
    <row r="974" spans="1:60" x14ac:dyDescent="0.2">
      <c r="A974" s="541">
        <v>9</v>
      </c>
      <c r="B974" s="551">
        <v>901.4</v>
      </c>
      <c r="C974" s="544"/>
      <c r="D974" s="544"/>
      <c r="E974" s="544" t="s">
        <v>2181</v>
      </c>
      <c r="F974" s="544"/>
      <c r="G974" s="543" t="s">
        <v>3343</v>
      </c>
      <c r="H974" s="541" t="s">
        <v>3757</v>
      </c>
      <c r="I974" s="121"/>
      <c r="J974" s="98"/>
      <c r="K974" s="98"/>
      <c r="L974" s="791"/>
      <c r="M974" s="838"/>
      <c r="N974" s="609"/>
      <c r="O974" s="609"/>
      <c r="P974" s="562"/>
      <c r="Q974" s="562"/>
      <c r="R974" s="562"/>
      <c r="S974" s="562"/>
      <c r="T974" s="562"/>
      <c r="U974" s="562"/>
      <c r="V974" s="562"/>
      <c r="W974" s="562"/>
      <c r="X974" s="787"/>
      <c r="Y974" s="980"/>
      <c r="Z974" s="983"/>
      <c r="AA974" s="562"/>
      <c r="AB974" s="562"/>
      <c r="AC974" s="562"/>
      <c r="AD974" s="562"/>
      <c r="AE974" s="562"/>
      <c r="AF974" s="562"/>
      <c r="AG974" s="562"/>
      <c r="AH974" s="562"/>
      <c r="AI974" s="562"/>
      <c r="AJ974" s="562"/>
      <c r="AK974" s="562"/>
      <c r="AL974" s="562"/>
      <c r="AM974" s="562"/>
      <c r="AN974" s="562"/>
      <c r="AO974" s="562"/>
      <c r="AP974" s="562"/>
      <c r="AQ974" s="562"/>
      <c r="AR974" s="562"/>
      <c r="AS974" s="562"/>
      <c r="AT974" s="562"/>
      <c r="AU974" s="562"/>
      <c r="AV974" s="562"/>
      <c r="AW974" s="562"/>
      <c r="AX974" s="594" t="str">
        <f>'Overview (Verification)'!A44</f>
        <v>Renewable Energy:</v>
      </c>
      <c r="AY974" s="562">
        <f>IF(LEN('Overview (Verification)'!P44)=0,0,'Overview (Verification)'!P44)</f>
        <v>0</v>
      </c>
      <c r="AZ974" s="562"/>
      <c r="BA974" s="562"/>
      <c r="BB974" s="562"/>
      <c r="BC974" s="562"/>
      <c r="BD974" s="562"/>
      <c r="BE974" s="562"/>
      <c r="BF974" s="562"/>
      <c r="BG974" s="562"/>
      <c r="BH974" s="562"/>
    </row>
    <row r="975" spans="1:60" x14ac:dyDescent="0.2">
      <c r="A975" s="541">
        <v>9</v>
      </c>
      <c r="B975" s="551">
        <v>901.4</v>
      </c>
      <c r="C975" s="544"/>
      <c r="D975" s="544"/>
      <c r="E975" s="544" t="s">
        <v>2181</v>
      </c>
      <c r="F975" s="544"/>
      <c r="G975" s="543" t="s">
        <v>3343</v>
      </c>
      <c r="H975" s="541" t="s">
        <v>3757</v>
      </c>
      <c r="I975" s="121"/>
      <c r="J975" s="98"/>
      <c r="K975" s="98"/>
      <c r="L975" s="791"/>
      <c r="M975" s="838"/>
      <c r="N975" s="609"/>
      <c r="O975" s="609"/>
      <c r="P975" s="562"/>
      <c r="Q975" s="562"/>
      <c r="R975" s="562"/>
      <c r="S975" s="562"/>
      <c r="T975" s="562"/>
      <c r="U975" s="562"/>
      <c r="V975" s="562"/>
      <c r="W975" s="562"/>
      <c r="X975" s="787"/>
      <c r="Y975" s="980"/>
      <c r="Z975" s="983"/>
      <c r="AA975" s="562"/>
      <c r="AB975" s="562"/>
      <c r="AC975" s="562"/>
      <c r="AD975" s="562"/>
      <c r="AE975" s="562"/>
      <c r="AF975" s="562"/>
      <c r="AG975" s="562"/>
      <c r="AH975" s="562"/>
      <c r="AI975" s="562"/>
      <c r="AJ975" s="562"/>
      <c r="AK975" s="562"/>
      <c r="AL975" s="562"/>
      <c r="AM975" s="562"/>
      <c r="AN975" s="562"/>
      <c r="AO975" s="562"/>
      <c r="AP975" s="562"/>
      <c r="AQ975" s="562"/>
      <c r="AR975" s="562"/>
      <c r="AS975" s="562"/>
      <c r="AT975" s="562"/>
      <c r="AU975" s="562"/>
      <c r="AV975" s="562"/>
      <c r="AW975" s="562"/>
      <c r="AX975" s="594" t="str">
        <f>'Overview (Verification)'!A45</f>
        <v>Thermal Envelope Insulation:</v>
      </c>
      <c r="AY975" s="562">
        <f>IF(LEN('Overview (Verification)'!P45)=0,0,'Overview (Verification)'!P45)</f>
        <v>0</v>
      </c>
      <c r="AZ975" s="562"/>
      <c r="BA975" s="562"/>
      <c r="BB975" s="562"/>
      <c r="BC975" s="562"/>
      <c r="BD975" s="562"/>
      <c r="BE975" s="562"/>
      <c r="BF975" s="562"/>
      <c r="BG975" s="562"/>
      <c r="BH975" s="562"/>
    </row>
    <row r="976" spans="1:60" ht="15.75" customHeight="1" x14ac:dyDescent="0.2">
      <c r="A976" s="541">
        <v>9</v>
      </c>
      <c r="B976" s="551">
        <v>901.4</v>
      </c>
      <c r="C976" s="544"/>
      <c r="D976" s="544"/>
      <c r="E976" s="544" t="s">
        <v>2181</v>
      </c>
      <c r="F976" s="544"/>
      <c r="G976" s="543" t="s">
        <v>3343</v>
      </c>
      <c r="H976" s="541" t="s">
        <v>3757</v>
      </c>
      <c r="I976" s="121"/>
      <c r="J976" s="98"/>
      <c r="K976" s="98"/>
      <c r="L976" s="791"/>
      <c r="M976" s="838"/>
      <c r="N976" s="609"/>
      <c r="O976" s="609"/>
      <c r="P976" s="562"/>
      <c r="Q976" s="562"/>
      <c r="R976" s="562"/>
      <c r="S976" s="562"/>
      <c r="T976" s="562"/>
      <c r="U976" s="562"/>
      <c r="V976" s="562"/>
      <c r="W976" s="562"/>
      <c r="X976" s="787"/>
      <c r="Y976" s="980"/>
      <c r="Z976" s="983"/>
      <c r="AA976" s="562"/>
      <c r="AB976" s="562"/>
      <c r="AC976" s="562"/>
      <c r="AD976" s="562"/>
      <c r="AE976" s="562"/>
      <c r="AF976" s="562"/>
      <c r="AG976" s="562"/>
      <c r="AH976" s="562"/>
      <c r="AI976" s="562"/>
      <c r="AJ976" s="562"/>
      <c r="AK976" s="562"/>
      <c r="AL976" s="562"/>
      <c r="AM976" s="562"/>
      <c r="AN976" s="562"/>
      <c r="AO976" s="562"/>
      <c r="AP976" s="562"/>
      <c r="AQ976" s="562"/>
      <c r="AR976" s="562"/>
      <c r="AS976" s="562"/>
      <c r="AT976" s="562"/>
      <c r="AU976" s="562"/>
      <c r="AV976" s="562"/>
      <c r="AW976" s="562"/>
      <c r="AX976" s="594" t="str">
        <f>'Overview (Verification)'!A46</f>
        <v>Attic Type:</v>
      </c>
      <c r="AY976" s="562">
        <f>IF(LEN('Overview (Verification)'!P46)=0,0,'Overview (Verification)'!P46)</f>
        <v>0</v>
      </c>
      <c r="AZ976" s="562"/>
      <c r="BA976" s="562"/>
      <c r="BB976" s="562"/>
      <c r="BC976" s="562"/>
      <c r="BD976" s="562"/>
      <c r="BE976" s="562"/>
      <c r="BF976" s="562"/>
      <c r="BG976" s="562"/>
      <c r="BH976" s="562"/>
    </row>
    <row r="977" spans="1:60" x14ac:dyDescent="0.2">
      <c r="A977" s="541">
        <v>9</v>
      </c>
      <c r="B977" s="551">
        <v>901.4</v>
      </c>
      <c r="C977" s="544"/>
      <c r="D977" s="544"/>
      <c r="E977" s="544" t="s">
        <v>2181</v>
      </c>
      <c r="F977" s="544"/>
      <c r="G977" s="543" t="s">
        <v>3343</v>
      </c>
      <c r="H977" s="541" t="s">
        <v>3757</v>
      </c>
      <c r="I977" s="121"/>
      <c r="J977" s="165"/>
      <c r="K977" s="165"/>
      <c r="L977" s="571" t="s">
        <v>3036</v>
      </c>
      <c r="M977" s="854"/>
      <c r="N977" s="609"/>
      <c r="O977" s="609"/>
      <c r="P977" s="562"/>
      <c r="Q977" s="562"/>
      <c r="R977" s="562"/>
      <c r="S977" s="562"/>
      <c r="T977" s="562"/>
      <c r="U977" s="562"/>
      <c r="V977" s="562"/>
      <c r="W977" s="562"/>
      <c r="X977" s="787"/>
      <c r="Y977" s="980"/>
      <c r="Z977" s="983"/>
      <c r="AA977" s="562"/>
      <c r="AB977" s="562"/>
      <c r="AC977" s="562"/>
      <c r="AD977" s="562"/>
      <c r="AE977" s="562"/>
      <c r="AF977" s="562"/>
      <c r="AG977" s="562"/>
      <c r="AH977" s="562"/>
      <c r="AI977" s="562"/>
      <c r="AJ977" s="562"/>
      <c r="AK977" s="562"/>
      <c r="AL977" s="562"/>
      <c r="AM977" s="562"/>
      <c r="AN977" s="562"/>
      <c r="AO977" s="562"/>
      <c r="AP977" s="562"/>
      <c r="AQ977" s="562"/>
      <c r="AR977" s="562"/>
      <c r="AS977" s="562"/>
      <c r="AT977" s="562"/>
      <c r="AU977" s="562"/>
      <c r="AV977" s="562"/>
      <c r="AW977" s="562"/>
      <c r="AX977" s="594" t="str">
        <f>'Overview (Verification)'!A47</f>
        <v>Attached Garage:</v>
      </c>
      <c r="AY977" s="562">
        <f>IF(LEN('Overview (Verification)'!P47)=0,0,'Overview (Verification)'!P47)</f>
        <v>0</v>
      </c>
      <c r="AZ977" s="562"/>
      <c r="BA977" s="562"/>
      <c r="BB977" s="562"/>
      <c r="BC977" s="562"/>
      <c r="BD977" s="562"/>
      <c r="BE977" s="562"/>
      <c r="BF977" s="562"/>
      <c r="BG977" s="562"/>
      <c r="BH977" s="562"/>
    </row>
    <row r="978" spans="1:60" x14ac:dyDescent="0.2">
      <c r="A978" s="541">
        <v>9</v>
      </c>
      <c r="B978" s="551">
        <v>901.4</v>
      </c>
      <c r="C978" s="544"/>
      <c r="D978" s="544"/>
      <c r="E978" s="544"/>
      <c r="F978" s="549" t="s">
        <v>2196</v>
      </c>
      <c r="G978" s="543" t="str">
        <f ca="1">IF(N969&gt;0,"P","")</f>
        <v/>
      </c>
      <c r="H978" s="558" t="s">
        <v>3751</v>
      </c>
      <c r="I978" s="253"/>
      <c r="J978" s="98"/>
      <c r="K978" s="98"/>
      <c r="L978" s="598" t="s">
        <v>3037</v>
      </c>
      <c r="M978" s="339"/>
      <c r="N978" s="607"/>
      <c r="O978" s="607"/>
      <c r="P978" s="64" t="b">
        <v>1</v>
      </c>
      <c r="Q978" s="64" t="b">
        <v>1</v>
      </c>
      <c r="R978" s="64" t="b">
        <v>0</v>
      </c>
      <c r="S978" s="64" t="b">
        <v>1</v>
      </c>
      <c r="T978" s="64" t="b">
        <v>0</v>
      </c>
      <c r="U978" s="64" t="str">
        <f>SUBSTITUTE(SUBSTITUTE(SUBSTITUTE("dd"&amp;B978&amp;C978&amp;D978&amp;E978&amp;F978,".","_"),"(","_"),")","")</f>
        <v>dd901,4_a</v>
      </c>
      <c r="V978" s="64"/>
      <c r="W978" s="6"/>
      <c r="X978" s="798"/>
      <c r="Y978" s="977" t="str">
        <f>IF(LEN('Ch9'!X77)=0,"None",'Ch9'!X77)</f>
        <v>None</v>
      </c>
      <c r="Z978" s="978"/>
      <c r="AA978" s="562"/>
      <c r="AB978" s="562"/>
      <c r="AC978" s="562" t="b">
        <f>OR(AD978:AE978)</f>
        <v>0</v>
      </c>
      <c r="AD978" s="562" t="b">
        <f>T978</f>
        <v>0</v>
      </c>
      <c r="AE978" s="562" t="b">
        <f>AND(R978,OR(W978="Not Met",W978=""))</f>
        <v>0</v>
      </c>
      <c r="AF978" s="562" t="b">
        <f t="shared" ref="AF978:AF981" si="277">AND(AE978,NOT(Q978))</f>
        <v>0</v>
      </c>
      <c r="AG978" s="562"/>
      <c r="AH978" s="562"/>
      <c r="AI978" s="562"/>
      <c r="AJ978" s="562"/>
      <c r="AK978" s="562"/>
      <c r="AL978" s="562"/>
      <c r="AM978" s="562"/>
      <c r="AN978" s="562"/>
      <c r="AO978" s="562"/>
      <c r="AP978" s="190" t="str">
        <f t="shared" ref="AP978:AP981" si="278">SUBSTITUTE(SUBSTITUTE(SUBSTITUTE("vch"&amp;$B978&amp;$C978&amp;$D978&amp;$E978&amp;$F978,".","_"),"(","_"),")","")</f>
        <v>vch901,4_a</v>
      </c>
      <c r="AQ978" s="190">
        <f>W978</f>
        <v>0</v>
      </c>
      <c r="AR978" s="190" t="str">
        <f>SUBSTITUTE(SUBSTITUTE(SUBSTITUTE("vnt"&amp;$B978&amp;$C978&amp;$D978&amp;$E978&amp;$F978,".","_"),"(","_"),")","")</f>
        <v>vnt901,4_a</v>
      </c>
      <c r="AS978" s="190">
        <f>X978</f>
        <v>0</v>
      </c>
      <c r="AT978" s="562"/>
      <c r="AU978" s="562"/>
      <c r="AV978" s="562"/>
      <c r="AW978" s="562"/>
      <c r="AX978" s="594" t="str">
        <f>'Overview (Verification)'!A48</f>
        <v>Recessed Lighting:</v>
      </c>
      <c r="AY978" s="562">
        <f>IF(LEN('Overview (Verification)'!P48)=0,0,'Overview (Verification)'!P48)</f>
        <v>0</v>
      </c>
      <c r="AZ978" s="562"/>
      <c r="BA978" s="562"/>
      <c r="BB978" s="562"/>
      <c r="BC978" s="562"/>
      <c r="BD978" s="562"/>
      <c r="BE978" s="562"/>
      <c r="BF978" s="562"/>
      <c r="BG978" s="562"/>
      <c r="BH978" s="562"/>
    </row>
    <row r="979" spans="1:60" x14ac:dyDescent="0.2">
      <c r="A979" s="541">
        <v>9</v>
      </c>
      <c r="B979" s="551">
        <v>901.4</v>
      </c>
      <c r="C979" s="544"/>
      <c r="D979" s="544"/>
      <c r="E979" s="544"/>
      <c r="F979" s="549" t="s">
        <v>2198</v>
      </c>
      <c r="G979" s="543" t="str">
        <f t="shared" ref="G979:G988" ca="1" si="279">G978</f>
        <v/>
      </c>
      <c r="H979" s="558" t="s">
        <v>3751</v>
      </c>
      <c r="I979" s="253"/>
      <c r="J979" s="98"/>
      <c r="K979" s="98"/>
      <c r="L979" s="598" t="s">
        <v>3038</v>
      </c>
      <c r="M979" s="339"/>
      <c r="N979" s="607"/>
      <c r="O979" s="607"/>
      <c r="P979" s="64" t="b">
        <v>1</v>
      </c>
      <c r="Q979" s="64" t="b">
        <v>1</v>
      </c>
      <c r="R979" s="64" t="b">
        <v>0</v>
      </c>
      <c r="S979" s="64" t="b">
        <v>1</v>
      </c>
      <c r="T979" s="64" t="b">
        <v>0</v>
      </c>
      <c r="U979" s="64" t="str">
        <f>SUBSTITUTE(SUBSTITUTE(SUBSTITUTE("dd"&amp;B979&amp;C979&amp;D979&amp;E979&amp;F979,".","_"),"(","_"),")","")</f>
        <v>dd901,4_b</v>
      </c>
      <c r="V979" s="64"/>
      <c r="W979" s="6"/>
      <c r="X979" s="798"/>
      <c r="Y979" s="977"/>
      <c r="Z979" s="978"/>
      <c r="AA979" s="562"/>
      <c r="AB979" s="562"/>
      <c r="AC979" s="562" t="b">
        <f>OR(AD979:AE979)</f>
        <v>0</v>
      </c>
      <c r="AD979" s="562" t="b">
        <f>T979</f>
        <v>0</v>
      </c>
      <c r="AE979" s="562" t="b">
        <f>AND(R979,OR(W979="Not Met",W979=""))</f>
        <v>0</v>
      </c>
      <c r="AF979" s="562" t="b">
        <f t="shared" si="277"/>
        <v>0</v>
      </c>
      <c r="AG979" s="562"/>
      <c r="AH979" s="562"/>
      <c r="AI979" s="562"/>
      <c r="AJ979" s="562"/>
      <c r="AK979" s="562"/>
      <c r="AL979" s="562"/>
      <c r="AM979" s="562"/>
      <c r="AN979" s="562"/>
      <c r="AO979" s="562"/>
      <c r="AP979" s="190" t="str">
        <f t="shared" si="278"/>
        <v>vch901,4_b</v>
      </c>
      <c r="AQ979" s="190">
        <f>W979</f>
        <v>0</v>
      </c>
      <c r="AR979" s="562"/>
      <c r="AS979" s="562"/>
      <c r="AT979" s="562"/>
      <c r="AU979" s="562"/>
      <c r="AV979" s="562"/>
      <c r="AW979" s="562"/>
      <c r="AX979" s="594"/>
      <c r="AY979" s="562"/>
      <c r="AZ979" s="562"/>
      <c r="BA979" s="562"/>
      <c r="BB979" s="562"/>
      <c r="BC979" s="562"/>
      <c r="BD979" s="562"/>
      <c r="BE979" s="562"/>
      <c r="BF979" s="562"/>
      <c r="BG979" s="562"/>
      <c r="BH979" s="562"/>
    </row>
    <row r="980" spans="1:60" x14ac:dyDescent="0.2">
      <c r="A980" s="541">
        <v>9</v>
      </c>
      <c r="B980" s="551">
        <v>901.4</v>
      </c>
      <c r="C980" s="544"/>
      <c r="D980" s="544"/>
      <c r="E980" s="544"/>
      <c r="F980" s="549" t="s">
        <v>2200</v>
      </c>
      <c r="G980" s="543" t="str">
        <f t="shared" ca="1" si="279"/>
        <v/>
      </c>
      <c r="H980" s="558" t="s">
        <v>3751</v>
      </c>
      <c r="I980" s="253"/>
      <c r="J980" s="98"/>
      <c r="K980" s="98"/>
      <c r="L980" s="598" t="s">
        <v>3039</v>
      </c>
      <c r="M980" s="339"/>
      <c r="N980" s="607"/>
      <c r="O980" s="607"/>
      <c r="P980" s="64" t="b">
        <v>1</v>
      </c>
      <c r="Q980" s="64" t="b">
        <v>1</v>
      </c>
      <c r="R980" s="64" t="b">
        <v>0</v>
      </c>
      <c r="S980" s="64" t="b">
        <v>1</v>
      </c>
      <c r="T980" s="64" t="b">
        <v>0</v>
      </c>
      <c r="U980" s="64" t="str">
        <f>SUBSTITUTE(SUBSTITUTE(SUBSTITUTE("dd"&amp;B980&amp;C980&amp;D980&amp;E980&amp;F980,".","_"),"(","_"),")","")</f>
        <v>dd901,4_c</v>
      </c>
      <c r="V980" s="64"/>
      <c r="W980" s="6"/>
      <c r="X980" s="798"/>
      <c r="Y980" s="977"/>
      <c r="Z980" s="978"/>
      <c r="AA980" s="562"/>
      <c r="AB980" s="562"/>
      <c r="AC980" s="562" t="b">
        <f>OR(AD980:AE980)</f>
        <v>0</v>
      </c>
      <c r="AD980" s="562" t="b">
        <f>T980</f>
        <v>0</v>
      </c>
      <c r="AE980" s="562" t="b">
        <f>AND(R980,OR(W980="Not Met",W980=""))</f>
        <v>0</v>
      </c>
      <c r="AF980" s="562" t="b">
        <f t="shared" si="277"/>
        <v>0</v>
      </c>
      <c r="AG980" s="562"/>
      <c r="AH980" s="562"/>
      <c r="AI980" s="562"/>
      <c r="AJ980" s="562"/>
      <c r="AK980" s="562"/>
      <c r="AL980" s="562"/>
      <c r="AM980" s="562"/>
      <c r="AN980" s="562"/>
      <c r="AO980" s="562"/>
      <c r="AP980" s="190" t="str">
        <f t="shared" si="278"/>
        <v>vch901,4_c</v>
      </c>
      <c r="AQ980" s="190">
        <f>W980</f>
        <v>0</v>
      </c>
      <c r="AR980" s="562"/>
      <c r="AS980" s="562"/>
      <c r="AT980" s="562"/>
      <c r="AU980" s="562"/>
      <c r="AV980" s="562"/>
      <c r="AW980" s="562"/>
      <c r="AX980" s="594" t="str">
        <f>'Overview (Verification)'!A50</f>
        <v>Special Design Features:</v>
      </c>
      <c r="AY980" s="562"/>
      <c r="AZ980" s="562"/>
      <c r="BA980" s="562"/>
      <c r="BB980" s="562"/>
      <c r="BC980" s="562"/>
      <c r="BD980" s="562"/>
      <c r="BE980" s="562"/>
      <c r="BF980" s="562"/>
      <c r="BG980" s="562"/>
      <c r="BH980" s="562"/>
    </row>
    <row r="981" spans="1:60" x14ac:dyDescent="0.2">
      <c r="A981" s="541">
        <v>9</v>
      </c>
      <c r="B981" s="551">
        <v>901.4</v>
      </c>
      <c r="C981" s="544"/>
      <c r="D981" s="544"/>
      <c r="E981" s="544"/>
      <c r="F981" s="549" t="s">
        <v>2247</v>
      </c>
      <c r="G981" s="543" t="str">
        <f t="shared" ca="1" si="279"/>
        <v/>
      </c>
      <c r="H981" s="558" t="s">
        <v>3751</v>
      </c>
      <c r="I981" s="253"/>
      <c r="J981" s="98"/>
      <c r="K981" s="98"/>
      <c r="L981" s="598" t="s">
        <v>3040</v>
      </c>
      <c r="M981" s="339"/>
      <c r="N981" s="607"/>
      <c r="O981" s="607"/>
      <c r="P981" s="64" t="b">
        <v>1</v>
      </c>
      <c r="Q981" s="64" t="b">
        <v>1</v>
      </c>
      <c r="R981" s="64" t="b">
        <v>0</v>
      </c>
      <c r="S981" s="64" t="b">
        <v>1</v>
      </c>
      <c r="T981" s="64" t="b">
        <v>0</v>
      </c>
      <c r="U981" s="64" t="str">
        <f>SUBSTITUTE(SUBSTITUTE(SUBSTITUTE("dd"&amp;B981&amp;C981&amp;D981&amp;E981&amp;F981,".","_"),"(","_"),")","")</f>
        <v>dd901,4_d</v>
      </c>
      <c r="V981" s="64"/>
      <c r="W981" s="6"/>
      <c r="X981" s="798"/>
      <c r="Y981" s="977"/>
      <c r="Z981" s="978"/>
      <c r="AA981" s="562"/>
      <c r="AB981" s="562"/>
      <c r="AC981" s="562" t="b">
        <f>OR(AD981:AE981)</f>
        <v>0</v>
      </c>
      <c r="AD981" s="562" t="b">
        <f>T981</f>
        <v>0</v>
      </c>
      <c r="AE981" s="562" t="b">
        <f>AND(R981,OR(W981="Not Met",W981=""))</f>
        <v>0</v>
      </c>
      <c r="AF981" s="562" t="b">
        <f t="shared" si="277"/>
        <v>0</v>
      </c>
      <c r="AG981" s="562"/>
      <c r="AH981" s="562"/>
      <c r="AI981" s="562"/>
      <c r="AJ981" s="562"/>
      <c r="AK981" s="562"/>
      <c r="AL981" s="562"/>
      <c r="AM981" s="562"/>
      <c r="AN981" s="562"/>
      <c r="AO981" s="562"/>
      <c r="AP981" s="190" t="str">
        <f t="shared" si="278"/>
        <v>vch901,4_d</v>
      </c>
      <c r="AQ981" s="190">
        <f>W981</f>
        <v>0</v>
      </c>
      <c r="AR981" s="562"/>
      <c r="AS981" s="562"/>
      <c r="AT981" s="562"/>
      <c r="AU981" s="562"/>
      <c r="AV981" s="562"/>
      <c r="AW981" s="562"/>
      <c r="AX981" s="594" t="str">
        <f>'Overview (Verification)'!A51</f>
        <v>Passive Solar:</v>
      </c>
      <c r="AY981" s="562">
        <f>IF(LEN('Overview (Verification)'!P51)=0,0,'Overview (Verification)'!P51)</f>
        <v>0</v>
      </c>
      <c r="AZ981" s="562"/>
      <c r="BA981" s="562"/>
      <c r="BB981" s="562"/>
      <c r="BC981" s="562"/>
      <c r="BD981" s="562"/>
      <c r="BE981" s="562"/>
      <c r="BF981" s="562"/>
      <c r="BG981" s="562"/>
      <c r="BH981" s="562"/>
    </row>
    <row r="982" spans="1:60" x14ac:dyDescent="0.2">
      <c r="A982" s="541">
        <v>9</v>
      </c>
      <c r="B982" s="551">
        <v>901.4</v>
      </c>
      <c r="C982" s="544"/>
      <c r="D982" s="544"/>
      <c r="E982" s="544" t="s">
        <v>2183</v>
      </c>
      <c r="F982" s="544"/>
      <c r="G982" s="543" t="str">
        <f t="shared" ca="1" si="279"/>
        <v/>
      </c>
      <c r="H982" s="541" t="s">
        <v>3751</v>
      </c>
      <c r="I982" s="253"/>
      <c r="J982" s="134" t="s">
        <v>2183</v>
      </c>
      <c r="K982" s="98"/>
      <c r="L982" s="791" t="s">
        <v>3041</v>
      </c>
      <c r="M982" s="800">
        <v>2</v>
      </c>
      <c r="N982" s="607"/>
      <c r="O982" s="607"/>
      <c r="P982" s="64"/>
      <c r="Q982" s="64"/>
      <c r="R982" s="64"/>
      <c r="S982" s="64"/>
      <c r="T982" s="64"/>
      <c r="U982" s="64"/>
      <c r="V982" s="64"/>
      <c r="W982" s="64"/>
      <c r="X982" s="798"/>
      <c r="Y982" s="977"/>
      <c r="Z982" s="978"/>
      <c r="AA982" s="562"/>
      <c r="AB982" s="562"/>
      <c r="AC982" s="562"/>
      <c r="AD982" s="562"/>
      <c r="AE982" s="562"/>
      <c r="AF982" s="562"/>
      <c r="AG982" s="562"/>
      <c r="AH982" s="562"/>
      <c r="AI982" s="562"/>
      <c r="AJ982" s="562"/>
      <c r="AK982" s="562"/>
      <c r="AL982" s="190" t="str">
        <f t="shared" ref="AL982" si="280">SUBSTITUTE(SUBSTITUTE(SUBSTITUTE("vpa"&amp;$B982&amp;$C982&amp;$D982&amp;$E982&amp;$F982,".","_"),"(","_"),")","")</f>
        <v>vpa901,4_2</v>
      </c>
      <c r="AM982" s="190">
        <f>M982</f>
        <v>2</v>
      </c>
      <c r="AN982" s="562"/>
      <c r="AO982" s="562"/>
      <c r="AP982" s="562"/>
      <c r="AQ982" s="562"/>
      <c r="AR982" s="562"/>
      <c r="AS982" s="562"/>
      <c r="AT982" s="562"/>
      <c r="AU982" s="562"/>
      <c r="AV982" s="562"/>
      <c r="AW982" s="562"/>
      <c r="AX982" s="594" t="str">
        <f>'Overview (Verification)'!A52</f>
        <v>Mass Walls:</v>
      </c>
      <c r="AY982" s="562">
        <f>IF(LEN('Overview (Verification)'!P52)=0,0,'Overview (Verification)'!P52)</f>
        <v>0</v>
      </c>
      <c r="AZ982" s="562"/>
      <c r="BA982" s="562"/>
      <c r="BB982" s="562"/>
      <c r="BC982" s="562"/>
      <c r="BD982" s="562"/>
      <c r="BE982" s="562"/>
      <c r="BF982" s="562"/>
      <c r="BG982" s="562"/>
      <c r="BH982" s="562"/>
    </row>
    <row r="983" spans="1:60" x14ac:dyDescent="0.2">
      <c r="A983" s="541">
        <v>9</v>
      </c>
      <c r="B983" s="551">
        <v>901.4</v>
      </c>
      <c r="C983" s="544"/>
      <c r="D983" s="544"/>
      <c r="E983" s="544" t="s">
        <v>2183</v>
      </c>
      <c r="F983" s="544"/>
      <c r="G983" s="543" t="str">
        <f t="shared" ca="1" si="279"/>
        <v/>
      </c>
      <c r="H983" s="541" t="s">
        <v>3751</v>
      </c>
      <c r="I983" s="253"/>
      <c r="J983" s="165"/>
      <c r="K983" s="165"/>
      <c r="L983" s="792"/>
      <c r="M983" s="801"/>
      <c r="N983" s="607"/>
      <c r="O983" s="607"/>
      <c r="P983" s="64"/>
      <c r="Q983" s="64"/>
      <c r="R983" s="64"/>
      <c r="S983" s="64"/>
      <c r="T983" s="64"/>
      <c r="U983" s="64"/>
      <c r="V983" s="64"/>
      <c r="W983" s="64"/>
      <c r="X983" s="798"/>
      <c r="Y983" s="977"/>
      <c r="Z983" s="978"/>
      <c r="AA983" s="562"/>
      <c r="AB983" s="562"/>
      <c r="AC983" s="562"/>
      <c r="AD983" s="562"/>
      <c r="AE983" s="562"/>
      <c r="AF983" s="562"/>
      <c r="AG983" s="562"/>
      <c r="AH983" s="562"/>
      <c r="AI983" s="562"/>
      <c r="AJ983" s="562"/>
      <c r="AK983" s="562"/>
      <c r="AL983" s="562"/>
      <c r="AM983" s="562"/>
      <c r="AN983" s="562"/>
      <c r="AO983" s="562"/>
      <c r="AP983" s="562"/>
      <c r="AQ983" s="562"/>
      <c r="AR983" s="562"/>
      <c r="AS983" s="562"/>
      <c r="AT983" s="562"/>
      <c r="AU983" s="562"/>
      <c r="AV983" s="562"/>
      <c r="AW983" s="562"/>
      <c r="AX983" s="594" t="str">
        <f>'Overview (Verification)'!A53</f>
        <v>Ductless:</v>
      </c>
      <c r="AY983" s="562">
        <f>IF(LEN('Overview (Verification)'!P53)=0,0,'Overview (Verification)'!P53)</f>
        <v>0</v>
      </c>
      <c r="AZ983" s="562"/>
      <c r="BA983" s="562"/>
      <c r="BB983" s="562"/>
      <c r="BC983" s="562"/>
      <c r="BD983" s="562"/>
      <c r="BE983" s="562"/>
      <c r="BF983" s="562"/>
      <c r="BG983" s="562"/>
      <c r="BH983" s="562"/>
    </row>
    <row r="984" spans="1:60" x14ac:dyDescent="0.2">
      <c r="A984" s="541">
        <v>9</v>
      </c>
      <c r="B984" s="551">
        <v>901.4</v>
      </c>
      <c r="C984" s="544"/>
      <c r="D984" s="544"/>
      <c r="E984" s="544" t="s">
        <v>2185</v>
      </c>
      <c r="F984" s="544"/>
      <c r="G984" s="543" t="str">
        <f t="shared" ca="1" si="279"/>
        <v/>
      </c>
      <c r="H984" s="541" t="s">
        <v>3751</v>
      </c>
      <c r="I984" s="253"/>
      <c r="J984" s="159" t="s">
        <v>2185</v>
      </c>
      <c r="K984" s="165"/>
      <c r="L984" s="599" t="s">
        <v>3042</v>
      </c>
      <c r="M984" s="611">
        <v>2</v>
      </c>
      <c r="N984" s="607"/>
      <c r="O984" s="607"/>
      <c r="P984" s="64"/>
      <c r="Q984" s="64"/>
      <c r="R984" s="64"/>
      <c r="S984" s="64"/>
      <c r="T984" s="64"/>
      <c r="U984" s="64"/>
      <c r="V984" s="64"/>
      <c r="W984" s="64"/>
      <c r="X984" s="798"/>
      <c r="Y984" s="977"/>
      <c r="Z984" s="978"/>
      <c r="AA984" s="562"/>
      <c r="AB984" s="562"/>
      <c r="AC984" s="562"/>
      <c r="AD984" s="562"/>
      <c r="AE984" s="562"/>
      <c r="AF984" s="562"/>
      <c r="AG984" s="562"/>
      <c r="AH984" s="562"/>
      <c r="AI984" s="562"/>
      <c r="AJ984" s="562"/>
      <c r="AK984" s="562"/>
      <c r="AL984" s="190" t="str">
        <f t="shared" ref="AL984:AL986" si="281">SUBSTITUTE(SUBSTITUTE(SUBSTITUTE("vpa"&amp;$B984&amp;$C984&amp;$D984&amp;$E984&amp;$F984,".","_"),"(","_"),")","")</f>
        <v>vpa901,4_3</v>
      </c>
      <c r="AM984" s="190">
        <f>M984</f>
        <v>2</v>
      </c>
      <c r="AN984" s="562"/>
      <c r="AO984" s="562"/>
      <c r="AP984" s="562"/>
      <c r="AQ984" s="562"/>
      <c r="AR984" s="562"/>
      <c r="AS984" s="562"/>
      <c r="AT984" s="562"/>
      <c r="AU984" s="562"/>
      <c r="AV984" s="562"/>
      <c r="AW984" s="562"/>
      <c r="AX984" s="594" t="str">
        <f>'Overview (Verification)'!A54</f>
        <v>Radiant/Hydronic:</v>
      </c>
      <c r="AY984" s="562">
        <f>IF(LEN('Overview (Verification)'!P54)=0,0,'Overview (Verification)'!P54)</f>
        <v>0</v>
      </c>
      <c r="AZ984" s="562"/>
      <c r="BA984" s="562"/>
      <c r="BB984" s="562"/>
      <c r="BC984" s="562"/>
      <c r="BD984" s="562"/>
      <c r="BE984" s="562"/>
      <c r="BF984" s="562"/>
      <c r="BG984" s="562"/>
      <c r="BH984" s="562"/>
    </row>
    <row r="985" spans="1:60" x14ac:dyDescent="0.2">
      <c r="A985" s="541">
        <v>9</v>
      </c>
      <c r="B985" s="551">
        <v>901.4</v>
      </c>
      <c r="C985" s="544"/>
      <c r="D985" s="544"/>
      <c r="E985" s="544" t="s">
        <v>2192</v>
      </c>
      <c r="F985" s="544"/>
      <c r="G985" s="543" t="str">
        <f t="shared" ca="1" si="279"/>
        <v/>
      </c>
      <c r="H985" s="541" t="s">
        <v>3751</v>
      </c>
      <c r="I985" s="253"/>
      <c r="J985" s="159" t="s">
        <v>2192</v>
      </c>
      <c r="K985" s="165"/>
      <c r="L985" s="599" t="s">
        <v>3043</v>
      </c>
      <c r="M985" s="611">
        <v>3</v>
      </c>
      <c r="N985" s="607"/>
      <c r="O985" s="607"/>
      <c r="P985" s="64"/>
      <c r="Q985" s="64"/>
      <c r="R985" s="64"/>
      <c r="S985" s="64"/>
      <c r="T985" s="64"/>
      <c r="U985" s="64"/>
      <c r="V985" s="64"/>
      <c r="W985" s="64"/>
      <c r="X985" s="798"/>
      <c r="Y985" s="977"/>
      <c r="Z985" s="978"/>
      <c r="AA985" s="562"/>
      <c r="AB985" s="562"/>
      <c r="AC985" s="562"/>
      <c r="AD985" s="562"/>
      <c r="AE985" s="562"/>
      <c r="AF985" s="562"/>
      <c r="AG985" s="562"/>
      <c r="AH985" s="562"/>
      <c r="AI985" s="562"/>
      <c r="AJ985" s="562"/>
      <c r="AK985" s="562"/>
      <c r="AL985" s="190" t="str">
        <f t="shared" si="281"/>
        <v>vpa901,4_4</v>
      </c>
      <c r="AM985" s="190">
        <f>M985</f>
        <v>3</v>
      </c>
      <c r="AN985" s="562"/>
      <c r="AO985" s="562"/>
      <c r="AP985" s="562"/>
      <c r="AQ985" s="562"/>
      <c r="AR985" s="562"/>
      <c r="AS985" s="562"/>
      <c r="AT985" s="562"/>
      <c r="AU985" s="562"/>
      <c r="AV985" s="562"/>
      <c r="AW985" s="562"/>
      <c r="AX985" s="594" t="str">
        <f>'Overview (Verification)'!A55</f>
        <v>Tankless Water Heater:</v>
      </c>
      <c r="AY985" s="562">
        <f>IF(LEN('Overview (Verification)'!P55)=0,0,'Overview (Verification)'!P55)</f>
        <v>0</v>
      </c>
      <c r="AZ985" s="562"/>
      <c r="BA985" s="562"/>
      <c r="BB985" s="562"/>
      <c r="BC985" s="562"/>
      <c r="BD985" s="562"/>
      <c r="BE985" s="562"/>
      <c r="BF985" s="562"/>
      <c r="BG985" s="562"/>
      <c r="BH985" s="562"/>
    </row>
    <row r="986" spans="1:60" x14ac:dyDescent="0.2">
      <c r="A986" s="541">
        <v>9</v>
      </c>
      <c r="B986" s="551">
        <v>901.4</v>
      </c>
      <c r="C986" s="544"/>
      <c r="D986" s="544"/>
      <c r="E986" s="544" t="s">
        <v>2194</v>
      </c>
      <c r="F986" s="544"/>
      <c r="G986" s="543" t="str">
        <f t="shared" ca="1" si="279"/>
        <v/>
      </c>
      <c r="H986" s="541" t="s">
        <v>3751</v>
      </c>
      <c r="I986" s="253"/>
      <c r="J986" s="134" t="s">
        <v>2194</v>
      </c>
      <c r="K986" s="98"/>
      <c r="L986" s="791" t="s">
        <v>3044</v>
      </c>
      <c r="M986" s="800">
        <v>4</v>
      </c>
      <c r="N986" s="607"/>
      <c r="O986" s="607"/>
      <c r="P986" s="64"/>
      <c r="Q986" s="64"/>
      <c r="R986" s="64"/>
      <c r="S986" s="64"/>
      <c r="T986" s="64"/>
      <c r="U986" s="64"/>
      <c r="V986" s="64"/>
      <c r="W986" s="64"/>
      <c r="X986" s="798"/>
      <c r="Y986" s="977"/>
      <c r="Z986" s="978"/>
      <c r="AA986" s="562"/>
      <c r="AB986" s="562"/>
      <c r="AC986" s="562"/>
      <c r="AD986" s="562"/>
      <c r="AE986" s="562"/>
      <c r="AF986" s="562"/>
      <c r="AG986" s="562"/>
      <c r="AH986" s="562"/>
      <c r="AI986" s="562"/>
      <c r="AJ986" s="562"/>
      <c r="AK986" s="562"/>
      <c r="AL986" s="190" t="str">
        <f t="shared" si="281"/>
        <v>vpa901,4_5</v>
      </c>
      <c r="AM986" s="190">
        <f>M986</f>
        <v>4</v>
      </c>
      <c r="AN986" s="562"/>
      <c r="AO986" s="562"/>
      <c r="AP986" s="562"/>
      <c r="AQ986" s="562"/>
      <c r="AR986" s="562"/>
      <c r="AS986" s="562"/>
      <c r="AT986" s="562"/>
      <c r="AU986" s="562"/>
      <c r="AV986" s="562"/>
      <c r="AW986" s="562"/>
      <c r="AX986" s="594" t="str">
        <f>'Overview (Verification)'!A56</f>
        <v>Composting Toilet:</v>
      </c>
      <c r="AY986" s="562">
        <f>IF(LEN('Overview (Verification)'!P56)=0,0,'Overview (Verification)'!P56)</f>
        <v>0</v>
      </c>
      <c r="AZ986" s="562"/>
      <c r="BA986" s="562"/>
      <c r="BB986" s="562"/>
      <c r="BC986" s="562"/>
      <c r="BD986" s="562"/>
      <c r="BE986" s="562"/>
      <c r="BF986" s="562"/>
      <c r="BG986" s="562"/>
      <c r="BH986" s="562"/>
    </row>
    <row r="987" spans="1:60" x14ac:dyDescent="0.2">
      <c r="A987" s="541">
        <v>9</v>
      </c>
      <c r="B987" s="551">
        <v>901.4</v>
      </c>
      <c r="C987" s="544"/>
      <c r="D987" s="544"/>
      <c r="E987" s="544" t="s">
        <v>2194</v>
      </c>
      <c r="F987" s="544"/>
      <c r="G987" s="543" t="str">
        <f t="shared" ca="1" si="279"/>
        <v/>
      </c>
      <c r="H987" s="541" t="s">
        <v>3751</v>
      </c>
      <c r="I987" s="253"/>
      <c r="J987" s="159"/>
      <c r="K987" s="165"/>
      <c r="L987" s="792"/>
      <c r="M987" s="801"/>
      <c r="N987" s="607"/>
      <c r="O987" s="607"/>
      <c r="P987" s="64"/>
      <c r="Q987" s="64"/>
      <c r="R987" s="64"/>
      <c r="S987" s="64"/>
      <c r="T987" s="64"/>
      <c r="U987" s="64"/>
      <c r="V987" s="64"/>
      <c r="W987" s="64"/>
      <c r="X987" s="798"/>
      <c r="Y987" s="977"/>
      <c r="Z987" s="978"/>
      <c r="AA987" s="562"/>
      <c r="AB987" s="562"/>
      <c r="AC987" s="562"/>
      <c r="AD987" s="562"/>
      <c r="AE987" s="562"/>
      <c r="AF987" s="562"/>
      <c r="AG987" s="562"/>
      <c r="AH987" s="562"/>
      <c r="AI987" s="562"/>
      <c r="AJ987" s="562"/>
      <c r="AK987" s="562"/>
      <c r="AL987" s="562"/>
      <c r="AM987" s="562"/>
      <c r="AN987" s="562"/>
      <c r="AO987" s="562"/>
      <c r="AP987" s="562"/>
      <c r="AQ987" s="562"/>
      <c r="AR987" s="562"/>
      <c r="AS987" s="562"/>
      <c r="AT987" s="562"/>
      <c r="AU987" s="562"/>
      <c r="AV987" s="562"/>
      <c r="AW987" s="562"/>
      <c r="AX987" s="594"/>
      <c r="AY987" s="562"/>
      <c r="AZ987" s="562"/>
      <c r="BA987" s="562"/>
      <c r="BB987" s="562"/>
      <c r="BC987" s="562"/>
      <c r="BD987" s="562"/>
      <c r="BE987" s="562"/>
      <c r="BF987" s="562"/>
      <c r="BG987" s="562"/>
      <c r="BH987" s="562"/>
    </row>
    <row r="988" spans="1:60" ht="16" thickBot="1" x14ac:dyDescent="0.25">
      <c r="A988" s="541">
        <v>9</v>
      </c>
      <c r="B988" s="551">
        <v>901.4</v>
      </c>
      <c r="C988" s="544"/>
      <c r="D988" s="544"/>
      <c r="E988" s="544" t="s">
        <v>2221</v>
      </c>
      <c r="F988" s="544"/>
      <c r="G988" s="543" t="str">
        <f t="shared" ca="1" si="279"/>
        <v/>
      </c>
      <c r="H988" s="541" t="s">
        <v>3751</v>
      </c>
      <c r="I988" s="254"/>
      <c r="J988" s="143" t="s">
        <v>2221</v>
      </c>
      <c r="K988" s="185"/>
      <c r="L988" s="626" t="s">
        <v>3045</v>
      </c>
      <c r="M988" s="615">
        <v>4</v>
      </c>
      <c r="N988" s="622"/>
      <c r="O988" s="622"/>
      <c r="P988" s="68"/>
      <c r="Q988" s="68"/>
      <c r="R988" s="68"/>
      <c r="S988" s="68"/>
      <c r="T988" s="68"/>
      <c r="U988" s="68"/>
      <c r="V988" s="68"/>
      <c r="W988" s="68"/>
      <c r="X988" s="799"/>
      <c r="Y988" s="979"/>
      <c r="Z988" s="1007"/>
      <c r="AA988" s="562"/>
      <c r="AB988" s="562"/>
      <c r="AC988" s="562"/>
      <c r="AD988" s="562"/>
      <c r="AE988" s="562"/>
      <c r="AF988" s="562"/>
      <c r="AG988" s="562"/>
      <c r="AH988" s="562"/>
      <c r="AI988" s="562"/>
      <c r="AJ988" s="562"/>
      <c r="AK988" s="562"/>
      <c r="AL988" s="190" t="str">
        <f t="shared" ref="AL988" si="282">SUBSTITUTE(SUBSTITUTE(SUBSTITUTE("vpa"&amp;$B988&amp;$C988&amp;$D988&amp;$E988&amp;$F988,".","_"),"(","_"),")","")</f>
        <v>vpa901,4_6</v>
      </c>
      <c r="AM988" s="190">
        <f>M988</f>
        <v>4</v>
      </c>
      <c r="AN988" s="562"/>
      <c r="AO988" s="562"/>
      <c r="AP988" s="562"/>
      <c r="AQ988" s="562"/>
      <c r="AR988" s="562"/>
      <c r="AS988" s="562"/>
      <c r="AT988" s="562"/>
      <c r="AU988" s="562"/>
      <c r="AV988" s="562"/>
      <c r="AW988" s="562"/>
      <c r="AX988" s="594" t="str">
        <f>'Overview (Verification)'!A58</f>
        <v>Local Energy Code:</v>
      </c>
      <c r="AY988" s="562">
        <f>IF(LEN('Overview (Verification)'!P58)=0,0,'Overview (Verification)'!P58)</f>
        <v>0</v>
      </c>
      <c r="AZ988" s="562"/>
      <c r="BA988" s="562"/>
      <c r="BB988" s="562"/>
      <c r="BC988" s="562"/>
      <c r="BD988" s="562"/>
      <c r="BE988" s="562"/>
      <c r="BF988" s="562"/>
      <c r="BG988" s="562"/>
      <c r="BH988" s="562"/>
    </row>
    <row r="989" spans="1:60" ht="16" thickTop="1" x14ac:dyDescent="0.2">
      <c r="A989" s="541">
        <v>9</v>
      </c>
      <c r="B989" s="551">
        <v>901.5</v>
      </c>
      <c r="C989" s="544"/>
      <c r="D989" s="544"/>
      <c r="E989" s="544"/>
      <c r="F989" s="544"/>
      <c r="G989" s="539" t="str">
        <f>IF(COUNTIF(G992:G994,"P")&gt;0,"P","")</f>
        <v/>
      </c>
      <c r="H989" s="541" t="s">
        <v>3758</v>
      </c>
      <c r="I989" s="40" t="s">
        <v>3046</v>
      </c>
      <c r="J989" s="3"/>
      <c r="K989" s="3"/>
      <c r="L989" s="775" t="s">
        <v>3047</v>
      </c>
      <c r="M989" s="616"/>
      <c r="N989" s="609"/>
      <c r="O989" s="609"/>
      <c r="P989" s="562"/>
      <c r="Q989" s="562"/>
      <c r="R989" s="562"/>
      <c r="S989" s="562"/>
      <c r="T989" s="562"/>
      <c r="U989" s="562"/>
      <c r="V989" s="562"/>
      <c r="W989" s="562"/>
      <c r="X989" s="562"/>
      <c r="Y989" s="562"/>
      <c r="Z989" s="430"/>
      <c r="AA989" s="562"/>
      <c r="AB989" s="562"/>
      <c r="AC989" s="562"/>
      <c r="AD989" s="562"/>
      <c r="AE989" s="562"/>
      <c r="AF989" s="562"/>
      <c r="AG989" s="562"/>
      <c r="AH989" s="562"/>
      <c r="AI989" s="562"/>
      <c r="AJ989" s="562"/>
      <c r="AK989" s="562"/>
      <c r="AL989" s="562"/>
      <c r="AM989" s="562"/>
      <c r="AN989" s="562"/>
      <c r="AO989" s="562"/>
      <c r="AP989" s="562"/>
      <c r="AQ989" s="562"/>
      <c r="AR989" s="562"/>
      <c r="AS989" s="562"/>
      <c r="AT989" s="562"/>
      <c r="AU989" s="562"/>
      <c r="AV989" s="562"/>
      <c r="AW989" s="562"/>
      <c r="AX989" s="594" t="str">
        <f>'Overview (Verification)'!A59</f>
        <v>Local Building Code:</v>
      </c>
      <c r="AY989" s="562">
        <f>IF(LEN('Overview (Verification)'!P59)=0,0,'Overview (Verification)'!P59)</f>
        <v>0</v>
      </c>
      <c r="AZ989" s="562"/>
      <c r="BA989" s="562"/>
      <c r="BB989" s="562"/>
      <c r="BC989" s="562"/>
      <c r="BD989" s="562"/>
      <c r="BE989" s="562"/>
      <c r="BF989" s="562"/>
      <c r="BG989" s="562"/>
      <c r="BH989" s="562"/>
    </row>
    <row r="990" spans="1:60" x14ac:dyDescent="0.2">
      <c r="A990" s="541">
        <v>9</v>
      </c>
      <c r="B990" s="551">
        <v>901.5</v>
      </c>
      <c r="C990" s="544"/>
      <c r="D990" s="544"/>
      <c r="E990" s="544"/>
      <c r="F990" s="544"/>
      <c r="G990" s="543" t="str">
        <f t="shared" ref="G990:G991" si="283">G989</f>
        <v/>
      </c>
      <c r="H990" s="541" t="s">
        <v>3758</v>
      </c>
      <c r="I990" s="121"/>
      <c r="J990" s="3"/>
      <c r="K990" s="3"/>
      <c r="L990" s="775"/>
      <c r="M990" s="616"/>
      <c r="N990" s="609"/>
      <c r="O990" s="609"/>
      <c r="P990" s="562"/>
      <c r="Q990" s="562"/>
      <c r="R990" s="562"/>
      <c r="S990" s="562"/>
      <c r="T990" s="562"/>
      <c r="U990" s="562"/>
      <c r="V990" s="562"/>
      <c r="W990" s="562"/>
      <c r="X990" s="562"/>
      <c r="Y990" s="562"/>
      <c r="Z990" s="430"/>
      <c r="AA990" s="562"/>
      <c r="AB990" s="562"/>
      <c r="AC990" s="562"/>
      <c r="AD990" s="562"/>
      <c r="AE990" s="562"/>
      <c r="AF990" s="562"/>
      <c r="AG990" s="562"/>
      <c r="AH990" s="562"/>
      <c r="AI990" s="562"/>
      <c r="AJ990" s="562"/>
      <c r="AK990" s="562"/>
      <c r="AL990" s="562"/>
      <c r="AM990" s="562"/>
      <c r="AN990" s="562"/>
      <c r="AO990" s="562"/>
      <c r="AP990" s="562"/>
      <c r="AQ990" s="562"/>
      <c r="AR990" s="562"/>
      <c r="AS990" s="562"/>
      <c r="AT990" s="562"/>
      <c r="AU990" s="562"/>
      <c r="AV990" s="562"/>
      <c r="AW990" s="562"/>
      <c r="AX990" s="562"/>
      <c r="AY990" s="562"/>
      <c r="AZ990" s="562"/>
      <c r="BA990" s="562"/>
      <c r="BB990" s="562"/>
      <c r="BC990" s="562"/>
      <c r="BD990" s="562"/>
      <c r="BE990" s="562"/>
      <c r="BF990" s="562"/>
      <c r="BG990" s="562"/>
      <c r="BH990" s="562"/>
    </row>
    <row r="991" spans="1:60" x14ac:dyDescent="0.2">
      <c r="A991" s="541">
        <v>9</v>
      </c>
      <c r="B991" s="551">
        <v>901.5</v>
      </c>
      <c r="C991" s="544"/>
      <c r="D991" s="544"/>
      <c r="E991" s="544"/>
      <c r="F991" s="544"/>
      <c r="G991" s="543" t="str">
        <f t="shared" si="283"/>
        <v/>
      </c>
      <c r="H991" s="541" t="s">
        <v>3758</v>
      </c>
      <c r="I991" s="121"/>
      <c r="J991" s="3"/>
      <c r="K991" s="3"/>
      <c r="L991" s="635" t="s">
        <v>3048</v>
      </c>
      <c r="M991" s="616"/>
      <c r="N991" s="609"/>
      <c r="O991" s="609"/>
      <c r="P991" s="562"/>
      <c r="Q991" s="562"/>
      <c r="R991" s="562"/>
      <c r="S991" s="562"/>
      <c r="T991" s="562"/>
      <c r="U991" s="562"/>
      <c r="V991" s="562"/>
      <c r="W991" s="562"/>
      <c r="X991" s="562"/>
      <c r="Y991" s="562"/>
      <c r="Z991" s="430"/>
      <c r="AA991" s="562"/>
      <c r="AB991" s="562"/>
      <c r="AC991" s="562"/>
      <c r="AD991" s="562"/>
      <c r="AE991" s="562"/>
      <c r="AF991" s="562"/>
      <c r="AG991" s="562"/>
      <c r="AH991" s="562"/>
      <c r="AI991" s="562"/>
      <c r="AJ991" s="562"/>
      <c r="AK991" s="562"/>
      <c r="AL991" s="562"/>
      <c r="AM991" s="562"/>
      <c r="AN991" s="562"/>
      <c r="AO991" s="562"/>
      <c r="AP991" s="562"/>
      <c r="AQ991" s="562"/>
      <c r="AR991" s="562"/>
      <c r="AS991" s="562"/>
      <c r="AT991" s="562"/>
      <c r="AU991" s="562"/>
      <c r="AV991" s="562"/>
      <c r="AW991" s="562"/>
      <c r="AX991" s="562"/>
      <c r="AY991" s="562"/>
      <c r="AZ991" s="562"/>
      <c r="BA991" s="562"/>
      <c r="BB991" s="562"/>
      <c r="BC991" s="562"/>
      <c r="BD991" s="562"/>
      <c r="BE991" s="562"/>
      <c r="BF991" s="562"/>
      <c r="BG991" s="562"/>
      <c r="BH991" s="562"/>
    </row>
    <row r="992" spans="1:60" x14ac:dyDescent="0.2">
      <c r="A992" s="541">
        <v>9</v>
      </c>
      <c r="B992" s="551">
        <v>901.5</v>
      </c>
      <c r="C992" s="544"/>
      <c r="D992" s="544"/>
      <c r="E992" s="544" t="s">
        <v>2181</v>
      </c>
      <c r="F992" s="544"/>
      <c r="G992" s="543" t="str">
        <f>IF(N992&gt;0,"P","")</f>
        <v/>
      </c>
      <c r="H992" s="541" t="s">
        <v>3758</v>
      </c>
      <c r="I992" s="121"/>
      <c r="J992" s="134" t="s">
        <v>2181</v>
      </c>
      <c r="K992" s="98"/>
      <c r="L992" s="791" t="s">
        <v>3049</v>
      </c>
      <c r="M992" s="800">
        <v>5</v>
      </c>
      <c r="N992" s="793">
        <f>'Ch9'!O91</f>
        <v>0</v>
      </c>
      <c r="O992" s="793">
        <f>M992*S992*W992</f>
        <v>0</v>
      </c>
      <c r="P992" s="64" t="b">
        <v>0</v>
      </c>
      <c r="Q992" s="64" t="b">
        <v>1</v>
      </c>
      <c r="R992" s="562" t="b">
        <v>0</v>
      </c>
      <c r="S992" s="562" t="b">
        <v>1</v>
      </c>
      <c r="T992" s="562" t="b">
        <v>0</v>
      </c>
      <c r="U992" s="562"/>
      <c r="V992" s="562"/>
      <c r="W992" s="18"/>
      <c r="X992" s="787"/>
      <c r="Y992" s="980" t="str">
        <f>IF(LEN('Ch9'!X91)=0,"None",'Ch9'!X91)</f>
        <v>None</v>
      </c>
      <c r="Z992" s="983"/>
      <c r="AA992" s="562"/>
      <c r="AB992" s="562"/>
      <c r="AC992" s="562" t="b">
        <f>OR(AD992:AE992)</f>
        <v>0</v>
      </c>
      <c r="AD992" s="562" t="b">
        <f>T992</f>
        <v>0</v>
      </c>
      <c r="AE992" s="562" t="b">
        <f>AND(R992,NOT(W992))</f>
        <v>0</v>
      </c>
      <c r="AF992" s="562" t="b">
        <f>AND(AE992,NOT(Q992))</f>
        <v>0</v>
      </c>
      <c r="AG992" s="562"/>
      <c r="AH992" s="562"/>
      <c r="AI992" s="562"/>
      <c r="AJ992" s="562"/>
      <c r="AK992" s="562"/>
      <c r="AL992" s="190" t="str">
        <f t="shared" ref="AL992" si="284">SUBSTITUTE(SUBSTITUTE(SUBSTITUTE("vpa"&amp;$B992&amp;$C992&amp;$D992&amp;$E992&amp;$F992,".","_"),"(","_"),")","")</f>
        <v>vpa901,5_1</v>
      </c>
      <c r="AM992" s="190">
        <f>M992</f>
        <v>5</v>
      </c>
      <c r="AN992" s="190" t="str">
        <f>SUBSTITUTE(SUBSTITUTE(SUBSTITUTE("vpc"&amp;$B992&amp;$C992&amp;$D992&amp;$E992&amp;$F992,".","_"),"(","_"),")","")</f>
        <v>vpc901,5_1</v>
      </c>
      <c r="AO992" s="190">
        <f>O992</f>
        <v>0</v>
      </c>
      <c r="AP992" s="190" t="str">
        <f>SUBSTITUTE(SUBSTITUTE(SUBSTITUTE("vch"&amp;$B992&amp;$C992&amp;$D992&amp;$E992&amp;$F992,".","_"),"(","_"),")","")</f>
        <v>vch901,5_1</v>
      </c>
      <c r="AQ992" s="190">
        <f>W992</f>
        <v>0</v>
      </c>
      <c r="AR992" s="190" t="str">
        <f>SUBSTITUTE(SUBSTITUTE(SUBSTITUTE("vnt"&amp;$B992&amp;$C992&amp;$D992&amp;$E992&amp;$F992,".","_"),"(","_"),")","")</f>
        <v>vnt901,5_1</v>
      </c>
      <c r="AS992" s="190">
        <f>X992</f>
        <v>0</v>
      </c>
      <c r="AT992" s="562"/>
      <c r="AU992" s="562"/>
      <c r="AV992" s="562"/>
      <c r="AW992" s="562"/>
      <c r="AX992" s="562"/>
      <c r="AY992" s="562"/>
      <c r="AZ992" s="562"/>
      <c r="BA992" s="562"/>
      <c r="BB992" s="562"/>
      <c r="BC992" s="562"/>
      <c r="BD992" s="562"/>
      <c r="BE992" s="562"/>
      <c r="BF992" s="562"/>
      <c r="BG992" s="562"/>
      <c r="BH992" s="562"/>
    </row>
    <row r="993" spans="1:60" x14ac:dyDescent="0.2">
      <c r="A993" s="541">
        <v>9</v>
      </c>
      <c r="B993" s="551">
        <v>901.5</v>
      </c>
      <c r="C993" s="544"/>
      <c r="D993" s="544"/>
      <c r="E993" s="544" t="s">
        <v>2181</v>
      </c>
      <c r="F993" s="544"/>
      <c r="G993" s="543" t="str">
        <f t="shared" ref="G993" si="285">G992</f>
        <v/>
      </c>
      <c r="H993" s="541" t="s">
        <v>3758</v>
      </c>
      <c r="I993" s="121"/>
      <c r="J993" s="165"/>
      <c r="K993" s="165"/>
      <c r="L993" s="792"/>
      <c r="M993" s="801"/>
      <c r="N993" s="794"/>
      <c r="O993" s="794"/>
      <c r="P993" s="562"/>
      <c r="Q993" s="562"/>
      <c r="R993" s="562"/>
      <c r="S993" s="562"/>
      <c r="T993" s="562"/>
      <c r="U993" s="562"/>
      <c r="V993" s="562"/>
      <c r="W993" s="562"/>
      <c r="X993" s="787"/>
      <c r="Y993" s="980"/>
      <c r="Z993" s="983"/>
      <c r="AA993" s="562"/>
      <c r="AB993" s="562"/>
      <c r="AC993" s="562"/>
      <c r="AD993" s="562"/>
      <c r="AE993" s="562"/>
      <c r="AF993" s="562"/>
      <c r="AG993" s="562"/>
      <c r="AH993" s="562"/>
      <c r="AI993" s="562"/>
      <c r="AJ993" s="562"/>
      <c r="AK993" s="562"/>
      <c r="AL993" s="562"/>
      <c r="AM993" s="562"/>
      <c r="AN993" s="562"/>
      <c r="AO993" s="562"/>
      <c r="AP993" s="562"/>
      <c r="AQ993" s="562"/>
      <c r="AR993" s="562"/>
      <c r="AS993" s="562"/>
      <c r="AT993" s="562"/>
      <c r="AU993" s="562"/>
      <c r="AV993" s="562"/>
      <c r="AW993" s="562"/>
      <c r="AX993" s="562"/>
      <c r="AY993" s="562"/>
      <c r="AZ993" s="562"/>
      <c r="BA993" s="562"/>
      <c r="BB993" s="562"/>
      <c r="BC993" s="562"/>
      <c r="BD993" s="562"/>
      <c r="BE993" s="562"/>
      <c r="BF993" s="562"/>
      <c r="BG993" s="562"/>
      <c r="BH993" s="562"/>
    </row>
    <row r="994" spans="1:60" x14ac:dyDescent="0.2">
      <c r="A994" s="541">
        <v>9</v>
      </c>
      <c r="B994" s="551">
        <v>901.5</v>
      </c>
      <c r="C994" s="544"/>
      <c r="D994" s="544"/>
      <c r="E994" s="544" t="s">
        <v>2183</v>
      </c>
      <c r="F994" s="544"/>
      <c r="G994" s="543" t="str">
        <f>IF(N994&gt;0,"P","")</f>
        <v/>
      </c>
      <c r="H994" s="541" t="s">
        <v>3758</v>
      </c>
      <c r="I994" s="253"/>
      <c r="J994" s="134" t="s">
        <v>2183</v>
      </c>
      <c r="K994" s="98"/>
      <c r="L994" s="791" t="s">
        <v>3050</v>
      </c>
      <c r="M994" s="800">
        <v>3</v>
      </c>
      <c r="N994" s="793">
        <f>'Ch9'!O93</f>
        <v>0</v>
      </c>
      <c r="O994" s="793">
        <f>M994*S994*W994</f>
        <v>0</v>
      </c>
      <c r="P994" s="64" t="b">
        <v>0</v>
      </c>
      <c r="Q994" s="64" t="b">
        <v>1</v>
      </c>
      <c r="R994" s="64" t="b">
        <v>0</v>
      </c>
      <c r="S994" s="64" t="b">
        <v>1</v>
      </c>
      <c r="T994" s="64" t="b">
        <v>0</v>
      </c>
      <c r="U994" s="64"/>
      <c r="V994" s="64"/>
      <c r="W994" s="18"/>
      <c r="X994" s="798"/>
      <c r="Y994" s="977" t="str">
        <f>IF(LEN('Ch9'!X93)=0,"None",'Ch9'!X93)</f>
        <v>None</v>
      </c>
      <c r="Z994" s="978"/>
      <c r="AA994" s="562"/>
      <c r="AB994" s="562"/>
      <c r="AC994" s="562" t="b">
        <f>OR(AD994:AE994)</f>
        <v>0</v>
      </c>
      <c r="AD994" s="562" t="b">
        <f>T994</f>
        <v>0</v>
      </c>
      <c r="AE994" s="562" t="b">
        <f>AND(R994,NOT(W994))</f>
        <v>0</v>
      </c>
      <c r="AF994" s="562" t="b">
        <f>AND(AE994,NOT(Q994))</f>
        <v>0</v>
      </c>
      <c r="AG994" s="562"/>
      <c r="AH994" s="562"/>
      <c r="AI994" s="562"/>
      <c r="AJ994" s="562"/>
      <c r="AK994" s="562"/>
      <c r="AL994" s="190" t="str">
        <f t="shared" ref="AL994" si="286">SUBSTITUTE(SUBSTITUTE(SUBSTITUTE("vpa"&amp;$B994&amp;$C994&amp;$D994&amp;$E994&amp;$F994,".","_"),"(","_"),")","")</f>
        <v>vpa901,5_2</v>
      </c>
      <c r="AM994" s="190">
        <f>M994</f>
        <v>3</v>
      </c>
      <c r="AN994" s="190" t="str">
        <f>SUBSTITUTE(SUBSTITUTE(SUBSTITUTE("vpc"&amp;$B994&amp;$C994&amp;$D994&amp;$E994&amp;$F994,".","_"),"(","_"),")","")</f>
        <v>vpc901,5_2</v>
      </c>
      <c r="AO994" s="190">
        <f>O994</f>
        <v>0</v>
      </c>
      <c r="AP994" s="190" t="str">
        <f>SUBSTITUTE(SUBSTITUTE(SUBSTITUTE("vch"&amp;$B994&amp;$C994&amp;$D994&amp;$E994&amp;$F994,".","_"),"(","_"),")","")</f>
        <v>vch901,5_2</v>
      </c>
      <c r="AQ994" s="190">
        <f>W994</f>
        <v>0</v>
      </c>
      <c r="AR994" s="190" t="str">
        <f>SUBSTITUTE(SUBSTITUTE(SUBSTITUTE("vnt"&amp;$B994&amp;$C994&amp;$D994&amp;$E994&amp;$F994,".","_"),"(","_"),")","")</f>
        <v>vnt901,5_2</v>
      </c>
      <c r="AS994" s="190">
        <f>X994</f>
        <v>0</v>
      </c>
      <c r="AT994" s="562"/>
      <c r="AU994" s="562"/>
      <c r="AV994" s="562"/>
      <c r="AW994" s="562"/>
      <c r="AX994" s="562"/>
      <c r="AY994" s="562"/>
      <c r="AZ994" s="562"/>
      <c r="BA994" s="562"/>
      <c r="BB994" s="562"/>
      <c r="BC994" s="562"/>
      <c r="BD994" s="562"/>
      <c r="BE994" s="562"/>
      <c r="BF994" s="562"/>
      <c r="BG994" s="562"/>
      <c r="BH994" s="562"/>
    </row>
    <row r="995" spans="1:60" x14ac:dyDescent="0.2">
      <c r="A995" s="541">
        <v>9</v>
      </c>
      <c r="B995" s="551">
        <v>901.5</v>
      </c>
      <c r="C995" s="544"/>
      <c r="D995" s="544"/>
      <c r="E995" s="544" t="s">
        <v>2183</v>
      </c>
      <c r="F995" s="544"/>
      <c r="G995" s="543" t="str">
        <f t="shared" ref="G995:G996" si="287">G994</f>
        <v/>
      </c>
      <c r="H995" s="541" t="s">
        <v>3758</v>
      </c>
      <c r="I995" s="253"/>
      <c r="J995" s="98"/>
      <c r="K995" s="98"/>
      <c r="L995" s="791"/>
      <c r="M995" s="800"/>
      <c r="N995" s="793"/>
      <c r="O995" s="793"/>
      <c r="P995" s="64"/>
      <c r="Q995" s="64"/>
      <c r="R995" s="64"/>
      <c r="S995" s="64"/>
      <c r="T995" s="64"/>
      <c r="U995" s="64"/>
      <c r="V995" s="64"/>
      <c r="W995" s="64"/>
      <c r="X995" s="798"/>
      <c r="Y995" s="977"/>
      <c r="Z995" s="978"/>
      <c r="AA995" s="562"/>
      <c r="AB995" s="562"/>
      <c r="AC995" s="562"/>
      <c r="AD995" s="562"/>
      <c r="AE995" s="562"/>
      <c r="AF995" s="562"/>
      <c r="AG995" s="562"/>
      <c r="AH995" s="562"/>
      <c r="AI995" s="562"/>
      <c r="AJ995" s="562"/>
      <c r="AK995" s="562"/>
      <c r="AL995" s="562"/>
      <c r="AM995" s="562"/>
      <c r="AN995" s="562"/>
      <c r="AO995" s="562"/>
      <c r="AP995" s="562"/>
      <c r="AQ995" s="562"/>
      <c r="AR995" s="562"/>
      <c r="AS995" s="562"/>
      <c r="AT995" s="562"/>
      <c r="AU995" s="562"/>
      <c r="AV995" s="562"/>
      <c r="AW995" s="562"/>
      <c r="AX995" s="562"/>
      <c r="AY995" s="562"/>
      <c r="AZ995" s="562"/>
      <c r="BA995" s="562"/>
      <c r="BB995" s="562"/>
      <c r="BC995" s="562"/>
      <c r="BD995" s="562"/>
      <c r="BE995" s="562"/>
      <c r="BF995" s="562"/>
      <c r="BG995" s="562"/>
      <c r="BH995" s="562"/>
    </row>
    <row r="996" spans="1:60" ht="16" thickBot="1" x14ac:dyDescent="0.25">
      <c r="A996" s="541">
        <v>9</v>
      </c>
      <c r="B996" s="551">
        <v>901.5</v>
      </c>
      <c r="C996" s="544"/>
      <c r="D996" s="544"/>
      <c r="E996" s="544"/>
      <c r="F996" s="544"/>
      <c r="G996" s="543" t="str">
        <f t="shared" si="287"/>
        <v/>
      </c>
      <c r="H996" s="541" t="s">
        <v>3758</v>
      </c>
      <c r="I996" s="254"/>
      <c r="J996" s="185"/>
      <c r="K996" s="185"/>
      <c r="L996" s="818"/>
      <c r="M996" s="813"/>
      <c r="N996" s="821"/>
      <c r="O996" s="821"/>
      <c r="P996" s="68"/>
      <c r="Q996" s="68"/>
      <c r="R996" s="68"/>
      <c r="S996" s="68"/>
      <c r="T996" s="68"/>
      <c r="U996" s="68"/>
      <c r="V996" s="68"/>
      <c r="W996" s="68"/>
      <c r="X996" s="799"/>
      <c r="Y996" s="979"/>
      <c r="Z996" s="1007"/>
      <c r="AA996" s="562"/>
      <c r="AB996" s="562"/>
      <c r="AC996" s="562"/>
      <c r="AD996" s="562"/>
      <c r="AE996" s="562"/>
      <c r="AF996" s="562"/>
      <c r="AG996" s="562"/>
      <c r="AH996" s="562"/>
      <c r="AI996" s="562"/>
      <c r="AJ996" s="562"/>
      <c r="AK996" s="562"/>
      <c r="AL996" s="562"/>
      <c r="AM996" s="562"/>
      <c r="AN996" s="562"/>
      <c r="AO996" s="562"/>
      <c r="AP996" s="562"/>
      <c r="AQ996" s="562"/>
      <c r="AR996" s="562"/>
      <c r="AS996" s="562"/>
      <c r="AT996" s="562"/>
      <c r="AU996" s="562"/>
      <c r="AV996" s="562"/>
      <c r="AW996" s="562"/>
      <c r="AX996" s="562"/>
      <c r="AY996" s="562"/>
      <c r="AZ996" s="562"/>
      <c r="BA996" s="562"/>
      <c r="BB996" s="562"/>
      <c r="BC996" s="562"/>
      <c r="BD996" s="562"/>
      <c r="BE996" s="562"/>
      <c r="BF996" s="562"/>
      <c r="BG996" s="562"/>
      <c r="BH996" s="562"/>
    </row>
    <row r="997" spans="1:60" ht="16" thickTop="1" x14ac:dyDescent="0.2">
      <c r="A997" s="541">
        <v>9</v>
      </c>
      <c r="B997" s="551">
        <v>901.6</v>
      </c>
      <c r="C997" s="544"/>
      <c r="D997" s="544"/>
      <c r="E997" s="544"/>
      <c r="F997" s="544"/>
      <c r="G997" s="543" t="s">
        <v>3343</v>
      </c>
      <c r="H997" s="541" t="s">
        <v>3758</v>
      </c>
      <c r="I997" s="131" t="s">
        <v>3051</v>
      </c>
      <c r="J997" s="132"/>
      <c r="K997" s="132"/>
      <c r="L997" s="819" t="s">
        <v>3052</v>
      </c>
      <c r="M997" s="843" t="str">
        <f>IF(R997,"Mandatory","N/A")</f>
        <v>Mandatory</v>
      </c>
      <c r="N997" s="623"/>
      <c r="O997" s="623"/>
      <c r="P997" s="64" t="b">
        <v>0</v>
      </c>
      <c r="Q997" s="64" t="b">
        <v>1</v>
      </c>
      <c r="R997" s="74" t="b">
        <f>S997</f>
        <v>1</v>
      </c>
      <c r="S997" s="74" t="b">
        <v>1</v>
      </c>
      <c r="T997" s="74" t="b">
        <v>0</v>
      </c>
      <c r="U997" s="74"/>
      <c r="V997" s="74"/>
      <c r="W997" s="18"/>
      <c r="X997" s="802"/>
      <c r="Y997" s="975" t="str">
        <f>IF(LEN('Ch9'!X96)=0,"None",'Ch9'!X96)</f>
        <v>None</v>
      </c>
      <c r="Z997" s="976"/>
      <c r="AA997" s="562"/>
      <c r="AB997" s="562"/>
      <c r="AC997" s="562" t="b">
        <f>OR(AD997:AE997)</f>
        <v>1</v>
      </c>
      <c r="AD997" s="562" t="b">
        <f>T997</f>
        <v>0</v>
      </c>
      <c r="AE997" s="562" t="b">
        <f>AND(R997,NOT(W997))</f>
        <v>1</v>
      </c>
      <c r="AF997" s="562" t="b">
        <f>AND(AE997,NOT(Q997))</f>
        <v>0</v>
      </c>
      <c r="AG997" s="562"/>
      <c r="AH997" s="562"/>
      <c r="AI997" s="562"/>
      <c r="AJ997" s="562"/>
      <c r="AK997" s="562"/>
      <c r="AL997" s="190" t="str">
        <f t="shared" ref="AL997" si="288">SUBSTITUTE(SUBSTITUTE(SUBSTITUTE("vpa"&amp;$B997&amp;$C997&amp;$D997&amp;$E997&amp;$F997,".","_"),"(","_"),")","")</f>
        <v>vpa901,6</v>
      </c>
      <c r="AM997" s="190" t="str">
        <f>M997</f>
        <v>Mandatory</v>
      </c>
      <c r="AN997" s="562"/>
      <c r="AO997" s="562"/>
      <c r="AP997" s="190" t="str">
        <f>SUBSTITUTE(SUBSTITUTE(SUBSTITUTE("vch"&amp;$B997&amp;$C997&amp;$D997&amp;$E997&amp;$F997,".","_"),"(","_"),")","")</f>
        <v>vch901,6</v>
      </c>
      <c r="AQ997" s="190">
        <f>W997</f>
        <v>0</v>
      </c>
      <c r="AR997" s="190" t="str">
        <f>SUBSTITUTE(SUBSTITUTE(SUBSTITUTE("vnt"&amp;$B997&amp;$C997&amp;$D997&amp;$E997&amp;$F997,".","_"),"(","_"),")","")</f>
        <v>vnt901,6</v>
      </c>
      <c r="AS997" s="190">
        <f>X997</f>
        <v>0</v>
      </c>
      <c r="AT997" s="562"/>
      <c r="AU997" s="562"/>
      <c r="AV997" s="562"/>
      <c r="AW997" s="562"/>
      <c r="AX997" s="562"/>
      <c r="AY997" s="562"/>
      <c r="AZ997" s="562"/>
      <c r="BA997" s="562"/>
      <c r="BB997" s="562"/>
      <c r="BC997" s="562"/>
      <c r="BD997" s="562"/>
      <c r="BE997" s="562"/>
      <c r="BF997" s="562"/>
      <c r="BG997" s="562"/>
      <c r="BH997" s="562"/>
    </row>
    <row r="998" spans="1:60" ht="16" thickBot="1" x14ac:dyDescent="0.25">
      <c r="A998" s="541">
        <v>9</v>
      </c>
      <c r="B998" s="551">
        <v>901.6</v>
      </c>
      <c r="C998" s="544"/>
      <c r="D998" s="544"/>
      <c r="E998" s="544"/>
      <c r="F998" s="544"/>
      <c r="G998" s="543" t="s">
        <v>3343</v>
      </c>
      <c r="H998" s="541" t="s">
        <v>3758</v>
      </c>
      <c r="I998" s="254"/>
      <c r="J998" s="185"/>
      <c r="K998" s="185"/>
      <c r="L998" s="822"/>
      <c r="M998" s="844"/>
      <c r="N998" s="622"/>
      <c r="O998" s="622"/>
      <c r="P998" s="68"/>
      <c r="Q998" s="68"/>
      <c r="R998" s="68"/>
      <c r="S998" s="68"/>
      <c r="T998" s="68"/>
      <c r="U998" s="68"/>
      <c r="V998" s="68"/>
      <c r="W998" s="68"/>
      <c r="X998" s="799"/>
      <c r="Y998" s="979"/>
      <c r="Z998" s="1007"/>
      <c r="AA998" s="562"/>
      <c r="AB998" s="562"/>
      <c r="AC998" s="562"/>
      <c r="AD998" s="562"/>
      <c r="AE998" s="562"/>
      <c r="AF998" s="562"/>
      <c r="AG998" s="562"/>
      <c r="AH998" s="562"/>
      <c r="AI998" s="562"/>
      <c r="AJ998" s="562"/>
      <c r="AK998" s="562"/>
      <c r="AL998" s="562"/>
      <c r="AM998" s="562"/>
      <c r="AN998" s="562"/>
      <c r="AO998" s="562"/>
      <c r="AP998" s="562"/>
      <c r="AQ998" s="562"/>
      <c r="AR998" s="562"/>
      <c r="AS998" s="562"/>
      <c r="AT998" s="562"/>
      <c r="AU998" s="562"/>
      <c r="AV998" s="562"/>
      <c r="AW998" s="562"/>
      <c r="AX998" s="562"/>
      <c r="AY998" s="562"/>
      <c r="AZ998" s="562"/>
      <c r="BA998" s="562"/>
      <c r="BB998" s="562"/>
      <c r="BC998" s="562"/>
      <c r="BD998" s="562"/>
      <c r="BE998" s="562"/>
      <c r="BF998" s="562"/>
      <c r="BG998" s="562"/>
      <c r="BH998" s="562"/>
    </row>
    <row r="999" spans="1:60" ht="16" thickTop="1" x14ac:dyDescent="0.2">
      <c r="A999" s="541">
        <v>9</v>
      </c>
      <c r="B999" s="551">
        <v>901.7</v>
      </c>
      <c r="C999" s="544"/>
      <c r="D999" s="544"/>
      <c r="E999" s="544"/>
      <c r="F999" s="544"/>
      <c r="G999" s="543" t="str">
        <f>IF(N999&gt;0,"P","")</f>
        <v/>
      </c>
      <c r="H999" s="541" t="s">
        <v>3758</v>
      </c>
      <c r="I999" s="40" t="s">
        <v>3053</v>
      </c>
      <c r="J999" s="3"/>
      <c r="K999" s="3"/>
      <c r="L999" s="775" t="s">
        <v>3054</v>
      </c>
      <c r="M999" s="863" t="s">
        <v>3055</v>
      </c>
      <c r="N999" s="795">
        <f>'Ch9'!O98</f>
        <v>0</v>
      </c>
      <c r="O999" s="795">
        <f>MIN(8,ROUNDDOWN(W1006/0.1,0)+ROUNDDOWN(W1017/0.1,0)+ROUNDDOWN(W1018*1.33/0.1,0))</f>
        <v>0</v>
      </c>
      <c r="P999" s="562"/>
      <c r="Q999" s="562"/>
      <c r="R999" s="562"/>
      <c r="S999" s="562"/>
      <c r="T999" s="562"/>
      <c r="U999" s="562"/>
      <c r="V999" s="562"/>
      <c r="W999" s="562"/>
      <c r="X999" s="562"/>
      <c r="Y999" s="562"/>
      <c r="Z999" s="430"/>
      <c r="AA999" s="562"/>
      <c r="AB999" s="562"/>
      <c r="AC999" s="562"/>
      <c r="AD999" s="562"/>
      <c r="AE999" s="562"/>
      <c r="AF999" s="562"/>
      <c r="AG999" s="562"/>
      <c r="AH999" s="562"/>
      <c r="AI999" s="562"/>
      <c r="AJ999" s="562"/>
      <c r="AK999" s="562"/>
      <c r="AL999" s="190" t="str">
        <f t="shared" ref="AL999" si="289">SUBSTITUTE(SUBSTITUTE(SUBSTITUTE("vpa"&amp;$B999&amp;$C999&amp;$D999&amp;$E999&amp;$F999,".","_"),"(","_"),")","")</f>
        <v>vpa901,7</v>
      </c>
      <c r="AM999" s="190" t="str">
        <f>M999</f>
        <v>1
8 Max</v>
      </c>
      <c r="AN999" s="190" t="str">
        <f>SUBSTITUTE(SUBSTITUTE(SUBSTITUTE("vpc"&amp;$B999&amp;$C999&amp;$D999&amp;$E999&amp;$F999,".","_"),"(","_"),")","")</f>
        <v>vpc901,7</v>
      </c>
      <c r="AO999" s="190">
        <f>O999</f>
        <v>0</v>
      </c>
      <c r="AP999" s="562"/>
      <c r="AQ999" s="562"/>
      <c r="AR999" s="562"/>
      <c r="AS999" s="562"/>
      <c r="AT999" s="562"/>
      <c r="AU999" s="562"/>
      <c r="AV999" s="562"/>
      <c r="AW999" s="562"/>
      <c r="AX999" s="562"/>
      <c r="AY999" s="562"/>
      <c r="AZ999" s="562"/>
      <c r="BA999" s="562"/>
      <c r="BB999" s="562"/>
      <c r="BC999" s="562"/>
      <c r="BD999" s="562"/>
      <c r="BE999" s="562"/>
      <c r="BF999" s="562"/>
      <c r="BG999" s="562"/>
      <c r="BH999" s="562"/>
    </row>
    <row r="1000" spans="1:60" x14ac:dyDescent="0.2">
      <c r="A1000" s="541">
        <v>9</v>
      </c>
      <c r="B1000" s="551">
        <v>901.7</v>
      </c>
      <c r="C1000" s="544"/>
      <c r="D1000" s="544"/>
      <c r="E1000" s="544"/>
      <c r="F1000" s="544"/>
      <c r="G1000" s="543" t="str">
        <f t="shared" ref="G1000:G1020" si="290">G999</f>
        <v/>
      </c>
      <c r="H1000" s="541" t="s">
        <v>3758</v>
      </c>
      <c r="I1000" s="121"/>
      <c r="J1000" s="3"/>
      <c r="K1000" s="3"/>
      <c r="L1000" s="775"/>
      <c r="M1000" s="863"/>
      <c r="N1000" s="795"/>
      <c r="O1000" s="795"/>
      <c r="P1000" s="562"/>
      <c r="Q1000" s="562"/>
      <c r="R1000" s="562"/>
      <c r="S1000" s="562"/>
      <c r="T1000" s="562"/>
      <c r="U1000" s="562"/>
      <c r="V1000" s="562"/>
      <c r="W1000" s="562"/>
      <c r="X1000" s="562"/>
      <c r="Y1000" s="562"/>
      <c r="Z1000" s="430"/>
      <c r="AA1000" s="562"/>
      <c r="AB1000" s="562"/>
      <c r="AC1000" s="562"/>
      <c r="AD1000" s="562"/>
      <c r="AE1000" s="562"/>
      <c r="AF1000" s="562"/>
      <c r="AG1000" s="562"/>
      <c r="AH1000" s="562"/>
      <c r="AI1000" s="562"/>
      <c r="AJ1000" s="562"/>
      <c r="AK1000" s="562"/>
      <c r="AL1000" s="562"/>
      <c r="AM1000" s="562"/>
      <c r="AN1000" s="562"/>
      <c r="AO1000" s="562"/>
      <c r="AP1000" s="562"/>
      <c r="AQ1000" s="562"/>
      <c r="AR1000" s="562"/>
      <c r="AS1000" s="562"/>
      <c r="AT1000" s="562"/>
      <c r="AU1000" s="562"/>
      <c r="AV1000" s="562"/>
      <c r="AW1000" s="562"/>
      <c r="AX1000" s="562"/>
      <c r="AY1000" s="562"/>
      <c r="AZ1000" s="562"/>
      <c r="BA1000" s="562"/>
      <c r="BB1000" s="562"/>
      <c r="BC1000" s="562"/>
      <c r="BD1000" s="562"/>
      <c r="BE1000" s="562"/>
      <c r="BF1000" s="562"/>
      <c r="BG1000" s="562"/>
      <c r="BH1000" s="562"/>
    </row>
    <row r="1001" spans="1:60" x14ac:dyDescent="0.2">
      <c r="A1001" s="541">
        <v>9</v>
      </c>
      <c r="B1001" s="551">
        <v>901.7</v>
      </c>
      <c r="C1001" s="544"/>
      <c r="D1001" s="544"/>
      <c r="E1001" s="544"/>
      <c r="F1001" s="544"/>
      <c r="G1001" s="543" t="str">
        <f t="shared" si="290"/>
        <v/>
      </c>
      <c r="H1001" s="541" t="s">
        <v>3758</v>
      </c>
      <c r="I1001" s="121"/>
      <c r="J1001" s="3"/>
      <c r="K1001" s="3"/>
      <c r="L1001" s="775"/>
      <c r="M1001" s="863"/>
      <c r="N1001" s="795"/>
      <c r="O1001" s="795"/>
      <c r="P1001" s="562"/>
      <c r="Q1001" s="562"/>
      <c r="R1001" s="562"/>
      <c r="S1001" s="562"/>
      <c r="T1001" s="562"/>
      <c r="U1001" s="562"/>
      <c r="V1001" s="562"/>
      <c r="W1001" s="562"/>
      <c r="X1001" s="562"/>
      <c r="Y1001" s="562"/>
      <c r="Z1001" s="430"/>
      <c r="AA1001" s="562"/>
      <c r="AB1001" s="562"/>
      <c r="AC1001" s="562"/>
      <c r="AD1001" s="562"/>
      <c r="AE1001" s="562"/>
      <c r="AF1001" s="562"/>
      <c r="AG1001" s="562"/>
      <c r="AH1001" s="562"/>
      <c r="AI1001" s="562"/>
      <c r="AJ1001" s="562"/>
      <c r="AK1001" s="562"/>
      <c r="AL1001" s="562"/>
      <c r="AM1001" s="562"/>
      <c r="AN1001" s="562"/>
      <c r="AO1001" s="562"/>
      <c r="AP1001" s="562"/>
      <c r="AQ1001" s="562"/>
      <c r="AR1001" s="562"/>
      <c r="AS1001" s="562"/>
      <c r="AT1001" s="562"/>
      <c r="AU1001" s="562"/>
      <c r="AV1001" s="562"/>
      <c r="AW1001" s="562"/>
      <c r="AX1001" s="562"/>
      <c r="AY1001" s="562"/>
      <c r="AZ1001" s="562"/>
      <c r="BA1001" s="562"/>
      <c r="BB1001" s="562"/>
      <c r="BC1001" s="562"/>
      <c r="BD1001" s="562"/>
      <c r="BE1001" s="562"/>
      <c r="BF1001" s="562"/>
      <c r="BG1001" s="562"/>
      <c r="BH1001" s="562"/>
    </row>
    <row r="1002" spans="1:60" x14ac:dyDescent="0.2">
      <c r="A1002" s="541">
        <v>9</v>
      </c>
      <c r="B1002" s="551">
        <v>901.7</v>
      </c>
      <c r="C1002" s="544"/>
      <c r="D1002" s="544"/>
      <c r="E1002" s="544"/>
      <c r="F1002" s="544"/>
      <c r="G1002" s="543" t="str">
        <f t="shared" si="290"/>
        <v/>
      </c>
      <c r="H1002" s="541" t="s">
        <v>3758</v>
      </c>
      <c r="I1002" s="121"/>
      <c r="J1002" s="3"/>
      <c r="K1002" s="3"/>
      <c r="L1002" s="775"/>
      <c r="M1002" s="863"/>
      <c r="N1002" s="795"/>
      <c r="O1002" s="795"/>
      <c r="P1002" s="562"/>
      <c r="Q1002" s="562"/>
      <c r="R1002" s="562"/>
      <c r="S1002" s="562"/>
      <c r="T1002" s="562"/>
      <c r="U1002" s="562"/>
      <c r="V1002" s="562"/>
      <c r="W1002" s="562"/>
      <c r="X1002" s="562"/>
      <c r="Y1002" s="562"/>
      <c r="Z1002" s="430"/>
      <c r="AA1002" s="562"/>
      <c r="AB1002" s="562"/>
      <c r="AC1002" s="562"/>
      <c r="AD1002" s="562"/>
      <c r="AE1002" s="562"/>
      <c r="AF1002" s="562"/>
      <c r="AG1002" s="562"/>
      <c r="AH1002" s="562"/>
      <c r="AI1002" s="562"/>
      <c r="AJ1002" s="562"/>
      <c r="AK1002" s="562"/>
      <c r="AL1002" s="562"/>
      <c r="AM1002" s="562"/>
      <c r="AN1002" s="562"/>
      <c r="AO1002" s="562"/>
      <c r="AP1002" s="562"/>
      <c r="AQ1002" s="562"/>
      <c r="AR1002" s="562"/>
      <c r="AS1002" s="562"/>
      <c r="AT1002" s="562"/>
      <c r="AU1002" s="562"/>
      <c r="AV1002" s="562"/>
      <c r="AW1002" s="562"/>
      <c r="AX1002" s="562"/>
      <c r="AY1002" s="562"/>
      <c r="AZ1002" s="562"/>
      <c r="BA1002" s="562"/>
      <c r="BB1002" s="562"/>
      <c r="BC1002" s="562"/>
      <c r="BD1002" s="562"/>
      <c r="BE1002" s="562"/>
      <c r="BF1002" s="562"/>
      <c r="BG1002" s="562"/>
      <c r="BH1002" s="562"/>
    </row>
    <row r="1003" spans="1:60" x14ac:dyDescent="0.2">
      <c r="A1003" s="541">
        <v>9</v>
      </c>
      <c r="B1003" s="551">
        <v>901.7</v>
      </c>
      <c r="C1003" s="544"/>
      <c r="D1003" s="544"/>
      <c r="E1003" s="544"/>
      <c r="F1003" s="544"/>
      <c r="G1003" s="543" t="str">
        <f t="shared" si="290"/>
        <v/>
      </c>
      <c r="H1003" s="541" t="s">
        <v>3758</v>
      </c>
      <c r="I1003" s="121"/>
      <c r="J1003" s="3"/>
      <c r="K1003" s="3"/>
      <c r="L1003" s="775"/>
      <c r="M1003" s="863"/>
      <c r="N1003" s="795"/>
      <c r="O1003" s="795"/>
      <c r="P1003" s="562"/>
      <c r="Q1003" s="562"/>
      <c r="R1003" s="562"/>
      <c r="S1003" s="562"/>
      <c r="T1003" s="562"/>
      <c r="U1003" s="562"/>
      <c r="V1003" s="562"/>
      <c r="W1003" s="562"/>
      <c r="X1003" s="562"/>
      <c r="Y1003" s="562"/>
      <c r="Z1003" s="430"/>
      <c r="AA1003" s="562"/>
      <c r="AB1003" s="562"/>
      <c r="AC1003" s="562"/>
      <c r="AD1003" s="562"/>
      <c r="AE1003" s="562"/>
      <c r="AF1003" s="562"/>
      <c r="AG1003" s="562"/>
      <c r="AH1003" s="562"/>
      <c r="AI1003" s="562"/>
      <c r="AJ1003" s="562"/>
      <c r="AK1003" s="562"/>
      <c r="AL1003" s="562"/>
      <c r="AM1003" s="562"/>
      <c r="AN1003" s="562"/>
      <c r="AO1003" s="562"/>
      <c r="AP1003" s="562"/>
      <c r="AQ1003" s="562"/>
      <c r="AR1003" s="562"/>
      <c r="AS1003" s="562"/>
      <c r="AT1003" s="562"/>
      <c r="AU1003" s="562"/>
      <c r="AV1003" s="562"/>
      <c r="AW1003" s="562"/>
      <c r="AX1003" s="562"/>
      <c r="AY1003" s="562"/>
      <c r="AZ1003" s="562"/>
      <c r="BA1003" s="562"/>
      <c r="BB1003" s="562"/>
      <c r="BC1003" s="562"/>
      <c r="BD1003" s="562"/>
      <c r="BE1003" s="562"/>
      <c r="BF1003" s="562"/>
      <c r="BG1003" s="562"/>
      <c r="BH1003" s="562"/>
    </row>
    <row r="1004" spans="1:60" x14ac:dyDescent="0.2">
      <c r="A1004" s="541">
        <v>9</v>
      </c>
      <c r="B1004" s="551">
        <v>901.7</v>
      </c>
      <c r="C1004" s="544"/>
      <c r="D1004" s="544"/>
      <c r="E1004" s="544"/>
      <c r="F1004" s="544"/>
      <c r="G1004" s="543" t="str">
        <f t="shared" si="290"/>
        <v/>
      </c>
      <c r="H1004" s="541" t="s">
        <v>3758</v>
      </c>
      <c r="I1004" s="121"/>
      <c r="J1004" s="3"/>
      <c r="K1004" s="3"/>
      <c r="L1004" s="851" t="s">
        <v>3056</v>
      </c>
      <c r="M1004" s="863"/>
      <c r="N1004" s="795"/>
      <c r="O1004" s="795"/>
      <c r="P1004" s="562"/>
      <c r="Q1004" s="562"/>
      <c r="R1004" s="562"/>
      <c r="S1004" s="562"/>
      <c r="T1004" s="562"/>
      <c r="U1004" s="562"/>
      <c r="V1004" s="562"/>
      <c r="W1004" s="562"/>
      <c r="X1004" s="562"/>
      <c r="Y1004" s="562"/>
      <c r="Z1004" s="430"/>
      <c r="AA1004" s="562"/>
      <c r="AB1004" s="562"/>
      <c r="AC1004" s="562"/>
      <c r="AD1004" s="562"/>
      <c r="AE1004" s="562"/>
      <c r="AF1004" s="562"/>
      <c r="AG1004" s="562"/>
      <c r="AH1004" s="562"/>
      <c r="AI1004" s="562"/>
      <c r="AJ1004" s="562"/>
      <c r="AK1004" s="562"/>
      <c r="AL1004" s="562"/>
      <c r="AM1004" s="562"/>
      <c r="AN1004" s="562"/>
      <c r="AO1004" s="562"/>
      <c r="AP1004" s="562"/>
      <c r="AQ1004" s="562"/>
      <c r="AR1004" s="562"/>
      <c r="AS1004" s="562"/>
      <c r="AT1004" s="562"/>
      <c r="AU1004" s="562"/>
      <c r="AV1004" s="562"/>
      <c r="AW1004" s="562"/>
      <c r="AX1004" s="562"/>
      <c r="AY1004" s="562"/>
      <c r="AZ1004" s="562"/>
      <c r="BA1004" s="562"/>
      <c r="BB1004" s="562"/>
      <c r="BC1004" s="562"/>
      <c r="BD1004" s="562"/>
      <c r="BE1004" s="562"/>
      <c r="BF1004" s="562"/>
      <c r="BG1004" s="562"/>
      <c r="BH1004" s="562"/>
    </row>
    <row r="1005" spans="1:60" x14ac:dyDescent="0.2">
      <c r="A1005" s="541">
        <v>9</v>
      </c>
      <c r="B1005" s="551">
        <v>901.7</v>
      </c>
      <c r="C1005" s="544"/>
      <c r="D1005" s="544"/>
      <c r="E1005" s="544"/>
      <c r="F1005" s="544"/>
      <c r="G1005" s="543" t="str">
        <f t="shared" si="290"/>
        <v/>
      </c>
      <c r="H1005" s="541" t="s">
        <v>3758</v>
      </c>
      <c r="I1005" s="121"/>
      <c r="J1005" s="3"/>
      <c r="K1005" s="3"/>
      <c r="L1005" s="851"/>
      <c r="M1005" s="863"/>
      <c r="N1005" s="795"/>
      <c r="O1005" s="795"/>
      <c r="P1005" s="562"/>
      <c r="Q1005" s="562"/>
      <c r="R1005" s="562"/>
      <c r="S1005" s="562"/>
      <c r="T1005" s="562"/>
      <c r="U1005" s="562"/>
      <c r="V1005" s="562"/>
      <c r="W1005" s="562" t="s">
        <v>3057</v>
      </c>
      <c r="X1005" s="562"/>
      <c r="Y1005" s="562"/>
      <c r="Z1005" s="430"/>
      <c r="AA1005" s="562"/>
      <c r="AB1005" s="562"/>
      <c r="AC1005" s="562"/>
      <c r="AD1005" s="562"/>
      <c r="AE1005" s="562"/>
      <c r="AF1005" s="562"/>
      <c r="AG1005" s="562"/>
      <c r="AH1005" s="562"/>
      <c r="AI1005" s="562"/>
      <c r="AJ1005" s="562"/>
      <c r="AK1005" s="562"/>
      <c r="AL1005" s="562"/>
      <c r="AM1005" s="562"/>
      <c r="AN1005" s="562"/>
      <c r="AO1005" s="562"/>
      <c r="AP1005" s="562"/>
      <c r="AQ1005" s="562"/>
      <c r="AR1005" s="562"/>
      <c r="AS1005" s="562"/>
      <c r="AT1005" s="562"/>
      <c r="AU1005" s="562"/>
      <c r="AV1005" s="562"/>
      <c r="AW1005" s="562"/>
      <c r="AX1005" s="562"/>
      <c r="AY1005" s="562"/>
      <c r="AZ1005" s="562"/>
      <c r="BA1005" s="562"/>
      <c r="BB1005" s="562"/>
      <c r="BC1005" s="562"/>
      <c r="BD1005" s="562"/>
      <c r="BE1005" s="562"/>
      <c r="BF1005" s="562"/>
      <c r="BG1005" s="562"/>
      <c r="BH1005" s="562"/>
    </row>
    <row r="1006" spans="1:60" x14ac:dyDescent="0.2">
      <c r="A1006" s="541">
        <v>9</v>
      </c>
      <c r="B1006" s="551">
        <v>901.7</v>
      </c>
      <c r="C1006" s="544"/>
      <c r="D1006" s="544"/>
      <c r="E1006" s="544" t="s">
        <v>2181</v>
      </c>
      <c r="F1006" s="549"/>
      <c r="G1006" s="543" t="str">
        <f t="shared" si="290"/>
        <v/>
      </c>
      <c r="H1006" s="552" t="s">
        <v>3758</v>
      </c>
      <c r="I1006" s="121"/>
      <c r="J1006" s="20" t="s">
        <v>2181</v>
      </c>
      <c r="K1006" s="3"/>
      <c r="L1006" s="817" t="s">
        <v>3058</v>
      </c>
      <c r="M1006" s="616"/>
      <c r="N1006" s="609"/>
      <c r="O1006" s="609"/>
      <c r="P1006" s="64" t="b">
        <v>0</v>
      </c>
      <c r="Q1006" s="64" t="b">
        <v>1</v>
      </c>
      <c r="R1006" s="562" t="b">
        <v>0</v>
      </c>
      <c r="S1006" s="562" t="b">
        <v>1</v>
      </c>
      <c r="T1006" s="562" t="b">
        <f>SUM(W1006,W1017,W1018)&gt;1</f>
        <v>0</v>
      </c>
      <c r="U1006" s="562"/>
      <c r="V1006" s="562"/>
      <c r="W1006" s="260"/>
      <c r="X1006" s="787"/>
      <c r="Y1006" s="980" t="str">
        <f>IF(LEN('Ch9'!X105)=0,"None",'Ch9'!X105)</f>
        <v>None</v>
      </c>
      <c r="Z1006" s="983"/>
      <c r="AA1006" s="562"/>
      <c r="AB1006" s="562"/>
      <c r="AC1006" s="562" t="b">
        <f>OR(AD1006:AE1006)</f>
        <v>0</v>
      </c>
      <c r="AD1006" s="562" t="b">
        <f>T1006</f>
        <v>0</v>
      </c>
      <c r="AE1006" s="562" t="b">
        <f>AND(R1006,OR(W1006="Not Met",W1006=""))</f>
        <v>0</v>
      </c>
      <c r="AF1006" s="562" t="b">
        <f>AND(AE1006,NOT(Q1006))</f>
        <v>0</v>
      </c>
      <c r="AG1006" s="562"/>
      <c r="AH1006" s="562"/>
      <c r="AI1006" s="562"/>
      <c r="AJ1006" s="562"/>
      <c r="AK1006" s="562"/>
      <c r="AL1006" s="562"/>
      <c r="AM1006" s="562"/>
      <c r="AN1006" s="562"/>
      <c r="AO1006" s="562"/>
      <c r="AP1006" s="190" t="str">
        <f>SUBSTITUTE(SUBSTITUTE(SUBSTITUTE("vch"&amp;$B1006&amp;$C1006&amp;$D1006&amp;$E1006&amp;$F1006,".","_"),"(","_"),")","")</f>
        <v>vch901,7_1</v>
      </c>
      <c r="AQ1006" s="190">
        <f>W1006</f>
        <v>0</v>
      </c>
      <c r="AR1006" s="190" t="str">
        <f>SUBSTITUTE(SUBSTITUTE(SUBSTITUTE("vnt"&amp;$B1006&amp;$C1006&amp;$D1006&amp;$E1006&amp;$F1006,".","_"),"(","_"),")","")</f>
        <v>vnt901,7_1</v>
      </c>
      <c r="AS1006" s="190">
        <f>X1006</f>
        <v>0</v>
      </c>
      <c r="AT1006" s="562"/>
      <c r="AU1006" s="562"/>
      <c r="AV1006" s="562"/>
      <c r="AW1006" s="562"/>
      <c r="AX1006" s="562"/>
      <c r="AY1006" s="562"/>
      <c r="AZ1006" s="562"/>
      <c r="BA1006" s="562"/>
      <c r="BB1006" s="562"/>
      <c r="BC1006" s="562"/>
      <c r="BD1006" s="562"/>
      <c r="BE1006" s="562"/>
      <c r="BF1006" s="562"/>
      <c r="BG1006" s="562"/>
      <c r="BH1006" s="562"/>
    </row>
    <row r="1007" spans="1:60" x14ac:dyDescent="0.2">
      <c r="A1007" s="541">
        <v>9</v>
      </c>
      <c r="B1007" s="551">
        <v>901.7</v>
      </c>
      <c r="C1007" s="544"/>
      <c r="D1007" s="544"/>
      <c r="E1007" s="544" t="s">
        <v>2181</v>
      </c>
      <c r="F1007" s="549"/>
      <c r="G1007" s="543" t="str">
        <f t="shared" si="290"/>
        <v/>
      </c>
      <c r="H1007" s="552" t="s">
        <v>3758</v>
      </c>
      <c r="I1007" s="121"/>
      <c r="J1007" s="3"/>
      <c r="K1007" s="3"/>
      <c r="L1007" s="817"/>
      <c r="M1007" s="616"/>
      <c r="N1007" s="609"/>
      <c r="O1007" s="609"/>
      <c r="P1007" s="562"/>
      <c r="Q1007" s="562"/>
      <c r="R1007" s="562"/>
      <c r="S1007" s="562"/>
      <c r="T1007" s="562"/>
      <c r="U1007" s="562"/>
      <c r="V1007" s="562"/>
      <c r="W1007" s="562"/>
      <c r="X1007" s="787"/>
      <c r="Y1007" s="980"/>
      <c r="Z1007" s="983"/>
      <c r="AA1007" s="562"/>
      <c r="AB1007" s="562"/>
      <c r="AC1007" s="562"/>
      <c r="AD1007" s="562"/>
      <c r="AE1007" s="562"/>
      <c r="AF1007" s="562"/>
      <c r="AG1007" s="562"/>
      <c r="AH1007" s="562"/>
      <c r="AI1007" s="562"/>
      <c r="AJ1007" s="562"/>
      <c r="AK1007" s="562"/>
      <c r="AL1007" s="562"/>
      <c r="AM1007" s="562"/>
      <c r="AN1007" s="562"/>
      <c r="AO1007" s="562"/>
      <c r="AP1007" s="562"/>
      <c r="AQ1007" s="562"/>
      <c r="AR1007" s="562"/>
      <c r="AS1007" s="562"/>
      <c r="AT1007" s="562"/>
      <c r="AU1007" s="562"/>
      <c r="AV1007" s="562"/>
      <c r="AW1007" s="562"/>
      <c r="AX1007" s="562"/>
      <c r="AY1007" s="562"/>
      <c r="AZ1007" s="562"/>
      <c r="BA1007" s="562"/>
      <c r="BB1007" s="562"/>
      <c r="BC1007" s="562"/>
      <c r="BD1007" s="562"/>
      <c r="BE1007" s="562"/>
      <c r="BF1007" s="562"/>
      <c r="BG1007" s="562"/>
      <c r="BH1007" s="562"/>
    </row>
    <row r="1008" spans="1:60" x14ac:dyDescent="0.2">
      <c r="A1008" s="541">
        <v>9</v>
      </c>
      <c r="B1008" s="551">
        <v>901.7</v>
      </c>
      <c r="C1008" s="544"/>
      <c r="D1008" s="544"/>
      <c r="E1008" s="544" t="s">
        <v>2181</v>
      </c>
      <c r="F1008" s="549"/>
      <c r="G1008" s="543" t="str">
        <f t="shared" si="290"/>
        <v/>
      </c>
      <c r="H1008" s="552" t="s">
        <v>3758</v>
      </c>
      <c r="I1008" s="121"/>
      <c r="J1008" s="3"/>
      <c r="K1008" s="3"/>
      <c r="L1008" s="817"/>
      <c r="M1008" s="616"/>
      <c r="N1008" s="609"/>
      <c r="O1008" s="609"/>
      <c r="P1008" s="562"/>
      <c r="Q1008" s="562"/>
      <c r="R1008" s="562"/>
      <c r="S1008" s="562"/>
      <c r="T1008" s="562"/>
      <c r="U1008" s="562"/>
      <c r="V1008" s="562"/>
      <c r="W1008" s="562"/>
      <c r="X1008" s="787"/>
      <c r="Y1008" s="980"/>
      <c r="Z1008" s="983"/>
      <c r="AA1008" s="562"/>
      <c r="AB1008" s="562"/>
      <c r="AC1008" s="562"/>
      <c r="AD1008" s="562"/>
      <c r="AE1008" s="562"/>
      <c r="AF1008" s="562"/>
      <c r="AG1008" s="562"/>
      <c r="AH1008" s="562"/>
      <c r="AI1008" s="562"/>
      <c r="AJ1008" s="562"/>
      <c r="AK1008" s="562"/>
      <c r="AL1008" s="562"/>
      <c r="AM1008" s="562"/>
      <c r="AN1008" s="562"/>
      <c r="AO1008" s="562"/>
      <c r="AP1008" s="562"/>
      <c r="AQ1008" s="562"/>
      <c r="AR1008" s="562"/>
      <c r="AS1008" s="562"/>
      <c r="AT1008" s="562"/>
      <c r="AU1008" s="562"/>
      <c r="AV1008" s="562"/>
      <c r="AW1008" s="562"/>
      <c r="AX1008" s="562"/>
      <c r="AY1008" s="562"/>
      <c r="AZ1008" s="562"/>
      <c r="BA1008" s="562"/>
      <c r="BB1008" s="562"/>
      <c r="BC1008" s="562"/>
      <c r="BD1008" s="562"/>
      <c r="BE1008" s="562"/>
      <c r="BF1008" s="562"/>
      <c r="BG1008" s="562"/>
      <c r="BH1008" s="562"/>
    </row>
    <row r="1009" spans="1:60" x14ac:dyDescent="0.2">
      <c r="A1009" s="541">
        <v>9</v>
      </c>
      <c r="B1009" s="551">
        <v>901.7</v>
      </c>
      <c r="C1009" s="544"/>
      <c r="D1009" s="544"/>
      <c r="E1009" s="544" t="s">
        <v>2181</v>
      </c>
      <c r="F1009" s="549"/>
      <c r="G1009" s="543" t="str">
        <f t="shared" si="290"/>
        <v/>
      </c>
      <c r="H1009" s="552" t="s">
        <v>3758</v>
      </c>
      <c r="I1009" s="121"/>
      <c r="J1009" s="3"/>
      <c r="K1009" s="3"/>
      <c r="L1009" s="817"/>
      <c r="M1009" s="616"/>
      <c r="N1009" s="609"/>
      <c r="O1009" s="609"/>
      <c r="P1009" s="562"/>
      <c r="Q1009" s="562"/>
      <c r="R1009" s="562"/>
      <c r="S1009" s="562"/>
      <c r="T1009" s="562"/>
      <c r="U1009" s="562"/>
      <c r="V1009" s="562"/>
      <c r="W1009" s="562"/>
      <c r="X1009" s="787"/>
      <c r="Y1009" s="980"/>
      <c r="Z1009" s="983"/>
      <c r="AA1009" s="562"/>
      <c r="AB1009" s="562"/>
      <c r="AC1009" s="562"/>
      <c r="AD1009" s="562"/>
      <c r="AE1009" s="562"/>
      <c r="AF1009" s="562"/>
      <c r="AG1009" s="562"/>
      <c r="AH1009" s="562"/>
      <c r="AI1009" s="562"/>
      <c r="AJ1009" s="562"/>
      <c r="AK1009" s="562"/>
      <c r="AL1009" s="562"/>
      <c r="AM1009" s="562"/>
      <c r="AN1009" s="562"/>
      <c r="AO1009" s="562"/>
      <c r="AP1009" s="562"/>
      <c r="AQ1009" s="562"/>
      <c r="AR1009" s="562"/>
      <c r="AS1009" s="562"/>
      <c r="AT1009" s="562"/>
      <c r="AU1009" s="562"/>
      <c r="AV1009" s="562"/>
      <c r="AW1009" s="562"/>
      <c r="AX1009" s="562"/>
      <c r="AY1009" s="562"/>
      <c r="AZ1009" s="562"/>
      <c r="BA1009" s="562"/>
      <c r="BB1009" s="562"/>
      <c r="BC1009" s="562"/>
      <c r="BD1009" s="562"/>
      <c r="BE1009" s="562"/>
      <c r="BF1009" s="562"/>
      <c r="BG1009" s="562"/>
      <c r="BH1009" s="562"/>
    </row>
    <row r="1010" spans="1:60" x14ac:dyDescent="0.2">
      <c r="A1010" s="541">
        <v>9</v>
      </c>
      <c r="B1010" s="551">
        <v>901.7</v>
      </c>
      <c r="C1010" s="544"/>
      <c r="D1010" s="544"/>
      <c r="E1010" s="544" t="s">
        <v>2181</v>
      </c>
      <c r="F1010" s="549" t="s">
        <v>2196</v>
      </c>
      <c r="G1010" s="543" t="str">
        <f t="shared" si="290"/>
        <v/>
      </c>
      <c r="H1010" s="558" t="s">
        <v>3758</v>
      </c>
      <c r="I1010" s="121"/>
      <c r="J1010" s="3"/>
      <c r="K1010" s="20" t="s">
        <v>2196</v>
      </c>
      <c r="L1010" s="632" t="s">
        <v>3059</v>
      </c>
      <c r="M1010" s="616"/>
      <c r="N1010" s="609"/>
      <c r="O1010" s="609"/>
      <c r="P1010" s="562"/>
      <c r="Q1010" s="562"/>
      <c r="R1010" s="562"/>
      <c r="S1010" s="562"/>
      <c r="T1010" s="562"/>
      <c r="U1010" s="562"/>
      <c r="V1010" s="562"/>
      <c r="W1010" s="562"/>
      <c r="X1010" s="787"/>
      <c r="Y1010" s="980"/>
      <c r="Z1010" s="983"/>
      <c r="AA1010" s="562"/>
      <c r="AB1010" s="562"/>
      <c r="AC1010" s="562"/>
      <c r="AD1010" s="562"/>
      <c r="AE1010" s="562"/>
      <c r="AF1010" s="562"/>
      <c r="AG1010" s="562"/>
      <c r="AH1010" s="562"/>
      <c r="AI1010" s="562"/>
      <c r="AJ1010" s="562"/>
      <c r="AK1010" s="562"/>
      <c r="AL1010" s="562"/>
      <c r="AM1010" s="562"/>
      <c r="AN1010" s="562"/>
      <c r="AO1010" s="562"/>
      <c r="AP1010" s="562"/>
      <c r="AQ1010" s="562"/>
      <c r="AR1010" s="562"/>
      <c r="AS1010" s="562"/>
      <c r="AT1010" s="562"/>
      <c r="AU1010" s="562"/>
      <c r="AV1010" s="562"/>
      <c r="AW1010" s="562"/>
      <c r="AX1010" s="562"/>
      <c r="AY1010" s="562"/>
      <c r="AZ1010" s="562"/>
      <c r="BA1010" s="562"/>
      <c r="BB1010" s="562"/>
      <c r="BC1010" s="562"/>
      <c r="BD1010" s="562"/>
      <c r="BE1010" s="562"/>
      <c r="BF1010" s="562"/>
      <c r="BG1010" s="562"/>
      <c r="BH1010" s="562"/>
    </row>
    <row r="1011" spans="1:60" x14ac:dyDescent="0.2">
      <c r="A1011" s="541">
        <v>9</v>
      </c>
      <c r="B1011" s="551">
        <v>901.7</v>
      </c>
      <c r="C1011" s="544"/>
      <c r="D1011" s="544"/>
      <c r="E1011" s="544" t="s">
        <v>2181</v>
      </c>
      <c r="F1011" s="549" t="s">
        <v>2198</v>
      </c>
      <c r="G1011" s="543" t="str">
        <f t="shared" si="290"/>
        <v/>
      </c>
      <c r="H1011" s="558" t="s">
        <v>3758</v>
      </c>
      <c r="I1011" s="121"/>
      <c r="J1011" s="3"/>
      <c r="K1011" s="20" t="s">
        <v>2198</v>
      </c>
      <c r="L1011" s="632" t="s">
        <v>3060</v>
      </c>
      <c r="M1011" s="616"/>
      <c r="N1011" s="609"/>
      <c r="O1011" s="609"/>
      <c r="P1011" s="562"/>
      <c r="Q1011" s="562"/>
      <c r="R1011" s="562"/>
      <c r="S1011" s="562"/>
      <c r="T1011" s="562"/>
      <c r="U1011" s="562"/>
      <c r="V1011" s="562"/>
      <c r="W1011" s="562"/>
      <c r="X1011" s="787"/>
      <c r="Y1011" s="980"/>
      <c r="Z1011" s="983"/>
      <c r="AA1011" s="562"/>
      <c r="AB1011" s="562"/>
      <c r="AC1011" s="562"/>
      <c r="AD1011" s="562"/>
      <c r="AE1011" s="562"/>
      <c r="AF1011" s="562"/>
      <c r="AG1011" s="562"/>
      <c r="AH1011" s="562"/>
      <c r="AI1011" s="562"/>
      <c r="AJ1011" s="562"/>
      <c r="AK1011" s="562"/>
      <c r="AL1011" s="562"/>
      <c r="AM1011" s="562"/>
      <c r="AN1011" s="562"/>
      <c r="AO1011" s="562"/>
      <c r="AP1011" s="562"/>
      <c r="AQ1011" s="562"/>
      <c r="AR1011" s="562"/>
      <c r="AS1011" s="562"/>
      <c r="AT1011" s="562"/>
      <c r="AU1011" s="562"/>
      <c r="AV1011" s="562"/>
      <c r="AW1011" s="562"/>
      <c r="AX1011" s="562"/>
      <c r="AY1011" s="562"/>
      <c r="AZ1011" s="562"/>
      <c r="BA1011" s="562"/>
      <c r="BB1011" s="562"/>
      <c r="BC1011" s="562"/>
      <c r="BD1011" s="562"/>
      <c r="BE1011" s="562"/>
      <c r="BF1011" s="562"/>
      <c r="BG1011" s="562"/>
      <c r="BH1011" s="562"/>
    </row>
    <row r="1012" spans="1:60" x14ac:dyDescent="0.2">
      <c r="A1012" s="541">
        <v>9</v>
      </c>
      <c r="B1012" s="551">
        <v>901.7</v>
      </c>
      <c r="C1012" s="544"/>
      <c r="D1012" s="544"/>
      <c r="E1012" s="544" t="s">
        <v>2181</v>
      </c>
      <c r="F1012" s="549" t="s">
        <v>2200</v>
      </c>
      <c r="G1012" s="543" t="str">
        <f t="shared" si="290"/>
        <v/>
      </c>
      <c r="H1012" s="558" t="s">
        <v>3758</v>
      </c>
      <c r="I1012" s="121"/>
      <c r="J1012" s="3"/>
      <c r="K1012" s="20" t="s">
        <v>2200</v>
      </c>
      <c r="L1012" s="632" t="s">
        <v>3061</v>
      </c>
      <c r="M1012" s="616"/>
      <c r="N1012" s="609"/>
      <c r="O1012" s="609"/>
      <c r="P1012" s="562"/>
      <c r="Q1012" s="562"/>
      <c r="R1012" s="562"/>
      <c r="S1012" s="562"/>
      <c r="T1012" s="562"/>
      <c r="U1012" s="562"/>
      <c r="V1012" s="562"/>
      <c r="W1012" s="562"/>
      <c r="X1012" s="787"/>
      <c r="Y1012" s="980"/>
      <c r="Z1012" s="983"/>
      <c r="AA1012" s="562"/>
      <c r="AB1012" s="562"/>
      <c r="AC1012" s="562"/>
      <c r="AD1012" s="562"/>
      <c r="AE1012" s="562"/>
      <c r="AF1012" s="562"/>
      <c r="AG1012" s="562"/>
      <c r="AH1012" s="562"/>
      <c r="AI1012" s="562"/>
      <c r="AJ1012" s="562"/>
      <c r="AK1012" s="562"/>
      <c r="AL1012" s="562"/>
      <c r="AM1012" s="562"/>
      <c r="AN1012" s="562"/>
      <c r="AO1012" s="562"/>
      <c r="AP1012" s="562"/>
      <c r="AQ1012" s="562"/>
      <c r="AR1012" s="562"/>
      <c r="AS1012" s="562"/>
      <c r="AT1012" s="562"/>
      <c r="AU1012" s="562"/>
      <c r="AV1012" s="562"/>
      <c r="AW1012" s="562"/>
      <c r="AX1012" s="562"/>
      <c r="AY1012" s="562"/>
      <c r="AZ1012" s="562"/>
      <c r="BA1012" s="562"/>
      <c r="BB1012" s="562"/>
      <c r="BC1012" s="562"/>
      <c r="BD1012" s="562"/>
      <c r="BE1012" s="562"/>
      <c r="BF1012" s="562"/>
      <c r="BG1012" s="562"/>
      <c r="BH1012" s="562"/>
    </row>
    <row r="1013" spans="1:60" x14ac:dyDescent="0.2">
      <c r="A1013" s="541">
        <v>9</v>
      </c>
      <c r="B1013" s="551">
        <v>901.7</v>
      </c>
      <c r="C1013" s="544"/>
      <c r="D1013" s="544"/>
      <c r="E1013" s="544" t="s">
        <v>2181</v>
      </c>
      <c r="F1013" s="549" t="s">
        <v>2247</v>
      </c>
      <c r="G1013" s="543" t="str">
        <f t="shared" si="290"/>
        <v/>
      </c>
      <c r="H1013" s="558" t="s">
        <v>3758</v>
      </c>
      <c r="I1013" s="121"/>
      <c r="J1013" s="3"/>
      <c r="K1013" s="20" t="s">
        <v>2247</v>
      </c>
      <c r="L1013" s="632" t="s">
        <v>3062</v>
      </c>
      <c r="M1013" s="616"/>
      <c r="N1013" s="609"/>
      <c r="O1013" s="609"/>
      <c r="P1013" s="562"/>
      <c r="Q1013" s="562"/>
      <c r="R1013" s="562"/>
      <c r="S1013" s="562"/>
      <c r="T1013" s="562"/>
      <c r="U1013" s="562"/>
      <c r="V1013" s="562"/>
      <c r="W1013" s="562"/>
      <c r="X1013" s="787"/>
      <c r="Y1013" s="980"/>
      <c r="Z1013" s="983"/>
      <c r="AA1013" s="562"/>
      <c r="AB1013" s="562"/>
      <c r="AC1013" s="562"/>
      <c r="AD1013" s="562"/>
      <c r="AE1013" s="562"/>
      <c r="AF1013" s="562"/>
      <c r="AG1013" s="562"/>
      <c r="AH1013" s="562"/>
      <c r="AI1013" s="562"/>
      <c r="AJ1013" s="562"/>
      <c r="AK1013" s="562"/>
      <c r="AL1013" s="562"/>
      <c r="AM1013" s="562"/>
      <c r="AN1013" s="562"/>
      <c r="AO1013" s="562"/>
      <c r="AP1013" s="562"/>
      <c r="AQ1013" s="562"/>
      <c r="AR1013" s="562"/>
      <c r="AS1013" s="562"/>
      <c r="AT1013" s="562"/>
      <c r="AU1013" s="562"/>
      <c r="AV1013" s="562"/>
      <c r="AW1013" s="562"/>
      <c r="AX1013" s="562"/>
      <c r="AY1013" s="562"/>
      <c r="AZ1013" s="562"/>
      <c r="BA1013" s="562"/>
      <c r="BB1013" s="562"/>
      <c r="BC1013" s="562"/>
      <c r="BD1013" s="562"/>
      <c r="BE1013" s="562"/>
      <c r="BF1013" s="562"/>
      <c r="BG1013" s="562"/>
      <c r="BH1013" s="562"/>
    </row>
    <row r="1014" spans="1:60" x14ac:dyDescent="0.2">
      <c r="A1014" s="541">
        <v>9</v>
      </c>
      <c r="B1014" s="551">
        <v>901.7</v>
      </c>
      <c r="C1014" s="544"/>
      <c r="D1014" s="544"/>
      <c r="E1014" s="544" t="s">
        <v>2181</v>
      </c>
      <c r="F1014" s="549" t="s">
        <v>2444</v>
      </c>
      <c r="G1014" s="543" t="str">
        <f t="shared" si="290"/>
        <v/>
      </c>
      <c r="H1014" s="558" t="s">
        <v>3758</v>
      </c>
      <c r="I1014" s="121"/>
      <c r="J1014" s="3"/>
      <c r="K1014" s="20" t="s">
        <v>2444</v>
      </c>
      <c r="L1014" s="632" t="s">
        <v>3063</v>
      </c>
      <c r="M1014" s="616"/>
      <c r="N1014" s="609"/>
      <c r="O1014" s="609"/>
      <c r="P1014" s="562"/>
      <c r="Q1014" s="562"/>
      <c r="R1014" s="562"/>
      <c r="S1014" s="562"/>
      <c r="T1014" s="562"/>
      <c r="U1014" s="562"/>
      <c r="V1014" s="562"/>
      <c r="W1014" s="562"/>
      <c r="X1014" s="787"/>
      <c r="Y1014" s="980"/>
      <c r="Z1014" s="983"/>
      <c r="AA1014" s="562"/>
      <c r="AB1014" s="562"/>
      <c r="AC1014" s="562"/>
      <c r="AD1014" s="562"/>
      <c r="AE1014" s="562"/>
      <c r="AF1014" s="562"/>
      <c r="AG1014" s="562"/>
      <c r="AH1014" s="562"/>
      <c r="AI1014" s="562"/>
      <c r="AJ1014" s="562"/>
      <c r="AK1014" s="562"/>
      <c r="AL1014" s="562"/>
      <c r="AM1014" s="562"/>
      <c r="AN1014" s="562"/>
      <c r="AO1014" s="562"/>
      <c r="AP1014" s="562"/>
      <c r="AQ1014" s="562"/>
      <c r="AR1014" s="562"/>
      <c r="AS1014" s="562"/>
      <c r="AT1014" s="562"/>
      <c r="AU1014" s="562"/>
      <c r="AV1014" s="562"/>
      <c r="AW1014" s="562"/>
      <c r="AX1014" s="562"/>
      <c r="AY1014" s="562"/>
      <c r="AZ1014" s="562"/>
      <c r="BA1014" s="562"/>
      <c r="BB1014" s="562"/>
      <c r="BC1014" s="562"/>
      <c r="BD1014" s="562"/>
      <c r="BE1014" s="562"/>
      <c r="BF1014" s="562"/>
      <c r="BG1014" s="562"/>
      <c r="BH1014" s="562"/>
    </row>
    <row r="1015" spans="1:60" s="496" customFormat="1" x14ac:dyDescent="0.2">
      <c r="A1015" s="541">
        <v>9</v>
      </c>
      <c r="B1015" s="551">
        <v>901.7</v>
      </c>
      <c r="C1015" s="544"/>
      <c r="D1015" s="544"/>
      <c r="E1015" s="544" t="s">
        <v>2181</v>
      </c>
      <c r="F1015" s="549" t="s">
        <v>2540</v>
      </c>
      <c r="G1015" s="543" t="str">
        <f>G1013</f>
        <v/>
      </c>
      <c r="H1015" s="558" t="s">
        <v>3758</v>
      </c>
      <c r="I1015" s="121"/>
      <c r="J1015" s="98"/>
      <c r="K1015" s="134" t="s">
        <v>2540</v>
      </c>
      <c r="L1015" s="598" t="s">
        <v>3064</v>
      </c>
      <c r="M1015" s="616"/>
      <c r="N1015" s="609"/>
      <c r="O1015" s="609"/>
      <c r="P1015" s="562"/>
      <c r="Q1015" s="562"/>
      <c r="R1015" s="562"/>
      <c r="S1015" s="562"/>
      <c r="T1015" s="562"/>
      <c r="U1015" s="562"/>
      <c r="V1015" s="562"/>
      <c r="W1015" s="562"/>
      <c r="X1015" s="787"/>
      <c r="Y1015" s="980"/>
      <c r="Z1015" s="983"/>
      <c r="AA1015" s="562"/>
      <c r="AB1015" s="562"/>
      <c r="AC1015" s="562"/>
      <c r="AD1015" s="562"/>
      <c r="AE1015" s="562"/>
      <c r="AF1015" s="562"/>
      <c r="AG1015" s="562"/>
      <c r="AH1015" s="562"/>
      <c r="AI1015" s="562"/>
      <c r="AJ1015" s="562"/>
      <c r="AK1015" s="562"/>
      <c r="AL1015" s="562"/>
      <c r="AM1015" s="562"/>
      <c r="AN1015" s="562"/>
      <c r="AO1015" s="562"/>
      <c r="AP1015" s="562"/>
      <c r="AQ1015" s="562"/>
      <c r="AR1015" s="562"/>
      <c r="AS1015" s="562"/>
      <c r="AT1015" s="562"/>
      <c r="AU1015" s="562"/>
      <c r="AV1015" s="562"/>
      <c r="AW1015" s="562"/>
      <c r="AX1015" s="562"/>
      <c r="AY1015" s="562"/>
      <c r="AZ1015" s="562"/>
      <c r="BA1015" s="562"/>
      <c r="BB1015" s="562"/>
      <c r="BC1015" s="562"/>
      <c r="BD1015" s="562"/>
      <c r="BE1015" s="562"/>
      <c r="BF1015" s="562"/>
      <c r="BG1015" s="562"/>
      <c r="BH1015" s="562"/>
    </row>
    <row r="1016" spans="1:60" x14ac:dyDescent="0.2">
      <c r="A1016" s="541">
        <v>9</v>
      </c>
      <c r="B1016" s="551">
        <v>901.7</v>
      </c>
      <c r="C1016" s="544"/>
      <c r="D1016" s="544"/>
      <c r="E1016" s="544" t="s">
        <v>2181</v>
      </c>
      <c r="F1016" s="549" t="s">
        <v>2540</v>
      </c>
      <c r="G1016" s="543" t="str">
        <f>G1014</f>
        <v/>
      </c>
      <c r="H1016" s="558" t="s">
        <v>3758</v>
      </c>
      <c r="I1016" s="121"/>
      <c r="J1016" s="165"/>
      <c r="K1016" s="159" t="s">
        <v>2542</v>
      </c>
      <c r="L1016" s="599" t="s">
        <v>3065</v>
      </c>
      <c r="M1016" s="616"/>
      <c r="N1016" s="609"/>
      <c r="O1016" s="609"/>
      <c r="P1016" s="562"/>
      <c r="Q1016" s="562"/>
      <c r="R1016" s="562"/>
      <c r="S1016" s="562"/>
      <c r="T1016" s="562"/>
      <c r="U1016" s="562"/>
      <c r="V1016" s="562"/>
      <c r="W1016" s="562" t="s">
        <v>3066</v>
      </c>
      <c r="X1016" s="787"/>
      <c r="Y1016" s="980"/>
      <c r="Z1016" s="983"/>
      <c r="AA1016" s="562"/>
      <c r="AB1016" s="562"/>
      <c r="AC1016" s="562"/>
      <c r="AD1016" s="562"/>
      <c r="AE1016" s="562"/>
      <c r="AF1016" s="562"/>
      <c r="AG1016" s="562"/>
      <c r="AH1016" s="562"/>
      <c r="AI1016" s="562"/>
      <c r="AJ1016" s="562"/>
      <c r="AK1016" s="562"/>
      <c r="AL1016" s="562"/>
      <c r="AM1016" s="562"/>
      <c r="AN1016" s="562"/>
      <c r="AO1016" s="562"/>
      <c r="AP1016" s="562"/>
      <c r="AQ1016" s="562"/>
      <c r="AR1016" s="562"/>
      <c r="AS1016" s="562"/>
      <c r="AT1016" s="562"/>
      <c r="AU1016" s="562"/>
      <c r="AV1016" s="562"/>
      <c r="AW1016" s="562"/>
      <c r="AX1016" s="562"/>
      <c r="AY1016" s="562"/>
      <c r="AZ1016" s="562"/>
      <c r="BA1016" s="562"/>
      <c r="BB1016" s="562"/>
      <c r="BC1016" s="562"/>
      <c r="BD1016" s="562"/>
      <c r="BE1016" s="562"/>
      <c r="BF1016" s="562"/>
      <c r="BG1016" s="562"/>
      <c r="BH1016" s="562"/>
    </row>
    <row r="1017" spans="1:60" x14ac:dyDescent="0.2">
      <c r="A1017" s="541">
        <v>9</v>
      </c>
      <c r="B1017" s="551">
        <v>901.7</v>
      </c>
      <c r="C1017" s="544"/>
      <c r="D1017" s="544"/>
      <c r="E1017" s="544" t="s">
        <v>2183</v>
      </c>
      <c r="F1017" s="549"/>
      <c r="G1017" s="543" t="str">
        <f t="shared" si="290"/>
        <v/>
      </c>
      <c r="H1017" s="552" t="s">
        <v>3758</v>
      </c>
      <c r="I1017" s="253"/>
      <c r="J1017" s="159" t="s">
        <v>2183</v>
      </c>
      <c r="K1017" s="165"/>
      <c r="L1017" s="599" t="s">
        <v>3067</v>
      </c>
      <c r="M1017" s="610"/>
      <c r="N1017" s="607"/>
      <c r="O1017" s="607"/>
      <c r="P1017" s="64" t="b">
        <v>0</v>
      </c>
      <c r="Q1017" s="64" t="b">
        <v>1</v>
      </c>
      <c r="R1017" s="64" t="b">
        <v>0</v>
      </c>
      <c r="S1017" s="64" t="b">
        <v>1</v>
      </c>
      <c r="T1017" s="64" t="b">
        <f>SUM(W1006,W1017,W1018)&gt;1</f>
        <v>0</v>
      </c>
      <c r="U1017" s="64"/>
      <c r="V1017" s="64"/>
      <c r="W1017" s="260"/>
      <c r="X1017" s="798"/>
      <c r="Y1017" s="977" t="str">
        <f>IF(LEN('Ch9'!X116)=0,"None",'Ch9'!X116)</f>
        <v>None</v>
      </c>
      <c r="Z1017" s="978"/>
      <c r="AA1017" s="562"/>
      <c r="AB1017" s="562"/>
      <c r="AC1017" s="562" t="b">
        <f>OR(AD1017:AE1017)</f>
        <v>0</v>
      </c>
      <c r="AD1017" s="562" t="b">
        <f>T1017</f>
        <v>0</v>
      </c>
      <c r="AE1017" s="562" t="b">
        <f>AND(R1017,OR(W1017="Not Met",W1017=""))</f>
        <v>0</v>
      </c>
      <c r="AF1017" s="562" t="b">
        <f>AND(AE1017,NOT(Q1017))</f>
        <v>0</v>
      </c>
      <c r="AG1017" s="562"/>
      <c r="AH1017" s="562"/>
      <c r="AI1017" s="562"/>
      <c r="AJ1017" s="562"/>
      <c r="AK1017" s="562"/>
      <c r="AL1017" s="562"/>
      <c r="AM1017" s="562"/>
      <c r="AN1017" s="562"/>
      <c r="AO1017" s="562"/>
      <c r="AP1017" s="190" t="str">
        <f t="shared" ref="AP1017:AP1018" si="291">SUBSTITUTE(SUBSTITUTE(SUBSTITUTE("vch"&amp;$B1017&amp;$C1017&amp;$D1017&amp;$E1017&amp;$F1017,".","_"),"(","_"),")","")</f>
        <v>vch901,7_2</v>
      </c>
      <c r="AQ1017" s="190">
        <f>W1017</f>
        <v>0</v>
      </c>
      <c r="AR1017" s="190" t="str">
        <f>SUBSTITUTE(SUBSTITUTE(SUBSTITUTE("vnt"&amp;$B1017&amp;$C1017&amp;$D1017&amp;$E1017&amp;$F1017,".","_"),"(","_"),")","")</f>
        <v>vnt901,7_2</v>
      </c>
      <c r="AS1017" s="190">
        <f>X1017</f>
        <v>0</v>
      </c>
      <c r="AT1017" s="562"/>
      <c r="AU1017" s="562"/>
      <c r="AV1017" s="562"/>
      <c r="AW1017" s="562"/>
      <c r="AX1017" s="562"/>
      <c r="AY1017" s="562"/>
      <c r="AZ1017" s="562"/>
      <c r="BA1017" s="562"/>
      <c r="BB1017" s="562"/>
      <c r="BC1017" s="562"/>
      <c r="BD1017" s="562"/>
      <c r="BE1017" s="562"/>
      <c r="BF1017" s="562"/>
      <c r="BG1017" s="562"/>
      <c r="BH1017" s="562"/>
    </row>
    <row r="1018" spans="1:60" x14ac:dyDescent="0.2">
      <c r="A1018" s="541">
        <v>9</v>
      </c>
      <c r="B1018" s="551">
        <v>901.7</v>
      </c>
      <c r="C1018" s="544"/>
      <c r="D1018" s="544"/>
      <c r="E1018" s="544" t="s">
        <v>2185</v>
      </c>
      <c r="F1018" s="549"/>
      <c r="G1018" s="543" t="str">
        <f t="shared" si="290"/>
        <v/>
      </c>
      <c r="H1018" s="552" t="s">
        <v>3758</v>
      </c>
      <c r="I1018" s="253"/>
      <c r="J1018" s="134" t="s">
        <v>2185</v>
      </c>
      <c r="K1018" s="98"/>
      <c r="L1018" s="598" t="s">
        <v>3068</v>
      </c>
      <c r="M1018" s="610"/>
      <c r="N1018" s="607"/>
      <c r="O1018" s="607"/>
      <c r="P1018" s="64" t="b">
        <v>0</v>
      </c>
      <c r="Q1018" s="64" t="b">
        <v>1</v>
      </c>
      <c r="R1018" s="64" t="b">
        <v>0</v>
      </c>
      <c r="S1018" s="64" t="b">
        <v>1</v>
      </c>
      <c r="T1018" s="64" t="b">
        <f>SUM(W1006,W1017,W1018)&gt;1</f>
        <v>0</v>
      </c>
      <c r="U1018" s="64"/>
      <c r="V1018" s="64"/>
      <c r="W1018" s="260"/>
      <c r="X1018" s="798"/>
      <c r="Y1018" s="977"/>
      <c r="Z1018" s="978"/>
      <c r="AA1018" s="562"/>
      <c r="AB1018" s="562"/>
      <c r="AC1018" s="562" t="b">
        <f>OR(AD1018:AE1018)</f>
        <v>0</v>
      </c>
      <c r="AD1018" s="562" t="b">
        <f>T1018</f>
        <v>0</v>
      </c>
      <c r="AE1018" s="562" t="b">
        <f>AND(R1018,OR(W1018="Not Met",W1018=""))</f>
        <v>0</v>
      </c>
      <c r="AF1018" s="562" t="b">
        <f>AND(AE1018,NOT(Q1018))</f>
        <v>0</v>
      </c>
      <c r="AG1018" s="562"/>
      <c r="AH1018" s="562"/>
      <c r="AI1018" s="562"/>
      <c r="AJ1018" s="562"/>
      <c r="AK1018" s="562"/>
      <c r="AL1018" s="562"/>
      <c r="AM1018" s="562"/>
      <c r="AN1018" s="562"/>
      <c r="AO1018" s="562"/>
      <c r="AP1018" s="190" t="str">
        <f t="shared" si="291"/>
        <v>vch901,7_3</v>
      </c>
      <c r="AQ1018" s="190">
        <f>W1018</f>
        <v>0</v>
      </c>
      <c r="AR1018" s="562"/>
      <c r="AS1018" s="562"/>
      <c r="AT1018" s="562"/>
      <c r="AU1018" s="562"/>
      <c r="AV1018" s="562"/>
      <c r="AW1018" s="562"/>
      <c r="AX1018" s="562"/>
      <c r="AY1018" s="562"/>
      <c r="AZ1018" s="562"/>
      <c r="BA1018" s="562"/>
      <c r="BB1018" s="562"/>
      <c r="BC1018" s="562"/>
      <c r="BD1018" s="562"/>
      <c r="BE1018" s="562"/>
      <c r="BF1018" s="562"/>
      <c r="BG1018" s="562"/>
      <c r="BH1018" s="562"/>
    </row>
    <row r="1019" spans="1:60" x14ac:dyDescent="0.2">
      <c r="A1019" s="541">
        <v>9</v>
      </c>
      <c r="B1019" s="551">
        <v>901.7</v>
      </c>
      <c r="C1019" s="544"/>
      <c r="D1019" s="544"/>
      <c r="E1019" s="544" t="s">
        <v>2183</v>
      </c>
      <c r="F1019" s="544"/>
      <c r="G1019" s="543" t="str">
        <f t="shared" si="290"/>
        <v/>
      </c>
      <c r="H1019" s="541" t="s">
        <v>3758</v>
      </c>
      <c r="I1019" s="253"/>
      <c r="J1019" s="98"/>
      <c r="K1019" s="98"/>
      <c r="L1019" s="846" t="s">
        <v>3069</v>
      </c>
      <c r="M1019" s="610"/>
      <c r="N1019" s="607"/>
      <c r="O1019" s="607"/>
      <c r="P1019" s="64"/>
      <c r="Q1019" s="64"/>
      <c r="R1019" s="64"/>
      <c r="S1019" s="64"/>
      <c r="T1019" s="64"/>
      <c r="U1019" s="64"/>
      <c r="V1019" s="64"/>
      <c r="W1019" s="64"/>
      <c r="X1019" s="798"/>
      <c r="Y1019" s="977"/>
      <c r="Z1019" s="978"/>
      <c r="AA1019" s="562"/>
      <c r="AB1019" s="562"/>
      <c r="AC1019" s="562"/>
      <c r="AD1019" s="562"/>
      <c r="AE1019" s="562"/>
      <c r="AF1019" s="562"/>
      <c r="AG1019" s="562"/>
      <c r="AH1019" s="562"/>
      <c r="AI1019" s="562"/>
      <c r="AJ1019" s="562"/>
      <c r="AK1019" s="562"/>
      <c r="AL1019" s="562"/>
      <c r="AM1019" s="562"/>
      <c r="AN1019" s="562"/>
      <c r="AO1019" s="562"/>
      <c r="AP1019" s="562"/>
      <c r="AQ1019" s="562"/>
      <c r="AR1019" s="562"/>
      <c r="AS1019" s="562"/>
      <c r="AT1019" s="562"/>
      <c r="AU1019" s="562"/>
      <c r="AV1019" s="562"/>
      <c r="AW1019" s="562"/>
      <c r="AX1019" s="562"/>
      <c r="AY1019" s="562"/>
      <c r="AZ1019" s="562"/>
      <c r="BA1019" s="562"/>
      <c r="BB1019" s="562"/>
      <c r="BC1019" s="562"/>
      <c r="BD1019" s="562"/>
      <c r="BE1019" s="562"/>
      <c r="BF1019" s="562"/>
      <c r="BG1019" s="562"/>
      <c r="BH1019" s="562"/>
    </row>
    <row r="1020" spans="1:60" ht="16" thickBot="1" x14ac:dyDescent="0.25">
      <c r="A1020" s="541">
        <v>9</v>
      </c>
      <c r="B1020" s="551">
        <v>901.7</v>
      </c>
      <c r="C1020" s="544"/>
      <c r="D1020" s="544"/>
      <c r="E1020" s="544" t="s">
        <v>2183</v>
      </c>
      <c r="F1020" s="544"/>
      <c r="G1020" s="543" t="str">
        <f t="shared" si="290"/>
        <v/>
      </c>
      <c r="H1020" s="541" t="s">
        <v>3758</v>
      </c>
      <c r="I1020" s="254"/>
      <c r="J1020" s="185"/>
      <c r="K1020" s="185"/>
      <c r="L1020" s="860"/>
      <c r="M1020" s="615"/>
      <c r="N1020" s="622"/>
      <c r="O1020" s="622"/>
      <c r="P1020" s="68"/>
      <c r="Q1020" s="68"/>
      <c r="R1020" s="68"/>
      <c r="S1020" s="68"/>
      <c r="T1020" s="68"/>
      <c r="U1020" s="68"/>
      <c r="V1020" s="68"/>
      <c r="W1020" s="68"/>
      <c r="X1020" s="799"/>
      <c r="Y1020" s="979"/>
      <c r="Z1020" s="1007"/>
      <c r="AA1020" s="562"/>
      <c r="AB1020" s="562"/>
      <c r="AC1020" s="562"/>
      <c r="AD1020" s="562"/>
      <c r="AE1020" s="562"/>
      <c r="AF1020" s="562"/>
      <c r="AG1020" s="562"/>
      <c r="AH1020" s="562"/>
      <c r="AI1020" s="562"/>
      <c r="AJ1020" s="562"/>
      <c r="AK1020" s="562"/>
      <c r="AL1020" s="562"/>
      <c r="AM1020" s="562"/>
      <c r="AN1020" s="562"/>
      <c r="AO1020" s="562"/>
      <c r="AP1020" s="562"/>
      <c r="AQ1020" s="562"/>
      <c r="AR1020" s="562"/>
      <c r="AS1020" s="562"/>
      <c r="AT1020" s="562"/>
      <c r="AU1020" s="562"/>
      <c r="AV1020" s="562"/>
      <c r="AW1020" s="562"/>
      <c r="AX1020" s="562"/>
      <c r="AY1020" s="562"/>
      <c r="AZ1020" s="562"/>
      <c r="BA1020" s="562"/>
      <c r="BB1020" s="562"/>
      <c r="BC1020" s="562"/>
      <c r="BD1020" s="562"/>
      <c r="BE1020" s="562"/>
      <c r="BF1020" s="562"/>
      <c r="BG1020" s="562"/>
      <c r="BH1020" s="562"/>
    </row>
    <row r="1021" spans="1:60" ht="16" thickTop="1" x14ac:dyDescent="0.2">
      <c r="A1021" s="541">
        <v>9</v>
      </c>
      <c r="B1021" s="551">
        <v>901.8</v>
      </c>
      <c r="C1021" s="544"/>
      <c r="D1021" s="544"/>
      <c r="E1021" s="544"/>
      <c r="F1021" s="544"/>
      <c r="G1021" s="543" t="str">
        <f>IF(N1021&gt;0,"P","")</f>
        <v/>
      </c>
      <c r="H1021" s="541" t="s">
        <v>3758</v>
      </c>
      <c r="I1021" s="131" t="s">
        <v>3070</v>
      </c>
      <c r="J1021" s="132"/>
      <c r="K1021" s="132"/>
      <c r="L1021" s="819" t="s">
        <v>3071</v>
      </c>
      <c r="M1021" s="827">
        <v>4</v>
      </c>
      <c r="N1021" s="823">
        <f>'Ch9'!O120</f>
        <v>0</v>
      </c>
      <c r="O1021" s="823">
        <f>M1021*S1021*W1021</f>
        <v>0</v>
      </c>
      <c r="P1021" s="64" t="b">
        <v>0</v>
      </c>
      <c r="Q1021" s="64" t="b">
        <v>1</v>
      </c>
      <c r="R1021" s="74" t="b">
        <v>0</v>
      </c>
      <c r="S1021" s="74" t="b">
        <v>1</v>
      </c>
      <c r="T1021" s="74" t="b">
        <v>0</v>
      </c>
      <c r="U1021" s="74"/>
      <c r="V1021" s="74"/>
      <c r="W1021" s="18"/>
      <c r="X1021" s="802"/>
      <c r="Y1021" s="975" t="str">
        <f>IF(LEN('Ch9'!X120)=0,"None",'Ch9'!X120)</f>
        <v>None</v>
      </c>
      <c r="Z1021" s="976"/>
      <c r="AA1021" s="562"/>
      <c r="AB1021" s="562"/>
      <c r="AC1021" s="562" t="b">
        <f>OR(AD1021:AE1021)</f>
        <v>0</v>
      </c>
      <c r="AD1021" s="562" t="b">
        <f>T1021</f>
        <v>0</v>
      </c>
      <c r="AE1021" s="562" t="b">
        <f>AND(R1021,NOT(W1021))</f>
        <v>0</v>
      </c>
      <c r="AF1021" s="562" t="b">
        <f>AND(AE1021,NOT(Q1021))</f>
        <v>0</v>
      </c>
      <c r="AG1021" s="562"/>
      <c r="AH1021" s="562"/>
      <c r="AI1021" s="562"/>
      <c r="AJ1021" s="562"/>
      <c r="AK1021" s="562"/>
      <c r="AL1021" s="190" t="str">
        <f t="shared" ref="AL1021" si="292">SUBSTITUTE(SUBSTITUTE(SUBSTITUTE("vpa"&amp;$B1021&amp;$C1021&amp;$D1021&amp;$E1021&amp;$F1021,".","_"),"(","_"),")","")</f>
        <v>vpa901,8</v>
      </c>
      <c r="AM1021" s="190">
        <f>M1021</f>
        <v>4</v>
      </c>
      <c r="AN1021" s="190" t="str">
        <f>SUBSTITUTE(SUBSTITUTE(SUBSTITUTE("vpc"&amp;$B1021&amp;$C1021&amp;$D1021&amp;$E1021&amp;$F1021,".","_"),"(","_"),")","")</f>
        <v>vpc901,8</v>
      </c>
      <c r="AO1021" s="190">
        <f>O1021</f>
        <v>0</v>
      </c>
      <c r="AP1021" s="190" t="str">
        <f>SUBSTITUTE(SUBSTITUTE(SUBSTITUTE("vch"&amp;$B1021&amp;$C1021&amp;$D1021&amp;$E1021&amp;$F1021,".","_"),"(","_"),")","")</f>
        <v>vch901,8</v>
      </c>
      <c r="AQ1021" s="190">
        <f>W1021</f>
        <v>0</v>
      </c>
      <c r="AR1021" s="190" t="str">
        <f>SUBSTITUTE(SUBSTITUTE(SUBSTITUTE("vnt"&amp;$B1021&amp;$C1021&amp;$D1021&amp;$E1021&amp;$F1021,".","_"),"(","_"),")","")</f>
        <v>vnt901,8</v>
      </c>
      <c r="AS1021" s="190">
        <f>X1021</f>
        <v>0</v>
      </c>
      <c r="AT1021" s="562"/>
      <c r="AU1021" s="562"/>
      <c r="AV1021" s="562"/>
      <c r="AW1021" s="562"/>
      <c r="AX1021" s="562"/>
      <c r="AY1021" s="562"/>
      <c r="AZ1021" s="562"/>
      <c r="BA1021" s="562"/>
      <c r="BB1021" s="562"/>
      <c r="BC1021" s="562"/>
      <c r="BD1021" s="562"/>
      <c r="BE1021" s="562"/>
      <c r="BF1021" s="562"/>
      <c r="BG1021" s="562"/>
      <c r="BH1021" s="562"/>
    </row>
    <row r="1022" spans="1:60" x14ac:dyDescent="0.2">
      <c r="A1022" s="541">
        <v>9</v>
      </c>
      <c r="B1022" s="551">
        <v>901.8</v>
      </c>
      <c r="C1022" s="544"/>
      <c r="D1022" s="544"/>
      <c r="E1022" s="544"/>
      <c r="F1022" s="544"/>
      <c r="G1022" s="543" t="str">
        <f t="shared" ref="G1022:G1026" si="293">G1021</f>
        <v/>
      </c>
      <c r="H1022" s="541" t="s">
        <v>3758</v>
      </c>
      <c r="I1022" s="253"/>
      <c r="J1022" s="98"/>
      <c r="K1022" s="98"/>
      <c r="L1022" s="820"/>
      <c r="M1022" s="800"/>
      <c r="N1022" s="793"/>
      <c r="O1022" s="793"/>
      <c r="P1022" s="64"/>
      <c r="Q1022" s="64"/>
      <c r="R1022" s="64"/>
      <c r="S1022" s="64"/>
      <c r="T1022" s="64"/>
      <c r="U1022" s="64"/>
      <c r="V1022" s="64"/>
      <c r="W1022" s="64"/>
      <c r="X1022" s="798"/>
      <c r="Y1022" s="977"/>
      <c r="Z1022" s="978"/>
      <c r="AA1022" s="562"/>
      <c r="AB1022" s="562"/>
      <c r="AC1022" s="562"/>
      <c r="AD1022" s="562"/>
      <c r="AE1022" s="562"/>
      <c r="AF1022" s="562"/>
      <c r="AG1022" s="562"/>
      <c r="AH1022" s="562"/>
      <c r="AI1022" s="562"/>
      <c r="AJ1022" s="562"/>
      <c r="AK1022" s="562"/>
      <c r="AL1022" s="562"/>
      <c r="AM1022" s="562"/>
      <c r="AN1022" s="562"/>
      <c r="AO1022" s="562"/>
      <c r="AP1022" s="562"/>
      <c r="AQ1022" s="562"/>
      <c r="AR1022" s="562"/>
      <c r="AS1022" s="562"/>
      <c r="AT1022" s="562"/>
      <c r="AU1022" s="562"/>
      <c r="AV1022" s="562"/>
      <c r="AW1022" s="562"/>
      <c r="AX1022" s="562"/>
      <c r="AY1022" s="562"/>
      <c r="AZ1022" s="562"/>
      <c r="BA1022" s="562"/>
      <c r="BB1022" s="562"/>
      <c r="BC1022" s="562"/>
      <c r="BD1022" s="562"/>
      <c r="BE1022" s="562"/>
      <c r="BF1022" s="562"/>
      <c r="BG1022" s="562"/>
      <c r="BH1022" s="562"/>
    </row>
    <row r="1023" spans="1:60" x14ac:dyDescent="0.2">
      <c r="A1023" s="541">
        <v>9</v>
      </c>
      <c r="B1023" s="551">
        <v>901.8</v>
      </c>
      <c r="C1023" s="544"/>
      <c r="D1023" s="544"/>
      <c r="E1023" s="544"/>
      <c r="F1023" s="544"/>
      <c r="G1023" s="543" t="str">
        <f t="shared" si="293"/>
        <v/>
      </c>
      <c r="H1023" s="541" t="s">
        <v>3758</v>
      </c>
      <c r="I1023" s="253"/>
      <c r="J1023" s="98"/>
      <c r="K1023" s="98"/>
      <c r="L1023" s="820"/>
      <c r="M1023" s="800"/>
      <c r="N1023" s="793"/>
      <c r="O1023" s="793"/>
      <c r="P1023" s="64"/>
      <c r="Q1023" s="64"/>
      <c r="R1023" s="64"/>
      <c r="S1023" s="64"/>
      <c r="T1023" s="64"/>
      <c r="U1023" s="64"/>
      <c r="V1023" s="64"/>
      <c r="W1023" s="64"/>
      <c r="X1023" s="798"/>
      <c r="Y1023" s="977"/>
      <c r="Z1023" s="978"/>
      <c r="AA1023" s="562"/>
      <c r="AB1023" s="562"/>
      <c r="AC1023" s="562"/>
      <c r="AD1023" s="562"/>
      <c r="AE1023" s="562"/>
      <c r="AF1023" s="562"/>
      <c r="AG1023" s="562"/>
      <c r="AH1023" s="562"/>
      <c r="AI1023" s="562"/>
      <c r="AJ1023" s="562"/>
      <c r="AK1023" s="562"/>
      <c r="AL1023" s="562"/>
      <c r="AM1023" s="562"/>
      <c r="AN1023" s="562"/>
      <c r="AO1023" s="562"/>
      <c r="AP1023" s="562"/>
      <c r="AQ1023" s="562"/>
      <c r="AR1023" s="562"/>
      <c r="AS1023" s="562"/>
      <c r="AT1023" s="562"/>
      <c r="AU1023" s="562"/>
      <c r="AV1023" s="562"/>
      <c r="AW1023" s="562"/>
      <c r="AX1023" s="562"/>
      <c r="AY1023" s="562"/>
      <c r="AZ1023" s="562"/>
      <c r="BA1023" s="562"/>
      <c r="BB1023" s="562"/>
      <c r="BC1023" s="562"/>
      <c r="BD1023" s="562"/>
      <c r="BE1023" s="562"/>
      <c r="BF1023" s="562"/>
      <c r="BG1023" s="562"/>
      <c r="BH1023" s="562"/>
    </row>
    <row r="1024" spans="1:60" x14ac:dyDescent="0.2">
      <c r="A1024" s="541">
        <v>9</v>
      </c>
      <c r="B1024" s="551">
        <v>901.8</v>
      </c>
      <c r="C1024" s="544"/>
      <c r="D1024" s="544"/>
      <c r="E1024" s="544"/>
      <c r="F1024" s="544"/>
      <c r="G1024" s="543" t="str">
        <f t="shared" si="293"/>
        <v/>
      </c>
      <c r="H1024" s="541" t="s">
        <v>3758</v>
      </c>
      <c r="I1024" s="253"/>
      <c r="J1024" s="98"/>
      <c r="K1024" s="98"/>
      <c r="L1024" s="820"/>
      <c r="M1024" s="800"/>
      <c r="N1024" s="793"/>
      <c r="O1024" s="793"/>
      <c r="P1024" s="64"/>
      <c r="Q1024" s="64"/>
      <c r="R1024" s="64"/>
      <c r="S1024" s="64"/>
      <c r="T1024" s="64"/>
      <c r="U1024" s="64"/>
      <c r="V1024" s="64"/>
      <c r="W1024" s="64"/>
      <c r="X1024" s="798"/>
      <c r="Y1024" s="977"/>
      <c r="Z1024" s="978"/>
      <c r="AA1024" s="562"/>
      <c r="AB1024" s="562"/>
      <c r="AC1024" s="562"/>
      <c r="AD1024" s="562"/>
      <c r="AE1024" s="562"/>
      <c r="AF1024" s="562"/>
      <c r="AG1024" s="562"/>
      <c r="AH1024" s="562"/>
      <c r="AI1024" s="562"/>
      <c r="AJ1024" s="562"/>
      <c r="AK1024" s="562"/>
      <c r="AL1024" s="562"/>
      <c r="AM1024" s="562"/>
      <c r="AN1024" s="562"/>
      <c r="AO1024" s="562"/>
      <c r="AP1024" s="562"/>
      <c r="AQ1024" s="562"/>
      <c r="AR1024" s="562"/>
      <c r="AS1024" s="562"/>
      <c r="AT1024" s="562"/>
      <c r="AU1024" s="562"/>
      <c r="AV1024" s="562"/>
      <c r="AW1024" s="562"/>
      <c r="AX1024" s="562"/>
      <c r="AY1024" s="562"/>
      <c r="AZ1024" s="562"/>
      <c r="BA1024" s="562"/>
      <c r="BB1024" s="562"/>
      <c r="BC1024" s="562"/>
      <c r="BD1024" s="562"/>
      <c r="BE1024" s="562"/>
      <c r="BF1024" s="562"/>
      <c r="BG1024" s="562"/>
      <c r="BH1024" s="562"/>
    </row>
    <row r="1025" spans="1:60" x14ac:dyDescent="0.2">
      <c r="A1025" s="541">
        <v>9</v>
      </c>
      <c r="B1025" s="551">
        <v>901.8</v>
      </c>
      <c r="C1025" s="544"/>
      <c r="D1025" s="544"/>
      <c r="E1025" s="544"/>
      <c r="F1025" s="544"/>
      <c r="G1025" s="543" t="str">
        <f t="shared" si="293"/>
        <v/>
      </c>
      <c r="H1025" s="541" t="s">
        <v>3758</v>
      </c>
      <c r="I1025" s="253"/>
      <c r="J1025" s="98"/>
      <c r="K1025" s="98"/>
      <c r="L1025" s="820"/>
      <c r="M1025" s="800"/>
      <c r="N1025" s="793"/>
      <c r="O1025" s="793"/>
      <c r="P1025" s="64"/>
      <c r="Q1025" s="64"/>
      <c r="R1025" s="64"/>
      <c r="S1025" s="64"/>
      <c r="T1025" s="64"/>
      <c r="U1025" s="64"/>
      <c r="V1025" s="64"/>
      <c r="W1025" s="64"/>
      <c r="X1025" s="798"/>
      <c r="Y1025" s="977"/>
      <c r="Z1025" s="978"/>
      <c r="AA1025" s="562"/>
      <c r="AB1025" s="562"/>
      <c r="AC1025" s="562"/>
      <c r="AD1025" s="562"/>
      <c r="AE1025" s="562"/>
      <c r="AF1025" s="562"/>
      <c r="AG1025" s="562"/>
      <c r="AH1025" s="562"/>
      <c r="AI1025" s="562"/>
      <c r="AJ1025" s="562"/>
      <c r="AK1025" s="562"/>
      <c r="AL1025" s="562"/>
      <c r="AM1025" s="562"/>
      <c r="AN1025" s="562"/>
      <c r="AO1025" s="562"/>
      <c r="AP1025" s="562"/>
      <c r="AQ1025" s="562"/>
      <c r="AR1025" s="562"/>
      <c r="AS1025" s="562"/>
      <c r="AT1025" s="562"/>
      <c r="AU1025" s="562"/>
      <c r="AV1025" s="562"/>
      <c r="AW1025" s="562"/>
      <c r="AX1025" s="562"/>
      <c r="AY1025" s="562"/>
      <c r="AZ1025" s="562"/>
      <c r="BA1025" s="562"/>
      <c r="BB1025" s="562"/>
      <c r="BC1025" s="562"/>
      <c r="BD1025" s="562"/>
      <c r="BE1025" s="562"/>
      <c r="BF1025" s="562"/>
      <c r="BG1025" s="562"/>
      <c r="BH1025" s="562"/>
    </row>
    <row r="1026" spans="1:60" ht="16" thickBot="1" x14ac:dyDescent="0.25">
      <c r="A1026" s="541">
        <v>9</v>
      </c>
      <c r="B1026" s="551">
        <v>901.8</v>
      </c>
      <c r="C1026" s="544"/>
      <c r="D1026" s="544"/>
      <c r="E1026" s="544"/>
      <c r="F1026" s="544"/>
      <c r="G1026" s="543" t="str">
        <f t="shared" si="293"/>
        <v/>
      </c>
      <c r="H1026" s="541" t="s">
        <v>3758</v>
      </c>
      <c r="I1026" s="254"/>
      <c r="J1026" s="185"/>
      <c r="K1026" s="185"/>
      <c r="L1026" s="822"/>
      <c r="M1026" s="813"/>
      <c r="N1026" s="821"/>
      <c r="O1026" s="821"/>
      <c r="P1026" s="68"/>
      <c r="Q1026" s="68"/>
      <c r="R1026" s="68"/>
      <c r="S1026" s="68"/>
      <c r="T1026" s="68"/>
      <c r="U1026" s="68"/>
      <c r="V1026" s="68"/>
      <c r="W1026" s="68"/>
      <c r="X1026" s="799"/>
      <c r="Y1026" s="979"/>
      <c r="Z1026" s="1007"/>
      <c r="AA1026" s="562"/>
      <c r="AB1026" s="562"/>
      <c r="AC1026" s="562"/>
      <c r="AD1026" s="562"/>
      <c r="AE1026" s="562"/>
      <c r="AF1026" s="562"/>
      <c r="AG1026" s="562"/>
      <c r="AH1026" s="562"/>
      <c r="AI1026" s="562"/>
      <c r="AJ1026" s="562"/>
      <c r="AK1026" s="562"/>
      <c r="AL1026" s="562"/>
      <c r="AM1026" s="562"/>
      <c r="AN1026" s="562"/>
      <c r="AO1026" s="562"/>
      <c r="AP1026" s="562"/>
      <c r="AQ1026" s="562"/>
      <c r="AR1026" s="562"/>
      <c r="AS1026" s="562"/>
      <c r="AT1026" s="562"/>
      <c r="AU1026" s="562"/>
      <c r="AV1026" s="562"/>
      <c r="AW1026" s="562"/>
      <c r="AX1026" s="562"/>
      <c r="AY1026" s="562"/>
      <c r="AZ1026" s="562"/>
      <c r="BA1026" s="562"/>
      <c r="BB1026" s="562"/>
      <c r="BC1026" s="562"/>
      <c r="BD1026" s="562"/>
      <c r="BE1026" s="562"/>
      <c r="BF1026" s="562"/>
      <c r="BG1026" s="562"/>
      <c r="BH1026" s="562"/>
    </row>
    <row r="1027" spans="1:60" ht="16" thickTop="1" x14ac:dyDescent="0.2">
      <c r="A1027" s="541">
        <v>9</v>
      </c>
      <c r="B1027" s="551">
        <v>901.9</v>
      </c>
      <c r="C1027" s="544"/>
      <c r="D1027" s="544"/>
      <c r="E1027" s="544"/>
      <c r="F1027" s="544"/>
      <c r="G1027" s="539" t="str">
        <f>IF(COUNTIF(G1031:G1043,"P")&gt;0,"P","")</f>
        <v/>
      </c>
      <c r="H1027" s="541" t="s">
        <v>3758</v>
      </c>
      <c r="I1027" s="131" t="s">
        <v>3072</v>
      </c>
      <c r="J1027" s="132"/>
      <c r="K1027" s="132"/>
      <c r="L1027" s="819" t="s">
        <v>3073</v>
      </c>
      <c r="M1027" s="625"/>
      <c r="N1027" s="623"/>
      <c r="O1027" s="623"/>
      <c r="P1027" s="74"/>
      <c r="Q1027" s="74"/>
      <c r="R1027" s="74"/>
      <c r="S1027" s="74"/>
      <c r="T1027" s="74"/>
      <c r="U1027" s="74"/>
      <c r="V1027" s="74"/>
      <c r="W1027" s="74"/>
      <c r="X1027" s="787"/>
      <c r="Y1027" s="975" t="str">
        <f>IF(LEN('Ch9'!X126)=0,"None",'Ch9'!X126)</f>
        <v>None</v>
      </c>
      <c r="Z1027" s="976"/>
      <c r="AA1027" s="562"/>
      <c r="AB1027" s="562"/>
      <c r="AC1027" s="562"/>
      <c r="AD1027" s="562"/>
      <c r="AE1027" s="562"/>
      <c r="AF1027" s="562"/>
      <c r="AG1027" s="562"/>
      <c r="AH1027" s="562"/>
      <c r="AI1027" s="562"/>
      <c r="AJ1027" s="562"/>
      <c r="AK1027" s="562"/>
      <c r="AL1027" s="562"/>
      <c r="AM1027" s="562"/>
      <c r="AN1027" s="562"/>
      <c r="AO1027" s="562"/>
      <c r="AP1027" s="562"/>
      <c r="AQ1027" s="562"/>
      <c r="AR1027" s="190" t="str">
        <f>SUBSTITUTE(SUBSTITUTE(SUBSTITUTE("vnt"&amp;$B1027&amp;$C1027&amp;$D1027&amp;$E1027&amp;$F1027,".","_"),"(","_"),")","")</f>
        <v>vnt901,9</v>
      </c>
      <c r="AS1027" s="190">
        <f>X1027</f>
        <v>0</v>
      </c>
      <c r="AT1027" s="562"/>
      <c r="AU1027" s="562"/>
      <c r="AV1027" s="562"/>
      <c r="AW1027" s="562"/>
      <c r="AX1027" s="562"/>
      <c r="AY1027" s="562"/>
      <c r="AZ1027" s="562"/>
      <c r="BA1027" s="562"/>
      <c r="BB1027" s="562"/>
      <c r="BC1027" s="562"/>
      <c r="BD1027" s="562"/>
      <c r="BE1027" s="562"/>
      <c r="BF1027" s="562"/>
      <c r="BG1027" s="562"/>
      <c r="BH1027" s="562"/>
    </row>
    <row r="1028" spans="1:60" x14ac:dyDescent="0.2">
      <c r="A1028" s="541">
        <v>9</v>
      </c>
      <c r="B1028" s="551">
        <v>901.9</v>
      </c>
      <c r="C1028" s="544"/>
      <c r="D1028" s="544"/>
      <c r="E1028" s="544"/>
      <c r="F1028" s="544"/>
      <c r="G1028" s="543" t="str">
        <f t="shared" ref="G1028:G1029" si="294">G1027</f>
        <v/>
      </c>
      <c r="H1028" s="541" t="s">
        <v>3758</v>
      </c>
      <c r="I1028" s="253"/>
      <c r="J1028" s="98"/>
      <c r="K1028" s="98"/>
      <c r="L1028" s="820"/>
      <c r="M1028" s="610"/>
      <c r="N1028" s="607"/>
      <c r="O1028" s="607"/>
      <c r="P1028" s="64"/>
      <c r="Q1028" s="64"/>
      <c r="R1028" s="64"/>
      <c r="S1028" s="64"/>
      <c r="T1028" s="64"/>
      <c r="U1028" s="64"/>
      <c r="V1028" s="64"/>
      <c r="W1028" s="64"/>
      <c r="X1028" s="787"/>
      <c r="Y1028" s="980"/>
      <c r="Z1028" s="983"/>
      <c r="AA1028" s="562"/>
      <c r="AB1028" s="562"/>
      <c r="AC1028" s="562"/>
      <c r="AD1028" s="562"/>
      <c r="AE1028" s="562"/>
      <c r="AF1028" s="562"/>
      <c r="AG1028" s="562"/>
      <c r="AH1028" s="562"/>
      <c r="AI1028" s="562"/>
      <c r="AJ1028" s="562"/>
      <c r="AK1028" s="562"/>
      <c r="AL1028" s="562"/>
      <c r="AM1028" s="562"/>
      <c r="AN1028" s="562"/>
      <c r="AO1028" s="562"/>
      <c r="AP1028" s="562"/>
      <c r="AQ1028" s="562"/>
      <c r="AR1028" s="562"/>
      <c r="AS1028" s="562"/>
      <c r="AT1028" s="562"/>
      <c r="AU1028" s="562"/>
      <c r="AV1028" s="562"/>
      <c r="AW1028" s="562"/>
      <c r="AX1028" s="562"/>
      <c r="AY1028" s="562"/>
      <c r="AZ1028" s="562"/>
      <c r="BA1028" s="562"/>
      <c r="BB1028" s="562"/>
      <c r="BC1028" s="562"/>
      <c r="BD1028" s="562"/>
      <c r="BE1028" s="562"/>
      <c r="BF1028" s="562"/>
      <c r="BG1028" s="562"/>
      <c r="BH1028" s="562"/>
    </row>
    <row r="1029" spans="1:60" s="496" customFormat="1" x14ac:dyDescent="0.2">
      <c r="A1029" s="541">
        <v>9</v>
      </c>
      <c r="B1029" s="551">
        <v>901.9</v>
      </c>
      <c r="C1029" s="544"/>
      <c r="D1029" s="544"/>
      <c r="E1029" s="544"/>
      <c r="F1029" s="544"/>
      <c r="G1029" s="543" t="str">
        <f t="shared" si="294"/>
        <v/>
      </c>
      <c r="H1029" s="541" t="s">
        <v>3758</v>
      </c>
      <c r="I1029" s="253"/>
      <c r="J1029" s="98"/>
      <c r="K1029" s="98"/>
      <c r="L1029" s="820"/>
      <c r="M1029" s="610"/>
      <c r="N1029" s="607"/>
      <c r="O1029" s="607"/>
      <c r="P1029" s="64"/>
      <c r="Q1029" s="64"/>
      <c r="R1029" s="64"/>
      <c r="S1029" s="64"/>
      <c r="T1029" s="64"/>
      <c r="U1029" s="64"/>
      <c r="V1029" s="64"/>
      <c r="W1029" s="64"/>
      <c r="X1029" s="787"/>
      <c r="Y1029" s="980"/>
      <c r="Z1029" s="983"/>
      <c r="AA1029" s="562"/>
      <c r="AB1029" s="562"/>
      <c r="AC1029" s="562"/>
      <c r="AD1029" s="562"/>
      <c r="AE1029" s="562"/>
      <c r="AF1029" s="562"/>
      <c r="AG1029" s="562"/>
      <c r="AH1029" s="562"/>
      <c r="AI1029" s="562"/>
      <c r="AJ1029" s="562"/>
      <c r="AK1029" s="562"/>
      <c r="AL1029" s="562"/>
      <c r="AM1029" s="562"/>
      <c r="AN1029" s="562"/>
      <c r="AO1029" s="562"/>
      <c r="AP1029" s="562"/>
      <c r="AQ1029" s="562"/>
      <c r="AR1029" s="562"/>
      <c r="AS1029" s="562"/>
      <c r="AT1029" s="562"/>
      <c r="AU1029" s="562"/>
      <c r="AV1029" s="562"/>
      <c r="AW1029" s="562"/>
      <c r="AX1029" s="562"/>
      <c r="AY1029" s="562"/>
      <c r="AZ1029" s="562"/>
      <c r="BA1029" s="562"/>
      <c r="BB1029" s="562"/>
      <c r="BC1029" s="562"/>
      <c r="BD1029" s="562"/>
      <c r="BE1029" s="562"/>
      <c r="BF1029" s="562"/>
      <c r="BG1029" s="562"/>
      <c r="BH1029" s="562"/>
    </row>
    <row r="1030" spans="1:60" x14ac:dyDescent="0.2">
      <c r="A1030" s="541">
        <v>9</v>
      </c>
      <c r="B1030" s="551">
        <v>901.9</v>
      </c>
      <c r="C1030" s="544"/>
      <c r="D1030" s="544"/>
      <c r="E1030" s="544"/>
      <c r="F1030" s="544"/>
      <c r="G1030" s="543" t="str">
        <f>G1028</f>
        <v/>
      </c>
      <c r="H1030" s="541" t="s">
        <v>3758</v>
      </c>
      <c r="I1030" s="253"/>
      <c r="J1030" s="98"/>
      <c r="K1030" s="98"/>
      <c r="L1030" s="820"/>
      <c r="M1030" s="610"/>
      <c r="N1030" s="607"/>
      <c r="O1030" s="607"/>
      <c r="P1030" s="64"/>
      <c r="Q1030" s="64"/>
      <c r="R1030" s="64"/>
      <c r="S1030" s="64"/>
      <c r="T1030" s="64"/>
      <c r="U1030" s="64"/>
      <c r="V1030" s="64"/>
      <c r="W1030" s="64"/>
      <c r="X1030" s="787"/>
      <c r="Y1030" s="980"/>
      <c r="Z1030" s="983"/>
      <c r="AA1030" s="562"/>
      <c r="AB1030" s="562"/>
      <c r="AC1030" s="562"/>
      <c r="AD1030" s="562"/>
      <c r="AE1030" s="562"/>
      <c r="AF1030" s="562"/>
      <c r="AG1030" s="562"/>
      <c r="AH1030" s="562"/>
      <c r="AI1030" s="562"/>
      <c r="AJ1030" s="562"/>
      <c r="AK1030" s="562"/>
      <c r="AL1030" s="562"/>
      <c r="AM1030" s="562"/>
      <c r="AN1030" s="562"/>
      <c r="AO1030" s="562"/>
      <c r="AP1030" s="562"/>
      <c r="AQ1030" s="562"/>
      <c r="AR1030" s="562"/>
      <c r="AS1030" s="562"/>
      <c r="AT1030" s="562"/>
      <c r="AU1030" s="562"/>
      <c r="AV1030" s="562"/>
      <c r="AW1030" s="562"/>
      <c r="AX1030" s="562"/>
      <c r="AY1030" s="562"/>
      <c r="AZ1030" s="562"/>
      <c r="BA1030" s="562"/>
      <c r="BB1030" s="562"/>
      <c r="BC1030" s="562"/>
      <c r="BD1030" s="562"/>
      <c r="BE1030" s="562"/>
      <c r="BF1030" s="562"/>
      <c r="BG1030" s="562"/>
      <c r="BH1030" s="562"/>
    </row>
    <row r="1031" spans="1:60" x14ac:dyDescent="0.2">
      <c r="A1031" s="541">
        <v>9</v>
      </c>
      <c r="B1031" s="551" t="s">
        <v>3074</v>
      </c>
      <c r="C1031" s="544"/>
      <c r="D1031" s="544"/>
      <c r="E1031" s="544"/>
      <c r="F1031" s="544"/>
      <c r="G1031" s="543" t="str">
        <f>IF(N1031&gt;0,"P","")</f>
        <v/>
      </c>
      <c r="H1031" s="541" t="s">
        <v>3758</v>
      </c>
      <c r="I1031" s="40" t="s">
        <v>3075</v>
      </c>
      <c r="J1031" s="3"/>
      <c r="K1031" s="3"/>
      <c r="L1031" s="775" t="s">
        <v>3076</v>
      </c>
      <c r="M1031" s="814">
        <v>5</v>
      </c>
      <c r="N1031" s="795">
        <f>'Ch9'!O130</f>
        <v>0</v>
      </c>
      <c r="O1031" s="795">
        <f>M1031*S1033*IFERROR(OR(W1033,W1035,W1036),0)</f>
        <v>0</v>
      </c>
      <c r="P1031" s="562"/>
      <c r="Q1031" s="562"/>
      <c r="R1031" s="562"/>
      <c r="S1031" s="562"/>
      <c r="T1031" s="562"/>
      <c r="U1031" s="562"/>
      <c r="V1031" s="562"/>
      <c r="W1031" s="562"/>
      <c r="X1031" s="562"/>
      <c r="Y1031" s="562"/>
      <c r="Z1031" s="430"/>
      <c r="AA1031" s="562"/>
      <c r="AB1031" s="562"/>
      <c r="AC1031" s="562"/>
      <c r="AD1031" s="562"/>
      <c r="AE1031" s="562"/>
      <c r="AF1031" s="562"/>
      <c r="AG1031" s="562"/>
      <c r="AH1031" s="562"/>
      <c r="AI1031" s="562"/>
      <c r="AJ1031" s="562"/>
      <c r="AK1031" s="562"/>
      <c r="AL1031" s="190" t="str">
        <f t="shared" ref="AL1031" si="295">SUBSTITUTE(SUBSTITUTE(SUBSTITUTE("vpa"&amp;$B1031&amp;$C1031&amp;$D1031&amp;$E1031&amp;$F1031,".","_"),"(","_"),")","")</f>
        <v>vpa901_9_1</v>
      </c>
      <c r="AM1031" s="190">
        <f>M1031</f>
        <v>5</v>
      </c>
      <c r="AN1031" s="190" t="str">
        <f>SUBSTITUTE(SUBSTITUTE(SUBSTITUTE("vpc"&amp;$B1031&amp;$C1031&amp;$D1031&amp;$E1031&amp;$F1031,".","_"),"(","_"),")","")</f>
        <v>vpc901_9_1</v>
      </c>
      <c r="AO1031" s="190">
        <f>O1031</f>
        <v>0</v>
      </c>
      <c r="AP1031" s="562"/>
      <c r="AQ1031" s="562"/>
      <c r="AR1031" s="562"/>
      <c r="AS1031" s="562"/>
      <c r="AT1031" s="562"/>
      <c r="AU1031" s="562"/>
      <c r="AV1031" s="562"/>
      <c r="AW1031" s="562"/>
      <c r="AX1031" s="562"/>
      <c r="AY1031" s="562"/>
      <c r="AZ1031" s="562"/>
      <c r="BA1031" s="562"/>
      <c r="BB1031" s="562"/>
      <c r="BC1031" s="562"/>
      <c r="BD1031" s="562"/>
      <c r="BE1031" s="562"/>
      <c r="BF1031" s="562"/>
      <c r="BG1031" s="562"/>
      <c r="BH1031" s="562"/>
    </row>
    <row r="1032" spans="1:60" x14ac:dyDescent="0.2">
      <c r="A1032" s="541">
        <v>9</v>
      </c>
      <c r="B1032" s="551" t="s">
        <v>3074</v>
      </c>
      <c r="C1032" s="544"/>
      <c r="D1032" s="544"/>
      <c r="E1032" s="544"/>
      <c r="F1032" s="544"/>
      <c r="G1032" s="543" t="str">
        <f t="shared" ref="G1032:G1037" si="296">G1031</f>
        <v/>
      </c>
      <c r="H1032" s="541" t="s">
        <v>3758</v>
      </c>
      <c r="I1032" s="121"/>
      <c r="J1032" s="3"/>
      <c r="K1032" s="3"/>
      <c r="L1032" s="775"/>
      <c r="M1032" s="814"/>
      <c r="N1032" s="795"/>
      <c r="O1032" s="795"/>
      <c r="P1032" s="562"/>
      <c r="Q1032" s="562"/>
      <c r="R1032" s="562"/>
      <c r="S1032" s="562"/>
      <c r="T1032" s="562"/>
      <c r="U1032" s="562"/>
      <c r="V1032" s="562"/>
      <c r="W1032" s="562"/>
      <c r="X1032" s="562"/>
      <c r="Y1032" s="562"/>
      <c r="Z1032" s="430"/>
      <c r="AA1032" s="562"/>
      <c r="AB1032" s="562"/>
      <c r="AC1032" s="562"/>
      <c r="AD1032" s="562"/>
      <c r="AE1032" s="562"/>
      <c r="AF1032" s="562"/>
      <c r="AG1032" s="562"/>
      <c r="AH1032" s="562"/>
      <c r="AI1032" s="562"/>
      <c r="AJ1032" s="562"/>
      <c r="AK1032" s="562"/>
      <c r="AL1032" s="562"/>
      <c r="AM1032" s="562"/>
      <c r="AN1032" s="562"/>
      <c r="AO1032" s="562"/>
      <c r="AP1032" s="562"/>
      <c r="AQ1032" s="562"/>
      <c r="AR1032" s="562"/>
      <c r="AS1032" s="562"/>
      <c r="AT1032" s="562"/>
      <c r="AU1032" s="562"/>
      <c r="AV1032" s="562"/>
      <c r="AW1032" s="562"/>
      <c r="AX1032" s="562"/>
      <c r="AY1032" s="562"/>
      <c r="AZ1032" s="562"/>
      <c r="BA1032" s="562"/>
      <c r="BB1032" s="562"/>
      <c r="BC1032" s="562"/>
      <c r="BD1032" s="562"/>
      <c r="BE1032" s="562"/>
      <c r="BF1032" s="562"/>
      <c r="BG1032" s="562"/>
      <c r="BH1032" s="562"/>
    </row>
    <row r="1033" spans="1:60" x14ac:dyDescent="0.2">
      <c r="A1033" s="541">
        <v>9</v>
      </c>
      <c r="B1033" s="551" t="s">
        <v>3074</v>
      </c>
      <c r="C1033" s="544"/>
      <c r="D1033" s="544"/>
      <c r="E1033" s="544" t="s">
        <v>2181</v>
      </c>
      <c r="F1033" s="544"/>
      <c r="G1033" s="543" t="str">
        <f t="shared" si="296"/>
        <v/>
      </c>
      <c r="H1033" s="541" t="s">
        <v>3758</v>
      </c>
      <c r="I1033" s="121"/>
      <c r="J1033" s="134" t="s">
        <v>2181</v>
      </c>
      <c r="K1033" s="98"/>
      <c r="L1033" s="791" t="s">
        <v>3077</v>
      </c>
      <c r="M1033" s="616"/>
      <c r="N1033" s="609"/>
      <c r="O1033" s="609"/>
      <c r="P1033" s="64" t="b">
        <v>0</v>
      </c>
      <c r="Q1033" s="64" t="b">
        <v>1</v>
      </c>
      <c r="R1033" s="562" t="b">
        <v>0</v>
      </c>
      <c r="S1033" s="562" t="b">
        <f>NOT(W1043)</f>
        <v>1</v>
      </c>
      <c r="T1033" s="64" t="b">
        <f>AND(NOT(S1033),W1033=TRUE)</f>
        <v>0</v>
      </c>
      <c r="U1033" s="562"/>
      <c r="V1033" s="562"/>
      <c r="W1033" s="18"/>
      <c r="X1033" s="787"/>
      <c r="Y1033" s="980" t="str">
        <f>IF(LEN('Ch9'!X132)=0,"None",'Ch9'!X132)</f>
        <v>None</v>
      </c>
      <c r="Z1033" s="983"/>
      <c r="AA1033" s="562"/>
      <c r="AB1033" s="562"/>
      <c r="AC1033" s="562" t="b">
        <f>OR(AD1033:AE1033)</f>
        <v>0</v>
      </c>
      <c r="AD1033" s="562" t="b">
        <f>T1033</f>
        <v>0</v>
      </c>
      <c r="AE1033" s="562" t="b">
        <f>AND(R1033,NOT(W1033))</f>
        <v>0</v>
      </c>
      <c r="AF1033" s="562" t="b">
        <f>AND(AE1033,NOT(Q1033))</f>
        <v>0</v>
      </c>
      <c r="AG1033" s="562"/>
      <c r="AH1033" s="562"/>
      <c r="AI1033" s="562"/>
      <c r="AJ1033" s="562"/>
      <c r="AK1033" s="562"/>
      <c r="AL1033" s="562"/>
      <c r="AM1033" s="562"/>
      <c r="AN1033" s="562"/>
      <c r="AO1033" s="562"/>
      <c r="AP1033" s="190" t="str">
        <f>SUBSTITUTE(SUBSTITUTE(SUBSTITUTE("vch"&amp;$B1033&amp;$C1033&amp;$D1033&amp;$E1033&amp;$F1033,".","_"),"(","_"),")","")</f>
        <v>vch901_9_1_1</v>
      </c>
      <c r="AQ1033" s="190">
        <f>W1033</f>
        <v>0</v>
      </c>
      <c r="AR1033" s="190" t="str">
        <f>SUBSTITUTE(SUBSTITUTE(SUBSTITUTE("vnt"&amp;$B1033&amp;$C1033&amp;$D1033&amp;$E1033&amp;$F1033,".","_"),"(","_"),")","")</f>
        <v>vnt901_9_1_1</v>
      </c>
      <c r="AS1033" s="190">
        <f>X1033</f>
        <v>0</v>
      </c>
      <c r="AT1033" s="562"/>
      <c r="AU1033" s="562"/>
      <c r="AV1033" s="562"/>
      <c r="AW1033" s="562"/>
      <c r="AX1033" s="562"/>
      <c r="AY1033" s="562"/>
      <c r="AZ1033" s="562"/>
      <c r="BA1033" s="562"/>
      <c r="BB1033" s="562"/>
      <c r="BC1033" s="562"/>
      <c r="BD1033" s="562"/>
      <c r="BE1033" s="562"/>
      <c r="BF1033" s="562"/>
      <c r="BG1033" s="562"/>
      <c r="BH1033" s="562"/>
    </row>
    <row r="1034" spans="1:60" x14ac:dyDescent="0.2">
      <c r="A1034" s="541">
        <v>9</v>
      </c>
      <c r="B1034" s="551" t="s">
        <v>3074</v>
      </c>
      <c r="C1034" s="544"/>
      <c r="D1034" s="544"/>
      <c r="E1034" s="544" t="s">
        <v>2181</v>
      </c>
      <c r="F1034" s="544"/>
      <c r="G1034" s="543" t="str">
        <f t="shared" si="296"/>
        <v/>
      </c>
      <c r="H1034" s="541" t="s">
        <v>3758</v>
      </c>
      <c r="I1034" s="121"/>
      <c r="J1034" s="165"/>
      <c r="K1034" s="165"/>
      <c r="L1034" s="792"/>
      <c r="M1034" s="616"/>
      <c r="N1034" s="609"/>
      <c r="O1034" s="609"/>
      <c r="P1034" s="562"/>
      <c r="Q1034" s="562"/>
      <c r="R1034" s="562"/>
      <c r="S1034" s="562"/>
      <c r="T1034" s="562"/>
      <c r="U1034" s="562"/>
      <c r="V1034" s="562"/>
      <c r="W1034" s="562"/>
      <c r="X1034" s="787"/>
      <c r="Y1034" s="980"/>
      <c r="Z1034" s="983"/>
      <c r="AA1034" s="562"/>
      <c r="AB1034" s="562"/>
      <c r="AC1034" s="562"/>
      <c r="AD1034" s="562"/>
      <c r="AE1034" s="562"/>
      <c r="AF1034" s="562"/>
      <c r="AG1034" s="562"/>
      <c r="AH1034" s="562"/>
      <c r="AI1034" s="562"/>
      <c r="AJ1034" s="562"/>
      <c r="AK1034" s="562"/>
      <c r="AL1034" s="562"/>
      <c r="AM1034" s="562"/>
      <c r="AN1034" s="562"/>
      <c r="AO1034" s="562"/>
      <c r="AP1034" s="562"/>
      <c r="AQ1034" s="562"/>
      <c r="AR1034" s="562"/>
      <c r="AS1034" s="562"/>
      <c r="AT1034" s="562"/>
      <c r="AU1034" s="562"/>
      <c r="AV1034" s="562"/>
      <c r="AW1034" s="562"/>
      <c r="AX1034" s="562"/>
      <c r="AY1034" s="562"/>
      <c r="AZ1034" s="562"/>
      <c r="BA1034" s="562"/>
      <c r="BB1034" s="562"/>
      <c r="BC1034" s="562"/>
      <c r="BD1034" s="562"/>
      <c r="BE1034" s="562"/>
      <c r="BF1034" s="562"/>
      <c r="BG1034" s="562"/>
      <c r="BH1034" s="562"/>
    </row>
    <row r="1035" spans="1:60" ht="16" x14ac:dyDescent="0.2">
      <c r="A1035" s="541">
        <v>9</v>
      </c>
      <c r="B1035" s="551" t="s">
        <v>3074</v>
      </c>
      <c r="C1035" s="544"/>
      <c r="D1035" s="544"/>
      <c r="E1035" s="544" t="s">
        <v>2183</v>
      </c>
      <c r="F1035" s="544"/>
      <c r="G1035" s="543" t="str">
        <f t="shared" si="296"/>
        <v/>
      </c>
      <c r="H1035" s="541" t="s">
        <v>3758</v>
      </c>
      <c r="I1035" s="121"/>
      <c r="J1035" s="159" t="s">
        <v>2183</v>
      </c>
      <c r="K1035" s="165"/>
      <c r="L1035" s="599" t="s">
        <v>3078</v>
      </c>
      <c r="M1035" s="616"/>
      <c r="N1035" s="609"/>
      <c r="O1035" s="609"/>
      <c r="P1035" s="64" t="b">
        <v>0</v>
      </c>
      <c r="Q1035" s="64" t="b">
        <v>1</v>
      </c>
      <c r="R1035" s="562" t="b">
        <v>0</v>
      </c>
      <c r="S1035" s="562" t="b">
        <f>NOT(W1043)</f>
        <v>1</v>
      </c>
      <c r="T1035" s="64" t="b">
        <f>AND(NOT(S1035),W1035=TRUE)</f>
        <v>0</v>
      </c>
      <c r="U1035" s="562"/>
      <c r="V1035" s="562"/>
      <c r="W1035" s="18"/>
      <c r="X1035" s="563"/>
      <c r="Y1035" s="578" t="str">
        <f>IF(LEN('Ch9'!X134)=0,"None",'Ch9'!X134)</f>
        <v>None</v>
      </c>
      <c r="Z1035" s="579"/>
      <c r="AA1035" s="562"/>
      <c r="AB1035" s="562"/>
      <c r="AC1035" s="562" t="b">
        <f>OR(AD1035:AE1035)</f>
        <v>0</v>
      </c>
      <c r="AD1035" s="562" t="b">
        <f>T1035</f>
        <v>0</v>
      </c>
      <c r="AE1035" s="562" t="b">
        <f>AND(R1035,NOT(W1035))</f>
        <v>0</v>
      </c>
      <c r="AF1035" s="562" t="b">
        <f>AND(AE1035,NOT(Q1035))</f>
        <v>0</v>
      </c>
      <c r="AG1035" s="562"/>
      <c r="AH1035" s="562"/>
      <c r="AI1035" s="562"/>
      <c r="AJ1035" s="562"/>
      <c r="AK1035" s="562"/>
      <c r="AL1035" s="562"/>
      <c r="AM1035" s="562"/>
      <c r="AN1035" s="562"/>
      <c r="AO1035" s="562"/>
      <c r="AP1035" s="190" t="str">
        <f t="shared" ref="AP1035:AP1036" si="297">SUBSTITUTE(SUBSTITUTE(SUBSTITUTE("vch"&amp;$B1035&amp;$C1035&amp;$D1035&amp;$E1035&amp;$F1035,".","_"),"(","_"),")","")</f>
        <v>vch901_9_1_2</v>
      </c>
      <c r="AQ1035" s="190">
        <f>W1035</f>
        <v>0</v>
      </c>
      <c r="AR1035" s="190" t="str">
        <f t="shared" ref="AR1035:AR1036" si="298">SUBSTITUTE(SUBSTITUTE(SUBSTITUTE("vnt"&amp;$B1035&amp;$C1035&amp;$D1035&amp;$E1035&amp;$F1035,".","_"),"(","_"),")","")</f>
        <v>vnt901_9_1_2</v>
      </c>
      <c r="AS1035" s="190">
        <f>X1035</f>
        <v>0</v>
      </c>
      <c r="AT1035" s="562"/>
      <c r="AU1035" s="562"/>
      <c r="AV1035" s="562"/>
      <c r="AW1035" s="562"/>
      <c r="AX1035" s="562"/>
      <c r="AY1035" s="562"/>
      <c r="AZ1035" s="562"/>
      <c r="BA1035" s="562"/>
      <c r="BB1035" s="562"/>
      <c r="BC1035" s="562"/>
      <c r="BD1035" s="562"/>
      <c r="BE1035" s="562"/>
      <c r="BF1035" s="562"/>
      <c r="BG1035" s="562"/>
      <c r="BH1035" s="562"/>
    </row>
    <row r="1036" spans="1:60" x14ac:dyDescent="0.2">
      <c r="A1036" s="541">
        <v>9</v>
      </c>
      <c r="B1036" s="551" t="s">
        <v>3074</v>
      </c>
      <c r="C1036" s="544"/>
      <c r="D1036" s="544"/>
      <c r="E1036" s="544" t="s">
        <v>2185</v>
      </c>
      <c r="F1036" s="544"/>
      <c r="G1036" s="543" t="str">
        <f t="shared" si="296"/>
        <v/>
      </c>
      <c r="H1036" s="541" t="s">
        <v>3758</v>
      </c>
      <c r="I1036" s="253"/>
      <c r="J1036" s="134" t="s">
        <v>2185</v>
      </c>
      <c r="K1036" s="98"/>
      <c r="L1036" s="598" t="s">
        <v>3079</v>
      </c>
      <c r="M1036" s="610"/>
      <c r="N1036" s="607"/>
      <c r="O1036" s="607"/>
      <c r="P1036" s="64" t="b">
        <v>0</v>
      </c>
      <c r="Q1036" s="64" t="b">
        <v>1</v>
      </c>
      <c r="R1036" s="64" t="b">
        <v>0</v>
      </c>
      <c r="S1036" s="64" t="b">
        <f>NOT(W1043)</f>
        <v>1</v>
      </c>
      <c r="T1036" s="64" t="b">
        <f>AND(NOT(S1036),W1036=TRUE)</f>
        <v>0</v>
      </c>
      <c r="U1036" s="64"/>
      <c r="V1036" s="64"/>
      <c r="W1036" s="18"/>
      <c r="X1036" s="798"/>
      <c r="Y1036" s="980" t="str">
        <f>IF(LEN('Ch9'!X135)=0,"None",'Ch9'!X135)</f>
        <v>None</v>
      </c>
      <c r="Z1036" s="983"/>
      <c r="AA1036" s="562"/>
      <c r="AB1036" s="562"/>
      <c r="AC1036" s="562" t="b">
        <f>OR(AD1036:AE1036)</f>
        <v>0</v>
      </c>
      <c r="AD1036" s="562" t="b">
        <f>T1036</f>
        <v>0</v>
      </c>
      <c r="AE1036" s="562" t="b">
        <f>AND(R1036,NOT(W1036))</f>
        <v>0</v>
      </c>
      <c r="AF1036" s="562" t="b">
        <f>AND(AE1036,NOT(Q1036))</f>
        <v>0</v>
      </c>
      <c r="AG1036" s="562"/>
      <c r="AH1036" s="562"/>
      <c r="AI1036" s="562"/>
      <c r="AJ1036" s="562"/>
      <c r="AK1036" s="562"/>
      <c r="AL1036" s="562"/>
      <c r="AM1036" s="562"/>
      <c r="AN1036" s="562"/>
      <c r="AO1036" s="562"/>
      <c r="AP1036" s="190" t="str">
        <f t="shared" si="297"/>
        <v>vch901_9_1_3</v>
      </c>
      <c r="AQ1036" s="190">
        <f>W1036</f>
        <v>0</v>
      </c>
      <c r="AR1036" s="190" t="str">
        <f t="shared" si="298"/>
        <v>vnt901_9_1_3</v>
      </c>
      <c r="AS1036" s="190">
        <f>X1036</f>
        <v>0</v>
      </c>
      <c r="AT1036" s="562"/>
      <c r="AU1036" s="562"/>
      <c r="AV1036" s="562"/>
      <c r="AW1036" s="562"/>
      <c r="AX1036" s="562"/>
      <c r="AY1036" s="562"/>
      <c r="AZ1036" s="562"/>
      <c r="BA1036" s="562"/>
      <c r="BB1036" s="562"/>
      <c r="BC1036" s="562"/>
      <c r="BD1036" s="562"/>
      <c r="BE1036" s="562"/>
      <c r="BF1036" s="562"/>
      <c r="BG1036" s="562"/>
      <c r="BH1036" s="562"/>
    </row>
    <row r="1037" spans="1:60" x14ac:dyDescent="0.2">
      <c r="A1037" s="541">
        <v>9</v>
      </c>
      <c r="B1037" s="551" t="s">
        <v>3074</v>
      </c>
      <c r="C1037" s="544"/>
      <c r="D1037" s="544"/>
      <c r="E1037" s="544" t="s">
        <v>2185</v>
      </c>
      <c r="F1037" s="548"/>
      <c r="G1037" s="543" t="str">
        <f t="shared" si="296"/>
        <v/>
      </c>
      <c r="H1037" s="541" t="s">
        <v>3758</v>
      </c>
      <c r="I1037" s="129"/>
      <c r="J1037" s="129"/>
      <c r="K1037" s="129"/>
      <c r="L1037" s="275" t="s">
        <v>3080</v>
      </c>
      <c r="M1037" s="165"/>
      <c r="N1037" s="165"/>
      <c r="O1037" s="165"/>
      <c r="P1037" s="129"/>
      <c r="Q1037" s="129"/>
      <c r="R1037" s="129"/>
      <c r="S1037" s="129"/>
      <c r="T1037" s="129"/>
      <c r="U1037" s="129"/>
      <c r="V1037" s="129"/>
      <c r="W1037" s="129"/>
      <c r="X1037" s="798"/>
      <c r="Y1037" s="980"/>
      <c r="Z1037" s="983"/>
      <c r="AA1037" s="562"/>
      <c r="AB1037" s="562"/>
      <c r="AC1037" s="562"/>
      <c r="AD1037" s="562"/>
      <c r="AE1037" s="562"/>
      <c r="AF1037" s="562"/>
      <c r="AG1037" s="562"/>
      <c r="AH1037" s="562"/>
      <c r="AI1037" s="562"/>
      <c r="AJ1037" s="562"/>
      <c r="AK1037" s="562"/>
      <c r="AL1037" s="562"/>
      <c r="AM1037" s="562"/>
      <c r="AN1037" s="562"/>
      <c r="AO1037" s="562"/>
      <c r="AP1037" s="562"/>
      <c r="AQ1037" s="562"/>
      <c r="AR1037" s="562"/>
      <c r="AS1037" s="562"/>
      <c r="AT1037" s="562"/>
      <c r="AU1037" s="562"/>
      <c r="AV1037" s="562"/>
      <c r="AW1037" s="562"/>
      <c r="AX1037" s="562"/>
      <c r="AY1037" s="562"/>
      <c r="AZ1037" s="562"/>
      <c r="BA1037" s="562"/>
      <c r="BB1037" s="562"/>
      <c r="BC1037" s="562"/>
      <c r="BD1037" s="562"/>
      <c r="BE1037" s="562"/>
      <c r="BF1037" s="562"/>
      <c r="BG1037" s="562"/>
      <c r="BH1037" s="562"/>
    </row>
    <row r="1038" spans="1:60" x14ac:dyDescent="0.2">
      <c r="A1038" s="541">
        <v>9</v>
      </c>
      <c r="B1038" s="551" t="s">
        <v>3081</v>
      </c>
      <c r="C1038" s="544"/>
      <c r="D1038" s="544"/>
      <c r="E1038" s="544"/>
      <c r="F1038" s="544"/>
      <c r="G1038" s="543" t="str">
        <f>IF(N1038&gt;0,"P","")</f>
        <v/>
      </c>
      <c r="H1038" s="541" t="s">
        <v>3758</v>
      </c>
      <c r="I1038" s="145" t="s">
        <v>3082</v>
      </c>
      <c r="J1038" s="146"/>
      <c r="K1038" s="146"/>
      <c r="L1038" s="847" t="s">
        <v>3083</v>
      </c>
      <c r="M1038" s="824">
        <v>1</v>
      </c>
      <c r="N1038" s="815">
        <f>'Ch9'!O137</f>
        <v>0</v>
      </c>
      <c r="O1038" s="815">
        <f>M1038*S1038*W1038</f>
        <v>0</v>
      </c>
      <c r="P1038" s="64" t="b">
        <v>0</v>
      </c>
      <c r="Q1038" s="64" t="b">
        <v>1</v>
      </c>
      <c r="R1038" s="148" t="b">
        <v>0</v>
      </c>
      <c r="S1038" s="148" t="b">
        <f>IFERROR(OR(AND(W1033,W1035,W1036),W1043),FALSE)</f>
        <v>0</v>
      </c>
      <c r="T1038" s="148" t="b">
        <f>AND(NOT(S1038),W1038=TRUE)</f>
        <v>0</v>
      </c>
      <c r="U1038" s="148"/>
      <c r="V1038" s="148"/>
      <c r="W1038" s="18"/>
      <c r="X1038" s="798"/>
      <c r="Y1038" s="980" t="str">
        <f>IF(LEN('Ch9'!X137)=0,"None",'Ch9'!X137)</f>
        <v>None</v>
      </c>
      <c r="Z1038" s="983"/>
      <c r="AA1038" s="562"/>
      <c r="AB1038" s="562"/>
      <c r="AC1038" s="562" t="b">
        <f>OR(AD1038:AE1038)</f>
        <v>0</v>
      </c>
      <c r="AD1038" s="562" t="b">
        <f>T1038</f>
        <v>0</v>
      </c>
      <c r="AE1038" s="562" t="b">
        <f>AND(R1038,NOT(W1038))</f>
        <v>0</v>
      </c>
      <c r="AF1038" s="562" t="b">
        <f>AND(AE1038,NOT(Q1038))</f>
        <v>0</v>
      </c>
      <c r="AG1038" s="562"/>
      <c r="AH1038" s="562"/>
      <c r="AI1038" s="562"/>
      <c r="AJ1038" s="562"/>
      <c r="AK1038" s="562"/>
      <c r="AL1038" s="190" t="str">
        <f t="shared" ref="AL1038" si="299">SUBSTITUTE(SUBSTITUTE(SUBSTITUTE("vpa"&amp;$B1038&amp;$C1038&amp;$D1038&amp;$E1038&amp;$F1038,".","_"),"(","_"),")","")</f>
        <v>vpa901_9_2</v>
      </c>
      <c r="AM1038" s="190">
        <f>M1038</f>
        <v>1</v>
      </c>
      <c r="AN1038" s="190" t="str">
        <f>SUBSTITUTE(SUBSTITUTE(SUBSTITUTE("vpc"&amp;$B1038&amp;$C1038&amp;$D1038&amp;$E1038&amp;$F1038,".","_"),"(","_"),")","")</f>
        <v>vpc901_9_2</v>
      </c>
      <c r="AO1038" s="190">
        <f>O1038</f>
        <v>0</v>
      </c>
      <c r="AP1038" s="190" t="str">
        <f>SUBSTITUTE(SUBSTITUTE(SUBSTITUTE("vch"&amp;$B1038&amp;$C1038&amp;$D1038&amp;$E1038&amp;$F1038,".","_"),"(","_"),")","")</f>
        <v>vch901_9_2</v>
      </c>
      <c r="AQ1038" s="190">
        <f>W1038</f>
        <v>0</v>
      </c>
      <c r="AR1038" s="190" t="str">
        <f>SUBSTITUTE(SUBSTITUTE(SUBSTITUTE("vnt"&amp;$B1038&amp;$C1038&amp;$D1038&amp;$E1038&amp;$F1038,".","_"),"(","_"),")","")</f>
        <v>vnt901_9_2</v>
      </c>
      <c r="AS1038" s="190">
        <f>X1038</f>
        <v>0</v>
      </c>
      <c r="AT1038" s="562"/>
      <c r="AU1038" s="562"/>
      <c r="AV1038" s="562"/>
      <c r="AW1038" s="562"/>
      <c r="AX1038" s="562"/>
      <c r="AY1038" s="562"/>
      <c r="AZ1038" s="562"/>
      <c r="BA1038" s="562"/>
      <c r="BB1038" s="562"/>
      <c r="BC1038" s="562"/>
      <c r="BD1038" s="562"/>
      <c r="BE1038" s="562"/>
      <c r="BF1038" s="562"/>
      <c r="BG1038" s="562"/>
      <c r="BH1038" s="562"/>
    </row>
    <row r="1039" spans="1:60" x14ac:dyDescent="0.2">
      <c r="A1039" s="541">
        <v>9</v>
      </c>
      <c r="B1039" s="551" t="s">
        <v>3081</v>
      </c>
      <c r="C1039" s="544"/>
      <c r="D1039" s="544"/>
      <c r="E1039" s="544"/>
      <c r="F1039" s="544"/>
      <c r="G1039" s="543" t="str">
        <f t="shared" ref="G1039:G1042" si="300">G1038</f>
        <v/>
      </c>
      <c r="H1039" s="541" t="s">
        <v>3758</v>
      </c>
      <c r="I1039" s="253"/>
      <c r="J1039" s="98"/>
      <c r="K1039" s="98"/>
      <c r="L1039" s="820"/>
      <c r="M1039" s="800"/>
      <c r="N1039" s="793"/>
      <c r="O1039" s="793"/>
      <c r="P1039" s="64"/>
      <c r="Q1039" s="64"/>
      <c r="R1039" s="64"/>
      <c r="S1039" s="64"/>
      <c r="T1039" s="64"/>
      <c r="U1039" s="64"/>
      <c r="V1039" s="64"/>
      <c r="W1039" s="64"/>
      <c r="X1039" s="798"/>
      <c r="Y1039" s="980"/>
      <c r="Z1039" s="983"/>
      <c r="AA1039" s="562"/>
      <c r="AB1039" s="562"/>
      <c r="AC1039" s="562"/>
      <c r="AD1039" s="562"/>
      <c r="AE1039" s="562"/>
      <c r="AF1039" s="562"/>
      <c r="AG1039" s="562"/>
      <c r="AH1039" s="562"/>
      <c r="AI1039" s="562"/>
      <c r="AJ1039" s="562"/>
      <c r="AK1039" s="562"/>
      <c r="AL1039" s="562"/>
      <c r="AM1039" s="562"/>
      <c r="AN1039" s="562"/>
      <c r="AO1039" s="562"/>
      <c r="AP1039" s="562"/>
      <c r="AQ1039" s="562"/>
      <c r="AR1039" s="562"/>
      <c r="AS1039" s="562"/>
      <c r="AT1039" s="562"/>
      <c r="AU1039" s="562"/>
      <c r="AV1039" s="562"/>
      <c r="AW1039" s="562"/>
      <c r="AX1039" s="562"/>
      <c r="AY1039" s="562"/>
      <c r="AZ1039" s="562"/>
      <c r="BA1039" s="562"/>
      <c r="BB1039" s="562"/>
      <c r="BC1039" s="562"/>
      <c r="BD1039" s="562"/>
      <c r="BE1039" s="562"/>
      <c r="BF1039" s="562"/>
      <c r="BG1039" s="562"/>
      <c r="BH1039" s="562"/>
    </row>
    <row r="1040" spans="1:60" x14ac:dyDescent="0.2">
      <c r="A1040" s="541">
        <v>9</v>
      </c>
      <c r="B1040" s="551" t="s">
        <v>3081</v>
      </c>
      <c r="C1040" s="544"/>
      <c r="D1040" s="544"/>
      <c r="E1040" s="544"/>
      <c r="F1040" s="544"/>
      <c r="G1040" s="543" t="str">
        <f t="shared" si="300"/>
        <v/>
      </c>
      <c r="H1040" s="541" t="s">
        <v>3758</v>
      </c>
      <c r="I1040" s="253"/>
      <c r="J1040" s="98"/>
      <c r="K1040" s="98"/>
      <c r="L1040" s="881" t="s">
        <v>3084</v>
      </c>
      <c r="M1040" s="800"/>
      <c r="N1040" s="793"/>
      <c r="O1040" s="793"/>
      <c r="P1040" s="64"/>
      <c r="Q1040" s="64"/>
      <c r="R1040" s="64"/>
      <c r="S1040" s="64"/>
      <c r="T1040" s="64"/>
      <c r="U1040" s="64"/>
      <c r="V1040" s="64"/>
      <c r="W1040" s="64"/>
      <c r="X1040" s="798"/>
      <c r="Y1040" s="980"/>
      <c r="Z1040" s="983"/>
      <c r="AA1040" s="562"/>
      <c r="AB1040" s="562"/>
      <c r="AC1040" s="562"/>
      <c r="AD1040" s="562"/>
      <c r="AE1040" s="562"/>
      <c r="AF1040" s="562"/>
      <c r="AG1040" s="562"/>
      <c r="AH1040" s="562"/>
      <c r="AI1040" s="562"/>
      <c r="AJ1040" s="562"/>
      <c r="AK1040" s="562"/>
      <c r="AL1040" s="562"/>
      <c r="AM1040" s="562"/>
      <c r="AN1040" s="562"/>
      <c r="AO1040" s="562"/>
      <c r="AP1040" s="562"/>
      <c r="AQ1040" s="562"/>
      <c r="AR1040" s="562"/>
      <c r="AS1040" s="562"/>
      <c r="AT1040" s="562"/>
      <c r="AU1040" s="562"/>
      <c r="AV1040" s="562"/>
      <c r="AW1040" s="562"/>
      <c r="AX1040" s="562"/>
      <c r="AY1040" s="562"/>
      <c r="AZ1040" s="562"/>
      <c r="BA1040" s="562"/>
      <c r="BB1040" s="562"/>
      <c r="BC1040" s="562"/>
      <c r="BD1040" s="562"/>
      <c r="BE1040" s="562"/>
      <c r="BF1040" s="562"/>
      <c r="BG1040" s="562"/>
      <c r="BH1040" s="562"/>
    </row>
    <row r="1041" spans="1:60" x14ac:dyDescent="0.2">
      <c r="A1041" s="541">
        <v>9</v>
      </c>
      <c r="B1041" s="551" t="s">
        <v>3081</v>
      </c>
      <c r="C1041" s="544"/>
      <c r="D1041" s="544"/>
      <c r="E1041" s="544"/>
      <c r="F1041" s="544"/>
      <c r="G1041" s="543" t="str">
        <f t="shared" si="300"/>
        <v/>
      </c>
      <c r="H1041" s="541" t="s">
        <v>3758</v>
      </c>
      <c r="I1041" s="253"/>
      <c r="J1041" s="98"/>
      <c r="K1041" s="98"/>
      <c r="L1041" s="881"/>
      <c r="M1041" s="800"/>
      <c r="N1041" s="793"/>
      <c r="O1041" s="793"/>
      <c r="P1041" s="64"/>
      <c r="Q1041" s="64"/>
      <c r="R1041" s="64"/>
      <c r="S1041" s="64"/>
      <c r="T1041" s="64"/>
      <c r="U1041" s="64"/>
      <c r="V1041" s="64"/>
      <c r="W1041" s="64"/>
      <c r="X1041" s="798"/>
      <c r="Y1041" s="980"/>
      <c r="Z1041" s="983"/>
      <c r="AA1041" s="562"/>
      <c r="AB1041" s="562"/>
      <c r="AC1041" s="562"/>
      <c r="AD1041" s="562"/>
      <c r="AE1041" s="562"/>
      <c r="AF1041" s="562"/>
      <c r="AG1041" s="562"/>
      <c r="AH1041" s="562"/>
      <c r="AI1041" s="562"/>
      <c r="AJ1041" s="562"/>
      <c r="AK1041" s="562"/>
      <c r="AL1041" s="562"/>
      <c r="AM1041" s="562"/>
      <c r="AN1041" s="562"/>
      <c r="AO1041" s="562"/>
      <c r="AP1041" s="562"/>
      <c r="AQ1041" s="562"/>
      <c r="AR1041" s="562"/>
      <c r="AS1041" s="562"/>
      <c r="AT1041" s="562"/>
      <c r="AU1041" s="562"/>
      <c r="AV1041" s="562"/>
      <c r="AW1041" s="562"/>
      <c r="AX1041" s="562"/>
      <c r="AY1041" s="562"/>
      <c r="AZ1041" s="562"/>
      <c r="BA1041" s="562"/>
      <c r="BB1041" s="562"/>
      <c r="BC1041" s="562"/>
      <c r="BD1041" s="562"/>
      <c r="BE1041" s="562"/>
      <c r="BF1041" s="562"/>
      <c r="BG1041" s="562"/>
      <c r="BH1041" s="562"/>
    </row>
    <row r="1042" spans="1:60" x14ac:dyDescent="0.2">
      <c r="A1042" s="541">
        <v>9</v>
      </c>
      <c r="B1042" s="551" t="s">
        <v>3081</v>
      </c>
      <c r="C1042" s="544"/>
      <c r="D1042" s="544"/>
      <c r="E1042" s="544"/>
      <c r="F1042" s="544"/>
      <c r="G1042" s="543" t="str">
        <f t="shared" si="300"/>
        <v/>
      </c>
      <c r="H1042" s="541" t="s">
        <v>3758</v>
      </c>
      <c r="I1042" s="272"/>
      <c r="J1042" s="165"/>
      <c r="K1042" s="165"/>
      <c r="L1042" s="275" t="s">
        <v>3085</v>
      </c>
      <c r="M1042" s="611"/>
      <c r="N1042" s="608"/>
      <c r="O1042" s="608"/>
      <c r="P1042" s="129"/>
      <c r="Q1042" s="129"/>
      <c r="R1042" s="129"/>
      <c r="S1042" s="129"/>
      <c r="T1042" s="129"/>
      <c r="U1042" s="129"/>
      <c r="V1042" s="129"/>
      <c r="W1042" s="129"/>
      <c r="X1042" s="798"/>
      <c r="Y1042" s="980"/>
      <c r="Z1042" s="983"/>
      <c r="AA1042" s="562"/>
      <c r="AB1042" s="562"/>
      <c r="AC1042" s="562"/>
      <c r="AD1042" s="562"/>
      <c r="AE1042" s="562"/>
      <c r="AF1042" s="562"/>
      <c r="AG1042" s="562"/>
      <c r="AH1042" s="562"/>
      <c r="AI1042" s="562"/>
      <c r="AJ1042" s="562"/>
      <c r="AK1042" s="562"/>
      <c r="AL1042" s="562"/>
      <c r="AM1042" s="562"/>
      <c r="AN1042" s="562"/>
      <c r="AO1042" s="562"/>
      <c r="AP1042" s="562"/>
      <c r="AQ1042" s="562"/>
      <c r="AR1042" s="562"/>
      <c r="AS1042" s="562"/>
      <c r="AT1042" s="562"/>
      <c r="AU1042" s="562"/>
      <c r="AV1042" s="562"/>
      <c r="AW1042" s="562"/>
      <c r="AX1042" s="562"/>
      <c r="AY1042" s="562"/>
      <c r="AZ1042" s="562"/>
      <c r="BA1042" s="562"/>
      <c r="BB1042" s="562"/>
      <c r="BC1042" s="562"/>
      <c r="BD1042" s="562"/>
      <c r="BE1042" s="562"/>
      <c r="BF1042" s="562"/>
      <c r="BG1042" s="562"/>
      <c r="BH1042" s="562"/>
    </row>
    <row r="1043" spans="1:60" x14ac:dyDescent="0.2">
      <c r="A1043" s="541">
        <v>9</v>
      </c>
      <c r="B1043" s="551" t="s">
        <v>3086</v>
      </c>
      <c r="C1043" s="544"/>
      <c r="D1043" s="544"/>
      <c r="E1043" s="544"/>
      <c r="F1043" s="544"/>
      <c r="G1043" s="543" t="str">
        <f>IF(N1043&gt;0,"P","")</f>
        <v/>
      </c>
      <c r="H1043" s="541" t="s">
        <v>3758</v>
      </c>
      <c r="I1043" s="99" t="s">
        <v>3087</v>
      </c>
      <c r="J1043" s="98"/>
      <c r="K1043" s="98"/>
      <c r="L1043" s="820" t="s">
        <v>3088</v>
      </c>
      <c r="M1043" s="800">
        <v>8</v>
      </c>
      <c r="N1043" s="793">
        <f>'Ch9'!O142</f>
        <v>0</v>
      </c>
      <c r="O1043" s="793">
        <f>M1043*S1043*W1043</f>
        <v>0</v>
      </c>
      <c r="P1043" s="64" t="b">
        <v>0</v>
      </c>
      <c r="Q1043" s="64" t="b">
        <v>1</v>
      </c>
      <c r="R1043" s="64" t="b">
        <v>0</v>
      </c>
      <c r="S1043" s="64" t="b">
        <f>AND(NOT(W1033),NOT(W1035),NOT(W1036))</f>
        <v>1</v>
      </c>
      <c r="T1043" s="64" t="b">
        <f>AND(NOT(S1043),W1043=TRUE)</f>
        <v>0</v>
      </c>
      <c r="U1043" s="64"/>
      <c r="V1043" s="64"/>
      <c r="W1043" s="18"/>
      <c r="X1043" s="786"/>
      <c r="Y1043" s="977" t="str">
        <f>IF(LEN('Ch9'!X142)=0,"None",'Ch9'!X142)</f>
        <v>None</v>
      </c>
      <c r="Z1043" s="978"/>
      <c r="AA1043" s="562"/>
      <c r="AB1043" s="562"/>
      <c r="AC1043" s="562" t="b">
        <f>OR(AD1043:AE1043)</f>
        <v>0</v>
      </c>
      <c r="AD1043" s="562" t="b">
        <f>T1043</f>
        <v>0</v>
      </c>
      <c r="AE1043" s="562" t="b">
        <f>AND(R1043,NOT(W1043))</f>
        <v>0</v>
      </c>
      <c r="AF1043" s="562" t="b">
        <f>AND(AE1043,NOT(Q1043))</f>
        <v>0</v>
      </c>
      <c r="AG1043" s="562"/>
      <c r="AH1043" s="562"/>
      <c r="AI1043" s="562"/>
      <c r="AJ1043" s="562"/>
      <c r="AK1043" s="562"/>
      <c r="AL1043" s="190" t="str">
        <f t="shared" ref="AL1043" si="301">SUBSTITUTE(SUBSTITUTE(SUBSTITUTE("vpa"&amp;$B1043&amp;$C1043&amp;$D1043&amp;$E1043&amp;$F1043,".","_"),"(","_"),")","")</f>
        <v>vpa901_9_3</v>
      </c>
      <c r="AM1043" s="190">
        <f>M1043</f>
        <v>8</v>
      </c>
      <c r="AN1043" s="190" t="str">
        <f>SUBSTITUTE(SUBSTITUTE(SUBSTITUTE("vpc"&amp;$B1043&amp;$C1043&amp;$D1043&amp;$E1043&amp;$F1043,".","_"),"(","_"),")","")</f>
        <v>vpc901_9_3</v>
      </c>
      <c r="AO1043" s="190">
        <f>O1043</f>
        <v>0</v>
      </c>
      <c r="AP1043" s="190" t="str">
        <f>SUBSTITUTE(SUBSTITUTE(SUBSTITUTE("vch"&amp;$B1043&amp;$C1043&amp;$D1043&amp;$E1043&amp;$F1043,".","_"),"(","_"),")","")</f>
        <v>vch901_9_3</v>
      </c>
      <c r="AQ1043" s="190">
        <f>W1043</f>
        <v>0</v>
      </c>
      <c r="AR1043" s="190" t="str">
        <f>SUBSTITUTE(SUBSTITUTE(SUBSTITUTE("vnt"&amp;$B1043&amp;$C1043&amp;$D1043&amp;$E1043&amp;$F1043,".","_"),"(","_"),")","")</f>
        <v>vnt901_9_3</v>
      </c>
      <c r="AS1043" s="190">
        <f>X1043</f>
        <v>0</v>
      </c>
      <c r="AT1043" s="562"/>
      <c r="AU1043" s="562"/>
      <c r="AV1043" s="562"/>
      <c r="AW1043" s="562"/>
      <c r="AX1043" s="562"/>
      <c r="AY1043" s="562"/>
      <c r="AZ1043" s="562"/>
      <c r="BA1043" s="562"/>
      <c r="BB1043" s="562"/>
      <c r="BC1043" s="562"/>
      <c r="BD1043" s="562"/>
      <c r="BE1043" s="562"/>
      <c r="BF1043" s="562"/>
      <c r="BG1043" s="562"/>
      <c r="BH1043" s="562"/>
    </row>
    <row r="1044" spans="1:60" x14ac:dyDescent="0.2">
      <c r="A1044" s="541">
        <v>9</v>
      </c>
      <c r="B1044" s="551" t="s">
        <v>3086</v>
      </c>
      <c r="C1044" s="544"/>
      <c r="D1044" s="544"/>
      <c r="E1044" s="544"/>
      <c r="F1044" s="544"/>
      <c r="G1044" s="543" t="str">
        <f t="shared" ref="G1044:G1048" si="302">G1043</f>
        <v/>
      </c>
      <c r="H1044" s="541" t="s">
        <v>3758</v>
      </c>
      <c r="I1044" s="253"/>
      <c r="J1044" s="98"/>
      <c r="K1044" s="98"/>
      <c r="L1044" s="820"/>
      <c r="M1044" s="800"/>
      <c r="N1044" s="793"/>
      <c r="O1044" s="793"/>
      <c r="P1044" s="64"/>
      <c r="Q1044" s="64"/>
      <c r="R1044" s="64"/>
      <c r="S1044" s="64"/>
      <c r="T1044" s="64"/>
      <c r="U1044" s="64"/>
      <c r="V1044" s="64"/>
      <c r="W1044" s="64"/>
      <c r="X1044" s="798"/>
      <c r="Y1044" s="977"/>
      <c r="Z1044" s="978"/>
      <c r="AA1044" s="562"/>
      <c r="AB1044" s="562"/>
      <c r="AC1044" s="562"/>
      <c r="AD1044" s="562"/>
      <c r="AE1044" s="562"/>
      <c r="AF1044" s="562"/>
      <c r="AG1044" s="562"/>
      <c r="AH1044" s="562"/>
      <c r="AI1044" s="562"/>
      <c r="AJ1044" s="562"/>
      <c r="AK1044" s="562"/>
      <c r="AL1044" s="562"/>
      <c r="AM1044" s="562"/>
      <c r="AN1044" s="562"/>
      <c r="AO1044" s="562"/>
      <c r="AP1044" s="562"/>
      <c r="AQ1044" s="562"/>
      <c r="AR1044" s="562"/>
      <c r="AS1044" s="562"/>
      <c r="AT1044" s="562"/>
      <c r="AU1044" s="562"/>
      <c r="AV1044" s="562"/>
      <c r="AW1044" s="562"/>
      <c r="AX1044" s="562"/>
      <c r="AY1044" s="562"/>
      <c r="AZ1044" s="562"/>
      <c r="BA1044" s="562"/>
      <c r="BB1044" s="562"/>
      <c r="BC1044" s="562"/>
      <c r="BD1044" s="562"/>
      <c r="BE1044" s="562"/>
      <c r="BF1044" s="562"/>
      <c r="BG1044" s="562"/>
      <c r="BH1044" s="562"/>
    </row>
    <row r="1045" spans="1:60" x14ac:dyDescent="0.2">
      <c r="A1045" s="541">
        <v>9</v>
      </c>
      <c r="B1045" s="551" t="s">
        <v>3086</v>
      </c>
      <c r="C1045" s="544"/>
      <c r="D1045" s="544"/>
      <c r="E1045" s="544"/>
      <c r="F1045" s="544"/>
      <c r="G1045" s="543" t="str">
        <f t="shared" si="302"/>
        <v/>
      </c>
      <c r="H1045" s="541" t="s">
        <v>3758</v>
      </c>
      <c r="I1045" s="253"/>
      <c r="J1045" s="98"/>
      <c r="K1045" s="98"/>
      <c r="L1045" s="820"/>
      <c r="M1045" s="800"/>
      <c r="N1045" s="793"/>
      <c r="O1045" s="793"/>
      <c r="P1045" s="64"/>
      <c r="Q1045" s="64"/>
      <c r="R1045" s="64"/>
      <c r="S1045" s="64"/>
      <c r="T1045" s="64"/>
      <c r="U1045" s="64"/>
      <c r="V1045" s="64"/>
      <c r="W1045" s="64"/>
      <c r="X1045" s="798"/>
      <c r="Y1045" s="977"/>
      <c r="Z1045" s="978"/>
      <c r="AA1045" s="562"/>
      <c r="AB1045" s="562"/>
      <c r="AC1045" s="562"/>
      <c r="AD1045" s="562"/>
      <c r="AE1045" s="562"/>
      <c r="AF1045" s="562"/>
      <c r="AG1045" s="562"/>
      <c r="AH1045" s="562"/>
      <c r="AI1045" s="562"/>
      <c r="AJ1045" s="562"/>
      <c r="AK1045" s="562"/>
      <c r="AL1045" s="562"/>
      <c r="AM1045" s="562"/>
      <c r="AN1045" s="562"/>
      <c r="AO1045" s="562"/>
      <c r="AP1045" s="562"/>
      <c r="AQ1045" s="562"/>
      <c r="AR1045" s="562"/>
      <c r="AS1045" s="562"/>
      <c r="AT1045" s="562"/>
      <c r="AU1045" s="562"/>
      <c r="AV1045" s="562"/>
      <c r="AW1045" s="562"/>
      <c r="AX1045" s="562"/>
      <c r="AY1045" s="562"/>
      <c r="AZ1045" s="562"/>
      <c r="BA1045" s="562"/>
      <c r="BB1045" s="562"/>
      <c r="BC1045" s="562"/>
      <c r="BD1045" s="562"/>
      <c r="BE1045" s="562"/>
      <c r="BF1045" s="562"/>
      <c r="BG1045" s="562"/>
      <c r="BH1045" s="562"/>
    </row>
    <row r="1046" spans="1:60" x14ac:dyDescent="0.2">
      <c r="A1046" s="541">
        <v>9</v>
      </c>
      <c r="B1046" s="551" t="s">
        <v>3086</v>
      </c>
      <c r="C1046" s="544"/>
      <c r="D1046" s="544"/>
      <c r="E1046" s="544"/>
      <c r="F1046" s="544"/>
      <c r="G1046" s="543" t="str">
        <f t="shared" si="302"/>
        <v/>
      </c>
      <c r="H1046" s="541" t="s">
        <v>3758</v>
      </c>
      <c r="I1046" s="253"/>
      <c r="J1046" s="98"/>
      <c r="K1046" s="98"/>
      <c r="L1046" s="820"/>
      <c r="M1046" s="800"/>
      <c r="N1046" s="793"/>
      <c r="O1046" s="793"/>
      <c r="P1046" s="64"/>
      <c r="Q1046" s="64"/>
      <c r="R1046" s="64"/>
      <c r="S1046" s="64"/>
      <c r="T1046" s="64"/>
      <c r="U1046" s="64"/>
      <c r="V1046" s="64"/>
      <c r="W1046" s="64"/>
      <c r="X1046" s="798"/>
      <c r="Y1046" s="977"/>
      <c r="Z1046" s="978"/>
      <c r="AA1046" s="562"/>
      <c r="AB1046" s="562"/>
      <c r="AC1046" s="562"/>
      <c r="AD1046" s="562"/>
      <c r="AE1046" s="562"/>
      <c r="AF1046" s="562"/>
      <c r="AG1046" s="562"/>
      <c r="AH1046" s="562"/>
      <c r="AI1046" s="562"/>
      <c r="AJ1046" s="562"/>
      <c r="AK1046" s="562"/>
      <c r="AL1046" s="562"/>
      <c r="AM1046" s="562"/>
      <c r="AN1046" s="562"/>
      <c r="AO1046" s="562"/>
      <c r="AP1046" s="562"/>
      <c r="AQ1046" s="562"/>
      <c r="AR1046" s="562"/>
      <c r="AS1046" s="562"/>
      <c r="AT1046" s="562"/>
      <c r="AU1046" s="562"/>
      <c r="AV1046" s="562"/>
      <c r="AW1046" s="562"/>
      <c r="AX1046" s="562"/>
      <c r="AY1046" s="562"/>
      <c r="AZ1046" s="562"/>
      <c r="BA1046" s="562"/>
      <c r="BB1046" s="562"/>
      <c r="BC1046" s="562"/>
      <c r="BD1046" s="562"/>
      <c r="BE1046" s="562"/>
      <c r="BF1046" s="562"/>
      <c r="BG1046" s="562"/>
      <c r="BH1046" s="562"/>
    </row>
    <row r="1047" spans="1:60" x14ac:dyDescent="0.2">
      <c r="A1047" s="541">
        <v>9</v>
      </c>
      <c r="B1047" s="551" t="s">
        <v>3086</v>
      </c>
      <c r="C1047" s="544"/>
      <c r="D1047" s="544"/>
      <c r="E1047" s="544"/>
      <c r="F1047" s="544"/>
      <c r="G1047" s="543" t="str">
        <f t="shared" si="302"/>
        <v/>
      </c>
      <c r="H1047" s="541" t="s">
        <v>3758</v>
      </c>
      <c r="I1047" s="253"/>
      <c r="J1047" s="98"/>
      <c r="K1047" s="98"/>
      <c r="L1047" s="820"/>
      <c r="M1047" s="800"/>
      <c r="N1047" s="793"/>
      <c r="O1047" s="793"/>
      <c r="P1047" s="64"/>
      <c r="Q1047" s="64"/>
      <c r="R1047" s="64"/>
      <c r="S1047" s="64"/>
      <c r="T1047" s="64"/>
      <c r="U1047" s="64"/>
      <c r="V1047" s="64"/>
      <c r="W1047" s="64"/>
      <c r="X1047" s="798"/>
      <c r="Y1047" s="977"/>
      <c r="Z1047" s="978"/>
      <c r="AA1047" s="562"/>
      <c r="AB1047" s="562"/>
      <c r="AC1047" s="562"/>
      <c r="AD1047" s="562"/>
      <c r="AE1047" s="562"/>
      <c r="AF1047" s="562"/>
      <c r="AG1047" s="562"/>
      <c r="AH1047" s="562"/>
      <c r="AI1047" s="562"/>
      <c r="AJ1047" s="562"/>
      <c r="AK1047" s="562"/>
      <c r="AL1047" s="562"/>
      <c r="AM1047" s="562"/>
      <c r="AN1047" s="562"/>
      <c r="AO1047" s="562"/>
      <c r="AP1047" s="562"/>
      <c r="AQ1047" s="562"/>
      <c r="AR1047" s="562"/>
      <c r="AS1047" s="562"/>
      <c r="AT1047" s="562"/>
      <c r="AU1047" s="562"/>
      <c r="AV1047" s="562"/>
      <c r="AW1047" s="562"/>
      <c r="AX1047" s="562"/>
      <c r="AY1047" s="562"/>
      <c r="AZ1047" s="562"/>
      <c r="BA1047" s="562"/>
      <c r="BB1047" s="562"/>
      <c r="BC1047" s="562"/>
      <c r="BD1047" s="562"/>
      <c r="BE1047" s="562"/>
      <c r="BF1047" s="562"/>
      <c r="BG1047" s="562"/>
      <c r="BH1047" s="562"/>
    </row>
    <row r="1048" spans="1:60" x14ac:dyDescent="0.2">
      <c r="A1048" s="541">
        <v>9</v>
      </c>
      <c r="B1048" s="551" t="s">
        <v>3086</v>
      </c>
      <c r="C1048" s="544"/>
      <c r="D1048" s="544"/>
      <c r="E1048" s="544"/>
      <c r="F1048" s="544"/>
      <c r="G1048" s="543" t="str">
        <f t="shared" si="302"/>
        <v/>
      </c>
      <c r="H1048" s="541" t="s">
        <v>3758</v>
      </c>
      <c r="I1048" s="253"/>
      <c r="J1048" s="98"/>
      <c r="K1048" s="98"/>
      <c r="L1048" s="820"/>
      <c r="M1048" s="800"/>
      <c r="N1048" s="793"/>
      <c r="O1048" s="793"/>
      <c r="P1048" s="64"/>
      <c r="Q1048" s="64"/>
      <c r="R1048" s="64"/>
      <c r="S1048" s="64"/>
      <c r="T1048" s="64"/>
      <c r="U1048" s="64"/>
      <c r="V1048" s="64"/>
      <c r="W1048" s="64"/>
      <c r="X1048" s="825"/>
      <c r="Y1048" s="969"/>
      <c r="Z1048" s="972"/>
      <c r="AA1048" s="562"/>
      <c r="AB1048" s="562"/>
      <c r="AC1048" s="562"/>
      <c r="AD1048" s="562"/>
      <c r="AE1048" s="562"/>
      <c r="AF1048" s="562"/>
      <c r="AG1048" s="562"/>
      <c r="AH1048" s="562"/>
      <c r="AI1048" s="562"/>
      <c r="AJ1048" s="562"/>
      <c r="AK1048" s="562"/>
      <c r="AL1048" s="562"/>
      <c r="AM1048" s="562"/>
      <c r="AN1048" s="562"/>
      <c r="AO1048" s="562"/>
      <c r="AP1048" s="562"/>
      <c r="AQ1048" s="562"/>
      <c r="AR1048" s="562"/>
      <c r="AS1048" s="562"/>
      <c r="AT1048" s="562"/>
      <c r="AU1048" s="562"/>
      <c r="AV1048" s="562"/>
      <c r="AW1048" s="562"/>
      <c r="AX1048" s="562"/>
      <c r="AY1048" s="562"/>
      <c r="AZ1048" s="562"/>
      <c r="BA1048" s="562"/>
      <c r="BB1048" s="562"/>
      <c r="BC1048" s="562"/>
      <c r="BD1048" s="562"/>
      <c r="BE1048" s="562"/>
      <c r="BF1048" s="562"/>
      <c r="BG1048" s="562"/>
      <c r="BH1048" s="562"/>
    </row>
    <row r="1049" spans="1:60" s="498" customFormat="1" x14ac:dyDescent="0.2">
      <c r="A1049" s="541">
        <v>9</v>
      </c>
      <c r="B1049" s="551" t="s">
        <v>3089</v>
      </c>
      <c r="C1049" s="544"/>
      <c r="D1049" s="544"/>
      <c r="E1049" s="544"/>
      <c r="F1049" s="544"/>
      <c r="G1049" s="543" t="str">
        <f>IF(N1049&gt;0,"P","")</f>
        <v/>
      </c>
      <c r="H1049" s="541" t="s">
        <v>3758</v>
      </c>
      <c r="I1049" s="145" t="s">
        <v>3090</v>
      </c>
      <c r="J1049" s="146"/>
      <c r="K1049" s="146"/>
      <c r="L1049" s="847" t="s">
        <v>3091</v>
      </c>
      <c r="M1049" s="867" t="str">
        <f>IF(R1049,"Mandatory","N/A")</f>
        <v>Mandatory</v>
      </c>
      <c r="N1049" s="617"/>
      <c r="O1049" s="617"/>
      <c r="P1049" s="148" t="b">
        <v>0</v>
      </c>
      <c r="Q1049" s="148" t="b">
        <v>1</v>
      </c>
      <c r="R1049" s="148" t="b">
        <f>S1049</f>
        <v>1</v>
      </c>
      <c r="S1049" s="148" t="b">
        <v>1</v>
      </c>
      <c r="T1049" s="148" t="b">
        <f>AND(W1049="Met",NOT(W1043),NOT(W1033),NOT(W1035),NOT(W1036))</f>
        <v>0</v>
      </c>
      <c r="U1049" s="148" t="str">
        <f>SUBSTITUTE(SUBSTITUTE(SUBSTITUTE("dd"&amp;B1049&amp;C1049&amp;D1049&amp;E1049&amp;F1049,".","_"),"(","_"),")","")</f>
        <v>dd901_9_4</v>
      </c>
      <c r="V1049" s="148"/>
      <c r="W1049" s="6"/>
      <c r="X1049" s="825"/>
      <c r="Y1049" s="969" t="str">
        <f>IF(LEN('Ch9'!X148)=0,"None",'Ch9'!X148)</f>
        <v>None</v>
      </c>
      <c r="Z1049" s="972"/>
      <c r="AA1049" s="562"/>
      <c r="AB1049" s="562"/>
      <c r="AC1049" s="492" t="b">
        <f>OR(AD1049:AE1049)</f>
        <v>1</v>
      </c>
      <c r="AD1049" s="492" t="b">
        <f>T1049</f>
        <v>0</v>
      </c>
      <c r="AE1049" s="492" t="b">
        <f>AND(R1049,OR(LEN(W1049)=0,W1049="Not Met"))</f>
        <v>1</v>
      </c>
      <c r="AF1049" s="492" t="b">
        <f>AND(AE1049,NOT(Q1049))</f>
        <v>0</v>
      </c>
      <c r="AG1049" s="562"/>
      <c r="AH1049" s="562"/>
      <c r="AI1049" s="562"/>
      <c r="AJ1049" s="562"/>
      <c r="AK1049" s="562"/>
      <c r="AL1049" s="493" t="str">
        <f t="shared" ref="AL1049" si="303">SUBSTITUTE(SUBSTITUTE(SUBSTITUTE("vpa"&amp;$B1049&amp;$C1049&amp;$D1049&amp;$E1049&amp;$F1049,".","_"),"(","_"),")","")</f>
        <v>vpa901_9_4</v>
      </c>
      <c r="AM1049" s="493" t="str">
        <f>M1049</f>
        <v>Mandatory</v>
      </c>
      <c r="AN1049" s="562"/>
      <c r="AO1049" s="562"/>
      <c r="AP1049" s="493" t="str">
        <f>SUBSTITUTE(SUBSTITUTE(SUBSTITUTE("vch"&amp;$B1049&amp;$C1049&amp;$D1049&amp;$E1049&amp;$F1049,".","_"),"(","_"),")","")</f>
        <v>vch901_9_4</v>
      </c>
      <c r="AQ1049" s="493">
        <f>W1049</f>
        <v>0</v>
      </c>
      <c r="AR1049" s="493" t="str">
        <f>SUBSTITUTE(SUBSTITUTE(SUBSTITUTE("vnt"&amp;$B1049&amp;$C1049&amp;$D1049&amp;$E1049&amp;$F1049,".","_"),"(","_"),")","")</f>
        <v>vnt901_9_4</v>
      </c>
      <c r="AS1049" s="493">
        <f>X1049</f>
        <v>0</v>
      </c>
      <c r="AT1049" s="562"/>
      <c r="AU1049" s="562"/>
      <c r="AV1049" s="562"/>
      <c r="AW1049" s="562"/>
      <c r="AX1049" s="562"/>
      <c r="AY1049" s="562"/>
      <c r="AZ1049" s="562"/>
      <c r="BA1049" s="562"/>
      <c r="BB1049" s="562"/>
      <c r="BC1049" s="562"/>
      <c r="BD1049" s="562"/>
      <c r="BE1049" s="562"/>
      <c r="BF1049" s="562"/>
      <c r="BG1049" s="562"/>
      <c r="BH1049" s="562"/>
    </row>
    <row r="1050" spans="1:60" s="498" customFormat="1" x14ac:dyDescent="0.2">
      <c r="A1050" s="541">
        <v>9</v>
      </c>
      <c r="B1050" s="551" t="s">
        <v>3089</v>
      </c>
      <c r="C1050" s="544"/>
      <c r="D1050" s="544"/>
      <c r="E1050" s="544"/>
      <c r="F1050" s="544"/>
      <c r="G1050" s="543" t="str">
        <f t="shared" ref="G1050:G1051" si="304">G1049</f>
        <v/>
      </c>
      <c r="H1050" s="541" t="s">
        <v>3758</v>
      </c>
      <c r="I1050" s="253"/>
      <c r="J1050" s="98"/>
      <c r="K1050" s="98"/>
      <c r="L1050" s="820"/>
      <c r="M1050" s="838"/>
      <c r="N1050" s="607"/>
      <c r="O1050" s="607"/>
      <c r="P1050" s="64"/>
      <c r="Q1050" s="64"/>
      <c r="R1050" s="64"/>
      <c r="S1050" s="64"/>
      <c r="T1050" s="64"/>
      <c r="U1050" s="64"/>
      <c r="V1050" s="64"/>
      <c r="W1050" s="64"/>
      <c r="X1050" s="797"/>
      <c r="Y1050" s="970"/>
      <c r="Z1050" s="973"/>
      <c r="AA1050" s="562"/>
      <c r="AB1050" s="562"/>
      <c r="AC1050" s="562"/>
      <c r="AD1050" s="562"/>
      <c r="AE1050" s="562"/>
      <c r="AF1050" s="562"/>
      <c r="AG1050" s="562"/>
      <c r="AH1050" s="562"/>
      <c r="AI1050" s="562"/>
      <c r="AJ1050" s="562"/>
      <c r="AK1050" s="562"/>
      <c r="AL1050" s="562"/>
      <c r="AM1050" s="562"/>
      <c r="AN1050" s="562"/>
      <c r="AO1050" s="562"/>
      <c r="AP1050" s="562"/>
      <c r="AQ1050" s="562"/>
      <c r="AR1050" s="562"/>
      <c r="AS1050" s="562"/>
      <c r="AT1050" s="562"/>
      <c r="AU1050" s="562"/>
      <c r="AV1050" s="562"/>
      <c r="AW1050" s="562"/>
      <c r="AX1050" s="562"/>
      <c r="AY1050" s="562"/>
      <c r="AZ1050" s="562"/>
      <c r="BA1050" s="562"/>
      <c r="BB1050" s="562"/>
      <c r="BC1050" s="562"/>
      <c r="BD1050" s="562"/>
      <c r="BE1050" s="562"/>
      <c r="BF1050" s="562"/>
      <c r="BG1050" s="562"/>
      <c r="BH1050" s="562"/>
    </row>
    <row r="1051" spans="1:60" s="498" customFormat="1" ht="16" thickBot="1" x14ac:dyDescent="0.25">
      <c r="A1051" s="541">
        <v>9</v>
      </c>
      <c r="B1051" s="551" t="s">
        <v>3089</v>
      </c>
      <c r="C1051" s="544"/>
      <c r="D1051" s="544"/>
      <c r="E1051" s="544"/>
      <c r="F1051" s="544"/>
      <c r="G1051" s="543" t="str">
        <f t="shared" si="304"/>
        <v/>
      </c>
      <c r="H1051" s="541" t="s">
        <v>3758</v>
      </c>
      <c r="I1051" s="254"/>
      <c r="J1051" s="185"/>
      <c r="K1051" s="185"/>
      <c r="L1051" s="822"/>
      <c r="M1051" s="844"/>
      <c r="N1051" s="622"/>
      <c r="O1051" s="622"/>
      <c r="P1051" s="68"/>
      <c r="Q1051" s="68"/>
      <c r="R1051" s="68"/>
      <c r="S1051" s="68"/>
      <c r="T1051" s="68"/>
      <c r="U1051" s="68"/>
      <c r="V1051" s="68"/>
      <c r="W1051" s="68"/>
      <c r="X1051" s="826"/>
      <c r="Y1051" s="971"/>
      <c r="Z1051" s="974"/>
      <c r="AA1051" s="562"/>
      <c r="AB1051" s="562"/>
      <c r="AC1051" s="562"/>
      <c r="AD1051" s="562"/>
      <c r="AE1051" s="562"/>
      <c r="AF1051" s="562"/>
      <c r="AG1051" s="562"/>
      <c r="AH1051" s="562"/>
      <c r="AI1051" s="562"/>
      <c r="AJ1051" s="562"/>
      <c r="AK1051" s="562"/>
      <c r="AL1051" s="562"/>
      <c r="AM1051" s="562"/>
      <c r="AN1051" s="562"/>
      <c r="AO1051" s="562"/>
      <c r="AP1051" s="562"/>
      <c r="AQ1051" s="562"/>
      <c r="AR1051" s="562"/>
      <c r="AS1051" s="562"/>
      <c r="AT1051" s="562"/>
      <c r="AU1051" s="562"/>
      <c r="AV1051" s="562"/>
      <c r="AW1051" s="562"/>
      <c r="AX1051" s="562"/>
      <c r="AY1051" s="562"/>
      <c r="AZ1051" s="562"/>
      <c r="BA1051" s="562"/>
      <c r="BB1051" s="562"/>
      <c r="BC1051" s="562"/>
      <c r="BD1051" s="562"/>
      <c r="BE1051" s="562"/>
      <c r="BF1051" s="562"/>
      <c r="BG1051" s="562"/>
      <c r="BH1051" s="562"/>
    </row>
    <row r="1052" spans="1:60" ht="16" thickTop="1" x14ac:dyDescent="0.2">
      <c r="A1052" s="541">
        <v>9</v>
      </c>
      <c r="B1052" s="559" t="s">
        <v>3092</v>
      </c>
      <c r="C1052" s="544"/>
      <c r="D1052" s="544"/>
      <c r="E1052" s="544"/>
      <c r="F1052" s="544"/>
      <c r="G1052" s="543" t="str">
        <f>IF(N1052&gt;0,"P","")</f>
        <v/>
      </c>
      <c r="H1052" s="541" t="s">
        <v>3758</v>
      </c>
      <c r="I1052" s="174" t="s">
        <v>3093</v>
      </c>
      <c r="J1052" s="3"/>
      <c r="K1052" s="3"/>
      <c r="L1052" s="775" t="s">
        <v>3094</v>
      </c>
      <c r="M1052" s="616"/>
      <c r="N1052" s="795">
        <f>'Ch9'!O151</f>
        <v>0</v>
      </c>
      <c r="O1052" s="795">
        <f>IF(W1062=TRUE,5,IF(W1061=TRUE,5,IF(W1056=TRUE,8,0)))*S1056</f>
        <v>0</v>
      </c>
      <c r="P1052" s="562"/>
      <c r="Q1052" s="562"/>
      <c r="R1052" s="562"/>
      <c r="S1052" s="562"/>
      <c r="T1052" s="562"/>
      <c r="U1052" s="562"/>
      <c r="V1052" s="562"/>
      <c r="W1052" s="562"/>
      <c r="X1052" s="562"/>
      <c r="Y1052" s="562"/>
      <c r="Z1052" s="430"/>
      <c r="AA1052" s="562"/>
      <c r="AB1052" s="562"/>
      <c r="AC1052" s="562"/>
      <c r="AD1052" s="562"/>
      <c r="AE1052" s="562"/>
      <c r="AF1052" s="562"/>
      <c r="AG1052" s="562"/>
      <c r="AH1052" s="562"/>
      <c r="AI1052" s="562"/>
      <c r="AJ1052" s="562"/>
      <c r="AK1052" s="562"/>
      <c r="AL1052" s="562"/>
      <c r="AM1052" s="562"/>
      <c r="AN1052" s="190" t="str">
        <f>SUBSTITUTE(SUBSTITUTE(SUBSTITUTE("vpc"&amp;$B1052&amp;$C1052&amp;$D1052&amp;$E1052&amp;$F1052,".","_"),"(","_"),")","")</f>
        <v>vpc901_10</v>
      </c>
      <c r="AO1052" s="190">
        <f>O1052</f>
        <v>0</v>
      </c>
      <c r="AP1052" s="562"/>
      <c r="AQ1052" s="562"/>
      <c r="AR1052" s="562"/>
      <c r="AS1052" s="562"/>
      <c r="AT1052" s="562"/>
      <c r="AU1052" s="562"/>
      <c r="AV1052" s="562"/>
      <c r="AW1052" s="562"/>
      <c r="AX1052" s="562"/>
      <c r="AY1052" s="562"/>
      <c r="AZ1052" s="562"/>
      <c r="BA1052" s="562"/>
      <c r="BB1052" s="562"/>
      <c r="BC1052" s="562"/>
      <c r="BD1052" s="562"/>
      <c r="BE1052" s="562"/>
      <c r="BF1052" s="562"/>
      <c r="BG1052" s="562"/>
      <c r="BH1052" s="562"/>
    </row>
    <row r="1053" spans="1:60" x14ac:dyDescent="0.2">
      <c r="A1053" s="541">
        <v>9</v>
      </c>
      <c r="B1053" s="559" t="s">
        <v>3092</v>
      </c>
      <c r="C1053" s="544"/>
      <c r="D1053" s="544"/>
      <c r="E1053" s="544"/>
      <c r="F1053" s="544"/>
      <c r="G1053" s="543" t="str">
        <f t="shared" ref="G1053:G1065" si="305">G1052</f>
        <v/>
      </c>
      <c r="H1053" s="541" t="s">
        <v>3758</v>
      </c>
      <c r="I1053" s="121"/>
      <c r="J1053" s="3"/>
      <c r="K1053" s="3"/>
      <c r="L1053" s="775"/>
      <c r="M1053" s="616"/>
      <c r="N1053" s="795"/>
      <c r="O1053" s="795"/>
      <c r="P1053" s="562"/>
      <c r="Q1053" s="562"/>
      <c r="R1053" s="562"/>
      <c r="S1053" s="562"/>
      <c r="T1053" s="562"/>
      <c r="U1053" s="562"/>
      <c r="V1053" s="562"/>
      <c r="W1053" s="562"/>
      <c r="X1053" s="562"/>
      <c r="Y1053" s="562"/>
      <c r="Z1053" s="430"/>
      <c r="AA1053" s="562"/>
      <c r="AB1053" s="562"/>
      <c r="AC1053" s="562"/>
      <c r="AD1053" s="562"/>
      <c r="AE1053" s="562"/>
      <c r="AF1053" s="562"/>
      <c r="AG1053" s="562"/>
      <c r="AH1053" s="562"/>
      <c r="AI1053" s="562"/>
      <c r="AJ1053" s="562"/>
      <c r="AK1053" s="562"/>
      <c r="AL1053" s="562"/>
      <c r="AM1053" s="562"/>
      <c r="AN1053" s="562"/>
      <c r="AO1053" s="562"/>
      <c r="AP1053" s="562"/>
      <c r="AQ1053" s="562"/>
      <c r="AR1053" s="562"/>
      <c r="AS1053" s="562"/>
      <c r="AT1053" s="562"/>
      <c r="AU1053" s="562"/>
      <c r="AV1053" s="562"/>
      <c r="AW1053" s="562"/>
      <c r="AX1053" s="562"/>
      <c r="AY1053" s="562"/>
      <c r="AZ1053" s="562"/>
      <c r="BA1053" s="562"/>
      <c r="BB1053" s="562"/>
      <c r="BC1053" s="562"/>
      <c r="BD1053" s="562"/>
      <c r="BE1053" s="562"/>
      <c r="BF1053" s="562"/>
      <c r="BG1053" s="562"/>
      <c r="BH1053" s="562"/>
    </row>
    <row r="1054" spans="1:60" s="497" customFormat="1" x14ac:dyDescent="0.2">
      <c r="A1054" s="541">
        <v>9</v>
      </c>
      <c r="B1054" s="559" t="s">
        <v>3092</v>
      </c>
      <c r="C1054" s="544"/>
      <c r="D1054" s="544"/>
      <c r="E1054" s="544"/>
      <c r="F1054" s="544"/>
      <c r="G1054" s="543" t="str">
        <f>G1052</f>
        <v/>
      </c>
      <c r="H1054" s="541" t="s">
        <v>3758</v>
      </c>
      <c r="I1054" s="121"/>
      <c r="J1054" s="3"/>
      <c r="K1054" s="3"/>
      <c r="L1054" s="775"/>
      <c r="M1054" s="616"/>
      <c r="N1054" s="795"/>
      <c r="O1054" s="795"/>
      <c r="P1054" s="562"/>
      <c r="Q1054" s="562"/>
      <c r="R1054" s="562"/>
      <c r="S1054" s="562"/>
      <c r="T1054" s="562"/>
      <c r="U1054" s="562"/>
      <c r="V1054" s="562"/>
      <c r="W1054" s="562"/>
      <c r="X1054" s="562"/>
      <c r="Y1054" s="562"/>
      <c r="Z1054" s="430"/>
      <c r="AA1054" s="562"/>
      <c r="AB1054" s="562"/>
      <c r="AC1054" s="562"/>
      <c r="AD1054" s="562"/>
      <c r="AE1054" s="562"/>
      <c r="AF1054" s="562"/>
      <c r="AG1054" s="562"/>
      <c r="AH1054" s="562"/>
      <c r="AI1054" s="562"/>
      <c r="AJ1054" s="562"/>
      <c r="AK1054" s="562"/>
      <c r="AL1054" s="562"/>
      <c r="AM1054" s="562"/>
      <c r="AN1054" s="562"/>
      <c r="AO1054" s="562"/>
      <c r="AP1054" s="562"/>
      <c r="AQ1054" s="562"/>
      <c r="AR1054" s="562"/>
      <c r="AS1054" s="562"/>
      <c r="AT1054" s="562"/>
      <c r="AU1054" s="562"/>
      <c r="AV1054" s="562"/>
      <c r="AW1054" s="562"/>
      <c r="AX1054" s="562"/>
      <c r="AY1054" s="562"/>
      <c r="AZ1054" s="562"/>
      <c r="BA1054" s="562"/>
      <c r="BB1054" s="562"/>
      <c r="BC1054" s="562"/>
      <c r="BD1054" s="562"/>
      <c r="BE1054" s="562"/>
      <c r="BF1054" s="562"/>
      <c r="BG1054" s="562"/>
      <c r="BH1054" s="562"/>
    </row>
    <row r="1055" spans="1:60" x14ac:dyDescent="0.2">
      <c r="A1055" s="541">
        <v>9</v>
      </c>
      <c r="B1055" s="559" t="s">
        <v>3092</v>
      </c>
      <c r="C1055" s="544"/>
      <c r="D1055" s="544"/>
      <c r="E1055" s="544"/>
      <c r="F1055" s="544"/>
      <c r="G1055" s="543" t="str">
        <f>G1053</f>
        <v/>
      </c>
      <c r="H1055" s="541" t="s">
        <v>3758</v>
      </c>
      <c r="I1055" s="121"/>
      <c r="J1055" s="3"/>
      <c r="K1055" s="3"/>
      <c r="L1055" s="775"/>
      <c r="M1055" s="616"/>
      <c r="N1055" s="795"/>
      <c r="O1055" s="795"/>
      <c r="P1055" s="562"/>
      <c r="Q1055" s="562"/>
      <c r="R1055" s="562"/>
      <c r="S1055" s="562"/>
      <c r="T1055" s="562"/>
      <c r="U1055" s="562"/>
      <c r="V1055" s="562"/>
      <c r="W1055" s="562"/>
      <c r="X1055" s="562"/>
      <c r="Y1055" s="562"/>
      <c r="Z1055" s="430"/>
      <c r="AA1055" s="562"/>
      <c r="AB1055" s="562"/>
      <c r="AC1055" s="562"/>
      <c r="AD1055" s="562"/>
      <c r="AE1055" s="562"/>
      <c r="AF1055" s="562"/>
      <c r="AG1055" s="562"/>
      <c r="AH1055" s="562"/>
      <c r="AI1055" s="562"/>
      <c r="AJ1055" s="562"/>
      <c r="AK1055" s="562"/>
      <c r="AL1055" s="562"/>
      <c r="AM1055" s="562"/>
      <c r="AN1055" s="562"/>
      <c r="AO1055" s="562"/>
      <c r="AP1055" s="562"/>
      <c r="AQ1055" s="562"/>
      <c r="AR1055" s="562"/>
      <c r="AS1055" s="562"/>
      <c r="AT1055" s="562"/>
      <c r="AU1055" s="562"/>
      <c r="AV1055" s="562"/>
      <c r="AW1055" s="562"/>
      <c r="AX1055" s="562"/>
      <c r="AY1055" s="562"/>
      <c r="AZ1055" s="562"/>
      <c r="BA1055" s="562"/>
      <c r="BB1055" s="562"/>
      <c r="BC1055" s="562"/>
      <c r="BD1055" s="562"/>
      <c r="BE1055" s="562"/>
      <c r="BF1055" s="562"/>
      <c r="BG1055" s="562"/>
      <c r="BH1055" s="562"/>
    </row>
    <row r="1056" spans="1:60" x14ac:dyDescent="0.2">
      <c r="A1056" s="541">
        <v>9</v>
      </c>
      <c r="B1056" s="559" t="s">
        <v>3092</v>
      </c>
      <c r="C1056" s="544"/>
      <c r="D1056" s="544"/>
      <c r="E1056" s="544" t="s">
        <v>2181</v>
      </c>
      <c r="F1056" s="544"/>
      <c r="G1056" s="543" t="str">
        <f t="shared" si="305"/>
        <v/>
      </c>
      <c r="H1056" s="541" t="s">
        <v>3758</v>
      </c>
      <c r="I1056" s="121"/>
      <c r="J1056" s="134" t="s">
        <v>2181</v>
      </c>
      <c r="K1056" s="98"/>
      <c r="L1056" s="791" t="s">
        <v>3095</v>
      </c>
      <c r="M1056" s="800">
        <v>8</v>
      </c>
      <c r="N1056" s="609"/>
      <c r="O1056" s="609"/>
      <c r="P1056" s="64" t="b">
        <v>0</v>
      </c>
      <c r="Q1056" s="64" t="b">
        <v>1</v>
      </c>
      <c r="R1056" s="562" t="b">
        <v>0</v>
      </c>
      <c r="S1056" s="562" t="b">
        <v>1</v>
      </c>
      <c r="T1056" s="562" t="b">
        <v>0</v>
      </c>
      <c r="U1056" s="562"/>
      <c r="V1056" s="562"/>
      <c r="W1056" s="18"/>
      <c r="X1056" s="787"/>
      <c r="Y1056" s="980" t="str">
        <f>IF(LEN('Ch9'!X155)=0,"None",'Ch9'!X155)</f>
        <v>None</v>
      </c>
      <c r="Z1056" s="983"/>
      <c r="AA1056" s="562"/>
      <c r="AB1056" s="562"/>
      <c r="AC1056" s="562" t="b">
        <f>OR(AD1056:AE1056)</f>
        <v>0</v>
      </c>
      <c r="AD1056" s="562" t="b">
        <f>T1056</f>
        <v>0</v>
      </c>
      <c r="AE1056" s="562" t="b">
        <f>AND(R1056,NOT(W1056))</f>
        <v>0</v>
      </c>
      <c r="AF1056" s="562" t="b">
        <f>AND(AE1056,NOT(Q1056))</f>
        <v>0</v>
      </c>
      <c r="AG1056" s="562"/>
      <c r="AH1056" s="562"/>
      <c r="AI1056" s="562"/>
      <c r="AJ1056" s="562"/>
      <c r="AK1056" s="562"/>
      <c r="AL1056" s="190" t="str">
        <f t="shared" ref="AL1056" si="306">SUBSTITUTE(SUBSTITUTE(SUBSTITUTE("vpa"&amp;$B1056&amp;$C1056&amp;$D1056&amp;$E1056&amp;$F1056,".","_"),"(","_"),")","")</f>
        <v>vpa901_10_1</v>
      </c>
      <c r="AM1056" s="190">
        <f>M1056</f>
        <v>8</v>
      </c>
      <c r="AN1056" s="562"/>
      <c r="AO1056" s="562"/>
      <c r="AP1056" s="190" t="str">
        <f>SUBSTITUTE(SUBSTITUTE(SUBSTITUTE("vch"&amp;$B1056&amp;$C1056&amp;$D1056&amp;$E1056&amp;$F1056,".","_"),"(","_"),")","")</f>
        <v>vch901_10_1</v>
      </c>
      <c r="AQ1056" s="190">
        <f>W1056</f>
        <v>0</v>
      </c>
      <c r="AR1056" s="190" t="str">
        <f>SUBSTITUTE(SUBSTITUTE(SUBSTITUTE("vnt"&amp;$B1056&amp;$C1056&amp;$D1056&amp;$E1056&amp;$F1056,".","_"),"(","_"),")","")</f>
        <v>vnt901_10_1</v>
      </c>
      <c r="AS1056" s="190">
        <f>X1056</f>
        <v>0</v>
      </c>
      <c r="AT1056" s="562"/>
      <c r="AU1056" s="562"/>
      <c r="AV1056" s="562"/>
      <c r="AW1056" s="562"/>
      <c r="AX1056" s="562"/>
      <c r="AY1056" s="562"/>
      <c r="AZ1056" s="562"/>
      <c r="BA1056" s="562"/>
      <c r="BB1056" s="562"/>
      <c r="BC1056" s="562"/>
      <c r="BD1056" s="562"/>
      <c r="BE1056" s="562"/>
      <c r="BF1056" s="562"/>
      <c r="BG1056" s="562"/>
      <c r="BH1056" s="562"/>
    </row>
    <row r="1057" spans="1:60" x14ac:dyDescent="0.2">
      <c r="A1057" s="541">
        <v>9</v>
      </c>
      <c r="B1057" s="559" t="s">
        <v>3092</v>
      </c>
      <c r="C1057" s="544"/>
      <c r="D1057" s="544"/>
      <c r="E1057" s="544" t="s">
        <v>2181</v>
      </c>
      <c r="F1057" s="544"/>
      <c r="G1057" s="543" t="str">
        <f t="shared" si="305"/>
        <v/>
      </c>
      <c r="H1057" s="541" t="s">
        <v>3758</v>
      </c>
      <c r="I1057" s="121"/>
      <c r="J1057" s="98"/>
      <c r="K1057" s="98"/>
      <c r="L1057" s="791"/>
      <c r="M1057" s="800"/>
      <c r="N1057" s="609"/>
      <c r="O1057" s="609"/>
      <c r="P1057" s="562"/>
      <c r="Q1057" s="562"/>
      <c r="R1057" s="562"/>
      <c r="S1057" s="562"/>
      <c r="T1057" s="562"/>
      <c r="U1057" s="562"/>
      <c r="V1057" s="562"/>
      <c r="W1057" s="562"/>
      <c r="X1057" s="787"/>
      <c r="Y1057" s="980"/>
      <c r="Z1057" s="983"/>
      <c r="AA1057" s="562"/>
      <c r="AB1057" s="562"/>
      <c r="AC1057" s="562"/>
      <c r="AD1057" s="562"/>
      <c r="AE1057" s="562"/>
      <c r="AF1057" s="562"/>
      <c r="AG1057" s="562"/>
      <c r="AH1057" s="562"/>
      <c r="AI1057" s="562"/>
      <c r="AJ1057" s="562"/>
      <c r="AK1057" s="562"/>
      <c r="AL1057" s="562"/>
      <c r="AM1057" s="562"/>
      <c r="AN1057" s="562"/>
      <c r="AO1057" s="562"/>
      <c r="AP1057" s="562"/>
      <c r="AQ1057" s="562"/>
      <c r="AR1057" s="562"/>
      <c r="AS1057" s="562"/>
      <c r="AT1057" s="562"/>
      <c r="AU1057" s="562"/>
      <c r="AV1057" s="562"/>
      <c r="AW1057" s="562"/>
      <c r="AX1057" s="562"/>
      <c r="AY1057" s="562"/>
      <c r="AZ1057" s="562"/>
      <c r="BA1057" s="562"/>
      <c r="BB1057" s="562"/>
      <c r="BC1057" s="562"/>
      <c r="BD1057" s="562"/>
      <c r="BE1057" s="562"/>
      <c r="BF1057" s="562"/>
      <c r="BG1057" s="562"/>
      <c r="BH1057" s="562"/>
    </row>
    <row r="1058" spans="1:60" x14ac:dyDescent="0.2">
      <c r="A1058" s="541">
        <v>9</v>
      </c>
      <c r="B1058" s="559" t="s">
        <v>3092</v>
      </c>
      <c r="C1058" s="544"/>
      <c r="D1058" s="544"/>
      <c r="E1058" s="544" t="s">
        <v>2181</v>
      </c>
      <c r="F1058" s="544"/>
      <c r="G1058" s="543" t="str">
        <f t="shared" si="305"/>
        <v/>
      </c>
      <c r="H1058" s="541" t="s">
        <v>3758</v>
      </c>
      <c r="I1058" s="121"/>
      <c r="J1058" s="98"/>
      <c r="K1058" s="98"/>
      <c r="L1058" s="791"/>
      <c r="M1058" s="800"/>
      <c r="N1058" s="609"/>
      <c r="O1058" s="609"/>
      <c r="P1058" s="562"/>
      <c r="Q1058" s="562"/>
      <c r="R1058" s="562"/>
      <c r="S1058" s="562"/>
      <c r="T1058" s="562"/>
      <c r="U1058" s="562"/>
      <c r="V1058" s="562"/>
      <c r="W1058" s="562"/>
      <c r="X1058" s="787"/>
      <c r="Y1058" s="980"/>
      <c r="Z1058" s="983"/>
      <c r="AA1058" s="562"/>
      <c r="AB1058" s="562"/>
      <c r="AC1058" s="562"/>
      <c r="AD1058" s="562"/>
      <c r="AE1058" s="562"/>
      <c r="AF1058" s="562"/>
      <c r="AG1058" s="562"/>
      <c r="AH1058" s="562"/>
      <c r="AI1058" s="562"/>
      <c r="AJ1058" s="562"/>
      <c r="AK1058" s="562"/>
      <c r="AL1058" s="562"/>
      <c r="AM1058" s="562"/>
      <c r="AN1058" s="562"/>
      <c r="AO1058" s="562"/>
      <c r="AP1058" s="562"/>
      <c r="AQ1058" s="562"/>
      <c r="AR1058" s="562"/>
      <c r="AS1058" s="562"/>
      <c r="AT1058" s="562"/>
      <c r="AU1058" s="562"/>
      <c r="AV1058" s="562"/>
      <c r="AW1058" s="562"/>
      <c r="AX1058" s="562"/>
      <c r="AY1058" s="562"/>
      <c r="AZ1058" s="562"/>
      <c r="BA1058" s="562"/>
      <c r="BB1058" s="562"/>
      <c r="BC1058" s="562"/>
      <c r="BD1058" s="562"/>
      <c r="BE1058" s="562"/>
      <c r="BF1058" s="562"/>
      <c r="BG1058" s="562"/>
      <c r="BH1058" s="562"/>
    </row>
    <row r="1059" spans="1:60" x14ac:dyDescent="0.2">
      <c r="A1059" s="541">
        <v>9</v>
      </c>
      <c r="B1059" s="559" t="s">
        <v>3092</v>
      </c>
      <c r="C1059" s="544"/>
      <c r="D1059" s="544"/>
      <c r="E1059" s="544" t="s">
        <v>2181</v>
      </c>
      <c r="F1059" s="544"/>
      <c r="G1059" s="543" t="str">
        <f t="shared" si="305"/>
        <v/>
      </c>
      <c r="H1059" s="541" t="s">
        <v>3758</v>
      </c>
      <c r="I1059" s="121"/>
      <c r="J1059" s="98"/>
      <c r="K1059" s="98"/>
      <c r="L1059" s="791"/>
      <c r="M1059" s="800"/>
      <c r="N1059" s="609"/>
      <c r="O1059" s="609"/>
      <c r="P1059" s="562"/>
      <c r="Q1059" s="562"/>
      <c r="R1059" s="562"/>
      <c r="S1059" s="562"/>
      <c r="T1059" s="562"/>
      <c r="U1059" s="562"/>
      <c r="V1059" s="562"/>
      <c r="W1059" s="562"/>
      <c r="X1059" s="787"/>
      <c r="Y1059" s="980"/>
      <c r="Z1059" s="983"/>
      <c r="AA1059" s="562"/>
      <c r="AB1059" s="562"/>
      <c r="AC1059" s="562"/>
      <c r="AD1059" s="562"/>
      <c r="AE1059" s="562"/>
      <c r="AF1059" s="562"/>
      <c r="AG1059" s="562"/>
      <c r="AH1059" s="562"/>
      <c r="AI1059" s="562"/>
      <c r="AJ1059" s="562"/>
      <c r="AK1059" s="562"/>
      <c r="AL1059" s="562"/>
      <c r="AM1059" s="562"/>
      <c r="AN1059" s="562"/>
      <c r="AO1059" s="562"/>
      <c r="AP1059" s="562"/>
      <c r="AQ1059" s="562"/>
      <c r="AR1059" s="562"/>
      <c r="AS1059" s="562"/>
      <c r="AT1059" s="562"/>
      <c r="AU1059" s="562"/>
      <c r="AV1059" s="562"/>
      <c r="AW1059" s="562"/>
      <c r="AX1059" s="562"/>
      <c r="AY1059" s="562"/>
      <c r="AZ1059" s="562"/>
      <c r="BA1059" s="562"/>
      <c r="BB1059" s="562"/>
      <c r="BC1059" s="562"/>
      <c r="BD1059" s="562"/>
      <c r="BE1059" s="562"/>
      <c r="BF1059" s="562"/>
      <c r="BG1059" s="562"/>
      <c r="BH1059" s="562"/>
    </row>
    <row r="1060" spans="1:60" x14ac:dyDescent="0.2">
      <c r="A1060" s="541">
        <v>9</v>
      </c>
      <c r="B1060" s="559" t="s">
        <v>3092</v>
      </c>
      <c r="C1060" s="544"/>
      <c r="D1060" s="544"/>
      <c r="E1060" s="544" t="s">
        <v>2181</v>
      </c>
      <c r="F1060" s="544"/>
      <c r="G1060" s="543" t="str">
        <f t="shared" si="305"/>
        <v/>
      </c>
      <c r="H1060" s="541" t="s">
        <v>3758</v>
      </c>
      <c r="I1060" s="121"/>
      <c r="J1060" s="165"/>
      <c r="K1060" s="165"/>
      <c r="L1060" s="792"/>
      <c r="M1060" s="801"/>
      <c r="N1060" s="609"/>
      <c r="O1060" s="609"/>
      <c r="P1060" s="562"/>
      <c r="Q1060" s="562"/>
      <c r="R1060" s="562"/>
      <c r="S1060" s="562"/>
      <c r="T1060" s="562"/>
      <c r="U1060" s="562"/>
      <c r="V1060" s="562"/>
      <c r="W1060" s="562"/>
      <c r="X1060" s="787"/>
      <c r="Y1060" s="980"/>
      <c r="Z1060" s="983"/>
      <c r="AA1060" s="562"/>
      <c r="AB1060" s="562"/>
      <c r="AC1060" s="562"/>
      <c r="AD1060" s="562"/>
      <c r="AE1060" s="562"/>
      <c r="AF1060" s="562"/>
      <c r="AG1060" s="562"/>
      <c r="AH1060" s="562"/>
      <c r="AI1060" s="562"/>
      <c r="AJ1060" s="562"/>
      <c r="AK1060" s="562"/>
      <c r="AL1060" s="562"/>
      <c r="AM1060" s="562"/>
      <c r="AN1060" s="562"/>
      <c r="AO1060" s="562"/>
      <c r="AP1060" s="562"/>
      <c r="AQ1060" s="562"/>
      <c r="AR1060" s="562"/>
      <c r="AS1060" s="562"/>
      <c r="AT1060" s="562"/>
      <c r="AU1060" s="562"/>
      <c r="AV1060" s="562"/>
      <c r="AW1060" s="562"/>
      <c r="AX1060" s="562"/>
      <c r="AY1060" s="562"/>
      <c r="AZ1060" s="562"/>
      <c r="BA1060" s="562"/>
      <c r="BB1060" s="562"/>
      <c r="BC1060" s="562"/>
      <c r="BD1060" s="562"/>
      <c r="BE1060" s="562"/>
      <c r="BF1060" s="562"/>
      <c r="BG1060" s="562"/>
      <c r="BH1060" s="562"/>
    </row>
    <row r="1061" spans="1:60" ht="16" x14ac:dyDescent="0.2">
      <c r="A1061" s="541">
        <v>9</v>
      </c>
      <c r="B1061" s="559" t="s">
        <v>3092</v>
      </c>
      <c r="C1061" s="544"/>
      <c r="D1061" s="544"/>
      <c r="E1061" s="544" t="s">
        <v>2183</v>
      </c>
      <c r="F1061" s="544"/>
      <c r="G1061" s="543" t="str">
        <f t="shared" si="305"/>
        <v/>
      </c>
      <c r="H1061" s="541" t="s">
        <v>3758</v>
      </c>
      <c r="I1061" s="121"/>
      <c r="J1061" s="159" t="s">
        <v>2183</v>
      </c>
      <c r="K1061" s="165"/>
      <c r="L1061" s="599" t="s">
        <v>3096</v>
      </c>
      <c r="M1061" s="611">
        <v>5</v>
      </c>
      <c r="N1061" s="609"/>
      <c r="O1061" s="609"/>
      <c r="P1061" s="64" t="b">
        <v>0</v>
      </c>
      <c r="Q1061" s="64" t="b">
        <v>1</v>
      </c>
      <c r="R1061" s="562" t="b">
        <v>0</v>
      </c>
      <c r="S1061" s="562" t="b">
        <v>1</v>
      </c>
      <c r="T1061" s="562" t="b">
        <v>0</v>
      </c>
      <c r="U1061" s="562"/>
      <c r="V1061" s="562"/>
      <c r="W1061" s="18"/>
      <c r="X1061" s="563"/>
      <c r="Y1061" s="578" t="str">
        <f>IF(LEN('Ch9'!X160)=0,"None",'Ch9'!X160)</f>
        <v>None</v>
      </c>
      <c r="Z1061" s="579"/>
      <c r="AA1061" s="562"/>
      <c r="AB1061" s="562"/>
      <c r="AC1061" s="562" t="b">
        <f>OR(AD1061:AE1061)</f>
        <v>0</v>
      </c>
      <c r="AD1061" s="562" t="b">
        <f>T1061</f>
        <v>0</v>
      </c>
      <c r="AE1061" s="562" t="b">
        <f>AND(R1061,NOT(W1061))</f>
        <v>0</v>
      </c>
      <c r="AF1061" s="562" t="b">
        <f>AND(AE1061,NOT(Q1061))</f>
        <v>0</v>
      </c>
      <c r="AG1061" s="562"/>
      <c r="AH1061" s="562"/>
      <c r="AI1061" s="562"/>
      <c r="AJ1061" s="562"/>
      <c r="AK1061" s="562"/>
      <c r="AL1061" s="190" t="str">
        <f t="shared" ref="AL1061:AL1062" si="307">SUBSTITUTE(SUBSTITUTE(SUBSTITUTE("vpa"&amp;$B1061&amp;$C1061&amp;$D1061&amp;$E1061&amp;$F1061,".","_"),"(","_"),")","")</f>
        <v>vpa901_10_2</v>
      </c>
      <c r="AM1061" s="190">
        <f>M1061</f>
        <v>5</v>
      </c>
      <c r="AN1061" s="562"/>
      <c r="AO1061" s="562"/>
      <c r="AP1061" s="190" t="str">
        <f t="shared" ref="AP1061:AP1062" si="308">SUBSTITUTE(SUBSTITUTE(SUBSTITUTE("vch"&amp;$B1061&amp;$C1061&amp;$D1061&amp;$E1061&amp;$F1061,".","_"),"(","_"),")","")</f>
        <v>vch901_10_2</v>
      </c>
      <c r="AQ1061" s="190">
        <f>W1061</f>
        <v>0</v>
      </c>
      <c r="AR1061" s="190" t="str">
        <f t="shared" ref="AR1061:AR1062" si="309">SUBSTITUTE(SUBSTITUTE(SUBSTITUTE("vnt"&amp;$B1061&amp;$C1061&amp;$D1061&amp;$E1061&amp;$F1061,".","_"),"(","_"),")","")</f>
        <v>vnt901_10_2</v>
      </c>
      <c r="AS1061" s="190">
        <f>X1061</f>
        <v>0</v>
      </c>
      <c r="AT1061" s="562"/>
      <c r="AU1061" s="562"/>
      <c r="AV1061" s="562"/>
      <c r="AW1061" s="562"/>
      <c r="AX1061" s="562"/>
      <c r="AY1061" s="562"/>
      <c r="AZ1061" s="562"/>
      <c r="BA1061" s="562"/>
      <c r="BB1061" s="562"/>
      <c r="BC1061" s="562"/>
      <c r="BD1061" s="562"/>
      <c r="BE1061" s="562"/>
      <c r="BF1061" s="562"/>
      <c r="BG1061" s="562"/>
      <c r="BH1061" s="562"/>
    </row>
    <row r="1062" spans="1:60" x14ac:dyDescent="0.2">
      <c r="A1062" s="541">
        <v>9</v>
      </c>
      <c r="B1062" s="559" t="s">
        <v>3092</v>
      </c>
      <c r="C1062" s="544"/>
      <c r="D1062" s="544"/>
      <c r="E1062" s="544" t="s">
        <v>2185</v>
      </c>
      <c r="F1062" s="544"/>
      <c r="G1062" s="543" t="str">
        <f t="shared" si="305"/>
        <v/>
      </c>
      <c r="H1062" s="541" t="s">
        <v>3758</v>
      </c>
      <c r="I1062" s="253"/>
      <c r="J1062" s="134" t="s">
        <v>2185</v>
      </c>
      <c r="K1062" s="98"/>
      <c r="L1062" s="791" t="s">
        <v>3097</v>
      </c>
      <c r="M1062" s="800">
        <v>5</v>
      </c>
      <c r="N1062" s="607"/>
      <c r="O1062" s="607"/>
      <c r="P1062" s="64" t="b">
        <v>0</v>
      </c>
      <c r="Q1062" s="64" t="b">
        <v>1</v>
      </c>
      <c r="R1062" s="64" t="b">
        <v>0</v>
      </c>
      <c r="S1062" s="64" t="b">
        <v>1</v>
      </c>
      <c r="T1062" s="64" t="b">
        <v>0</v>
      </c>
      <c r="U1062" s="64"/>
      <c r="V1062" s="64"/>
      <c r="W1062" s="18"/>
      <c r="X1062" s="798"/>
      <c r="Y1062" s="977" t="str">
        <f>IF(LEN('Ch9'!X161)=0,"None",'Ch9'!X161)</f>
        <v>None</v>
      </c>
      <c r="Z1062" s="978"/>
      <c r="AA1062" s="562"/>
      <c r="AB1062" s="562"/>
      <c r="AC1062" s="562" t="b">
        <f>OR(AD1062:AE1062)</f>
        <v>0</v>
      </c>
      <c r="AD1062" s="562" t="b">
        <f>T1062</f>
        <v>0</v>
      </c>
      <c r="AE1062" s="562" t="b">
        <f>AND(R1062,NOT(W1062))</f>
        <v>0</v>
      </c>
      <c r="AF1062" s="562" t="b">
        <f>AND(AE1062,NOT(Q1062))</f>
        <v>0</v>
      </c>
      <c r="AG1062" s="562"/>
      <c r="AH1062" s="562"/>
      <c r="AI1062" s="562"/>
      <c r="AJ1062" s="562"/>
      <c r="AK1062" s="562"/>
      <c r="AL1062" s="190" t="str">
        <f t="shared" si="307"/>
        <v>vpa901_10_3</v>
      </c>
      <c r="AM1062" s="190">
        <f>M1062</f>
        <v>5</v>
      </c>
      <c r="AN1062" s="562"/>
      <c r="AO1062" s="562"/>
      <c r="AP1062" s="190" t="str">
        <f t="shared" si="308"/>
        <v>vch901_10_3</v>
      </c>
      <c r="AQ1062" s="190">
        <f>W1062</f>
        <v>0</v>
      </c>
      <c r="AR1062" s="190" t="str">
        <f t="shared" si="309"/>
        <v>vnt901_10_3</v>
      </c>
      <c r="AS1062" s="190">
        <f>X1062</f>
        <v>0</v>
      </c>
      <c r="AT1062" s="562"/>
      <c r="AU1062" s="562"/>
      <c r="AV1062" s="562"/>
      <c r="AW1062" s="562"/>
      <c r="AX1062" s="562"/>
      <c r="AY1062" s="562"/>
      <c r="AZ1062" s="562"/>
      <c r="BA1062" s="562"/>
      <c r="BB1062" s="562"/>
      <c r="BC1062" s="562"/>
      <c r="BD1062" s="562"/>
      <c r="BE1062" s="562"/>
      <c r="BF1062" s="562"/>
      <c r="BG1062" s="562"/>
      <c r="BH1062" s="562"/>
    </row>
    <row r="1063" spans="1:60" x14ac:dyDescent="0.2">
      <c r="A1063" s="541">
        <v>9</v>
      </c>
      <c r="B1063" s="559" t="s">
        <v>3092</v>
      </c>
      <c r="C1063" s="544"/>
      <c r="D1063" s="544"/>
      <c r="E1063" s="544" t="s">
        <v>2185</v>
      </c>
      <c r="F1063" s="544"/>
      <c r="G1063" s="543" t="str">
        <f t="shared" si="305"/>
        <v/>
      </c>
      <c r="H1063" s="541" t="s">
        <v>3758</v>
      </c>
      <c r="I1063" s="253"/>
      <c r="J1063" s="98"/>
      <c r="K1063" s="98"/>
      <c r="L1063" s="791"/>
      <c r="M1063" s="800"/>
      <c r="N1063" s="607"/>
      <c r="O1063" s="607"/>
      <c r="P1063" s="64"/>
      <c r="Q1063" s="64"/>
      <c r="R1063" s="64"/>
      <c r="S1063" s="64"/>
      <c r="T1063" s="64"/>
      <c r="U1063" s="64"/>
      <c r="V1063" s="64"/>
      <c r="W1063" s="64"/>
      <c r="X1063" s="798"/>
      <c r="Y1063" s="977"/>
      <c r="Z1063" s="978"/>
      <c r="AA1063" s="562"/>
      <c r="AB1063" s="562"/>
      <c r="AC1063" s="562"/>
      <c r="AD1063" s="562"/>
      <c r="AE1063" s="562"/>
      <c r="AF1063" s="562"/>
      <c r="AG1063" s="562"/>
      <c r="AH1063" s="562"/>
      <c r="AI1063" s="562"/>
      <c r="AJ1063" s="562"/>
      <c r="AK1063" s="562"/>
      <c r="AL1063" s="562"/>
      <c r="AM1063" s="562"/>
      <c r="AN1063" s="562"/>
      <c r="AO1063" s="562"/>
      <c r="AP1063" s="562"/>
      <c r="AQ1063" s="562"/>
      <c r="AR1063" s="562"/>
      <c r="AS1063" s="562"/>
      <c r="AT1063" s="562"/>
      <c r="AU1063" s="562"/>
      <c r="AV1063" s="562"/>
      <c r="AW1063" s="562"/>
      <c r="AX1063" s="562"/>
      <c r="AY1063" s="562"/>
      <c r="AZ1063" s="562"/>
      <c r="BA1063" s="562"/>
      <c r="BB1063" s="562"/>
      <c r="BC1063" s="562"/>
      <c r="BD1063" s="562"/>
      <c r="BE1063" s="562"/>
      <c r="BF1063" s="562"/>
      <c r="BG1063" s="562"/>
      <c r="BH1063" s="562"/>
    </row>
    <row r="1064" spans="1:60" x14ac:dyDescent="0.2">
      <c r="A1064" s="541">
        <v>9</v>
      </c>
      <c r="B1064" s="559" t="s">
        <v>3092</v>
      </c>
      <c r="C1064" s="544"/>
      <c r="D1064" s="544"/>
      <c r="E1064" s="544" t="s">
        <v>2185</v>
      </c>
      <c r="F1064" s="544"/>
      <c r="G1064" s="543" t="str">
        <f t="shared" si="305"/>
        <v/>
      </c>
      <c r="H1064" s="541" t="s">
        <v>3758</v>
      </c>
      <c r="I1064" s="253"/>
      <c r="J1064" s="98"/>
      <c r="K1064" s="98"/>
      <c r="L1064" s="791"/>
      <c r="M1064" s="800"/>
      <c r="N1064" s="607"/>
      <c r="O1064" s="607"/>
      <c r="P1064" s="64"/>
      <c r="Q1064" s="64"/>
      <c r="R1064" s="64"/>
      <c r="S1064" s="64"/>
      <c r="T1064" s="64"/>
      <c r="U1064" s="64"/>
      <c r="V1064" s="64"/>
      <c r="W1064" s="64"/>
      <c r="X1064" s="798"/>
      <c r="Y1064" s="977"/>
      <c r="Z1064" s="978"/>
      <c r="AA1064" s="562"/>
      <c r="AB1064" s="562"/>
      <c r="AC1064" s="562"/>
      <c r="AD1064" s="562"/>
      <c r="AE1064" s="562"/>
      <c r="AF1064" s="562"/>
      <c r="AG1064" s="562"/>
      <c r="AH1064" s="562"/>
      <c r="AI1064" s="562"/>
      <c r="AJ1064" s="562"/>
      <c r="AK1064" s="562"/>
      <c r="AL1064" s="562"/>
      <c r="AM1064" s="562"/>
      <c r="AN1064" s="562"/>
      <c r="AO1064" s="562"/>
      <c r="AP1064" s="562"/>
      <c r="AQ1064" s="562"/>
      <c r="AR1064" s="562"/>
      <c r="AS1064" s="562"/>
      <c r="AT1064" s="562"/>
      <c r="AU1064" s="562"/>
      <c r="AV1064" s="562"/>
      <c r="AW1064" s="562"/>
      <c r="AX1064" s="562"/>
      <c r="AY1064" s="562"/>
      <c r="AZ1064" s="562"/>
      <c r="BA1064" s="562"/>
      <c r="BB1064" s="562"/>
      <c r="BC1064" s="562"/>
      <c r="BD1064" s="562"/>
      <c r="BE1064" s="562"/>
      <c r="BF1064" s="562"/>
      <c r="BG1064" s="562"/>
      <c r="BH1064" s="562"/>
    </row>
    <row r="1065" spans="1:60" ht="16" thickBot="1" x14ac:dyDescent="0.25">
      <c r="A1065" s="541">
        <v>9</v>
      </c>
      <c r="B1065" s="559" t="s">
        <v>3092</v>
      </c>
      <c r="C1065" s="544"/>
      <c r="D1065" s="544"/>
      <c r="E1065" s="544" t="s">
        <v>2185</v>
      </c>
      <c r="F1065" s="544"/>
      <c r="G1065" s="543" t="str">
        <f t="shared" si="305"/>
        <v/>
      </c>
      <c r="H1065" s="541" t="s">
        <v>3758</v>
      </c>
      <c r="I1065" s="254"/>
      <c r="J1065" s="185"/>
      <c r="K1065" s="185"/>
      <c r="L1065" s="255" t="s">
        <v>3098</v>
      </c>
      <c r="M1065" s="615"/>
      <c r="N1065" s="622"/>
      <c r="O1065" s="622"/>
      <c r="P1065" s="68"/>
      <c r="Q1065" s="68"/>
      <c r="R1065" s="68"/>
      <c r="S1065" s="68"/>
      <c r="T1065" s="68"/>
      <c r="U1065" s="68"/>
      <c r="V1065" s="68"/>
      <c r="W1065" s="68"/>
      <c r="X1065" s="799"/>
      <c r="Y1065" s="979"/>
      <c r="Z1065" s="1007"/>
      <c r="AA1065" s="562"/>
      <c r="AB1065" s="562"/>
      <c r="AC1065" s="562"/>
      <c r="AD1065" s="562"/>
      <c r="AE1065" s="562"/>
      <c r="AF1065" s="562"/>
      <c r="AG1065" s="562"/>
      <c r="AH1065" s="562"/>
      <c r="AI1065" s="562"/>
      <c r="AJ1065" s="562"/>
      <c r="AK1065" s="562"/>
      <c r="AL1065" s="562"/>
      <c r="AM1065" s="562"/>
      <c r="AN1065" s="562"/>
      <c r="AO1065" s="562"/>
      <c r="AP1065" s="562"/>
      <c r="AQ1065" s="562"/>
      <c r="AR1065" s="562"/>
      <c r="AS1065" s="562"/>
      <c r="AT1065" s="562"/>
      <c r="AU1065" s="562"/>
      <c r="AV1065" s="562"/>
      <c r="AW1065" s="562"/>
      <c r="AX1065" s="562"/>
      <c r="AY1065" s="562"/>
      <c r="AZ1065" s="562"/>
      <c r="BA1065" s="562"/>
      <c r="BB1065" s="562"/>
      <c r="BC1065" s="562"/>
      <c r="BD1065" s="562"/>
      <c r="BE1065" s="562"/>
      <c r="BF1065" s="562"/>
      <c r="BG1065" s="562"/>
      <c r="BH1065" s="562"/>
    </row>
    <row r="1066" spans="1:60" ht="16" thickTop="1" x14ac:dyDescent="0.2">
      <c r="A1066" s="541">
        <v>9</v>
      </c>
      <c r="B1066" s="551">
        <v>901.11</v>
      </c>
      <c r="C1066" s="544"/>
      <c r="D1066" s="544"/>
      <c r="E1066" s="544"/>
      <c r="F1066" s="544"/>
      <c r="G1066" s="543" t="str">
        <f>IF(N1066&gt;0,"P","")</f>
        <v/>
      </c>
      <c r="H1066" s="541" t="s">
        <v>3751</v>
      </c>
      <c r="I1066" s="131" t="s">
        <v>3099</v>
      </c>
      <c r="J1066" s="132"/>
      <c r="K1066" s="132"/>
      <c r="L1066" s="819" t="s">
        <v>3100</v>
      </c>
      <c r="M1066" s="827">
        <v>4</v>
      </c>
      <c r="N1066" s="823">
        <f>'Ch9'!O165</f>
        <v>0</v>
      </c>
      <c r="O1066" s="823">
        <f>M1066*S1066*W1066</f>
        <v>0</v>
      </c>
      <c r="P1066" s="64" t="b">
        <v>1</v>
      </c>
      <c r="Q1066" s="64" t="b">
        <v>1</v>
      </c>
      <c r="R1066" s="74" t="b">
        <v>0</v>
      </c>
      <c r="S1066" s="74" t="b">
        <v>1</v>
      </c>
      <c r="T1066" s="74" t="b">
        <v>0</v>
      </c>
      <c r="U1066" s="74"/>
      <c r="V1066" s="74"/>
      <c r="W1066" s="18"/>
      <c r="X1066" s="802"/>
      <c r="Y1066" s="975" t="str">
        <f>IF(LEN('Ch9'!X165)=0,"None",'Ch9'!X165)</f>
        <v>None</v>
      </c>
      <c r="Z1066" s="976"/>
      <c r="AA1066" s="562"/>
      <c r="AB1066" s="562"/>
      <c r="AC1066" s="562" t="b">
        <f>OR(AD1066:AE1066)</f>
        <v>0</v>
      </c>
      <c r="AD1066" s="562" t="b">
        <f>T1066</f>
        <v>0</v>
      </c>
      <c r="AE1066" s="562" t="b">
        <f>AND(R1066,NOT(W1066))</f>
        <v>0</v>
      </c>
      <c r="AF1066" s="562" t="b">
        <f>AND(AE1066,NOT(Q1066))</f>
        <v>0</v>
      </c>
      <c r="AG1066" s="562"/>
      <c r="AH1066" s="562"/>
      <c r="AI1066" s="562"/>
      <c r="AJ1066" s="562"/>
      <c r="AK1066" s="562"/>
      <c r="AL1066" s="190" t="str">
        <f t="shared" ref="AL1066" si="310">SUBSTITUTE(SUBSTITUTE(SUBSTITUTE("vpa"&amp;$B1066&amp;$C1066&amp;$D1066&amp;$E1066&amp;$F1066,".","_"),"(","_"),")","")</f>
        <v>vpa901,11</v>
      </c>
      <c r="AM1066" s="190">
        <f>M1066</f>
        <v>4</v>
      </c>
      <c r="AN1066" s="190" t="str">
        <f>SUBSTITUTE(SUBSTITUTE(SUBSTITUTE("vpc"&amp;$B1066&amp;$C1066&amp;$D1066&amp;$E1066&amp;$F1066,".","_"),"(","_"),")","")</f>
        <v>vpc901,11</v>
      </c>
      <c r="AO1066" s="190">
        <f>O1066</f>
        <v>0</v>
      </c>
      <c r="AP1066" s="190" t="str">
        <f>SUBSTITUTE(SUBSTITUTE(SUBSTITUTE("vch"&amp;$B1066&amp;$C1066&amp;$D1066&amp;$E1066&amp;$F1066,".","_"),"(","_"),")","")</f>
        <v>vch901,11</v>
      </c>
      <c r="AQ1066" s="190">
        <f>W1066</f>
        <v>0</v>
      </c>
      <c r="AR1066" s="190" t="str">
        <f>SUBSTITUTE(SUBSTITUTE(SUBSTITUTE("vnt"&amp;$B1066&amp;$C1066&amp;$D1066&amp;$E1066&amp;$F1066,".","_"),"(","_"),")","")</f>
        <v>vnt901,11</v>
      </c>
      <c r="AS1066" s="190">
        <f>X1066</f>
        <v>0</v>
      </c>
      <c r="AT1066" s="562"/>
      <c r="AU1066" s="562"/>
      <c r="AV1066" s="562"/>
      <c r="AW1066" s="562"/>
      <c r="AX1066" s="562"/>
      <c r="AY1066" s="562"/>
      <c r="AZ1066" s="562"/>
      <c r="BA1066" s="562"/>
      <c r="BB1066" s="562"/>
      <c r="BC1066" s="562"/>
      <c r="BD1066" s="562"/>
      <c r="BE1066" s="562"/>
      <c r="BF1066" s="562"/>
      <c r="BG1066" s="562"/>
      <c r="BH1066" s="562"/>
    </row>
    <row r="1067" spans="1:60" x14ac:dyDescent="0.2">
      <c r="A1067" s="541">
        <v>9</v>
      </c>
      <c r="B1067" s="551">
        <v>901.11</v>
      </c>
      <c r="C1067" s="544"/>
      <c r="D1067" s="544"/>
      <c r="E1067" s="544"/>
      <c r="F1067" s="544"/>
      <c r="G1067" s="543" t="str">
        <f t="shared" ref="G1067:G1070" si="311">G1066</f>
        <v/>
      </c>
      <c r="H1067" s="541" t="s">
        <v>3751</v>
      </c>
      <c r="I1067" s="253"/>
      <c r="J1067" s="98"/>
      <c r="K1067" s="98"/>
      <c r="L1067" s="820"/>
      <c r="M1067" s="800"/>
      <c r="N1067" s="793"/>
      <c r="O1067" s="793"/>
      <c r="P1067" s="64"/>
      <c r="Q1067" s="64"/>
      <c r="R1067" s="64"/>
      <c r="S1067" s="64"/>
      <c r="T1067" s="64"/>
      <c r="U1067" s="64"/>
      <c r="V1067" s="64"/>
      <c r="W1067" s="64"/>
      <c r="X1067" s="798"/>
      <c r="Y1067" s="977"/>
      <c r="Z1067" s="978"/>
      <c r="AA1067" s="562"/>
      <c r="AB1067" s="562"/>
      <c r="AC1067" s="562"/>
      <c r="AD1067" s="562"/>
      <c r="AE1067" s="562"/>
      <c r="AF1067" s="562"/>
      <c r="AG1067" s="562"/>
      <c r="AH1067" s="562"/>
      <c r="AI1067" s="562"/>
      <c r="AJ1067" s="562"/>
      <c r="AK1067" s="562"/>
      <c r="AL1067" s="562"/>
      <c r="AM1067" s="562"/>
      <c r="AN1067" s="562"/>
      <c r="AO1067" s="562"/>
      <c r="AP1067" s="562"/>
      <c r="AQ1067" s="562"/>
      <c r="AR1067" s="562"/>
      <c r="AS1067" s="562"/>
      <c r="AT1067" s="562"/>
      <c r="AU1067" s="562"/>
      <c r="AV1067" s="562"/>
      <c r="AW1067" s="562"/>
      <c r="AX1067" s="562"/>
      <c r="AY1067" s="562"/>
      <c r="AZ1067" s="562"/>
      <c r="BA1067" s="562"/>
      <c r="BB1067" s="562"/>
      <c r="BC1067" s="562"/>
      <c r="BD1067" s="562"/>
      <c r="BE1067" s="562"/>
      <c r="BF1067" s="562"/>
      <c r="BG1067" s="562"/>
      <c r="BH1067" s="562"/>
    </row>
    <row r="1068" spans="1:60" x14ac:dyDescent="0.2">
      <c r="A1068" s="541">
        <v>9</v>
      </c>
      <c r="B1068" s="551">
        <v>901.11</v>
      </c>
      <c r="C1068" s="544"/>
      <c r="D1068" s="544"/>
      <c r="E1068" s="544"/>
      <c r="F1068" s="544"/>
      <c r="G1068" s="543" t="str">
        <f t="shared" si="311"/>
        <v/>
      </c>
      <c r="H1068" s="541" t="s">
        <v>3751</v>
      </c>
      <c r="I1068" s="253"/>
      <c r="J1068" s="98"/>
      <c r="K1068" s="98"/>
      <c r="L1068" s="820"/>
      <c r="M1068" s="800"/>
      <c r="N1068" s="793"/>
      <c r="O1068" s="793"/>
      <c r="P1068" s="64"/>
      <c r="Q1068" s="64"/>
      <c r="R1068" s="64"/>
      <c r="S1068" s="64"/>
      <c r="T1068" s="64"/>
      <c r="U1068" s="64"/>
      <c r="V1068" s="64"/>
      <c r="W1068" s="64"/>
      <c r="X1068" s="798"/>
      <c r="Y1068" s="977"/>
      <c r="Z1068" s="978"/>
      <c r="AA1068" s="562"/>
      <c r="AB1068" s="562"/>
      <c r="AC1068" s="562"/>
      <c r="AD1068" s="562"/>
      <c r="AE1068" s="562"/>
      <c r="AF1068" s="562"/>
      <c r="AG1068" s="562"/>
      <c r="AH1068" s="562"/>
      <c r="AI1068" s="562"/>
      <c r="AJ1068" s="562"/>
      <c r="AK1068" s="562"/>
      <c r="AL1068" s="562"/>
      <c r="AM1068" s="562"/>
      <c r="AN1068" s="562"/>
      <c r="AO1068" s="562"/>
      <c r="AP1068" s="562"/>
      <c r="AQ1068" s="562"/>
      <c r="AR1068" s="562"/>
      <c r="AS1068" s="562"/>
      <c r="AT1068" s="562"/>
      <c r="AU1068" s="562"/>
      <c r="AV1068" s="562"/>
      <c r="AW1068" s="562"/>
      <c r="AX1068" s="562"/>
      <c r="AY1068" s="562"/>
      <c r="AZ1068" s="562"/>
      <c r="BA1068" s="562"/>
      <c r="BB1068" s="562"/>
      <c r="BC1068" s="562"/>
      <c r="BD1068" s="562"/>
      <c r="BE1068" s="562"/>
      <c r="BF1068" s="562"/>
      <c r="BG1068" s="562"/>
      <c r="BH1068" s="562"/>
    </row>
    <row r="1069" spans="1:60" x14ac:dyDescent="0.2">
      <c r="A1069" s="541">
        <v>9</v>
      </c>
      <c r="B1069" s="551">
        <v>901.11</v>
      </c>
      <c r="C1069" s="544"/>
      <c r="D1069" s="544"/>
      <c r="E1069" s="544"/>
      <c r="F1069" s="544"/>
      <c r="G1069" s="543" t="str">
        <f t="shared" si="311"/>
        <v/>
      </c>
      <c r="H1069" s="541" t="s">
        <v>3751</v>
      </c>
      <c r="I1069" s="253"/>
      <c r="J1069" s="98"/>
      <c r="K1069" s="98"/>
      <c r="L1069" s="820"/>
      <c r="M1069" s="800"/>
      <c r="N1069" s="793"/>
      <c r="O1069" s="793"/>
      <c r="P1069" s="64"/>
      <c r="Q1069" s="64"/>
      <c r="R1069" s="64"/>
      <c r="S1069" s="64"/>
      <c r="T1069" s="64"/>
      <c r="U1069" s="64"/>
      <c r="V1069" s="64"/>
      <c r="W1069" s="64"/>
      <c r="X1069" s="798"/>
      <c r="Y1069" s="977"/>
      <c r="Z1069" s="978"/>
      <c r="AA1069" s="562"/>
      <c r="AB1069" s="562"/>
      <c r="AC1069" s="562"/>
      <c r="AD1069" s="562"/>
      <c r="AE1069" s="562"/>
      <c r="AF1069" s="562"/>
      <c r="AG1069" s="562"/>
      <c r="AH1069" s="562"/>
      <c r="AI1069" s="562"/>
      <c r="AJ1069" s="562"/>
      <c r="AK1069" s="562"/>
      <c r="AL1069" s="562"/>
      <c r="AM1069" s="562"/>
      <c r="AN1069" s="562"/>
      <c r="AO1069" s="562"/>
      <c r="AP1069" s="562"/>
      <c r="AQ1069" s="562"/>
      <c r="AR1069" s="562"/>
      <c r="AS1069" s="562"/>
      <c r="AT1069" s="562"/>
      <c r="AU1069" s="562"/>
      <c r="AV1069" s="562"/>
      <c r="AW1069" s="562"/>
      <c r="AX1069" s="562"/>
      <c r="AY1069" s="562"/>
      <c r="AZ1069" s="562"/>
      <c r="BA1069" s="562"/>
      <c r="BB1069" s="562"/>
      <c r="BC1069" s="562"/>
      <c r="BD1069" s="562"/>
      <c r="BE1069" s="562"/>
      <c r="BF1069" s="562"/>
      <c r="BG1069" s="562"/>
      <c r="BH1069" s="562"/>
    </row>
    <row r="1070" spans="1:60" ht="16" thickBot="1" x14ac:dyDescent="0.25">
      <c r="A1070" s="541">
        <v>9</v>
      </c>
      <c r="B1070" s="551">
        <v>901.11</v>
      </c>
      <c r="C1070" s="544"/>
      <c r="D1070" s="544"/>
      <c r="E1070" s="544"/>
      <c r="F1070" s="544"/>
      <c r="G1070" s="543" t="str">
        <f t="shared" si="311"/>
        <v/>
      </c>
      <c r="H1070" s="541" t="s">
        <v>3751</v>
      </c>
      <c r="I1070" s="254"/>
      <c r="J1070" s="185"/>
      <c r="K1070" s="185"/>
      <c r="L1070" s="822"/>
      <c r="M1070" s="813"/>
      <c r="N1070" s="821"/>
      <c r="O1070" s="821"/>
      <c r="P1070" s="68"/>
      <c r="Q1070" s="68"/>
      <c r="R1070" s="68"/>
      <c r="S1070" s="68"/>
      <c r="T1070" s="68"/>
      <c r="U1070" s="68"/>
      <c r="V1070" s="68"/>
      <c r="W1070" s="68"/>
      <c r="X1070" s="799"/>
      <c r="Y1070" s="979"/>
      <c r="Z1070" s="1007"/>
      <c r="AA1070" s="562"/>
      <c r="AB1070" s="562"/>
      <c r="AC1070" s="562"/>
      <c r="AD1070" s="562"/>
      <c r="AE1070" s="562"/>
      <c r="AF1070" s="562"/>
      <c r="AG1070" s="562"/>
      <c r="AH1070" s="562"/>
      <c r="AI1070" s="562"/>
      <c r="AJ1070" s="562"/>
      <c r="AK1070" s="562"/>
      <c r="AL1070" s="562"/>
      <c r="AM1070" s="562"/>
      <c r="AN1070" s="562"/>
      <c r="AO1070" s="562"/>
      <c r="AP1070" s="562"/>
      <c r="AQ1070" s="562"/>
      <c r="AR1070" s="562"/>
      <c r="AS1070" s="562"/>
      <c r="AT1070" s="562"/>
      <c r="AU1070" s="562"/>
      <c r="AV1070" s="562"/>
      <c r="AW1070" s="562"/>
      <c r="AX1070" s="562"/>
      <c r="AY1070" s="562"/>
      <c r="AZ1070" s="562"/>
      <c r="BA1070" s="562"/>
      <c r="BB1070" s="562"/>
      <c r="BC1070" s="562"/>
      <c r="BD1070" s="562"/>
      <c r="BE1070" s="562"/>
      <c r="BF1070" s="562"/>
      <c r="BG1070" s="562"/>
      <c r="BH1070" s="562"/>
    </row>
    <row r="1071" spans="1:60" ht="16" thickTop="1" x14ac:dyDescent="0.2">
      <c r="A1071" s="541">
        <v>9</v>
      </c>
      <c r="B1071" s="551">
        <v>901.12</v>
      </c>
      <c r="C1071" s="544"/>
      <c r="D1071" s="544"/>
      <c r="E1071" s="544"/>
      <c r="F1071" s="544"/>
      <c r="G1071" s="543" t="s">
        <v>3343</v>
      </c>
      <c r="H1071" s="541" t="s">
        <v>3758</v>
      </c>
      <c r="I1071" s="131" t="s">
        <v>3101</v>
      </c>
      <c r="J1071" s="132"/>
      <c r="K1071" s="132"/>
      <c r="L1071" s="819" t="s">
        <v>3102</v>
      </c>
      <c r="M1071" s="843" t="str">
        <f>IF(R1071,"Mandatory","N/A")</f>
        <v>Mandatory</v>
      </c>
      <c r="N1071" s="623"/>
      <c r="O1071" s="623"/>
      <c r="P1071" s="64" t="b">
        <v>0</v>
      </c>
      <c r="Q1071" s="64" t="b">
        <v>1</v>
      </c>
      <c r="R1071" s="74" t="b">
        <f>S1071</f>
        <v>1</v>
      </c>
      <c r="S1071" s="74" t="b">
        <v>1</v>
      </c>
      <c r="T1071" s="74" t="b">
        <v>0</v>
      </c>
      <c r="U1071" s="74" t="str">
        <f>SUBSTITUTE(SUBSTITUTE(SUBSTITUTE("dd"&amp;B1071&amp;C1071&amp;D1071&amp;E1071&amp;F1071,".","_"),"(","_"),")","")</f>
        <v>dd901,12</v>
      </c>
      <c r="V1071" s="74"/>
      <c r="W1071" s="6"/>
      <c r="X1071" s="802"/>
      <c r="Y1071" s="975" t="str">
        <f>IF(LEN('Ch9'!X170)=0,"None",'Ch9'!X170)</f>
        <v>None</v>
      </c>
      <c r="Z1071" s="976"/>
      <c r="AA1071" s="562"/>
      <c r="AB1071" s="562"/>
      <c r="AC1071" s="562" t="b">
        <f>OR(AD1071:AE1071)</f>
        <v>1</v>
      </c>
      <c r="AD1071" s="562" t="b">
        <f>T1071</f>
        <v>0</v>
      </c>
      <c r="AE1071" s="562" t="b">
        <f>AND(R1071,OR(LEN(W1071)=0,W1071="Not Met"))</f>
        <v>1</v>
      </c>
      <c r="AF1071" s="562" t="b">
        <f>AND(AE1071,NOT(Q1071))</f>
        <v>0</v>
      </c>
      <c r="AG1071" s="562"/>
      <c r="AH1071" s="562"/>
      <c r="AI1071" s="562"/>
      <c r="AJ1071" s="562"/>
      <c r="AK1071" s="562"/>
      <c r="AL1071" s="190" t="str">
        <f t="shared" ref="AL1071" si="312">SUBSTITUTE(SUBSTITUTE(SUBSTITUTE("vpa"&amp;$B1071&amp;$C1071&amp;$D1071&amp;$E1071&amp;$F1071,".","_"),"(","_"),")","")</f>
        <v>vpa901,12</v>
      </c>
      <c r="AM1071" s="190" t="str">
        <f>M1071</f>
        <v>Mandatory</v>
      </c>
      <c r="AN1071" s="562"/>
      <c r="AO1071" s="562"/>
      <c r="AP1071" s="190" t="str">
        <f>SUBSTITUTE(SUBSTITUTE(SUBSTITUTE("vch"&amp;$B1071&amp;$C1071&amp;$D1071&amp;$E1071&amp;$F1071,".","_"),"(","_"),")","")</f>
        <v>vch901,12</v>
      </c>
      <c r="AQ1071" s="190">
        <f>W1071</f>
        <v>0</v>
      </c>
      <c r="AR1071" s="190" t="str">
        <f>SUBSTITUTE(SUBSTITUTE(SUBSTITUTE("vnt"&amp;$B1071&amp;$C1071&amp;$D1071&amp;$E1071&amp;$F1071,".","_"),"(","_"),")","")</f>
        <v>vnt901,12</v>
      </c>
      <c r="AS1071" s="190">
        <f>X1071</f>
        <v>0</v>
      </c>
      <c r="AT1071" s="562"/>
      <c r="AU1071" s="562"/>
      <c r="AV1071" s="562"/>
      <c r="AW1071" s="562"/>
      <c r="AX1071" s="562"/>
      <c r="AY1071" s="562"/>
      <c r="AZ1071" s="562"/>
      <c r="BA1071" s="562"/>
      <c r="BB1071" s="562"/>
      <c r="BC1071" s="562"/>
      <c r="BD1071" s="562"/>
      <c r="BE1071" s="562"/>
      <c r="BF1071" s="562"/>
      <c r="BG1071" s="562"/>
      <c r="BH1071" s="562"/>
    </row>
    <row r="1072" spans="1:60" ht="16" thickBot="1" x14ac:dyDescent="0.25">
      <c r="A1072" s="541">
        <v>9</v>
      </c>
      <c r="B1072" s="551">
        <v>901.12</v>
      </c>
      <c r="C1072" s="544"/>
      <c r="D1072" s="544"/>
      <c r="E1072" s="544"/>
      <c r="F1072" s="544"/>
      <c r="G1072" s="543" t="s">
        <v>3343</v>
      </c>
      <c r="H1072" s="541" t="s">
        <v>3758</v>
      </c>
      <c r="I1072" s="254"/>
      <c r="J1072" s="185"/>
      <c r="K1072" s="185"/>
      <c r="L1072" s="822"/>
      <c r="M1072" s="844"/>
      <c r="N1072" s="622"/>
      <c r="O1072" s="622"/>
      <c r="P1072" s="68"/>
      <c r="Q1072" s="68"/>
      <c r="R1072" s="68"/>
      <c r="S1072" s="68"/>
      <c r="T1072" s="68"/>
      <c r="U1072" s="68"/>
      <c r="V1072" s="68"/>
      <c r="W1072" s="68"/>
      <c r="X1072" s="799"/>
      <c r="Y1072" s="979"/>
      <c r="Z1072" s="1007"/>
      <c r="AA1072" s="562"/>
      <c r="AB1072" s="562"/>
      <c r="AC1072" s="562"/>
      <c r="AD1072" s="562"/>
      <c r="AE1072" s="562"/>
      <c r="AF1072" s="562"/>
      <c r="AG1072" s="562"/>
      <c r="AH1072" s="562"/>
      <c r="AI1072" s="562"/>
      <c r="AJ1072" s="562"/>
      <c r="AK1072" s="562"/>
      <c r="AL1072" s="562"/>
      <c r="AM1072" s="562"/>
      <c r="AN1072" s="562"/>
      <c r="AO1072" s="562"/>
      <c r="AP1072" s="562"/>
      <c r="AQ1072" s="562"/>
      <c r="AR1072" s="562"/>
      <c r="AS1072" s="562"/>
      <c r="AT1072" s="562"/>
      <c r="AU1072" s="562"/>
      <c r="AV1072" s="562"/>
      <c r="AW1072" s="562"/>
      <c r="AX1072" s="562"/>
      <c r="AY1072" s="562"/>
      <c r="AZ1072" s="562"/>
      <c r="BA1072" s="562"/>
      <c r="BB1072" s="562"/>
      <c r="BC1072" s="562"/>
      <c r="BD1072" s="562"/>
      <c r="BE1072" s="562"/>
      <c r="BF1072" s="562"/>
      <c r="BG1072" s="562"/>
      <c r="BH1072" s="562"/>
    </row>
    <row r="1073" spans="1:60" ht="16" thickTop="1" x14ac:dyDescent="0.2">
      <c r="A1073" s="541">
        <v>9</v>
      </c>
      <c r="B1073" s="551">
        <v>901.13</v>
      </c>
      <c r="C1073" s="544"/>
      <c r="D1073" s="544"/>
      <c r="E1073" s="544"/>
      <c r="F1073" s="544"/>
      <c r="G1073" s="543" t="str">
        <f ca="1">IF(N1073&gt;0,"P","")</f>
        <v/>
      </c>
      <c r="H1073" s="541" t="s">
        <v>3758</v>
      </c>
      <c r="I1073" s="131" t="s">
        <v>3103</v>
      </c>
      <c r="J1073" s="132"/>
      <c r="K1073" s="132"/>
      <c r="L1073" s="819" t="s">
        <v>3104</v>
      </c>
      <c r="M1073" s="625"/>
      <c r="N1073" s="823">
        <f ca="1">'Ch9'!O172</f>
        <v>0</v>
      </c>
      <c r="O1073" s="823">
        <f ca="1">MIN(1,M1075*S1075*W1075+M1076*S1076*W1076)</f>
        <v>0</v>
      </c>
      <c r="P1073" s="74"/>
      <c r="Q1073" s="74"/>
      <c r="R1073" s="74"/>
      <c r="S1073" s="74"/>
      <c r="T1073" s="74"/>
      <c r="U1073" s="74"/>
      <c r="V1073" s="74"/>
      <c r="W1073" s="74"/>
      <c r="X1073" s="802"/>
      <c r="Y1073" s="975" t="str">
        <f>IF(LEN('Ch9'!X172)=0,"None",'Ch9'!X172)</f>
        <v>None</v>
      </c>
      <c r="Z1073" s="976"/>
      <c r="AA1073" s="562"/>
      <c r="AB1073" s="562"/>
      <c r="AC1073" s="562"/>
      <c r="AD1073" s="562"/>
      <c r="AE1073" s="562"/>
      <c r="AF1073" s="562"/>
      <c r="AG1073" s="562"/>
      <c r="AH1073" s="562"/>
      <c r="AI1073" s="562"/>
      <c r="AJ1073" s="562"/>
      <c r="AK1073" s="562"/>
      <c r="AL1073" s="562"/>
      <c r="AM1073" s="562"/>
      <c r="AN1073" s="190" t="str">
        <f>SUBSTITUTE(SUBSTITUTE(SUBSTITUTE("vpc"&amp;$B1073&amp;$C1073&amp;$D1073&amp;$E1073&amp;$F1073,".","_"),"(","_"),")","")</f>
        <v>vpc901,13</v>
      </c>
      <c r="AO1073" s="190">
        <f ca="1">O1073</f>
        <v>0</v>
      </c>
      <c r="AP1073" s="562"/>
      <c r="AQ1073" s="562"/>
      <c r="AR1073" s="190" t="str">
        <f>SUBSTITUTE(SUBSTITUTE(SUBSTITUTE("vnt"&amp;$B1073&amp;$C1073&amp;$D1073&amp;$E1073&amp;$F1073,".","_"),"(","_"),")","")</f>
        <v>vnt901,13</v>
      </c>
      <c r="AS1073" s="190">
        <f>X1073</f>
        <v>0</v>
      </c>
      <c r="AT1073" s="562"/>
      <c r="AU1073" s="562"/>
      <c r="AV1073" s="562"/>
      <c r="AW1073" s="562"/>
      <c r="AX1073" s="562"/>
      <c r="AY1073" s="562"/>
      <c r="AZ1073" s="562"/>
      <c r="BA1073" s="562"/>
      <c r="BB1073" s="562"/>
      <c r="BC1073" s="562"/>
      <c r="BD1073" s="562"/>
      <c r="BE1073" s="562"/>
      <c r="BF1073" s="562"/>
      <c r="BG1073" s="562"/>
      <c r="BH1073" s="562"/>
    </row>
    <row r="1074" spans="1:60" x14ac:dyDescent="0.2">
      <c r="A1074" s="541">
        <v>9</v>
      </c>
      <c r="B1074" s="551">
        <v>901.13</v>
      </c>
      <c r="C1074" s="544"/>
      <c r="D1074" s="544"/>
      <c r="E1074" s="544"/>
      <c r="F1074" s="544"/>
      <c r="G1074" s="543" t="str">
        <f t="shared" ref="G1074:G1076" ca="1" si="313">G1073</f>
        <v/>
      </c>
      <c r="H1074" s="541" t="s">
        <v>3758</v>
      </c>
      <c r="I1074" s="253"/>
      <c r="J1074" s="98"/>
      <c r="K1074" s="98"/>
      <c r="L1074" s="820"/>
      <c r="M1074" s="610"/>
      <c r="N1074" s="793"/>
      <c r="O1074" s="793"/>
      <c r="P1074" s="64"/>
      <c r="Q1074" s="64"/>
      <c r="R1074" s="64"/>
      <c r="S1074" s="64"/>
      <c r="T1074" s="64"/>
      <c r="U1074" s="64"/>
      <c r="V1074" s="64"/>
      <c r="W1074" s="64"/>
      <c r="X1074" s="798"/>
      <c r="Y1074" s="977"/>
      <c r="Z1074" s="978"/>
      <c r="AA1074" s="562"/>
      <c r="AB1074" s="562"/>
      <c r="AC1074" s="562"/>
      <c r="AD1074" s="562"/>
      <c r="AE1074" s="562"/>
      <c r="AF1074" s="562"/>
      <c r="AG1074" s="562"/>
      <c r="AH1074" s="562"/>
      <c r="AI1074" s="562"/>
      <c r="AJ1074" s="562"/>
      <c r="AK1074" s="562"/>
      <c r="AL1074" s="562"/>
      <c r="AM1074" s="562"/>
      <c r="AN1074" s="562"/>
      <c r="AO1074" s="562"/>
      <c r="AP1074" s="562"/>
      <c r="AQ1074" s="562"/>
      <c r="AR1074" s="562"/>
      <c r="AS1074" s="562"/>
      <c r="AT1074" s="562"/>
      <c r="AU1074" s="562"/>
      <c r="AV1074" s="562"/>
      <c r="AW1074" s="562"/>
      <c r="AX1074" s="562"/>
      <c r="AY1074" s="562"/>
      <c r="AZ1074" s="562"/>
      <c r="BA1074" s="562"/>
      <c r="BB1074" s="562"/>
      <c r="BC1074" s="562"/>
      <c r="BD1074" s="562"/>
      <c r="BE1074" s="562"/>
      <c r="BF1074" s="562"/>
      <c r="BG1074" s="562"/>
      <c r="BH1074" s="562"/>
    </row>
    <row r="1075" spans="1:60" ht="15" customHeight="1" x14ac:dyDescent="0.2">
      <c r="A1075" s="541">
        <v>9</v>
      </c>
      <c r="B1075" s="551">
        <v>901.13</v>
      </c>
      <c r="C1075" s="544"/>
      <c r="D1075" s="544"/>
      <c r="E1075" s="544" t="s">
        <v>2181</v>
      </c>
      <c r="F1075" s="544"/>
      <c r="G1075" s="543" t="str">
        <f t="shared" ca="1" si="313"/>
        <v/>
      </c>
      <c r="H1075" s="541" t="s">
        <v>3758</v>
      </c>
      <c r="I1075" s="253"/>
      <c r="J1075" s="159" t="s">
        <v>2181</v>
      </c>
      <c r="K1075" s="165"/>
      <c r="L1075" s="599" t="s">
        <v>3105</v>
      </c>
      <c r="M1075" s="611">
        <v>1</v>
      </c>
      <c r="N1075" s="607"/>
      <c r="O1075" s="607"/>
      <c r="P1075" s="64" t="b">
        <v>0</v>
      </c>
      <c r="Q1075" s="64" t="b">
        <v>1</v>
      </c>
      <c r="R1075" s="64" t="b">
        <v>0</v>
      </c>
      <c r="S1075" s="562" t="b">
        <f ca="1">$AY$18=INDEX(INDIRECT("ddSingleOrMulti"),2)</f>
        <v>0</v>
      </c>
      <c r="T1075" s="64" t="b">
        <f ca="1">AND(NOT(S1075),W1075=TRUE)</f>
        <v>0</v>
      </c>
      <c r="U1075" s="64"/>
      <c r="V1075" s="64"/>
      <c r="W1075" s="18"/>
      <c r="X1075" s="798"/>
      <c r="Y1075" s="977"/>
      <c r="Z1075" s="978"/>
      <c r="AA1075" s="562"/>
      <c r="AB1075" s="562"/>
      <c r="AC1075" s="562" t="b">
        <f ca="1">OR(AD1075:AE1075)</f>
        <v>0</v>
      </c>
      <c r="AD1075" s="562" t="b">
        <f ca="1">T1075</f>
        <v>0</v>
      </c>
      <c r="AE1075" s="562" t="b">
        <f>AND(R1075,NOT(W1075))</f>
        <v>0</v>
      </c>
      <c r="AF1075" s="562" t="b">
        <f>AND(AE1075,NOT(Q1075))</f>
        <v>0</v>
      </c>
      <c r="AG1075" s="562"/>
      <c r="AH1075" s="562"/>
      <c r="AI1075" s="562"/>
      <c r="AJ1075" s="562"/>
      <c r="AK1075" s="562"/>
      <c r="AL1075" s="190" t="str">
        <f t="shared" ref="AL1075:AL1076" si="314">SUBSTITUTE(SUBSTITUTE(SUBSTITUTE("vpa"&amp;$B1075&amp;$C1075&amp;$D1075&amp;$E1075&amp;$F1075,".","_"),"(","_"),")","")</f>
        <v>vpa901,13_1</v>
      </c>
      <c r="AM1075" s="190">
        <f>M1075</f>
        <v>1</v>
      </c>
      <c r="AN1075" s="562"/>
      <c r="AO1075" s="562"/>
      <c r="AP1075" s="190" t="str">
        <f t="shared" ref="AP1075:AP1076" si="315">SUBSTITUTE(SUBSTITUTE(SUBSTITUTE("vch"&amp;$B1075&amp;$C1075&amp;$D1075&amp;$E1075&amp;$F1075,".","_"),"(","_"),")","")</f>
        <v>vch901,13_1</v>
      </c>
      <c r="AQ1075" s="190">
        <f>W1075</f>
        <v>0</v>
      </c>
      <c r="AR1075" s="562"/>
      <c r="AS1075" s="562"/>
      <c r="AT1075" s="562"/>
      <c r="AU1075" s="562"/>
      <c r="AV1075" s="562"/>
      <c r="AW1075" s="562"/>
      <c r="AX1075" s="562"/>
      <c r="AY1075" s="562"/>
      <c r="AZ1075" s="562"/>
      <c r="BA1075" s="562"/>
      <c r="BB1075" s="562"/>
      <c r="BC1075" s="562"/>
      <c r="BD1075" s="562"/>
      <c r="BE1075" s="562"/>
      <c r="BF1075" s="562"/>
      <c r="BG1075" s="562"/>
      <c r="BH1075" s="562"/>
    </row>
    <row r="1076" spans="1:60" ht="15" customHeight="1" thickBot="1" x14ac:dyDescent="0.25">
      <c r="A1076" s="541">
        <v>9</v>
      </c>
      <c r="B1076" s="551">
        <v>901.13</v>
      </c>
      <c r="C1076" s="544"/>
      <c r="D1076" s="544"/>
      <c r="E1076" s="544" t="s">
        <v>2183</v>
      </c>
      <c r="F1076" s="544"/>
      <c r="G1076" s="543" t="str">
        <f t="shared" ca="1" si="313"/>
        <v/>
      </c>
      <c r="H1076" s="541" t="s">
        <v>3758</v>
      </c>
      <c r="I1076" s="254"/>
      <c r="J1076" s="143" t="s">
        <v>2183</v>
      </c>
      <c r="K1076" s="185"/>
      <c r="L1076" s="626" t="s">
        <v>3106</v>
      </c>
      <c r="M1076" s="615">
        <v>1</v>
      </c>
      <c r="N1076" s="622"/>
      <c r="O1076" s="622"/>
      <c r="P1076" s="64" t="b">
        <v>0</v>
      </c>
      <c r="Q1076" s="64" t="b">
        <v>1</v>
      </c>
      <c r="R1076" s="68" t="b">
        <v>0</v>
      </c>
      <c r="S1076" s="562" t="b">
        <f ca="1">$AY$18=INDEX(INDIRECT("ddSingleOrMulti"),2)</f>
        <v>0</v>
      </c>
      <c r="T1076" s="64" t="b">
        <f ca="1">AND(NOT(S1076),W1076=TRUE)</f>
        <v>0</v>
      </c>
      <c r="U1076" s="68"/>
      <c r="V1076" s="68"/>
      <c r="W1076" s="69"/>
      <c r="X1076" s="799"/>
      <c r="Y1076" s="979"/>
      <c r="Z1076" s="1007"/>
      <c r="AA1076" s="562"/>
      <c r="AB1076" s="562"/>
      <c r="AC1076" s="562" t="b">
        <f ca="1">OR(AD1076:AE1076)</f>
        <v>0</v>
      </c>
      <c r="AD1076" s="562" t="b">
        <f ca="1">T1076</f>
        <v>0</v>
      </c>
      <c r="AE1076" s="562" t="b">
        <f>AND(R1076,NOT(W1076))</f>
        <v>0</v>
      </c>
      <c r="AF1076" s="562" t="b">
        <f>AND(AE1076,NOT(Q1076))</f>
        <v>0</v>
      </c>
      <c r="AG1076" s="562"/>
      <c r="AH1076" s="562"/>
      <c r="AI1076" s="562"/>
      <c r="AJ1076" s="562"/>
      <c r="AK1076" s="562"/>
      <c r="AL1076" s="190" t="str">
        <f t="shared" si="314"/>
        <v>vpa901,13_2</v>
      </c>
      <c r="AM1076" s="190">
        <f>M1076</f>
        <v>1</v>
      </c>
      <c r="AN1076" s="562"/>
      <c r="AO1076" s="562"/>
      <c r="AP1076" s="190" t="str">
        <f t="shared" si="315"/>
        <v>vch901,13_2</v>
      </c>
      <c r="AQ1076" s="190">
        <f>W1076</f>
        <v>0</v>
      </c>
      <c r="AR1076" s="562"/>
      <c r="AS1076" s="562"/>
      <c r="AT1076" s="562"/>
      <c r="AU1076" s="562"/>
      <c r="AV1076" s="562"/>
      <c r="AW1076" s="562"/>
      <c r="AX1076" s="562"/>
      <c r="AY1076" s="562"/>
      <c r="AZ1076" s="562"/>
      <c r="BA1076" s="562"/>
      <c r="BB1076" s="562"/>
      <c r="BC1076" s="562"/>
      <c r="BD1076" s="562"/>
      <c r="BE1076" s="562"/>
      <c r="BF1076" s="562"/>
      <c r="BG1076" s="562"/>
      <c r="BH1076" s="562"/>
    </row>
    <row r="1077" spans="1:60" ht="16" thickTop="1" x14ac:dyDescent="0.2">
      <c r="A1077" s="541">
        <v>9</v>
      </c>
      <c r="B1077" s="551">
        <v>901.14</v>
      </c>
      <c r="C1077" s="544"/>
      <c r="D1077" s="544"/>
      <c r="E1077" s="544"/>
      <c r="F1077" s="544"/>
      <c r="G1077" s="539" t="str">
        <f ca="1">IF(COUNTIF(G1079:G1081,"P")&gt;0,"P","")</f>
        <v/>
      </c>
      <c r="H1077" s="541" t="s">
        <v>3758</v>
      </c>
      <c r="I1077" s="40" t="s">
        <v>3107</v>
      </c>
      <c r="J1077" s="3"/>
      <c r="K1077" s="3"/>
      <c r="L1077" s="775" t="s">
        <v>3108</v>
      </c>
      <c r="M1077" s="616"/>
      <c r="N1077" s="609"/>
      <c r="O1077" s="609"/>
      <c r="P1077" s="562"/>
      <c r="Q1077" s="562"/>
      <c r="R1077" s="562"/>
      <c r="S1077" s="562"/>
      <c r="T1077" s="562"/>
      <c r="U1077" s="562"/>
      <c r="V1077" s="562"/>
      <c r="W1077" s="562"/>
      <c r="X1077" s="562"/>
      <c r="Y1077" s="562"/>
      <c r="Z1077" s="430"/>
      <c r="AA1077" s="562"/>
      <c r="AB1077" s="562"/>
      <c r="AC1077" s="562"/>
      <c r="AD1077" s="562"/>
      <c r="AE1077" s="562"/>
      <c r="AF1077" s="562"/>
      <c r="AG1077" s="562"/>
      <c r="AH1077" s="562"/>
      <c r="AI1077" s="562"/>
      <c r="AJ1077" s="562"/>
      <c r="AK1077" s="562"/>
      <c r="AL1077" s="562"/>
      <c r="AM1077" s="562"/>
      <c r="AN1077" s="562"/>
      <c r="AO1077" s="562"/>
      <c r="AP1077" s="562"/>
      <c r="AQ1077" s="562"/>
      <c r="AR1077" s="562"/>
      <c r="AS1077" s="562"/>
      <c r="AT1077" s="562"/>
      <c r="AU1077" s="562"/>
      <c r="AV1077" s="562"/>
      <c r="AW1077" s="562"/>
      <c r="AX1077" s="562"/>
      <c r="AY1077" s="562"/>
      <c r="AZ1077" s="562"/>
      <c r="BA1077" s="562"/>
      <c r="BB1077" s="562"/>
      <c r="BC1077" s="562"/>
      <c r="BD1077" s="562"/>
      <c r="BE1077" s="562"/>
      <c r="BF1077" s="562"/>
      <c r="BG1077" s="562"/>
      <c r="BH1077" s="562"/>
    </row>
    <row r="1078" spans="1:60" x14ac:dyDescent="0.2">
      <c r="A1078" s="541">
        <v>9</v>
      </c>
      <c r="B1078" s="551">
        <v>901.14</v>
      </c>
      <c r="C1078" s="544"/>
      <c r="D1078" s="544"/>
      <c r="E1078" s="544"/>
      <c r="F1078" s="544"/>
      <c r="G1078" s="543" t="str">
        <f t="shared" ref="G1078" ca="1" si="316">G1077</f>
        <v/>
      </c>
      <c r="H1078" s="541" t="s">
        <v>3758</v>
      </c>
      <c r="I1078" s="121"/>
      <c r="J1078" s="3"/>
      <c r="K1078" s="3"/>
      <c r="L1078" s="775"/>
      <c r="M1078" s="616"/>
      <c r="N1078" s="609"/>
      <c r="O1078" s="609"/>
      <c r="P1078" s="562"/>
      <c r="Q1078" s="562"/>
      <c r="R1078" s="562"/>
      <c r="S1078" s="562"/>
      <c r="T1078" s="562"/>
      <c r="U1078" s="562"/>
      <c r="V1078" s="562"/>
      <c r="W1078" s="562"/>
      <c r="X1078" s="562"/>
      <c r="Y1078" s="562"/>
      <c r="Z1078" s="430"/>
      <c r="AA1078" s="562"/>
      <c r="AB1078" s="562"/>
      <c r="AC1078" s="562"/>
      <c r="AD1078" s="562"/>
      <c r="AE1078" s="562"/>
      <c r="AF1078" s="562"/>
      <c r="AG1078" s="562"/>
      <c r="AH1078" s="562"/>
      <c r="AI1078" s="562"/>
      <c r="AJ1078" s="562"/>
      <c r="AK1078" s="562"/>
      <c r="AL1078" s="562"/>
      <c r="AM1078" s="562"/>
      <c r="AN1078" s="562"/>
      <c r="AO1078" s="562"/>
      <c r="AP1078" s="562"/>
      <c r="AQ1078" s="562"/>
      <c r="AR1078" s="562"/>
      <c r="AS1078" s="562"/>
      <c r="AT1078" s="562"/>
      <c r="AU1078" s="562"/>
      <c r="AV1078" s="562"/>
      <c r="AW1078" s="562"/>
      <c r="AX1078" s="562"/>
      <c r="AY1078" s="562"/>
      <c r="AZ1078" s="562"/>
      <c r="BA1078" s="562"/>
      <c r="BB1078" s="562"/>
      <c r="BC1078" s="562"/>
      <c r="BD1078" s="562"/>
      <c r="BE1078" s="562"/>
      <c r="BF1078" s="562"/>
      <c r="BG1078" s="562"/>
      <c r="BH1078" s="562"/>
    </row>
    <row r="1079" spans="1:60" x14ac:dyDescent="0.2">
      <c r="A1079" s="541">
        <v>9</v>
      </c>
      <c r="B1079" s="551">
        <v>901.14</v>
      </c>
      <c r="C1079" s="544"/>
      <c r="D1079" s="544"/>
      <c r="E1079" s="544" t="s">
        <v>2181</v>
      </c>
      <c r="F1079" s="544"/>
      <c r="G1079" s="543" t="str">
        <f ca="1">IF(N1079&gt;0,"P","")</f>
        <v/>
      </c>
      <c r="H1079" s="541" t="s">
        <v>3758</v>
      </c>
      <c r="I1079" s="121"/>
      <c r="J1079" s="134" t="s">
        <v>2181</v>
      </c>
      <c r="K1079" s="98"/>
      <c r="L1079" s="791" t="s">
        <v>3109</v>
      </c>
      <c r="M1079" s="800">
        <v>1</v>
      </c>
      <c r="N1079" s="793">
        <f ca="1">'Ch9'!O178</f>
        <v>0</v>
      </c>
      <c r="O1079" s="793">
        <f ca="1">M1079*S1079*W1079</f>
        <v>0</v>
      </c>
      <c r="P1079" s="64" t="b">
        <v>0</v>
      </c>
      <c r="Q1079" s="64" t="b">
        <v>1</v>
      </c>
      <c r="R1079" s="562" t="b">
        <v>0</v>
      </c>
      <c r="S1079" s="562" t="b">
        <f ca="1">$AY$18=INDEX(INDIRECT("ddSingleOrMulti"),2)</f>
        <v>0</v>
      </c>
      <c r="T1079" s="64" t="b">
        <f ca="1">AND(NOT(S1079),W1079=TRUE)</f>
        <v>0</v>
      </c>
      <c r="U1079" s="562"/>
      <c r="V1079" s="562"/>
      <c r="W1079" s="18"/>
      <c r="X1079" s="787"/>
      <c r="Y1079" s="980" t="str">
        <f>IF(LEN('Ch9'!X178)=0,"None",'Ch9'!X178)</f>
        <v>None</v>
      </c>
      <c r="Z1079" s="983"/>
      <c r="AA1079" s="562"/>
      <c r="AB1079" s="562"/>
      <c r="AC1079" s="562" t="b">
        <f ca="1">OR(AD1079:AE1079)</f>
        <v>0</v>
      </c>
      <c r="AD1079" s="562" t="b">
        <f ca="1">T1079</f>
        <v>0</v>
      </c>
      <c r="AE1079" s="562" t="b">
        <f>AND(R1079,NOT(W1079))</f>
        <v>0</v>
      </c>
      <c r="AF1079" s="562" t="b">
        <f>AND(AE1079,NOT(Q1079))</f>
        <v>0</v>
      </c>
      <c r="AG1079" s="562"/>
      <c r="AH1079" s="562"/>
      <c r="AI1079" s="562"/>
      <c r="AJ1079" s="562"/>
      <c r="AK1079" s="562"/>
      <c r="AL1079" s="190" t="str">
        <f t="shared" ref="AL1079" si="317">SUBSTITUTE(SUBSTITUTE(SUBSTITUTE("vpa"&amp;$B1079&amp;$C1079&amp;$D1079&amp;$E1079&amp;$F1079,".","_"),"(","_"),")","")</f>
        <v>vpa901,14_1</v>
      </c>
      <c r="AM1079" s="190">
        <f>M1079</f>
        <v>1</v>
      </c>
      <c r="AN1079" s="190" t="str">
        <f>SUBSTITUTE(SUBSTITUTE(SUBSTITUTE("vpc"&amp;$B1079&amp;$C1079&amp;$D1079&amp;$E1079&amp;$F1079,".","_"),"(","_"),")","")</f>
        <v>vpc901,14_1</v>
      </c>
      <c r="AO1079" s="190">
        <f ca="1">O1079</f>
        <v>0</v>
      </c>
      <c r="AP1079" s="190" t="str">
        <f>SUBSTITUTE(SUBSTITUTE(SUBSTITUTE("vch"&amp;$B1079&amp;$C1079&amp;$D1079&amp;$E1079&amp;$F1079,".","_"),"(","_"),")","")</f>
        <v>vch901,14_1</v>
      </c>
      <c r="AQ1079" s="190">
        <f>W1079</f>
        <v>0</v>
      </c>
      <c r="AR1079" s="190" t="str">
        <f>SUBSTITUTE(SUBSTITUTE(SUBSTITUTE("vnt"&amp;$B1079&amp;$C1079&amp;$D1079&amp;$E1079&amp;$F1079,".","_"),"(","_"),")","")</f>
        <v>vnt901,14_1</v>
      </c>
      <c r="AS1079" s="190">
        <f>X1079</f>
        <v>0</v>
      </c>
      <c r="AT1079" s="562"/>
      <c r="AU1079" s="562"/>
      <c r="AV1079" s="562"/>
      <c r="AW1079" s="562"/>
      <c r="AX1079" s="562"/>
      <c r="AY1079" s="562"/>
      <c r="AZ1079" s="562"/>
      <c r="BA1079" s="562"/>
      <c r="BB1079" s="562"/>
      <c r="BC1079" s="562"/>
      <c r="BD1079" s="562"/>
      <c r="BE1079" s="562"/>
      <c r="BF1079" s="562"/>
      <c r="BG1079" s="562"/>
      <c r="BH1079" s="562"/>
    </row>
    <row r="1080" spans="1:60" x14ac:dyDescent="0.2">
      <c r="A1080" s="541">
        <v>9</v>
      </c>
      <c r="B1080" s="551">
        <v>901.14</v>
      </c>
      <c r="C1080" s="544"/>
      <c r="D1080" s="544"/>
      <c r="E1080" s="544" t="s">
        <v>2181</v>
      </c>
      <c r="F1080" s="544"/>
      <c r="G1080" s="543" t="str">
        <f t="shared" ref="G1080" ca="1" si="318">G1079</f>
        <v/>
      </c>
      <c r="H1080" s="541" t="s">
        <v>3758</v>
      </c>
      <c r="I1080" s="121"/>
      <c r="J1080" s="165"/>
      <c r="K1080" s="165"/>
      <c r="L1080" s="792"/>
      <c r="M1080" s="801"/>
      <c r="N1080" s="794"/>
      <c r="O1080" s="794"/>
      <c r="P1080" s="562"/>
      <c r="Q1080" s="562"/>
      <c r="R1080" s="562"/>
      <c r="S1080" s="562"/>
      <c r="T1080" s="562"/>
      <c r="U1080" s="562"/>
      <c r="V1080" s="562"/>
      <c r="W1080" s="562"/>
      <c r="X1080" s="787"/>
      <c r="Y1080" s="980"/>
      <c r="Z1080" s="983"/>
      <c r="AA1080" s="562"/>
      <c r="AB1080" s="562"/>
      <c r="AC1080" s="562"/>
      <c r="AD1080" s="562"/>
      <c r="AE1080" s="562"/>
      <c r="AF1080" s="562"/>
      <c r="AG1080" s="562"/>
      <c r="AH1080" s="562"/>
      <c r="AI1080" s="562"/>
      <c r="AJ1080" s="562"/>
      <c r="AK1080" s="562"/>
      <c r="AL1080" s="562"/>
      <c r="AM1080" s="562"/>
      <c r="AN1080" s="562"/>
      <c r="AO1080" s="562"/>
      <c r="AP1080" s="562"/>
      <c r="AQ1080" s="562"/>
      <c r="AR1080" s="562"/>
      <c r="AS1080" s="562"/>
      <c r="AT1080" s="562"/>
      <c r="AU1080" s="562"/>
      <c r="AV1080" s="562"/>
      <c r="AW1080" s="562"/>
      <c r="AX1080" s="562"/>
      <c r="AY1080" s="562"/>
      <c r="AZ1080" s="562"/>
      <c r="BA1080" s="562"/>
      <c r="BB1080" s="562"/>
      <c r="BC1080" s="562"/>
      <c r="BD1080" s="562"/>
      <c r="BE1080" s="562"/>
      <c r="BF1080" s="562"/>
      <c r="BG1080" s="562"/>
      <c r="BH1080" s="562"/>
    </row>
    <row r="1081" spans="1:60" x14ac:dyDescent="0.2">
      <c r="A1081" s="541">
        <v>9</v>
      </c>
      <c r="B1081" s="551">
        <v>901.14</v>
      </c>
      <c r="C1081" s="544"/>
      <c r="D1081" s="544"/>
      <c r="E1081" s="544" t="s">
        <v>2183</v>
      </c>
      <c r="F1081" s="544"/>
      <c r="G1081" s="543" t="str">
        <f ca="1">IF(N1081&gt;0,"P","")</f>
        <v/>
      </c>
      <c r="H1081" s="541" t="s">
        <v>3758</v>
      </c>
      <c r="I1081" s="121"/>
      <c r="J1081" s="20" t="s">
        <v>2183</v>
      </c>
      <c r="K1081" s="3"/>
      <c r="L1081" s="817" t="s">
        <v>3110</v>
      </c>
      <c r="M1081" s="814">
        <v>1</v>
      </c>
      <c r="N1081" s="795">
        <f ca="1">'Ch9'!O180</f>
        <v>0</v>
      </c>
      <c r="O1081" s="795">
        <f ca="1">M1081*S1081*W1081</f>
        <v>0</v>
      </c>
      <c r="P1081" s="64" t="b">
        <v>0</v>
      </c>
      <c r="Q1081" s="64" t="b">
        <v>1</v>
      </c>
      <c r="R1081" s="562" t="b">
        <v>0</v>
      </c>
      <c r="S1081" s="562" t="b">
        <f ca="1">$AY$18=INDEX(INDIRECT("ddSingleOrMulti"),2)</f>
        <v>0</v>
      </c>
      <c r="T1081" s="64" t="b">
        <f ca="1">AND(NOT(S1081),W1081=TRUE)</f>
        <v>0</v>
      </c>
      <c r="U1081" s="562"/>
      <c r="V1081" s="562"/>
      <c r="W1081" s="18"/>
      <c r="X1081" s="787"/>
      <c r="Y1081" s="980" t="str">
        <f>IF(LEN('Ch9'!X180)=0,"None",'Ch9'!X180)</f>
        <v>None</v>
      </c>
      <c r="Z1081" s="983"/>
      <c r="AA1081" s="562"/>
      <c r="AB1081" s="562"/>
      <c r="AC1081" s="562" t="b">
        <f ca="1">OR(AD1081:AE1081)</f>
        <v>0</v>
      </c>
      <c r="AD1081" s="562" t="b">
        <f ca="1">T1081</f>
        <v>0</v>
      </c>
      <c r="AE1081" s="562" t="b">
        <f>AND(R1081,NOT(W1081))</f>
        <v>0</v>
      </c>
      <c r="AF1081" s="562" t="b">
        <f>AND(AE1081,NOT(Q1081))</f>
        <v>0</v>
      </c>
      <c r="AG1081" s="562"/>
      <c r="AH1081" s="562"/>
      <c r="AI1081" s="562"/>
      <c r="AJ1081" s="562"/>
      <c r="AK1081" s="562"/>
      <c r="AL1081" s="190" t="str">
        <f t="shared" ref="AL1081" si="319">SUBSTITUTE(SUBSTITUTE(SUBSTITUTE("vpa"&amp;$B1081&amp;$C1081&amp;$D1081&amp;$E1081&amp;$F1081,".","_"),"(","_"),")","")</f>
        <v>vpa901,14_2</v>
      </c>
      <c r="AM1081" s="190">
        <f>M1081</f>
        <v>1</v>
      </c>
      <c r="AN1081" s="190" t="str">
        <f>SUBSTITUTE(SUBSTITUTE(SUBSTITUTE("vpc"&amp;$B1081&amp;$C1081&amp;$D1081&amp;$E1081&amp;$F1081,".","_"),"(","_"),")","")</f>
        <v>vpc901,14_2</v>
      </c>
      <c r="AO1081" s="190">
        <f ca="1">O1081</f>
        <v>0</v>
      </c>
      <c r="AP1081" s="190" t="str">
        <f>SUBSTITUTE(SUBSTITUTE(SUBSTITUTE("vch"&amp;$B1081&amp;$C1081&amp;$D1081&amp;$E1081&amp;$F1081,".","_"),"(","_"),")","")</f>
        <v>vch901,14_2</v>
      </c>
      <c r="AQ1081" s="190">
        <f>W1081</f>
        <v>0</v>
      </c>
      <c r="AR1081" s="190" t="str">
        <f>SUBSTITUTE(SUBSTITUTE(SUBSTITUTE("vnt"&amp;$B1081&amp;$C1081&amp;$D1081&amp;$E1081&amp;$F1081,".","_"),"(","_"),")","")</f>
        <v>vnt901,14_2</v>
      </c>
      <c r="AS1081" s="190">
        <f>X1081</f>
        <v>0</v>
      </c>
      <c r="AT1081" s="562"/>
      <c r="AU1081" s="562"/>
      <c r="AV1081" s="562"/>
      <c r="AW1081" s="562"/>
      <c r="AX1081" s="562"/>
      <c r="AY1081" s="562"/>
      <c r="AZ1081" s="562"/>
      <c r="BA1081" s="562"/>
      <c r="BB1081" s="562"/>
      <c r="BC1081" s="562"/>
      <c r="BD1081" s="562"/>
      <c r="BE1081" s="562"/>
      <c r="BF1081" s="562"/>
      <c r="BG1081" s="562"/>
      <c r="BH1081" s="562"/>
    </row>
    <row r="1082" spans="1:60" ht="15" customHeight="1" thickBot="1" x14ac:dyDescent="0.25">
      <c r="A1082" s="541">
        <v>9</v>
      </c>
      <c r="B1082" s="551">
        <v>901.14</v>
      </c>
      <c r="C1082" s="544"/>
      <c r="D1082" s="544"/>
      <c r="E1082" s="544" t="s">
        <v>2183</v>
      </c>
      <c r="F1082" s="544"/>
      <c r="G1082" s="543" t="str">
        <f t="shared" ref="G1082" ca="1" si="320">G1081</f>
        <v/>
      </c>
      <c r="H1082" s="541" t="s">
        <v>3758</v>
      </c>
      <c r="I1082" s="121"/>
      <c r="J1082" s="3"/>
      <c r="K1082" s="3"/>
      <c r="L1082" s="817"/>
      <c r="M1082" s="814"/>
      <c r="N1082" s="795"/>
      <c r="O1082" s="795"/>
      <c r="P1082" s="562"/>
      <c r="Q1082" s="562"/>
      <c r="R1082" s="562"/>
      <c r="S1082" s="562"/>
      <c r="T1082" s="562"/>
      <c r="U1082" s="562"/>
      <c r="V1082" s="562"/>
      <c r="W1082" s="562"/>
      <c r="X1082" s="787"/>
      <c r="Y1082" s="969"/>
      <c r="Z1082" s="983"/>
      <c r="AA1082" s="562"/>
      <c r="AB1082" s="562"/>
      <c r="AC1082" s="562"/>
      <c r="AD1082" s="562"/>
      <c r="AE1082" s="562"/>
      <c r="AF1082" s="562"/>
      <c r="AG1082" s="562"/>
      <c r="AH1082" s="562"/>
      <c r="AI1082" s="562"/>
      <c r="AJ1082" s="562"/>
      <c r="AK1082" s="562"/>
      <c r="AL1082" s="562"/>
      <c r="AM1082" s="562"/>
      <c r="AN1082" s="562"/>
      <c r="AO1082" s="562"/>
      <c r="AP1082" s="562"/>
      <c r="AQ1082" s="562"/>
      <c r="AR1082" s="562"/>
      <c r="AS1082" s="562"/>
      <c r="AT1082" s="562"/>
      <c r="AU1082" s="562"/>
      <c r="AV1082" s="562"/>
      <c r="AW1082" s="562"/>
      <c r="AX1082" s="562"/>
      <c r="AY1082" s="562"/>
      <c r="AZ1082" s="562"/>
      <c r="BA1082" s="562"/>
      <c r="BB1082" s="562"/>
      <c r="BC1082" s="562"/>
      <c r="BD1082" s="562"/>
      <c r="BE1082" s="562"/>
      <c r="BF1082" s="562"/>
      <c r="BG1082" s="562"/>
      <c r="BH1082" s="562"/>
    </row>
    <row r="1083" spans="1:60" s="497" customFormat="1" ht="15" customHeight="1" thickTop="1" x14ac:dyDescent="0.2">
      <c r="A1083" s="541">
        <v>9</v>
      </c>
      <c r="B1083" s="551" t="s">
        <v>3111</v>
      </c>
      <c r="C1083" s="544"/>
      <c r="D1083" s="544"/>
      <c r="E1083" s="544"/>
      <c r="F1083" s="544"/>
      <c r="G1083" s="543" t="s">
        <v>3343</v>
      </c>
      <c r="H1083" s="541" t="s">
        <v>3758</v>
      </c>
      <c r="I1083" s="131" t="s">
        <v>3112</v>
      </c>
      <c r="J1083" s="132"/>
      <c r="K1083" s="132"/>
      <c r="L1083" s="819" t="s">
        <v>3113</v>
      </c>
      <c r="M1083" s="843" t="str">
        <f>IF(R1083,"Mandatory","N/A")</f>
        <v>N/A</v>
      </c>
      <c r="N1083" s="623"/>
      <c r="O1083" s="623"/>
      <c r="P1083" s="500" t="b">
        <v>0</v>
      </c>
      <c r="Q1083" s="500" t="b">
        <v>1</v>
      </c>
      <c r="R1083" s="491" t="b">
        <f>S1083</f>
        <v>0</v>
      </c>
      <c r="S1083" s="491" t="b">
        <f>AY949&lt;1978</f>
        <v>0</v>
      </c>
      <c r="T1083" s="491" t="b">
        <v>0</v>
      </c>
      <c r="U1083" s="562"/>
      <c r="V1083" s="74"/>
      <c r="W1083" s="221"/>
      <c r="X1083" s="802"/>
      <c r="Y1083" s="984" t="str">
        <f>IF(LEN('Ch9'!X182)=0,"None",'Ch9'!X182)</f>
        <v>None</v>
      </c>
      <c r="Z1083" s="976"/>
      <c r="AA1083" s="562"/>
      <c r="AB1083" s="562"/>
      <c r="AC1083" s="492" t="b">
        <f>OR(AD1083:AE1083)</f>
        <v>0</v>
      </c>
      <c r="AD1083" s="492" t="b">
        <f>T1083</f>
        <v>0</v>
      </c>
      <c r="AE1083" s="492" t="b">
        <f>AND(R1083,NOT(W1083))</f>
        <v>0</v>
      </c>
      <c r="AF1083" s="492" t="b">
        <f>AND(AE1083,NOT(Q1083))</f>
        <v>0</v>
      </c>
      <c r="AG1083" s="562"/>
      <c r="AH1083" s="562"/>
      <c r="AI1083" s="562"/>
      <c r="AJ1083" s="562"/>
      <c r="AK1083" s="562"/>
      <c r="AL1083" s="493" t="str">
        <f t="shared" ref="AL1083" si="321">SUBSTITUTE(SUBSTITUTE(SUBSTITUTE("vpa"&amp;$B1083&amp;$C1083&amp;$D1083&amp;$E1083&amp;$F1083,".","_"),"(","_"),")","")</f>
        <v>vpa901_15</v>
      </c>
      <c r="AM1083" s="493" t="str">
        <f>M1083</f>
        <v>N/A</v>
      </c>
      <c r="AN1083" s="562"/>
      <c r="AO1083" s="562"/>
      <c r="AP1083" s="493" t="str">
        <f>SUBSTITUTE(SUBSTITUTE(SUBSTITUTE("vch"&amp;$B1083&amp;$C1083&amp;$D1083&amp;$E1083&amp;$F1083,".","_"),"(","_"),")","")</f>
        <v>vch901_15</v>
      </c>
      <c r="AQ1083" s="493">
        <f>W1083</f>
        <v>0</v>
      </c>
      <c r="AR1083" s="493" t="str">
        <f>SUBSTITUTE(SUBSTITUTE(SUBSTITUTE("vnt"&amp;$B1083&amp;$C1083&amp;$D1083&amp;$E1083&amp;$F1083,".","_"),"(","_"),")","")</f>
        <v>vnt901_15</v>
      </c>
      <c r="AS1083" s="493">
        <f>X1083</f>
        <v>0</v>
      </c>
      <c r="AT1083" s="562"/>
      <c r="AU1083" s="562"/>
      <c r="AV1083" s="562"/>
      <c r="AW1083" s="562"/>
      <c r="AX1083" s="562"/>
      <c r="AY1083" s="562"/>
      <c r="AZ1083" s="562"/>
      <c r="BA1083" s="562"/>
      <c r="BB1083" s="562"/>
      <c r="BC1083" s="562"/>
      <c r="BD1083" s="562"/>
      <c r="BE1083" s="562"/>
      <c r="BF1083" s="562"/>
      <c r="BG1083" s="562"/>
      <c r="BH1083" s="562"/>
    </row>
    <row r="1084" spans="1:60" s="497" customFormat="1" ht="15" customHeight="1" thickBot="1" x14ac:dyDescent="0.25">
      <c r="A1084" s="541">
        <v>9</v>
      </c>
      <c r="B1084" s="551" t="s">
        <v>3111</v>
      </c>
      <c r="C1084" s="544"/>
      <c r="D1084" s="544"/>
      <c r="E1084" s="544"/>
      <c r="F1084" s="544"/>
      <c r="G1084" s="543" t="s">
        <v>3343</v>
      </c>
      <c r="H1084" s="541" t="s">
        <v>3758</v>
      </c>
      <c r="I1084" s="254"/>
      <c r="J1084" s="185"/>
      <c r="K1084" s="185"/>
      <c r="L1084" s="822"/>
      <c r="M1084" s="844"/>
      <c r="N1084" s="622"/>
      <c r="O1084" s="622"/>
      <c r="P1084" s="68"/>
      <c r="Q1084" s="68"/>
      <c r="R1084" s="68"/>
      <c r="S1084" s="68"/>
      <c r="T1084" s="68"/>
      <c r="U1084" s="68"/>
      <c r="V1084" s="68"/>
      <c r="W1084" s="81"/>
      <c r="X1084" s="799"/>
      <c r="Y1084" s="979"/>
      <c r="Z1084" s="1007"/>
      <c r="AA1084" s="562"/>
      <c r="AB1084" s="562"/>
      <c r="AC1084" s="562"/>
      <c r="AD1084" s="562"/>
      <c r="AE1084" s="562"/>
      <c r="AF1084" s="562"/>
      <c r="AG1084" s="562"/>
      <c r="AH1084" s="562"/>
      <c r="AI1084" s="562"/>
      <c r="AJ1084" s="562"/>
      <c r="AK1084" s="562"/>
      <c r="AL1084" s="562"/>
      <c r="AM1084" s="562"/>
      <c r="AN1084" s="562"/>
      <c r="AO1084" s="562"/>
      <c r="AP1084" s="562"/>
      <c r="AQ1084" s="562"/>
      <c r="AR1084" s="562"/>
      <c r="AS1084" s="562"/>
      <c r="AT1084" s="562"/>
      <c r="AU1084" s="562"/>
      <c r="AV1084" s="562"/>
      <c r="AW1084" s="562"/>
      <c r="AX1084" s="562"/>
      <c r="AY1084" s="562"/>
      <c r="AZ1084" s="562"/>
      <c r="BA1084" s="562"/>
      <c r="BB1084" s="562"/>
      <c r="BC1084" s="562"/>
      <c r="BD1084" s="562"/>
      <c r="BE1084" s="562"/>
      <c r="BF1084" s="562"/>
      <c r="BG1084" s="562"/>
      <c r="BH1084" s="562"/>
    </row>
    <row r="1085" spans="1:60" ht="15" customHeight="1" thickTop="1" x14ac:dyDescent="0.25">
      <c r="A1085" s="541">
        <v>9</v>
      </c>
      <c r="B1085" s="551">
        <v>902</v>
      </c>
      <c r="C1085" s="544"/>
      <c r="D1085" s="544"/>
      <c r="E1085" s="544"/>
      <c r="F1085" s="544"/>
      <c r="G1085" s="543" t="s">
        <v>3343</v>
      </c>
      <c r="H1085" s="541" t="s">
        <v>3751</v>
      </c>
      <c r="I1085" s="8" t="s">
        <v>3114</v>
      </c>
      <c r="J1085" s="16"/>
      <c r="K1085" s="16"/>
      <c r="L1085" s="54"/>
      <c r="M1085" s="264"/>
      <c r="N1085" s="264"/>
      <c r="O1085" s="264"/>
      <c r="P1085" s="16"/>
      <c r="Q1085" s="16"/>
      <c r="R1085" s="16"/>
      <c r="S1085" s="16"/>
      <c r="T1085" s="16"/>
      <c r="U1085" s="16"/>
      <c r="V1085" s="16"/>
      <c r="W1085" s="16"/>
      <c r="X1085" s="16"/>
      <c r="Y1085" s="16"/>
      <c r="Z1085" s="453"/>
      <c r="AA1085" s="562"/>
      <c r="AB1085" s="562"/>
      <c r="AC1085" s="562"/>
      <c r="AD1085" s="562"/>
      <c r="AE1085" s="562"/>
      <c r="AF1085" s="562"/>
      <c r="AG1085" s="562"/>
      <c r="AH1085" s="562"/>
      <c r="AI1085" s="562"/>
      <c r="AJ1085" s="562"/>
      <c r="AK1085" s="562"/>
      <c r="AL1085" s="562"/>
      <c r="AM1085" s="562"/>
      <c r="AN1085" s="562"/>
      <c r="AO1085" s="562"/>
      <c r="AP1085" s="562"/>
      <c r="AQ1085" s="562"/>
      <c r="AR1085" s="562"/>
      <c r="AS1085" s="562"/>
      <c r="AT1085" s="562"/>
      <c r="AU1085" s="562"/>
      <c r="AV1085" s="562"/>
      <c r="AW1085" s="562"/>
      <c r="AX1085" s="562"/>
      <c r="AY1085" s="562"/>
      <c r="AZ1085" s="562"/>
      <c r="BA1085" s="562"/>
      <c r="BB1085" s="562"/>
      <c r="BC1085" s="562"/>
      <c r="BD1085" s="562"/>
      <c r="BE1085" s="562"/>
      <c r="BF1085" s="562"/>
      <c r="BG1085" s="562"/>
      <c r="BH1085" s="562"/>
    </row>
    <row r="1086" spans="1:60" ht="16" thickBot="1" x14ac:dyDescent="0.25">
      <c r="A1086" s="541">
        <v>9</v>
      </c>
      <c r="B1086" s="551" t="s">
        <v>3115</v>
      </c>
      <c r="C1086" s="544"/>
      <c r="D1086" s="544"/>
      <c r="E1086" s="544"/>
      <c r="F1086" s="544"/>
      <c r="G1086" s="541"/>
      <c r="H1086" s="541"/>
      <c r="I1086" s="251" t="s">
        <v>3116</v>
      </c>
      <c r="J1086" s="185"/>
      <c r="K1086" s="185"/>
      <c r="L1086" s="647" t="s">
        <v>3117</v>
      </c>
      <c r="M1086" s="615"/>
      <c r="N1086" s="622"/>
      <c r="O1086" s="622"/>
      <c r="P1086" s="68"/>
      <c r="Q1086" s="68"/>
      <c r="R1086" s="68"/>
      <c r="S1086" s="68"/>
      <c r="T1086" s="68"/>
      <c r="U1086" s="68"/>
      <c r="V1086" s="68"/>
      <c r="W1086" s="68"/>
      <c r="X1086" s="68"/>
      <c r="Y1086" s="562"/>
      <c r="Z1086" s="430"/>
      <c r="AA1086" s="562"/>
      <c r="AB1086" s="562"/>
      <c r="AC1086" s="562"/>
      <c r="AD1086" s="562"/>
      <c r="AE1086" s="562"/>
      <c r="AF1086" s="562"/>
      <c r="AG1086" s="562"/>
      <c r="AH1086" s="562"/>
      <c r="AI1086" s="562"/>
      <c r="AJ1086" s="562"/>
      <c r="AK1086" s="562"/>
      <c r="AL1086" s="562"/>
      <c r="AM1086" s="562"/>
      <c r="AN1086" s="562"/>
      <c r="AO1086" s="562"/>
      <c r="AP1086" s="562"/>
      <c r="AQ1086" s="562"/>
      <c r="AR1086" s="562"/>
      <c r="AS1086" s="562"/>
      <c r="AT1086" s="562"/>
      <c r="AU1086" s="562"/>
      <c r="AV1086" s="562"/>
      <c r="AW1086" s="562"/>
      <c r="AX1086" s="562"/>
      <c r="AY1086" s="562"/>
      <c r="AZ1086" s="562"/>
      <c r="BA1086" s="562"/>
      <c r="BB1086" s="562"/>
      <c r="BC1086" s="562"/>
      <c r="BD1086" s="562"/>
      <c r="BE1086" s="562"/>
      <c r="BF1086" s="562"/>
      <c r="BG1086" s="562"/>
      <c r="BH1086" s="562"/>
    </row>
    <row r="1087" spans="1:60" ht="16" thickTop="1" x14ac:dyDescent="0.2">
      <c r="A1087" s="541">
        <v>9</v>
      </c>
      <c r="B1087" s="551">
        <v>902.1</v>
      </c>
      <c r="C1087" s="544"/>
      <c r="D1087" s="544"/>
      <c r="E1087" s="544"/>
      <c r="F1087" s="544"/>
      <c r="G1087" s="543" t="s">
        <v>3343</v>
      </c>
      <c r="H1087" s="541" t="s">
        <v>3758</v>
      </c>
      <c r="I1087" s="40" t="s">
        <v>3118</v>
      </c>
      <c r="J1087" s="3"/>
      <c r="K1087" s="3"/>
      <c r="L1087" s="654" t="s">
        <v>3119</v>
      </c>
      <c r="M1087" s="616"/>
      <c r="N1087" s="609"/>
      <c r="O1087" s="609"/>
      <c r="P1087" s="562"/>
      <c r="Q1087" s="562"/>
      <c r="R1087" s="562"/>
      <c r="S1087" s="562"/>
      <c r="T1087" s="562"/>
      <c r="U1087" s="562"/>
      <c r="V1087" s="562"/>
      <c r="W1087" s="562"/>
      <c r="X1087" s="562"/>
      <c r="Y1087" s="74"/>
      <c r="Z1087" s="430"/>
      <c r="AA1087" s="562"/>
      <c r="AB1087" s="562"/>
      <c r="AC1087" s="562"/>
      <c r="AD1087" s="562"/>
      <c r="AE1087" s="562"/>
      <c r="AF1087" s="562"/>
      <c r="AG1087" s="562"/>
      <c r="AH1087" s="562"/>
      <c r="AI1087" s="562"/>
      <c r="AJ1087" s="562"/>
      <c r="AK1087" s="562"/>
      <c r="AL1087" s="562"/>
      <c r="AM1087" s="562"/>
      <c r="AN1087" s="562"/>
      <c r="AO1087" s="562"/>
      <c r="AP1087" s="562"/>
      <c r="AQ1087" s="562"/>
      <c r="AR1087" s="562"/>
      <c r="AS1087" s="562"/>
      <c r="AT1087" s="562"/>
      <c r="AU1087" s="562"/>
      <c r="AV1087" s="562"/>
      <c r="AW1087" s="562"/>
      <c r="AX1087" s="562"/>
      <c r="AY1087" s="562"/>
      <c r="AZ1087" s="562"/>
      <c r="BA1087" s="562"/>
      <c r="BB1087" s="562"/>
      <c r="BC1087" s="562"/>
      <c r="BD1087" s="562"/>
      <c r="BE1087" s="562"/>
      <c r="BF1087" s="562"/>
      <c r="BG1087" s="562"/>
      <c r="BH1087" s="562"/>
    </row>
    <row r="1088" spans="1:60" x14ac:dyDescent="0.2">
      <c r="A1088" s="541">
        <v>9</v>
      </c>
      <c r="B1088" s="551">
        <v>902.1</v>
      </c>
      <c r="C1088" s="544"/>
      <c r="D1088" s="544"/>
      <c r="E1088" s="544"/>
      <c r="F1088" s="544"/>
      <c r="G1088" s="543" t="s">
        <v>3343</v>
      </c>
      <c r="H1088" s="541" t="s">
        <v>3758</v>
      </c>
      <c r="I1088" s="40" t="s">
        <v>3120</v>
      </c>
      <c r="J1088" s="3"/>
      <c r="K1088" s="3"/>
      <c r="L1088" s="654" t="s">
        <v>3121</v>
      </c>
      <c r="M1088" s="616"/>
      <c r="N1088" s="609"/>
      <c r="O1088" s="609"/>
      <c r="P1088" s="562"/>
      <c r="Q1088" s="562"/>
      <c r="R1088" s="562"/>
      <c r="S1088" s="562"/>
      <c r="T1088" s="562"/>
      <c r="U1088" s="562"/>
      <c r="V1088" s="562"/>
      <c r="W1088" s="562"/>
      <c r="X1088" s="562"/>
      <c r="Y1088" s="562"/>
      <c r="Z1088" s="430"/>
      <c r="AA1088" s="562"/>
      <c r="AB1088" s="562"/>
      <c r="AC1088" s="562"/>
      <c r="AD1088" s="562"/>
      <c r="AE1088" s="562"/>
      <c r="AF1088" s="562"/>
      <c r="AG1088" s="562"/>
      <c r="AH1088" s="562"/>
      <c r="AI1088" s="562"/>
      <c r="AJ1088" s="562"/>
      <c r="AK1088" s="562"/>
      <c r="AL1088" s="562"/>
      <c r="AM1088" s="562"/>
      <c r="AN1088" s="562"/>
      <c r="AO1088" s="562"/>
      <c r="AP1088" s="562"/>
      <c r="AQ1088" s="562"/>
      <c r="AR1088" s="562"/>
      <c r="AS1088" s="562"/>
      <c r="AT1088" s="562"/>
      <c r="AU1088" s="562"/>
      <c r="AV1088" s="562"/>
      <c r="AW1088" s="562"/>
      <c r="AX1088" s="562"/>
      <c r="AY1088" s="562"/>
      <c r="AZ1088" s="562"/>
      <c r="BA1088" s="562"/>
      <c r="BB1088" s="562"/>
      <c r="BC1088" s="562"/>
      <c r="BD1088" s="562"/>
      <c r="BE1088" s="562"/>
      <c r="BF1088" s="562"/>
      <c r="BG1088" s="562"/>
      <c r="BH1088" s="562"/>
    </row>
    <row r="1089" spans="1:60" x14ac:dyDescent="0.2">
      <c r="A1089" s="541">
        <v>9</v>
      </c>
      <c r="B1089" s="551">
        <v>902.1</v>
      </c>
      <c r="C1089" s="544"/>
      <c r="D1089" s="544"/>
      <c r="E1089" s="544" t="s">
        <v>2181</v>
      </c>
      <c r="F1089" s="544"/>
      <c r="G1089" s="543" t="s">
        <v>3343</v>
      </c>
      <c r="H1089" s="541" t="s">
        <v>3758</v>
      </c>
      <c r="I1089" s="121"/>
      <c r="J1089" s="20" t="s">
        <v>2181</v>
      </c>
      <c r="K1089" s="3"/>
      <c r="L1089" s="817" t="s">
        <v>3122</v>
      </c>
      <c r="M1089" s="838" t="str">
        <f>IF(R1089,"Mandatory","N/A")</f>
        <v>Mandatory</v>
      </c>
      <c r="N1089" s="609"/>
      <c r="O1089" s="609"/>
      <c r="P1089" s="64" t="b">
        <v>0</v>
      </c>
      <c r="Q1089" s="64" t="b">
        <v>1</v>
      </c>
      <c r="R1089" s="562" t="b">
        <f>S1089</f>
        <v>1</v>
      </c>
      <c r="S1089" s="562" t="b">
        <v>1</v>
      </c>
      <c r="T1089" s="562" t="b">
        <v>0</v>
      </c>
      <c r="U1089" s="562"/>
      <c r="V1089" s="562"/>
      <c r="W1089" s="18"/>
      <c r="X1089" s="787"/>
      <c r="Y1089" s="980" t="str">
        <f>IF(LEN('Ch9'!X188)=0,"None",'Ch9'!X188)</f>
        <v>None</v>
      </c>
      <c r="Z1089" s="983"/>
      <c r="AA1089" s="562"/>
      <c r="AB1089" s="562"/>
      <c r="AC1089" s="562" t="b">
        <f>OR(AD1089:AE1089)</f>
        <v>1</v>
      </c>
      <c r="AD1089" s="562" t="b">
        <f>T1089</f>
        <v>0</v>
      </c>
      <c r="AE1089" s="562" t="b">
        <f>AND(R1089,NOT(W1089))</f>
        <v>1</v>
      </c>
      <c r="AF1089" s="562" t="b">
        <f>AND(AE1089,NOT(Q1089))</f>
        <v>0</v>
      </c>
      <c r="AG1089" s="562"/>
      <c r="AH1089" s="562"/>
      <c r="AI1089" s="562"/>
      <c r="AJ1089" s="562"/>
      <c r="AK1089" s="562"/>
      <c r="AL1089" s="562"/>
      <c r="AM1089" s="562"/>
      <c r="AN1089" s="562"/>
      <c r="AO1089" s="562"/>
      <c r="AP1089" s="190" t="str">
        <f>SUBSTITUTE(SUBSTITUTE(SUBSTITUTE("vch"&amp;$B1089&amp;$C1089&amp;$D1089&amp;$E1089&amp;$F1089,".","_"),"(","_"),")","")</f>
        <v>vch902,1_1</v>
      </c>
      <c r="AQ1089" s="190">
        <f>W1089</f>
        <v>0</v>
      </c>
      <c r="AR1089" s="190" t="str">
        <f>SUBSTITUTE(SUBSTITUTE(SUBSTITUTE("vnt"&amp;$B1089&amp;$C1089&amp;$D1089&amp;$E1089&amp;$F1089,".","_"),"(","_"),")","")</f>
        <v>vnt902,1_1</v>
      </c>
      <c r="AS1089" s="190">
        <f>X1089</f>
        <v>0</v>
      </c>
      <c r="AT1089" s="562"/>
      <c r="AU1089" s="562"/>
      <c r="AV1089" s="562"/>
      <c r="AW1089" s="562"/>
      <c r="AX1089" s="562"/>
      <c r="AY1089" s="562"/>
      <c r="AZ1089" s="562"/>
      <c r="BA1089" s="562"/>
      <c r="BB1089" s="562"/>
      <c r="BC1089" s="562"/>
      <c r="BD1089" s="562"/>
      <c r="BE1089" s="562"/>
      <c r="BF1089" s="562"/>
      <c r="BG1089" s="562"/>
      <c r="BH1089" s="562"/>
    </row>
    <row r="1090" spans="1:60" x14ac:dyDescent="0.2">
      <c r="A1090" s="541">
        <v>9</v>
      </c>
      <c r="B1090" s="551">
        <v>902.1</v>
      </c>
      <c r="C1090" s="544"/>
      <c r="D1090" s="544"/>
      <c r="E1090" s="544" t="s">
        <v>2181</v>
      </c>
      <c r="F1090" s="544"/>
      <c r="G1090" s="543" t="s">
        <v>3343</v>
      </c>
      <c r="H1090" s="541" t="s">
        <v>3758</v>
      </c>
      <c r="I1090" s="121"/>
      <c r="J1090" s="3"/>
      <c r="K1090" s="3"/>
      <c r="L1090" s="817"/>
      <c r="M1090" s="838"/>
      <c r="N1090" s="609"/>
      <c r="O1090" s="609"/>
      <c r="P1090" s="562"/>
      <c r="Q1090" s="562"/>
      <c r="R1090" s="562"/>
      <c r="S1090" s="562"/>
      <c r="T1090" s="562"/>
      <c r="U1090" s="562"/>
      <c r="V1090" s="562"/>
      <c r="W1090" s="562"/>
      <c r="X1090" s="787"/>
      <c r="Y1090" s="980"/>
      <c r="Z1090" s="983"/>
      <c r="AA1090" s="562"/>
      <c r="AB1090" s="562"/>
      <c r="AC1090" s="562"/>
      <c r="AD1090" s="562"/>
      <c r="AE1090" s="562"/>
      <c r="AF1090" s="562"/>
      <c r="AG1090" s="562"/>
      <c r="AH1090" s="562"/>
      <c r="AI1090" s="562"/>
      <c r="AJ1090" s="562"/>
      <c r="AK1090" s="562"/>
      <c r="AL1090" s="562"/>
      <c r="AM1090" s="562"/>
      <c r="AN1090" s="562"/>
      <c r="AO1090" s="562"/>
      <c r="AP1090" s="562"/>
      <c r="AQ1090" s="562"/>
      <c r="AR1090" s="562"/>
      <c r="AS1090" s="562"/>
      <c r="AT1090" s="562"/>
      <c r="AU1090" s="562"/>
      <c r="AV1090" s="562"/>
      <c r="AW1090" s="562"/>
      <c r="AX1090" s="562"/>
      <c r="AY1090" s="562"/>
      <c r="AZ1090" s="562"/>
      <c r="BA1090" s="562"/>
      <c r="BB1090" s="562"/>
      <c r="BC1090" s="562"/>
      <c r="BD1090" s="562"/>
      <c r="BE1090" s="562"/>
      <c r="BF1090" s="562"/>
      <c r="BG1090" s="562"/>
      <c r="BH1090" s="562"/>
    </row>
    <row r="1091" spans="1:60" x14ac:dyDescent="0.2">
      <c r="A1091" s="541">
        <v>9</v>
      </c>
      <c r="B1091" s="551">
        <v>902.1</v>
      </c>
      <c r="C1091" s="544"/>
      <c r="D1091" s="544"/>
      <c r="E1091" s="544" t="s">
        <v>2181</v>
      </c>
      <c r="F1091" s="544" t="s">
        <v>2196</v>
      </c>
      <c r="G1091" s="543" t="str">
        <f>IF(N1091&gt;0,"P","")</f>
        <v/>
      </c>
      <c r="H1091" s="545" t="s">
        <v>3758</v>
      </c>
      <c r="I1091" s="121"/>
      <c r="J1091" s="134"/>
      <c r="K1091" s="134" t="s">
        <v>2196</v>
      </c>
      <c r="L1091" s="791" t="s">
        <v>3123</v>
      </c>
      <c r="M1091" s="800">
        <v>1</v>
      </c>
      <c r="N1091" s="793">
        <f>'Ch9'!O190</f>
        <v>0</v>
      </c>
      <c r="O1091" s="793">
        <f>M1091*S1091*W1091</f>
        <v>0</v>
      </c>
      <c r="P1091" s="64" t="b">
        <v>0</v>
      </c>
      <c r="Q1091" s="64" t="b">
        <v>1</v>
      </c>
      <c r="R1091" s="562" t="b">
        <v>0</v>
      </c>
      <c r="S1091" s="562" t="b">
        <f>W1089=TRUE</f>
        <v>0</v>
      </c>
      <c r="T1091" s="64" t="b">
        <f>AND(NOT(S1091),W1091=TRUE)</f>
        <v>0</v>
      </c>
      <c r="U1091" s="562"/>
      <c r="V1091" s="562"/>
      <c r="W1091" s="18"/>
      <c r="X1091" s="787"/>
      <c r="Y1091" s="980" t="str">
        <f>IF(LEN('Ch9'!X190)=0,"None",'Ch9'!X190)</f>
        <v>None</v>
      </c>
      <c r="Z1091" s="983"/>
      <c r="AA1091" s="562"/>
      <c r="AB1091" s="562"/>
      <c r="AC1091" s="562" t="b">
        <f>OR(AD1091:AE1091)</f>
        <v>0</v>
      </c>
      <c r="AD1091" s="562" t="b">
        <f>T1091</f>
        <v>0</v>
      </c>
      <c r="AE1091" s="562" t="b">
        <f>AND(R1091,NOT(W1091))</f>
        <v>0</v>
      </c>
      <c r="AF1091" s="562" t="b">
        <f>AND(AE1091,NOT(Q1091))</f>
        <v>0</v>
      </c>
      <c r="AG1091" s="562"/>
      <c r="AH1091" s="562"/>
      <c r="AI1091" s="562"/>
      <c r="AJ1091" s="562"/>
      <c r="AK1091" s="562"/>
      <c r="AL1091" s="190" t="str">
        <f t="shared" ref="AL1091" si="322">SUBSTITUTE(SUBSTITUTE(SUBSTITUTE("vpa"&amp;$B1091&amp;$C1091&amp;$D1091&amp;$E1091&amp;$F1091,".","_"),"(","_"),")","")</f>
        <v>vpa902,1_1_a</v>
      </c>
      <c r="AM1091" s="190">
        <f>M1091</f>
        <v>1</v>
      </c>
      <c r="AN1091" s="190" t="str">
        <f>SUBSTITUTE(SUBSTITUTE(SUBSTITUTE("vpc"&amp;$B1091&amp;$C1091&amp;$D1091&amp;$E1091&amp;$F1091,".","_"),"(","_"),")","")</f>
        <v>vpc902,1_1_a</v>
      </c>
      <c r="AO1091" s="190">
        <f>O1091</f>
        <v>0</v>
      </c>
      <c r="AP1091" s="190" t="str">
        <f>SUBSTITUTE(SUBSTITUTE(SUBSTITUTE("vch"&amp;$B1091&amp;$C1091&amp;$D1091&amp;$E1091&amp;$F1091,".","_"),"(","_"),")","")</f>
        <v>vch902,1_1_a</v>
      </c>
      <c r="AQ1091" s="190">
        <f>W1091</f>
        <v>0</v>
      </c>
      <c r="AR1091" s="190" t="str">
        <f>SUBSTITUTE(SUBSTITUTE(SUBSTITUTE("vnt"&amp;$B1091&amp;$C1091&amp;$D1091&amp;$E1091&amp;$F1091,".","_"),"(","_"),")","")</f>
        <v>vnt902,1_1_a</v>
      </c>
      <c r="AS1091" s="190">
        <f>X1091</f>
        <v>0</v>
      </c>
      <c r="AT1091" s="562"/>
      <c r="AU1091" s="562"/>
      <c r="AV1091" s="562"/>
      <c r="AW1091" s="562"/>
      <c r="AX1091" s="562"/>
      <c r="AY1091" s="562"/>
      <c r="AZ1091" s="562"/>
      <c r="BA1091" s="562"/>
      <c r="BB1091" s="562"/>
      <c r="BC1091" s="562"/>
      <c r="BD1091" s="562"/>
      <c r="BE1091" s="562"/>
      <c r="BF1091" s="562"/>
      <c r="BG1091" s="562"/>
      <c r="BH1091" s="562"/>
    </row>
    <row r="1092" spans="1:60" x14ac:dyDescent="0.2">
      <c r="A1092" s="541">
        <v>9</v>
      </c>
      <c r="B1092" s="551">
        <v>902.1</v>
      </c>
      <c r="C1092" s="544"/>
      <c r="D1092" s="544"/>
      <c r="E1092" s="544" t="s">
        <v>2181</v>
      </c>
      <c r="F1092" s="544"/>
      <c r="G1092" s="543" t="str">
        <f t="shared" ref="G1092" si="323">G1091</f>
        <v/>
      </c>
      <c r="H1092" s="541" t="s">
        <v>3758</v>
      </c>
      <c r="I1092" s="121"/>
      <c r="J1092" s="159"/>
      <c r="K1092" s="165"/>
      <c r="L1092" s="792"/>
      <c r="M1092" s="801"/>
      <c r="N1092" s="794"/>
      <c r="O1092" s="794"/>
      <c r="P1092" s="562"/>
      <c r="Q1092" s="562"/>
      <c r="R1092" s="562"/>
      <c r="S1092" s="562"/>
      <c r="T1092" s="562"/>
      <c r="U1092" s="562"/>
      <c r="V1092" s="562"/>
      <c r="W1092" s="562"/>
      <c r="X1092" s="787"/>
      <c r="Y1092" s="980"/>
      <c r="Z1092" s="983"/>
      <c r="AA1092" s="562"/>
      <c r="AB1092" s="562"/>
      <c r="AC1092" s="562"/>
      <c r="AD1092" s="562"/>
      <c r="AE1092" s="562"/>
      <c r="AF1092" s="562"/>
      <c r="AG1092" s="562"/>
      <c r="AH1092" s="562"/>
      <c r="AI1092" s="562"/>
      <c r="AJ1092" s="562"/>
      <c r="AK1092" s="562"/>
      <c r="AL1092" s="562"/>
      <c r="AM1092" s="562"/>
      <c r="AN1092" s="562"/>
      <c r="AO1092" s="562"/>
      <c r="AP1092" s="562"/>
      <c r="AQ1092" s="562"/>
      <c r="AR1092" s="562"/>
      <c r="AS1092" s="562"/>
      <c r="AT1092" s="562"/>
      <c r="AU1092" s="562"/>
      <c r="AV1092" s="562"/>
      <c r="AW1092" s="562"/>
      <c r="AX1092" s="562"/>
      <c r="AY1092" s="562"/>
      <c r="AZ1092" s="562"/>
      <c r="BA1092" s="562"/>
      <c r="BB1092" s="562"/>
      <c r="BC1092" s="562"/>
      <c r="BD1092" s="562"/>
      <c r="BE1092" s="562"/>
      <c r="BF1092" s="562"/>
      <c r="BG1092" s="562"/>
      <c r="BH1092" s="562"/>
    </row>
    <row r="1093" spans="1:60" x14ac:dyDescent="0.2">
      <c r="A1093" s="541">
        <v>9</v>
      </c>
      <c r="B1093" s="551">
        <v>902.1</v>
      </c>
      <c r="C1093" s="544"/>
      <c r="D1093" s="544"/>
      <c r="E1093" s="544" t="s">
        <v>3124</v>
      </c>
      <c r="F1093" s="544"/>
      <c r="G1093" s="543" t="s">
        <v>3343</v>
      </c>
      <c r="H1093" s="541" t="s">
        <v>3758</v>
      </c>
      <c r="I1093" s="121"/>
      <c r="J1093" s="134" t="s">
        <v>2183</v>
      </c>
      <c r="K1093" s="98"/>
      <c r="L1093" s="791" t="s">
        <v>3125</v>
      </c>
      <c r="M1093" s="838" t="str">
        <f>IF(R1093,"Mandatory","N/A")</f>
        <v>Mandatory</v>
      </c>
      <c r="N1093" s="609"/>
      <c r="O1093" s="609"/>
      <c r="P1093" s="64" t="b">
        <v>0</v>
      </c>
      <c r="Q1093" s="64" t="b">
        <v>1</v>
      </c>
      <c r="R1093" s="562" t="b">
        <f>S1093</f>
        <v>1</v>
      </c>
      <c r="S1093" s="562" t="b">
        <v>1</v>
      </c>
      <c r="T1093" s="562" t="b">
        <v>0</v>
      </c>
      <c r="U1093" s="64" t="str">
        <f>SUBSTITUTE(SUBSTITUTE(SUBSTITUTE("dd"&amp;B1093&amp;C1093&amp;D1093&amp;E1093&amp;F1093,".","_"),"(","_"),")","")</f>
        <v>dd902,1_2_</v>
      </c>
      <c r="V1093" s="562"/>
      <c r="W1093" s="6"/>
      <c r="X1093" s="787"/>
      <c r="Y1093" s="980" t="str">
        <f>IF(LEN('Ch9'!X192)=0,"None",'Ch9'!X192)</f>
        <v>None</v>
      </c>
      <c r="Z1093" s="983"/>
      <c r="AA1093" s="562"/>
      <c r="AB1093" s="562"/>
      <c r="AC1093" s="562" t="b">
        <f>OR(AD1093:AE1093)</f>
        <v>1</v>
      </c>
      <c r="AD1093" s="562" t="b">
        <f>T1093</f>
        <v>0</v>
      </c>
      <c r="AE1093" s="562" t="b">
        <f>AND(R1093,OR(W1093="Not Met",W1093=""))</f>
        <v>1</v>
      </c>
      <c r="AF1093" s="562" t="b">
        <f>AND(AE1093,NOT(Q1093))</f>
        <v>0</v>
      </c>
      <c r="AG1093" s="562"/>
      <c r="AH1093" s="562"/>
      <c r="AI1093" s="562"/>
      <c r="AJ1093" s="562"/>
      <c r="AK1093" s="562"/>
      <c r="AL1093" s="190" t="str">
        <f t="shared" ref="AL1093" si="324">SUBSTITUTE(SUBSTITUTE(SUBSTITUTE("vpa"&amp;$B1093&amp;$C1093&amp;$D1093&amp;$E1093&amp;$F1093,".","_"),"(","_"),")","")</f>
        <v>vpa902,1_2_</v>
      </c>
      <c r="AM1093" s="190" t="str">
        <f>M1093</f>
        <v>Mandatory</v>
      </c>
      <c r="AN1093" s="562"/>
      <c r="AO1093" s="562"/>
      <c r="AP1093" s="190" t="str">
        <f>SUBSTITUTE(SUBSTITUTE(SUBSTITUTE("vch"&amp;$B1093&amp;$C1093&amp;$D1093&amp;$E1093&amp;$F1093,".","_"),"(","_"),")","")</f>
        <v>vch902,1_2_</v>
      </c>
      <c r="AQ1093" s="190">
        <f>W1093</f>
        <v>0</v>
      </c>
      <c r="AR1093" s="190" t="str">
        <f>SUBSTITUTE(SUBSTITUTE(SUBSTITUTE("vnt"&amp;$B1093&amp;$C1093&amp;$D1093&amp;$E1093&amp;$F1093,".","_"),"(","_"),")","")</f>
        <v>vnt902,1_2_</v>
      </c>
      <c r="AS1093" s="190">
        <f>X1093</f>
        <v>0</v>
      </c>
      <c r="AT1093" s="562"/>
      <c r="AU1093" s="562"/>
      <c r="AV1093" s="562"/>
      <c r="AW1093" s="562"/>
      <c r="AX1093" s="562"/>
      <c r="AY1093" s="562"/>
      <c r="AZ1093" s="562"/>
      <c r="BA1093" s="562"/>
      <c r="BB1093" s="562"/>
      <c r="BC1093" s="562"/>
      <c r="BD1093" s="562"/>
      <c r="BE1093" s="562"/>
      <c r="BF1093" s="562"/>
      <c r="BG1093" s="562"/>
      <c r="BH1093" s="562"/>
    </row>
    <row r="1094" spans="1:60" x14ac:dyDescent="0.2">
      <c r="A1094" s="541">
        <v>9</v>
      </c>
      <c r="B1094" s="551">
        <v>902.1</v>
      </c>
      <c r="C1094" s="544"/>
      <c r="D1094" s="544"/>
      <c r="E1094" s="544" t="s">
        <v>2183</v>
      </c>
      <c r="F1094" s="544"/>
      <c r="G1094" s="543" t="s">
        <v>3343</v>
      </c>
      <c r="H1094" s="541" t="s">
        <v>3758</v>
      </c>
      <c r="I1094" s="121"/>
      <c r="J1094" s="159"/>
      <c r="K1094" s="165"/>
      <c r="L1094" s="792"/>
      <c r="M1094" s="854"/>
      <c r="N1094" s="608"/>
      <c r="O1094" s="608"/>
      <c r="P1094" s="562"/>
      <c r="Q1094" s="562"/>
      <c r="R1094" s="562"/>
      <c r="S1094" s="562"/>
      <c r="T1094" s="562"/>
      <c r="U1094" s="562"/>
      <c r="V1094" s="562"/>
      <c r="W1094" s="562"/>
      <c r="X1094" s="787"/>
      <c r="Y1094" s="980"/>
      <c r="Z1094" s="983"/>
      <c r="AA1094" s="562"/>
      <c r="AB1094" s="562"/>
      <c r="AC1094" s="562"/>
      <c r="AD1094" s="562"/>
      <c r="AE1094" s="562"/>
      <c r="AF1094" s="562"/>
      <c r="AG1094" s="562"/>
      <c r="AH1094" s="562"/>
      <c r="AI1094" s="562"/>
      <c r="AJ1094" s="562"/>
      <c r="AK1094" s="562"/>
      <c r="AL1094" s="562"/>
      <c r="AM1094" s="562"/>
      <c r="AN1094" s="562"/>
      <c r="AO1094" s="562"/>
      <c r="AP1094" s="562"/>
      <c r="AQ1094" s="562"/>
      <c r="AR1094" s="562"/>
      <c r="AS1094" s="562"/>
      <c r="AT1094" s="562"/>
      <c r="AU1094" s="562"/>
      <c r="AV1094" s="562"/>
      <c r="AW1094" s="562"/>
      <c r="AX1094" s="562"/>
      <c r="AY1094" s="562"/>
      <c r="AZ1094" s="562"/>
      <c r="BA1094" s="562"/>
      <c r="BB1094" s="562"/>
      <c r="BC1094" s="562"/>
      <c r="BD1094" s="562"/>
      <c r="BE1094" s="562"/>
      <c r="BF1094" s="562"/>
      <c r="BG1094" s="562"/>
      <c r="BH1094" s="562"/>
    </row>
    <row r="1095" spans="1:60" x14ac:dyDescent="0.2">
      <c r="A1095" s="541">
        <v>9</v>
      </c>
      <c r="B1095" s="551">
        <v>902.1</v>
      </c>
      <c r="C1095" s="544"/>
      <c r="D1095" s="544"/>
      <c r="E1095" s="544" t="s">
        <v>3126</v>
      </c>
      <c r="F1095" s="544"/>
      <c r="G1095" s="543" t="str">
        <f>IF(N1095&gt;0,"P","")</f>
        <v/>
      </c>
      <c r="H1095" s="541" t="s">
        <v>3758</v>
      </c>
      <c r="I1095" s="253"/>
      <c r="J1095" s="134" t="s">
        <v>2185</v>
      </c>
      <c r="K1095" s="98"/>
      <c r="L1095" s="791" t="s">
        <v>3127</v>
      </c>
      <c r="M1095" s="800">
        <v>8</v>
      </c>
      <c r="N1095" s="793">
        <f>'Ch9'!O194</f>
        <v>0</v>
      </c>
      <c r="O1095" s="793">
        <f>M1095*S1095*W1095</f>
        <v>0</v>
      </c>
      <c r="P1095" s="64" t="b">
        <v>0</v>
      </c>
      <c r="Q1095" s="64" t="b">
        <v>1</v>
      </c>
      <c r="R1095" s="64" t="b">
        <v>0</v>
      </c>
      <c r="S1095" s="64" t="b">
        <v>1</v>
      </c>
      <c r="T1095" s="64" t="b">
        <v>0</v>
      </c>
      <c r="U1095" s="64"/>
      <c r="V1095" s="64"/>
      <c r="W1095" s="18"/>
      <c r="X1095" s="798"/>
      <c r="Y1095" s="980" t="str">
        <f>IF(LEN('Ch9'!X194)=0,"None",'Ch9'!X194)</f>
        <v>None</v>
      </c>
      <c r="Z1095" s="983"/>
      <c r="AA1095" s="562"/>
      <c r="AB1095" s="562"/>
      <c r="AC1095" s="562" t="b">
        <f>OR(AD1095:AE1095)</f>
        <v>0</v>
      </c>
      <c r="AD1095" s="562" t="b">
        <f>T1095</f>
        <v>0</v>
      </c>
      <c r="AE1095" s="562" t="b">
        <f>AND(R1095,NOT(W1095))</f>
        <v>0</v>
      </c>
      <c r="AF1095" s="562" t="b">
        <f>AND(AE1095,NOT(Q1095))</f>
        <v>0</v>
      </c>
      <c r="AG1095" s="562"/>
      <c r="AH1095" s="562"/>
      <c r="AI1095" s="562"/>
      <c r="AJ1095" s="562"/>
      <c r="AK1095" s="562"/>
      <c r="AL1095" s="190" t="str">
        <f t="shared" ref="AL1095" si="325">SUBSTITUTE(SUBSTITUTE(SUBSTITUTE("vpa"&amp;$B1095&amp;$C1095&amp;$D1095&amp;$E1095&amp;$F1095,".","_"),"(","_"),")","")</f>
        <v>vpa902,1_3_</v>
      </c>
      <c r="AM1095" s="190">
        <f>M1095</f>
        <v>8</v>
      </c>
      <c r="AN1095" s="190" t="str">
        <f>SUBSTITUTE(SUBSTITUTE(SUBSTITUTE("vpc"&amp;$B1095&amp;$C1095&amp;$D1095&amp;$E1095&amp;$F1095,".","_"),"(","_"),")","")</f>
        <v>vpc902,1_3_</v>
      </c>
      <c r="AO1095" s="190">
        <f>O1095</f>
        <v>0</v>
      </c>
      <c r="AP1095" s="190" t="str">
        <f>SUBSTITUTE(SUBSTITUTE(SUBSTITUTE("vch"&amp;$B1095&amp;$C1095&amp;$D1095&amp;$E1095&amp;$F1095,".","_"),"(","_"),")","")</f>
        <v>vch902,1_3_</v>
      </c>
      <c r="AQ1095" s="190">
        <f>W1095</f>
        <v>0</v>
      </c>
      <c r="AR1095" s="190" t="str">
        <f>SUBSTITUTE(SUBSTITUTE(SUBSTITUTE("vnt"&amp;$B1095&amp;$C1095&amp;$D1095&amp;$E1095&amp;$F1095,".","_"),"(","_"),")","")</f>
        <v>vnt902,1_3_</v>
      </c>
      <c r="AS1095" s="190">
        <f>X1095</f>
        <v>0</v>
      </c>
      <c r="AT1095" s="562"/>
      <c r="AU1095" s="562"/>
      <c r="AV1095" s="562"/>
      <c r="AW1095" s="562"/>
      <c r="AX1095" s="562"/>
      <c r="AY1095" s="562"/>
      <c r="AZ1095" s="562"/>
      <c r="BA1095" s="562"/>
      <c r="BB1095" s="562"/>
      <c r="BC1095" s="562"/>
      <c r="BD1095" s="562"/>
      <c r="BE1095" s="562"/>
      <c r="BF1095" s="562"/>
      <c r="BG1095" s="562"/>
      <c r="BH1095" s="562"/>
    </row>
    <row r="1096" spans="1:60" x14ac:dyDescent="0.2">
      <c r="A1096" s="541">
        <v>9</v>
      </c>
      <c r="B1096" s="551">
        <v>902.1</v>
      </c>
      <c r="C1096" s="544"/>
      <c r="D1096" s="544"/>
      <c r="E1096" s="544" t="s">
        <v>2185</v>
      </c>
      <c r="F1096" s="544"/>
      <c r="G1096" s="543" t="str">
        <f t="shared" ref="G1096:G1097" si="326">G1095</f>
        <v/>
      </c>
      <c r="H1096" s="541" t="s">
        <v>3758</v>
      </c>
      <c r="I1096" s="253"/>
      <c r="J1096" s="134"/>
      <c r="K1096" s="98"/>
      <c r="L1096" s="791"/>
      <c r="M1096" s="800"/>
      <c r="N1096" s="793"/>
      <c r="O1096" s="793"/>
      <c r="P1096" s="64"/>
      <c r="Q1096" s="64"/>
      <c r="R1096" s="64"/>
      <c r="S1096" s="64"/>
      <c r="T1096" s="64"/>
      <c r="U1096" s="64"/>
      <c r="V1096" s="64"/>
      <c r="W1096" s="64"/>
      <c r="X1096" s="798"/>
      <c r="Y1096" s="980"/>
      <c r="Z1096" s="983"/>
      <c r="AA1096" s="562"/>
      <c r="AB1096" s="562"/>
      <c r="AC1096" s="562"/>
      <c r="AD1096" s="562"/>
      <c r="AE1096" s="562"/>
      <c r="AF1096" s="562"/>
      <c r="AG1096" s="562"/>
      <c r="AH1096" s="562"/>
      <c r="AI1096" s="562"/>
      <c r="AJ1096" s="562"/>
      <c r="AK1096" s="562"/>
      <c r="AL1096" s="562"/>
      <c r="AM1096" s="562"/>
      <c r="AN1096" s="562"/>
      <c r="AO1096" s="562"/>
      <c r="AP1096" s="562"/>
      <c r="AQ1096" s="562"/>
      <c r="AR1096" s="562"/>
      <c r="AS1096" s="562"/>
      <c r="AT1096" s="562"/>
      <c r="AU1096" s="562"/>
      <c r="AV1096" s="562"/>
      <c r="AW1096" s="562"/>
      <c r="AX1096" s="562"/>
      <c r="AY1096" s="562"/>
      <c r="AZ1096" s="562"/>
      <c r="BA1096" s="562"/>
      <c r="BB1096" s="562"/>
      <c r="BC1096" s="562"/>
      <c r="BD1096" s="562"/>
      <c r="BE1096" s="562"/>
      <c r="BF1096" s="562"/>
      <c r="BG1096" s="562"/>
      <c r="BH1096" s="562"/>
    </row>
    <row r="1097" spans="1:60" x14ac:dyDescent="0.2">
      <c r="A1097" s="541">
        <v>9</v>
      </c>
      <c r="B1097" s="551">
        <v>902.1</v>
      </c>
      <c r="C1097" s="544"/>
      <c r="D1097" s="544"/>
      <c r="E1097" s="544" t="s">
        <v>2185</v>
      </c>
      <c r="F1097" s="544"/>
      <c r="G1097" s="543" t="str">
        <f t="shared" si="326"/>
        <v/>
      </c>
      <c r="H1097" s="541" t="s">
        <v>3758</v>
      </c>
      <c r="I1097" s="272"/>
      <c r="J1097" s="165"/>
      <c r="K1097" s="165"/>
      <c r="L1097" s="792"/>
      <c r="M1097" s="801"/>
      <c r="N1097" s="794"/>
      <c r="O1097" s="794"/>
      <c r="P1097" s="129"/>
      <c r="Q1097" s="129"/>
      <c r="R1097" s="129"/>
      <c r="S1097" s="129"/>
      <c r="T1097" s="129"/>
      <c r="U1097" s="129"/>
      <c r="V1097" s="129"/>
      <c r="W1097" s="129"/>
      <c r="X1097" s="798"/>
      <c r="Y1097" s="980"/>
      <c r="Z1097" s="983"/>
      <c r="AA1097" s="562"/>
      <c r="AB1097" s="562"/>
      <c r="AC1097" s="562"/>
      <c r="AD1097" s="562"/>
      <c r="AE1097" s="562"/>
      <c r="AF1097" s="562"/>
      <c r="AG1097" s="562"/>
      <c r="AH1097" s="562"/>
      <c r="AI1097" s="562"/>
      <c r="AJ1097" s="562"/>
      <c r="AK1097" s="562"/>
      <c r="AL1097" s="562"/>
      <c r="AM1097" s="562"/>
      <c r="AN1097" s="562"/>
      <c r="AO1097" s="562"/>
      <c r="AP1097" s="562"/>
      <c r="AQ1097" s="562"/>
      <c r="AR1097" s="562"/>
      <c r="AS1097" s="562"/>
      <c r="AT1097" s="562"/>
      <c r="AU1097" s="562"/>
      <c r="AV1097" s="562"/>
      <c r="AW1097" s="562"/>
      <c r="AX1097" s="562"/>
      <c r="AY1097" s="562"/>
      <c r="AZ1097" s="562"/>
      <c r="BA1097" s="562"/>
      <c r="BB1097" s="562"/>
      <c r="BC1097" s="562"/>
      <c r="BD1097" s="562"/>
      <c r="BE1097" s="562"/>
      <c r="BF1097" s="562"/>
      <c r="BG1097" s="562"/>
      <c r="BH1097" s="562"/>
    </row>
    <row r="1098" spans="1:60" x14ac:dyDescent="0.2">
      <c r="A1098" s="541">
        <v>9</v>
      </c>
      <c r="B1098" s="551" t="s">
        <v>3128</v>
      </c>
      <c r="C1098" s="544"/>
      <c r="D1098" s="544"/>
      <c r="E1098" s="544"/>
      <c r="F1098" s="544"/>
      <c r="G1098" s="543" t="str">
        <f>IF(N1098&gt;0,"P","")</f>
        <v/>
      </c>
      <c r="H1098" s="541" t="s">
        <v>3758</v>
      </c>
      <c r="I1098" s="145" t="s">
        <v>3129</v>
      </c>
      <c r="J1098" s="146"/>
      <c r="K1098" s="146"/>
      <c r="L1098" s="847" t="s">
        <v>3130</v>
      </c>
      <c r="M1098" s="824" t="s">
        <v>3131</v>
      </c>
      <c r="N1098" s="815">
        <f>'Ch9'!O197</f>
        <v>0</v>
      </c>
      <c r="O1098" s="815">
        <f>MIN(11,IF(W1099+W1101=0,0,5+2*(W1099+W1101-1)))</f>
        <v>0</v>
      </c>
      <c r="P1098" s="148"/>
      <c r="Q1098" s="148"/>
      <c r="R1098" s="148"/>
      <c r="S1098" s="148"/>
      <c r="T1098" s="148"/>
      <c r="U1098" s="148"/>
      <c r="V1098" s="148"/>
      <c r="W1098" s="148" t="s">
        <v>3132</v>
      </c>
      <c r="X1098" s="798"/>
      <c r="Y1098" s="980" t="str">
        <f>IF(LEN('Ch9'!X197)=0,"None",'Ch9'!X197)</f>
        <v>None</v>
      </c>
      <c r="Z1098" s="983"/>
      <c r="AA1098" s="562"/>
      <c r="AB1098" s="562"/>
      <c r="AC1098" s="562"/>
      <c r="AD1098" s="562"/>
      <c r="AE1098" s="562"/>
      <c r="AF1098" s="562"/>
      <c r="AG1098" s="562"/>
      <c r="AH1098" s="562"/>
      <c r="AI1098" s="562"/>
      <c r="AJ1098" s="562"/>
      <c r="AK1098" s="562"/>
      <c r="AL1098" s="190" t="str">
        <f t="shared" ref="AL1098" si="327">SUBSTITUTE(SUBSTITUTE(SUBSTITUTE("vpa"&amp;$B1098&amp;$C1098&amp;$D1098&amp;$E1098&amp;$F1098,".","_"),"(","_"),")","")</f>
        <v>vpa902_1_2</v>
      </c>
      <c r="AM1098" s="190" t="str">
        <f>M1098</f>
        <v>11 Max</v>
      </c>
      <c r="AN1098" s="190" t="str">
        <f>SUBSTITUTE(SUBSTITUTE(SUBSTITUTE("vpc"&amp;$B1098&amp;$C1098&amp;$D1098&amp;$E1098&amp;$F1098,".","_"),"(","_"),")","")</f>
        <v>vpc902_1_2</v>
      </c>
      <c r="AO1098" s="190">
        <f>O1098</f>
        <v>0</v>
      </c>
      <c r="AP1098" s="562"/>
      <c r="AQ1098" s="562"/>
      <c r="AR1098" s="190" t="str">
        <f>SUBSTITUTE(SUBSTITUTE(SUBSTITUTE("vnt"&amp;$B1098&amp;$C1098&amp;$D1098&amp;$E1098&amp;$F1098,".","_"),"(","_"),")","")</f>
        <v>vnt902_1_2</v>
      </c>
      <c r="AS1098" s="190">
        <f>X1098</f>
        <v>0</v>
      </c>
      <c r="AT1098" s="562"/>
      <c r="AU1098" s="562"/>
      <c r="AV1098" s="562"/>
      <c r="AW1098" s="562"/>
      <c r="AX1098" s="562"/>
      <c r="AY1098" s="562"/>
      <c r="AZ1098" s="562"/>
      <c r="BA1098" s="562"/>
      <c r="BB1098" s="562"/>
      <c r="BC1098" s="562"/>
      <c r="BD1098" s="562"/>
      <c r="BE1098" s="562"/>
      <c r="BF1098" s="562"/>
      <c r="BG1098" s="562"/>
      <c r="BH1098" s="562"/>
    </row>
    <row r="1099" spans="1:60" x14ac:dyDescent="0.2">
      <c r="A1099" s="541">
        <v>9</v>
      </c>
      <c r="B1099" s="551" t="s">
        <v>3128</v>
      </c>
      <c r="C1099" s="544"/>
      <c r="D1099" s="544"/>
      <c r="E1099" s="544"/>
      <c r="F1099" s="544"/>
      <c r="G1099" s="543" t="str">
        <f t="shared" ref="G1099:G1101" si="328">G1098</f>
        <v/>
      </c>
      <c r="H1099" s="541" t="s">
        <v>3758</v>
      </c>
      <c r="I1099" s="253"/>
      <c r="J1099" s="98"/>
      <c r="K1099" s="98"/>
      <c r="L1099" s="820"/>
      <c r="M1099" s="800"/>
      <c r="N1099" s="793"/>
      <c r="O1099" s="793"/>
      <c r="P1099" s="64" t="b">
        <v>0</v>
      </c>
      <c r="Q1099" s="64" t="b">
        <v>1</v>
      </c>
      <c r="R1099" s="64" t="b">
        <v>0</v>
      </c>
      <c r="S1099" s="64" t="b">
        <v>1</v>
      </c>
      <c r="T1099" s="64" t="b">
        <v>0</v>
      </c>
      <c r="U1099" s="64"/>
      <c r="V1099" s="64"/>
      <c r="W1099" s="256"/>
      <c r="X1099" s="798"/>
      <c r="Y1099" s="980"/>
      <c r="Z1099" s="983"/>
      <c r="AA1099" s="562"/>
      <c r="AB1099" s="562"/>
      <c r="AC1099" s="562" t="b">
        <f>OR(AD1099:AE1099)</f>
        <v>0</v>
      </c>
      <c r="AD1099" s="562" t="b">
        <f>T1099</f>
        <v>0</v>
      </c>
      <c r="AE1099" s="562" t="b">
        <f>AND(R1099,OR(W1099="Not Met",W1099=""))</f>
        <v>0</v>
      </c>
      <c r="AF1099" s="562" t="b">
        <f>AND(AE1099,NOT(Q1099))</f>
        <v>0</v>
      </c>
      <c r="AG1099" s="562"/>
      <c r="AH1099" s="562"/>
      <c r="AI1099" s="562"/>
      <c r="AJ1099" s="562"/>
      <c r="AK1099" s="562"/>
      <c r="AL1099" s="562"/>
      <c r="AM1099" s="562"/>
      <c r="AN1099" s="562"/>
      <c r="AO1099" s="562"/>
      <c r="AP1099" s="190" t="str">
        <f>SUBSTITUTE(SUBSTITUTE(SUBSTITUTE("vch"&amp;$B1099&amp;$C1099&amp;$D1099&amp;$E1099&amp;$F1099,".","_"),"(","_"),")","")</f>
        <v>vch902_1_2</v>
      </c>
      <c r="AQ1099" s="190">
        <f>W1099</f>
        <v>0</v>
      </c>
      <c r="AR1099" s="562"/>
      <c r="AS1099" s="562"/>
      <c r="AT1099" s="562"/>
      <c r="AU1099" s="562"/>
      <c r="AV1099" s="562"/>
      <c r="AW1099" s="562"/>
      <c r="AX1099" s="562"/>
      <c r="AY1099" s="562"/>
      <c r="AZ1099" s="562"/>
      <c r="BA1099" s="562"/>
      <c r="BB1099" s="562"/>
      <c r="BC1099" s="562"/>
      <c r="BD1099" s="562"/>
      <c r="BE1099" s="562"/>
      <c r="BF1099" s="562"/>
      <c r="BG1099" s="562"/>
      <c r="BH1099" s="562"/>
    </row>
    <row r="1100" spans="1:60" x14ac:dyDescent="0.2">
      <c r="A1100" s="541">
        <v>9</v>
      </c>
      <c r="B1100" s="551" t="s">
        <v>3128</v>
      </c>
      <c r="C1100" s="544"/>
      <c r="D1100" s="544"/>
      <c r="E1100" s="544" t="s">
        <v>2181</v>
      </c>
      <c r="F1100" s="544"/>
      <c r="G1100" s="543" t="str">
        <f t="shared" si="328"/>
        <v/>
      </c>
      <c r="H1100" s="541" t="s">
        <v>3758</v>
      </c>
      <c r="I1100" s="253"/>
      <c r="J1100" s="159" t="s">
        <v>2181</v>
      </c>
      <c r="K1100" s="165"/>
      <c r="L1100" s="599" t="s">
        <v>3133</v>
      </c>
      <c r="M1100" s="611">
        <v>5</v>
      </c>
      <c r="N1100" s="607"/>
      <c r="O1100" s="607"/>
      <c r="P1100" s="64"/>
      <c r="Q1100" s="64"/>
      <c r="R1100" s="64"/>
      <c r="S1100" s="64"/>
      <c r="T1100" s="64"/>
      <c r="U1100" s="64"/>
      <c r="V1100" s="64"/>
      <c r="W1100" s="64" t="s">
        <v>3134</v>
      </c>
      <c r="X1100" s="798"/>
      <c r="Y1100" s="980"/>
      <c r="Z1100" s="983"/>
      <c r="AA1100" s="562"/>
      <c r="AB1100" s="562"/>
      <c r="AC1100" s="562"/>
      <c r="AD1100" s="562"/>
      <c r="AE1100" s="562"/>
      <c r="AF1100" s="562"/>
      <c r="AG1100" s="562"/>
      <c r="AH1100" s="562"/>
      <c r="AI1100" s="562"/>
      <c r="AJ1100" s="562"/>
      <c r="AK1100" s="562"/>
      <c r="AL1100" s="190" t="str">
        <f t="shared" ref="AL1100:AL1102" si="329">SUBSTITUTE(SUBSTITUTE(SUBSTITUTE("vpa"&amp;$B1100&amp;$C1100&amp;$D1100&amp;$E1100&amp;$F1100,".","_"),"(","_"),")","")</f>
        <v>vpa902_1_2_1</v>
      </c>
      <c r="AM1100" s="190">
        <f>M1100</f>
        <v>5</v>
      </c>
      <c r="AN1100" s="562"/>
      <c r="AO1100" s="562"/>
      <c r="AP1100" s="562"/>
      <c r="AQ1100" s="562"/>
      <c r="AR1100" s="562"/>
      <c r="AS1100" s="562"/>
      <c r="AT1100" s="562"/>
      <c r="AU1100" s="562"/>
      <c r="AV1100" s="562"/>
      <c r="AW1100" s="562"/>
      <c r="AX1100" s="562"/>
      <c r="AY1100" s="562"/>
      <c r="AZ1100" s="562"/>
      <c r="BA1100" s="562"/>
      <c r="BB1100" s="562"/>
      <c r="BC1100" s="562"/>
      <c r="BD1100" s="562"/>
      <c r="BE1100" s="562"/>
      <c r="BF1100" s="562"/>
      <c r="BG1100" s="562"/>
      <c r="BH1100" s="562"/>
    </row>
    <row r="1101" spans="1:60" x14ac:dyDescent="0.2">
      <c r="A1101" s="541">
        <v>9</v>
      </c>
      <c r="B1101" s="551" t="s">
        <v>3128</v>
      </c>
      <c r="C1101" s="544"/>
      <c r="D1101" s="544"/>
      <c r="E1101" s="544" t="s">
        <v>2183</v>
      </c>
      <c r="F1101" s="544"/>
      <c r="G1101" s="543" t="str">
        <f t="shared" si="328"/>
        <v/>
      </c>
      <c r="H1101" s="541" t="s">
        <v>3758</v>
      </c>
      <c r="I1101" s="272"/>
      <c r="J1101" s="159" t="s">
        <v>2183</v>
      </c>
      <c r="K1101" s="165"/>
      <c r="L1101" s="599" t="s">
        <v>3135</v>
      </c>
      <c r="M1101" s="611">
        <v>2</v>
      </c>
      <c r="N1101" s="608"/>
      <c r="O1101" s="608"/>
      <c r="P1101" s="64" t="b">
        <v>0</v>
      </c>
      <c r="Q1101" s="64" t="b">
        <v>1</v>
      </c>
      <c r="R1101" s="129" t="b">
        <v>0</v>
      </c>
      <c r="S1101" s="129" t="b">
        <v>1</v>
      </c>
      <c r="T1101" s="129" t="b">
        <v>0</v>
      </c>
      <c r="U1101" s="129"/>
      <c r="V1101" s="129"/>
      <c r="W1101" s="276"/>
      <c r="X1101" s="798"/>
      <c r="Y1101" s="980"/>
      <c r="Z1101" s="983"/>
      <c r="AA1101" s="562"/>
      <c r="AB1101" s="562"/>
      <c r="AC1101" s="562" t="b">
        <f>OR(AD1101:AE1101)</f>
        <v>0</v>
      </c>
      <c r="AD1101" s="562" t="b">
        <f>T1101</f>
        <v>0</v>
      </c>
      <c r="AE1101" s="562" t="b">
        <f>AND(R1101,OR(W1101="Not Met",W1101=""))</f>
        <v>0</v>
      </c>
      <c r="AF1101" s="562" t="b">
        <f>AND(AE1101,NOT(Q1101))</f>
        <v>0</v>
      </c>
      <c r="AG1101" s="562"/>
      <c r="AH1101" s="562"/>
      <c r="AI1101" s="562"/>
      <c r="AJ1101" s="562"/>
      <c r="AK1101" s="562"/>
      <c r="AL1101" s="190" t="str">
        <f t="shared" si="329"/>
        <v>vpa902_1_2_2</v>
      </c>
      <c r="AM1101" s="190">
        <f>M1101</f>
        <v>2</v>
      </c>
      <c r="AN1101" s="562"/>
      <c r="AO1101" s="562"/>
      <c r="AP1101" s="190" t="str">
        <f t="shared" ref="AP1101:AP1102" si="330">SUBSTITUTE(SUBSTITUTE(SUBSTITUTE("vch"&amp;$B1101&amp;$C1101&amp;$D1101&amp;$E1101&amp;$F1101,".","_"),"(","_"),")","")</f>
        <v>vch902_1_2_2</v>
      </c>
      <c r="AQ1101" s="190">
        <f>W1101</f>
        <v>0</v>
      </c>
      <c r="AR1101" s="562"/>
      <c r="AS1101" s="562"/>
      <c r="AT1101" s="562"/>
      <c r="AU1101" s="562"/>
      <c r="AV1101" s="562"/>
      <c r="AW1101" s="562"/>
      <c r="AX1101" s="562"/>
      <c r="AY1101" s="562"/>
      <c r="AZ1101" s="562"/>
      <c r="BA1101" s="562"/>
      <c r="BB1101" s="562"/>
      <c r="BC1101" s="562"/>
      <c r="BD1101" s="562"/>
      <c r="BE1101" s="562"/>
      <c r="BF1101" s="562"/>
      <c r="BG1101" s="562"/>
      <c r="BH1101" s="562"/>
    </row>
    <row r="1102" spans="1:60" x14ac:dyDescent="0.2">
      <c r="A1102" s="541">
        <v>9</v>
      </c>
      <c r="B1102" s="551" t="s">
        <v>3136</v>
      </c>
      <c r="C1102" s="544"/>
      <c r="D1102" s="544"/>
      <c r="E1102" s="544"/>
      <c r="F1102" s="544"/>
      <c r="G1102" s="543" t="str">
        <f>IF(N1102&gt;0,"P","")</f>
        <v/>
      </c>
      <c r="H1102" s="541" t="s">
        <v>3758</v>
      </c>
      <c r="I1102" s="145" t="s">
        <v>3137</v>
      </c>
      <c r="J1102" s="146"/>
      <c r="K1102" s="146"/>
      <c r="L1102" s="847" t="s">
        <v>3138</v>
      </c>
      <c r="M1102" s="824">
        <v>8</v>
      </c>
      <c r="N1102" s="815">
        <f>'Ch9'!O201</f>
        <v>0</v>
      </c>
      <c r="O1102" s="815">
        <f>M1102*S1102*W1102</f>
        <v>0</v>
      </c>
      <c r="P1102" s="64" t="b">
        <v>0</v>
      </c>
      <c r="Q1102" s="64" t="b">
        <v>1</v>
      </c>
      <c r="R1102" s="148" t="b">
        <v>0</v>
      </c>
      <c r="S1102" s="148" t="b">
        <v>1</v>
      </c>
      <c r="T1102" s="148" t="b">
        <v>0</v>
      </c>
      <c r="U1102" s="148"/>
      <c r="V1102" s="148"/>
      <c r="W1102" s="18"/>
      <c r="X1102" s="798"/>
      <c r="Y1102" s="980" t="str">
        <f>IF(LEN('Ch9'!X201)=0,"None",'Ch9'!X201)</f>
        <v>None</v>
      </c>
      <c r="Z1102" s="983"/>
      <c r="AA1102" s="562"/>
      <c r="AB1102" s="562"/>
      <c r="AC1102" s="562" t="b">
        <f>OR(AD1102:AE1102)</f>
        <v>0</v>
      </c>
      <c r="AD1102" s="562" t="b">
        <f>T1102</f>
        <v>0</v>
      </c>
      <c r="AE1102" s="562" t="b">
        <f>AND(R1102,NOT(W1102))</f>
        <v>0</v>
      </c>
      <c r="AF1102" s="562" t="b">
        <f>AND(AE1102,NOT(Q1102))</f>
        <v>0</v>
      </c>
      <c r="AG1102" s="562"/>
      <c r="AH1102" s="562"/>
      <c r="AI1102" s="562"/>
      <c r="AJ1102" s="562"/>
      <c r="AK1102" s="562"/>
      <c r="AL1102" s="190" t="str">
        <f t="shared" si="329"/>
        <v>vpa902_1_3</v>
      </c>
      <c r="AM1102" s="190">
        <f>M1102</f>
        <v>8</v>
      </c>
      <c r="AN1102" s="190" t="str">
        <f>SUBSTITUTE(SUBSTITUTE(SUBSTITUTE("vpc"&amp;$B1102&amp;$C1102&amp;$D1102&amp;$E1102&amp;$F1102,".","_"),"(","_"),")","")</f>
        <v>vpc902_1_3</v>
      </c>
      <c r="AO1102" s="190">
        <f>O1102</f>
        <v>0</v>
      </c>
      <c r="AP1102" s="190" t="str">
        <f t="shared" si="330"/>
        <v>vch902_1_3</v>
      </c>
      <c r="AQ1102" s="190">
        <f>W1102</f>
        <v>0</v>
      </c>
      <c r="AR1102" s="190" t="str">
        <f>SUBSTITUTE(SUBSTITUTE(SUBSTITUTE("vnt"&amp;$B1102&amp;$C1102&amp;$D1102&amp;$E1102&amp;$F1102,".","_"),"(","_"),")","")</f>
        <v>vnt902_1_3</v>
      </c>
      <c r="AS1102" s="190">
        <f>X1102</f>
        <v>0</v>
      </c>
      <c r="AT1102" s="562"/>
      <c r="AU1102" s="562"/>
      <c r="AV1102" s="562"/>
      <c r="AW1102" s="562"/>
      <c r="AX1102" s="562"/>
      <c r="AY1102" s="562"/>
      <c r="AZ1102" s="562"/>
      <c r="BA1102" s="562"/>
      <c r="BB1102" s="562"/>
      <c r="BC1102" s="562"/>
      <c r="BD1102" s="562"/>
      <c r="BE1102" s="562"/>
      <c r="BF1102" s="562"/>
      <c r="BG1102" s="562"/>
      <c r="BH1102" s="562"/>
    </row>
    <row r="1103" spans="1:60" x14ac:dyDescent="0.2">
      <c r="A1103" s="541">
        <v>9</v>
      </c>
      <c r="B1103" s="551" t="s">
        <v>3136</v>
      </c>
      <c r="C1103" s="544"/>
      <c r="D1103" s="544"/>
      <c r="E1103" s="544"/>
      <c r="F1103" s="544"/>
      <c r="G1103" s="543" t="str">
        <f t="shared" ref="G1103:G1105" si="331">G1102</f>
        <v/>
      </c>
      <c r="H1103" s="541" t="s">
        <v>3758</v>
      </c>
      <c r="I1103" s="253"/>
      <c r="J1103" s="98"/>
      <c r="K1103" s="98"/>
      <c r="L1103" s="820"/>
      <c r="M1103" s="800"/>
      <c r="N1103" s="793"/>
      <c r="O1103" s="793"/>
      <c r="P1103" s="64"/>
      <c r="Q1103" s="64"/>
      <c r="R1103" s="64"/>
      <c r="S1103" s="64"/>
      <c r="T1103" s="64"/>
      <c r="U1103" s="64"/>
      <c r="V1103" s="64"/>
      <c r="W1103" s="64"/>
      <c r="X1103" s="798"/>
      <c r="Y1103" s="980"/>
      <c r="Z1103" s="983"/>
      <c r="AA1103" s="562"/>
      <c r="AB1103" s="562"/>
      <c r="AC1103" s="562"/>
      <c r="AD1103" s="562"/>
      <c r="AE1103" s="562"/>
      <c r="AF1103" s="562"/>
      <c r="AG1103" s="562"/>
      <c r="AH1103" s="562"/>
      <c r="AI1103" s="562"/>
      <c r="AJ1103" s="562"/>
      <c r="AK1103" s="562"/>
      <c r="AL1103" s="562"/>
      <c r="AM1103" s="562"/>
      <c r="AN1103" s="562"/>
      <c r="AO1103" s="562"/>
      <c r="AP1103" s="562"/>
      <c r="AQ1103" s="562"/>
      <c r="AR1103" s="562"/>
      <c r="AS1103" s="562"/>
      <c r="AT1103" s="562"/>
      <c r="AU1103" s="562"/>
      <c r="AV1103" s="562"/>
      <c r="AW1103" s="562"/>
      <c r="AX1103" s="562"/>
      <c r="AY1103" s="562"/>
      <c r="AZ1103" s="562"/>
      <c r="BA1103" s="562"/>
      <c r="BB1103" s="562"/>
      <c r="BC1103" s="562"/>
      <c r="BD1103" s="562"/>
      <c r="BE1103" s="562"/>
      <c r="BF1103" s="562"/>
      <c r="BG1103" s="562"/>
      <c r="BH1103" s="562"/>
    </row>
    <row r="1104" spans="1:60" x14ac:dyDescent="0.2">
      <c r="A1104" s="541">
        <v>9</v>
      </c>
      <c r="B1104" s="551" t="s">
        <v>3136</v>
      </c>
      <c r="C1104" s="544"/>
      <c r="D1104" s="544"/>
      <c r="E1104" s="544"/>
      <c r="F1104" s="544" t="s">
        <v>2196</v>
      </c>
      <c r="G1104" s="543" t="str">
        <f t="shared" si="331"/>
        <v/>
      </c>
      <c r="H1104" s="545" t="s">
        <v>3758</v>
      </c>
      <c r="I1104" s="253"/>
      <c r="J1104" s="98"/>
      <c r="K1104" s="134" t="s">
        <v>2196</v>
      </c>
      <c r="L1104" s="598" t="s">
        <v>3139</v>
      </c>
      <c r="M1104" s="610"/>
      <c r="N1104" s="607"/>
      <c r="O1104" s="607"/>
      <c r="P1104" s="64"/>
      <c r="Q1104" s="64"/>
      <c r="R1104" s="64"/>
      <c r="S1104" s="64"/>
      <c r="T1104" s="64"/>
      <c r="U1104" s="64"/>
      <c r="V1104" s="64"/>
      <c r="W1104" s="64"/>
      <c r="X1104" s="798"/>
      <c r="Y1104" s="980"/>
      <c r="Z1104" s="983"/>
      <c r="AA1104" s="562"/>
      <c r="AB1104" s="562"/>
      <c r="AC1104" s="562"/>
      <c r="AD1104" s="562"/>
      <c r="AE1104" s="562"/>
      <c r="AF1104" s="562"/>
      <c r="AG1104" s="562"/>
      <c r="AH1104" s="562"/>
      <c r="AI1104" s="562"/>
      <c r="AJ1104" s="562"/>
      <c r="AK1104" s="562"/>
      <c r="AL1104" s="562"/>
      <c r="AM1104" s="562"/>
      <c r="AN1104" s="562"/>
      <c r="AO1104" s="562"/>
      <c r="AP1104" s="562"/>
      <c r="AQ1104" s="562"/>
      <c r="AR1104" s="562"/>
      <c r="AS1104" s="562"/>
      <c r="AT1104" s="562"/>
      <c r="AU1104" s="562"/>
      <c r="AV1104" s="562"/>
      <c r="AW1104" s="562"/>
      <c r="AX1104" s="562"/>
      <c r="AY1104" s="562"/>
      <c r="AZ1104" s="562"/>
      <c r="BA1104" s="562"/>
      <c r="BB1104" s="562"/>
      <c r="BC1104" s="562"/>
      <c r="BD1104" s="562"/>
      <c r="BE1104" s="562"/>
      <c r="BF1104" s="562"/>
      <c r="BG1104" s="562"/>
      <c r="BH1104" s="562"/>
    </row>
    <row r="1105" spans="1:60" ht="15" customHeight="1" x14ac:dyDescent="0.2">
      <c r="A1105" s="541">
        <v>9</v>
      </c>
      <c r="B1105" s="551" t="s">
        <v>3136</v>
      </c>
      <c r="C1105" s="544"/>
      <c r="D1105" s="544"/>
      <c r="E1105" s="544"/>
      <c r="F1105" s="544" t="s">
        <v>2198</v>
      </c>
      <c r="G1105" s="543" t="str">
        <f t="shared" si="331"/>
        <v/>
      </c>
      <c r="H1105" s="545" t="s">
        <v>3758</v>
      </c>
      <c r="I1105" s="272"/>
      <c r="J1105" s="165"/>
      <c r="K1105" s="159" t="s">
        <v>2198</v>
      </c>
      <c r="L1105" s="599" t="s">
        <v>3140</v>
      </c>
      <c r="M1105" s="611"/>
      <c r="N1105" s="608"/>
      <c r="O1105" s="608"/>
      <c r="P1105" s="129"/>
      <c r="Q1105" s="129"/>
      <c r="R1105" s="129"/>
      <c r="S1105" s="129"/>
      <c r="T1105" s="129"/>
      <c r="U1105" s="129"/>
      <c r="V1105" s="129"/>
      <c r="W1105" s="129"/>
      <c r="X1105" s="798"/>
      <c r="Y1105" s="980"/>
      <c r="Z1105" s="983"/>
      <c r="AA1105" s="562"/>
      <c r="AB1105" s="562"/>
      <c r="AC1105" s="562"/>
      <c r="AD1105" s="562"/>
      <c r="AE1105" s="562"/>
      <c r="AF1105" s="562"/>
      <c r="AG1105" s="562"/>
      <c r="AH1105" s="562"/>
      <c r="AI1105" s="562"/>
      <c r="AJ1105" s="562"/>
      <c r="AK1105" s="562"/>
      <c r="AL1105" s="562"/>
      <c r="AM1105" s="562"/>
      <c r="AN1105" s="562"/>
      <c r="AO1105" s="562"/>
      <c r="AP1105" s="562"/>
      <c r="AQ1105" s="562"/>
      <c r="AR1105" s="562"/>
      <c r="AS1105" s="562"/>
      <c r="AT1105" s="562"/>
      <c r="AU1105" s="562"/>
      <c r="AV1105" s="562"/>
      <c r="AW1105" s="562"/>
      <c r="AX1105" s="562"/>
      <c r="AY1105" s="562"/>
      <c r="AZ1105" s="562"/>
      <c r="BA1105" s="562"/>
      <c r="BB1105" s="562"/>
      <c r="BC1105" s="562"/>
      <c r="BD1105" s="562"/>
      <c r="BE1105" s="562"/>
      <c r="BF1105" s="562"/>
      <c r="BG1105" s="562"/>
      <c r="BH1105" s="562"/>
    </row>
    <row r="1106" spans="1:60" x14ac:dyDescent="0.2">
      <c r="A1106" s="541">
        <v>9</v>
      </c>
      <c r="B1106" s="551" t="s">
        <v>3141</v>
      </c>
      <c r="C1106" s="544"/>
      <c r="D1106" s="544"/>
      <c r="E1106" s="544"/>
      <c r="F1106" s="544"/>
      <c r="G1106" s="543" t="str">
        <f>IF(N1106&gt;0,"P","")</f>
        <v/>
      </c>
      <c r="H1106" s="541" t="s">
        <v>3758</v>
      </c>
      <c r="I1106" s="145" t="s">
        <v>3142</v>
      </c>
      <c r="J1106" s="146"/>
      <c r="K1106" s="146"/>
      <c r="L1106" s="639" t="s">
        <v>3143</v>
      </c>
      <c r="M1106" s="624" t="s">
        <v>2436</v>
      </c>
      <c r="N1106" s="617">
        <f>'Ch9'!O205</f>
        <v>0</v>
      </c>
      <c r="O1106" s="617">
        <f>MIN(12,M1107*S1108*W1108+M1109*S1110*W1110)</f>
        <v>0</v>
      </c>
      <c r="P1106" s="148"/>
      <c r="Q1106" s="148"/>
      <c r="R1106" s="148"/>
      <c r="S1106" s="148"/>
      <c r="T1106" s="148"/>
      <c r="U1106" s="148"/>
      <c r="V1106" s="148"/>
      <c r="W1106" s="148"/>
      <c r="X1106" s="798"/>
      <c r="Y1106" s="980" t="str">
        <f>IF(LEN('Ch9'!X205)=0,"None",'Ch9'!X205)</f>
        <v>None</v>
      </c>
      <c r="Z1106" s="983"/>
      <c r="AA1106" s="562"/>
      <c r="AB1106" s="562"/>
      <c r="AC1106" s="562"/>
      <c r="AD1106" s="562"/>
      <c r="AE1106" s="562"/>
      <c r="AF1106" s="562"/>
      <c r="AG1106" s="562"/>
      <c r="AH1106" s="562"/>
      <c r="AI1106" s="562"/>
      <c r="AJ1106" s="562"/>
      <c r="AK1106" s="562"/>
      <c r="AL1106" s="190" t="str">
        <f t="shared" ref="AL1106:AL1107" si="332">SUBSTITUTE(SUBSTITUTE(SUBSTITUTE("vpa"&amp;$B1106&amp;$C1106&amp;$D1106&amp;$E1106&amp;$F1106,".","_"),"(","_"),")","")</f>
        <v>vpa902_1_4</v>
      </c>
      <c r="AM1106" s="190" t="str">
        <f>M1106</f>
        <v>12 Max</v>
      </c>
      <c r="AN1106" s="190" t="str">
        <f>SUBSTITUTE(SUBSTITUTE(SUBSTITUTE("vpc"&amp;$B1106&amp;$C1106&amp;$D1106&amp;$E1106&amp;$F1106,".","_"),"(","_"),")","")</f>
        <v>vpc902_1_4</v>
      </c>
      <c r="AO1106" s="190">
        <f>O1106</f>
        <v>0</v>
      </c>
      <c r="AP1106" s="562"/>
      <c r="AQ1106" s="562"/>
      <c r="AR1106" s="190" t="str">
        <f>SUBSTITUTE(SUBSTITUTE(SUBSTITUTE("vnt"&amp;$B1106&amp;$C1106&amp;$D1106&amp;$E1106&amp;$F1106,".","_"),"(","_"),")","")</f>
        <v>vnt902_1_4</v>
      </c>
      <c r="AS1106" s="190">
        <f>X1106</f>
        <v>0</v>
      </c>
      <c r="AT1106" s="562"/>
      <c r="AU1106" s="562"/>
      <c r="AV1106" s="562"/>
      <c r="AW1106" s="562"/>
      <c r="AX1106" s="562"/>
      <c r="AY1106" s="562"/>
      <c r="AZ1106" s="562"/>
      <c r="BA1106" s="562"/>
      <c r="BB1106" s="562"/>
      <c r="BC1106" s="562"/>
      <c r="BD1106" s="562"/>
      <c r="BE1106" s="562"/>
      <c r="BF1106" s="562"/>
      <c r="BG1106" s="562"/>
      <c r="BH1106" s="562"/>
    </row>
    <row r="1107" spans="1:60" x14ac:dyDescent="0.2">
      <c r="A1107" s="541">
        <v>9</v>
      </c>
      <c r="B1107" s="551" t="s">
        <v>3141</v>
      </c>
      <c r="C1107" s="544"/>
      <c r="D1107" s="544"/>
      <c r="E1107" s="544" t="s">
        <v>2181</v>
      </c>
      <c r="F1107" s="544"/>
      <c r="G1107" s="543" t="str">
        <f t="shared" ref="G1107:G1110" si="333">G1106</f>
        <v/>
      </c>
      <c r="H1107" s="541" t="s">
        <v>3758</v>
      </c>
      <c r="I1107" s="253"/>
      <c r="J1107" s="134" t="s">
        <v>2181</v>
      </c>
      <c r="K1107" s="98"/>
      <c r="L1107" s="598" t="s">
        <v>3144</v>
      </c>
      <c r="M1107" s="800">
        <v>2</v>
      </c>
      <c r="N1107" s="607"/>
      <c r="O1107" s="607"/>
      <c r="P1107" s="64"/>
      <c r="Q1107" s="64"/>
      <c r="R1107" s="64"/>
      <c r="S1107" s="64"/>
      <c r="T1107" s="64"/>
      <c r="U1107" s="64"/>
      <c r="V1107" s="64"/>
      <c r="W1107" s="64" t="s">
        <v>3145</v>
      </c>
      <c r="X1107" s="798"/>
      <c r="Y1107" s="980"/>
      <c r="Z1107" s="983"/>
      <c r="AA1107" s="562"/>
      <c r="AB1107" s="562"/>
      <c r="AC1107" s="562"/>
      <c r="AD1107" s="562"/>
      <c r="AE1107" s="562"/>
      <c r="AF1107" s="562"/>
      <c r="AG1107" s="562"/>
      <c r="AH1107" s="562"/>
      <c r="AI1107" s="562"/>
      <c r="AJ1107" s="562"/>
      <c r="AK1107" s="562"/>
      <c r="AL1107" s="190" t="str">
        <f t="shared" si="332"/>
        <v>vpa902_1_4_1</v>
      </c>
      <c r="AM1107" s="190">
        <f>M1107</f>
        <v>2</v>
      </c>
      <c r="AN1107" s="562"/>
      <c r="AO1107" s="562"/>
      <c r="AP1107" s="562"/>
      <c r="AQ1107" s="562"/>
      <c r="AR1107" s="562"/>
      <c r="AS1107" s="562"/>
      <c r="AT1107" s="562"/>
      <c r="AU1107" s="562"/>
      <c r="AV1107" s="562"/>
      <c r="AW1107" s="562"/>
      <c r="AX1107" s="562"/>
      <c r="AY1107" s="562"/>
      <c r="AZ1107" s="562"/>
      <c r="BA1107" s="562"/>
      <c r="BB1107" s="562"/>
      <c r="BC1107" s="562"/>
      <c r="BD1107" s="562"/>
      <c r="BE1107" s="562"/>
      <c r="BF1107" s="562"/>
      <c r="BG1107" s="562"/>
      <c r="BH1107" s="562"/>
    </row>
    <row r="1108" spans="1:60" x14ac:dyDescent="0.2">
      <c r="A1108" s="541">
        <v>9</v>
      </c>
      <c r="B1108" s="551" t="s">
        <v>3141</v>
      </c>
      <c r="C1108" s="544"/>
      <c r="D1108" s="544"/>
      <c r="E1108" s="544" t="s">
        <v>2181</v>
      </c>
      <c r="F1108" s="544"/>
      <c r="G1108" s="543" t="str">
        <f t="shared" si="333"/>
        <v/>
      </c>
      <c r="H1108" s="541" t="s">
        <v>3758</v>
      </c>
      <c r="I1108" s="253"/>
      <c r="J1108" s="159"/>
      <c r="K1108" s="165"/>
      <c r="L1108" s="637" t="s">
        <v>3146</v>
      </c>
      <c r="M1108" s="801"/>
      <c r="N1108" s="607"/>
      <c r="O1108" s="607"/>
      <c r="P1108" s="64" t="b">
        <v>0</v>
      </c>
      <c r="Q1108" s="64" t="b">
        <v>1</v>
      </c>
      <c r="R1108" s="64" t="b">
        <v>0</v>
      </c>
      <c r="S1108" s="64" t="b">
        <v>1</v>
      </c>
      <c r="T1108" s="64" t="b">
        <v>0</v>
      </c>
      <c r="U1108" s="64"/>
      <c r="V1108" s="64"/>
      <c r="W1108" s="257"/>
      <c r="X1108" s="798"/>
      <c r="Y1108" s="980"/>
      <c r="Z1108" s="983"/>
      <c r="AA1108" s="562"/>
      <c r="AB1108" s="562"/>
      <c r="AC1108" s="562" t="b">
        <f>OR(AD1108:AE1108)</f>
        <v>0</v>
      </c>
      <c r="AD1108" s="562" t="b">
        <f>T1108</f>
        <v>0</v>
      </c>
      <c r="AE1108" s="562" t="b">
        <f>AND(R1108,OR(W1108="Not Met",W1108=""))</f>
        <v>0</v>
      </c>
      <c r="AF1108" s="562" t="b">
        <f>AND(AE1108,NOT(Q1108))</f>
        <v>0</v>
      </c>
      <c r="AG1108" s="562"/>
      <c r="AH1108" s="562"/>
      <c r="AI1108" s="562"/>
      <c r="AJ1108" s="562"/>
      <c r="AK1108" s="562"/>
      <c r="AL1108" s="562"/>
      <c r="AM1108" s="562"/>
      <c r="AN1108" s="562"/>
      <c r="AO1108" s="562"/>
      <c r="AP1108" s="190" t="str">
        <f>SUBSTITUTE(SUBSTITUTE(SUBSTITUTE("vch"&amp;$B1108&amp;$C1108&amp;$D1108&amp;$E1108&amp;$F1108,".","_"),"(","_"),")","")</f>
        <v>vch902_1_4_1</v>
      </c>
      <c r="AQ1108" s="190">
        <f>W1108</f>
        <v>0</v>
      </c>
      <c r="AR1108" s="562"/>
      <c r="AS1108" s="562"/>
      <c r="AT1108" s="562"/>
      <c r="AU1108" s="562"/>
      <c r="AV1108" s="562"/>
      <c r="AW1108" s="562"/>
      <c r="AX1108" s="562"/>
      <c r="AY1108" s="562"/>
      <c r="AZ1108" s="562"/>
      <c r="BA1108" s="562"/>
      <c r="BB1108" s="562"/>
      <c r="BC1108" s="562"/>
      <c r="BD1108" s="562"/>
      <c r="BE1108" s="562"/>
      <c r="BF1108" s="562"/>
      <c r="BG1108" s="562"/>
      <c r="BH1108" s="562"/>
    </row>
    <row r="1109" spans="1:60" x14ac:dyDescent="0.2">
      <c r="A1109" s="541">
        <v>9</v>
      </c>
      <c r="B1109" s="551" t="s">
        <v>3141</v>
      </c>
      <c r="C1109" s="544"/>
      <c r="D1109" s="544"/>
      <c r="E1109" s="544" t="s">
        <v>2183</v>
      </c>
      <c r="F1109" s="544"/>
      <c r="G1109" s="543" t="str">
        <f t="shared" si="333"/>
        <v/>
      </c>
      <c r="H1109" s="541" t="s">
        <v>3758</v>
      </c>
      <c r="I1109" s="253"/>
      <c r="J1109" s="134" t="s">
        <v>2183</v>
      </c>
      <c r="K1109" s="98"/>
      <c r="L1109" s="598" t="s">
        <v>3147</v>
      </c>
      <c r="M1109" s="800">
        <v>3</v>
      </c>
      <c r="N1109" s="607"/>
      <c r="O1109" s="607"/>
      <c r="P1109" s="64"/>
      <c r="Q1109" s="64"/>
      <c r="R1109" s="64"/>
      <c r="S1109" s="64"/>
      <c r="T1109" s="64"/>
      <c r="U1109" s="64"/>
      <c r="V1109" s="64"/>
      <c r="W1109" s="64"/>
      <c r="X1109" s="798"/>
      <c r="Y1109" s="980"/>
      <c r="Z1109" s="983"/>
      <c r="AA1109" s="562"/>
      <c r="AB1109" s="562"/>
      <c r="AC1109" s="562"/>
      <c r="AD1109" s="562"/>
      <c r="AE1109" s="562"/>
      <c r="AF1109" s="562"/>
      <c r="AG1109" s="562"/>
      <c r="AH1109" s="562"/>
      <c r="AI1109" s="562"/>
      <c r="AJ1109" s="562"/>
      <c r="AK1109" s="562"/>
      <c r="AL1109" s="190" t="str">
        <f t="shared" ref="AL1109" si="334">SUBSTITUTE(SUBSTITUTE(SUBSTITUTE("vpa"&amp;$B1109&amp;$C1109&amp;$D1109&amp;$E1109&amp;$F1109,".","_"),"(","_"),")","")</f>
        <v>vpa902_1_4_2</v>
      </c>
      <c r="AM1109" s="190">
        <f>M1109</f>
        <v>3</v>
      </c>
      <c r="AN1109" s="562"/>
      <c r="AO1109" s="562"/>
      <c r="AP1109" s="562"/>
      <c r="AQ1109" s="562"/>
      <c r="AR1109" s="562"/>
      <c r="AS1109" s="562"/>
      <c r="AT1109" s="562"/>
      <c r="AU1109" s="562"/>
      <c r="AV1109" s="562"/>
      <c r="AW1109" s="562"/>
      <c r="AX1109" s="562"/>
      <c r="AY1109" s="562"/>
      <c r="AZ1109" s="562"/>
      <c r="BA1109" s="562"/>
      <c r="BB1109" s="562"/>
      <c r="BC1109" s="562"/>
      <c r="BD1109" s="562"/>
      <c r="BE1109" s="562"/>
      <c r="BF1109" s="562"/>
      <c r="BG1109" s="562"/>
      <c r="BH1109" s="562"/>
    </row>
    <row r="1110" spans="1:60" x14ac:dyDescent="0.2">
      <c r="A1110" s="541">
        <v>9</v>
      </c>
      <c r="B1110" s="551" t="s">
        <v>3141</v>
      </c>
      <c r="C1110" s="544"/>
      <c r="D1110" s="544"/>
      <c r="E1110" s="544" t="s">
        <v>2183</v>
      </c>
      <c r="F1110" s="544"/>
      <c r="G1110" s="543" t="str">
        <f t="shared" si="333"/>
        <v/>
      </c>
      <c r="H1110" s="541" t="s">
        <v>3758</v>
      </c>
      <c r="I1110" s="272"/>
      <c r="J1110" s="165"/>
      <c r="K1110" s="165"/>
      <c r="L1110" s="637" t="s">
        <v>3146</v>
      </c>
      <c r="M1110" s="801"/>
      <c r="N1110" s="608"/>
      <c r="O1110" s="608"/>
      <c r="P1110" s="64" t="b">
        <v>0</v>
      </c>
      <c r="Q1110" s="64" t="b">
        <v>1</v>
      </c>
      <c r="R1110" s="129" t="b">
        <v>0</v>
      </c>
      <c r="S1110" s="129" t="b">
        <v>1</v>
      </c>
      <c r="T1110" s="129" t="b">
        <v>0</v>
      </c>
      <c r="U1110" s="129"/>
      <c r="V1110" s="129"/>
      <c r="W1110" s="257"/>
      <c r="X1110" s="798"/>
      <c r="Y1110" s="980"/>
      <c r="Z1110" s="983"/>
      <c r="AA1110" s="562"/>
      <c r="AB1110" s="562"/>
      <c r="AC1110" s="562" t="b">
        <f>OR(AD1110:AE1110)</f>
        <v>0</v>
      </c>
      <c r="AD1110" s="562" t="b">
        <f>T1110</f>
        <v>0</v>
      </c>
      <c r="AE1110" s="562" t="b">
        <f>AND(R1110,OR(W1110="Not Met",W1110=""))</f>
        <v>0</v>
      </c>
      <c r="AF1110" s="562" t="b">
        <f>AND(AE1110,NOT(Q1110))</f>
        <v>0</v>
      </c>
      <c r="AG1110" s="562"/>
      <c r="AH1110" s="562"/>
      <c r="AI1110" s="562"/>
      <c r="AJ1110" s="562"/>
      <c r="AK1110" s="562"/>
      <c r="AL1110" s="562"/>
      <c r="AM1110" s="562"/>
      <c r="AN1110" s="562"/>
      <c r="AO1110" s="562"/>
      <c r="AP1110" s="190" t="str">
        <f>SUBSTITUTE(SUBSTITUTE(SUBSTITUTE("vch"&amp;$B1110&amp;$C1110&amp;$D1110&amp;$E1110&amp;$F1110,".","_"),"(","_"),")","")</f>
        <v>vch902_1_4_2</v>
      </c>
      <c r="AQ1110" s="190">
        <f>W1110</f>
        <v>0</v>
      </c>
      <c r="AR1110" s="562"/>
      <c r="AS1110" s="562"/>
      <c r="AT1110" s="562"/>
      <c r="AU1110" s="562"/>
      <c r="AV1110" s="562"/>
      <c r="AW1110" s="562"/>
      <c r="AX1110" s="562"/>
      <c r="AY1110" s="562"/>
      <c r="AZ1110" s="562"/>
      <c r="BA1110" s="562"/>
      <c r="BB1110" s="562"/>
      <c r="BC1110" s="562"/>
      <c r="BD1110" s="562"/>
      <c r="BE1110" s="562"/>
      <c r="BF1110" s="562"/>
      <c r="BG1110" s="562"/>
      <c r="BH1110" s="562"/>
    </row>
    <row r="1111" spans="1:60" x14ac:dyDescent="0.2">
      <c r="A1111" s="541">
        <v>9</v>
      </c>
      <c r="B1111" s="551" t="s">
        <v>3148</v>
      </c>
      <c r="C1111" s="544"/>
      <c r="D1111" s="544"/>
      <c r="E1111" s="544"/>
      <c r="F1111" s="544"/>
      <c r="G1111" s="543" t="str">
        <f>IF(N1111&gt;0,"P","")</f>
        <v/>
      </c>
      <c r="H1111" s="541" t="s">
        <v>3758</v>
      </c>
      <c r="I1111" s="40" t="s">
        <v>3149</v>
      </c>
      <c r="J1111" s="3"/>
      <c r="K1111" s="3"/>
      <c r="L1111" s="775" t="s">
        <v>3150</v>
      </c>
      <c r="M1111" s="814">
        <v>3</v>
      </c>
      <c r="N1111" s="795">
        <f>'Ch9'!O210</f>
        <v>0</v>
      </c>
      <c r="O1111" s="795">
        <f>M1111*W1113*W1115*W1117</f>
        <v>0</v>
      </c>
      <c r="P1111" s="562"/>
      <c r="Q1111" s="562"/>
      <c r="R1111" s="562"/>
      <c r="S1111" s="562"/>
      <c r="T1111" s="562"/>
      <c r="U1111" s="562"/>
      <c r="V1111" s="562"/>
      <c r="W1111" s="562"/>
      <c r="X1111" s="562"/>
      <c r="Y1111" s="562"/>
      <c r="Z1111" s="430"/>
      <c r="AA1111" s="562"/>
      <c r="AB1111" s="562"/>
      <c r="AC1111" s="562"/>
      <c r="AD1111" s="562"/>
      <c r="AE1111" s="562"/>
      <c r="AF1111" s="562"/>
      <c r="AG1111" s="562"/>
      <c r="AH1111" s="562"/>
      <c r="AI1111" s="562"/>
      <c r="AJ1111" s="562"/>
      <c r="AK1111" s="562"/>
      <c r="AL1111" s="190" t="str">
        <f t="shared" ref="AL1111" si="335">SUBSTITUTE(SUBSTITUTE(SUBSTITUTE("vpa"&amp;$B1111&amp;$C1111&amp;$D1111&amp;$E1111&amp;$F1111,".","_"),"(","_"),")","")</f>
        <v>vpa902_1_5</v>
      </c>
      <c r="AM1111" s="190">
        <f>M1111</f>
        <v>3</v>
      </c>
      <c r="AN1111" s="190" t="str">
        <f>SUBSTITUTE(SUBSTITUTE(SUBSTITUTE("vpc"&amp;$B1111&amp;$C1111&amp;$D1111&amp;$E1111&amp;$F1111,".","_"),"(","_"),")","")</f>
        <v>vpc902_1_5</v>
      </c>
      <c r="AO1111" s="190">
        <f>O1111</f>
        <v>0</v>
      </c>
      <c r="AP1111" s="562"/>
      <c r="AQ1111" s="562"/>
      <c r="AR1111" s="562"/>
      <c r="AS1111" s="562"/>
      <c r="AT1111" s="562"/>
      <c r="AU1111" s="562"/>
      <c r="AV1111" s="562"/>
      <c r="AW1111" s="562"/>
      <c r="AX1111" s="562"/>
      <c r="AY1111" s="562"/>
      <c r="AZ1111" s="562"/>
      <c r="BA1111" s="562"/>
      <c r="BB1111" s="562"/>
      <c r="BC1111" s="562"/>
      <c r="BD1111" s="562"/>
      <c r="BE1111" s="562"/>
      <c r="BF1111" s="562"/>
      <c r="BG1111" s="562"/>
      <c r="BH1111" s="562"/>
    </row>
    <row r="1112" spans="1:60" ht="15" customHeight="1" x14ac:dyDescent="0.2">
      <c r="A1112" s="541">
        <v>9</v>
      </c>
      <c r="B1112" s="551" t="s">
        <v>3148</v>
      </c>
      <c r="C1112" s="544"/>
      <c r="D1112" s="544"/>
      <c r="E1112" s="544"/>
      <c r="F1112" s="544"/>
      <c r="G1112" s="543" t="str">
        <f t="shared" ref="G1112:G1119" si="336">G1111</f>
        <v/>
      </c>
      <c r="H1112" s="541" t="s">
        <v>3758</v>
      </c>
      <c r="I1112" s="121"/>
      <c r="J1112" s="3"/>
      <c r="K1112" s="3"/>
      <c r="L1112" s="775"/>
      <c r="M1112" s="814"/>
      <c r="N1112" s="795"/>
      <c r="O1112" s="795"/>
      <c r="P1112" s="562"/>
      <c r="Q1112" s="562"/>
      <c r="R1112" s="562"/>
      <c r="S1112" s="562"/>
      <c r="T1112" s="562"/>
      <c r="U1112" s="562"/>
      <c r="V1112" s="562"/>
      <c r="W1112" s="562"/>
      <c r="X1112" s="562"/>
      <c r="Y1112" s="562"/>
      <c r="Z1112" s="430"/>
      <c r="AA1112" s="562"/>
      <c r="AB1112" s="562"/>
      <c r="AC1112" s="562"/>
      <c r="AD1112" s="562"/>
      <c r="AE1112" s="562"/>
      <c r="AF1112" s="562"/>
      <c r="AG1112" s="562"/>
      <c r="AH1112" s="562"/>
      <c r="AI1112" s="562"/>
      <c r="AJ1112" s="562"/>
      <c r="AK1112" s="562"/>
      <c r="AL1112" s="562"/>
      <c r="AM1112" s="562"/>
      <c r="AN1112" s="562"/>
      <c r="AO1112" s="562"/>
      <c r="AP1112" s="562"/>
      <c r="AQ1112" s="562"/>
      <c r="AR1112" s="562"/>
      <c r="AS1112" s="562"/>
      <c r="AT1112" s="562"/>
      <c r="AU1112" s="562"/>
      <c r="AV1112" s="562"/>
      <c r="AW1112" s="562"/>
      <c r="AX1112" s="562"/>
      <c r="AY1112" s="562"/>
      <c r="AZ1112" s="562"/>
      <c r="BA1112" s="562"/>
      <c r="BB1112" s="562"/>
      <c r="BC1112" s="562"/>
      <c r="BD1112" s="562"/>
      <c r="BE1112" s="562"/>
      <c r="BF1112" s="562"/>
      <c r="BG1112" s="562"/>
      <c r="BH1112" s="562"/>
    </row>
    <row r="1113" spans="1:60" x14ac:dyDescent="0.2">
      <c r="A1113" s="541">
        <v>9</v>
      </c>
      <c r="B1113" s="551" t="s">
        <v>3148</v>
      </c>
      <c r="C1113" s="544"/>
      <c r="D1113" s="544"/>
      <c r="E1113" s="544" t="s">
        <v>2181</v>
      </c>
      <c r="F1113" s="544"/>
      <c r="G1113" s="543" t="str">
        <f t="shared" si="336"/>
        <v/>
      </c>
      <c r="H1113" s="541" t="s">
        <v>3758</v>
      </c>
      <c r="I1113" s="121"/>
      <c r="J1113" s="134" t="s">
        <v>2181</v>
      </c>
      <c r="K1113" s="98"/>
      <c r="L1113" s="791" t="s">
        <v>3151</v>
      </c>
      <c r="M1113" s="616"/>
      <c r="N1113" s="609"/>
      <c r="O1113" s="609"/>
      <c r="P1113" s="64" t="b">
        <v>0</v>
      </c>
      <c r="Q1113" s="64" t="b">
        <v>1</v>
      </c>
      <c r="R1113" s="562" t="b">
        <v>0</v>
      </c>
      <c r="S1113" s="562" t="b">
        <v>1</v>
      </c>
      <c r="T1113" s="562" t="b">
        <v>0</v>
      </c>
      <c r="U1113" s="562"/>
      <c r="V1113" s="562"/>
      <c r="W1113" s="18"/>
      <c r="X1113" s="787"/>
      <c r="Y1113" s="980" t="str">
        <f>IF(LEN('Ch9'!X212)=0,"None",'Ch9'!X212)</f>
        <v>None</v>
      </c>
      <c r="Z1113" s="983"/>
      <c r="AA1113" s="562"/>
      <c r="AB1113" s="562"/>
      <c r="AC1113" s="562" t="b">
        <f>OR(AD1113:AE1113)</f>
        <v>0</v>
      </c>
      <c r="AD1113" s="562" t="b">
        <f>T1113</f>
        <v>0</v>
      </c>
      <c r="AE1113" s="562" t="b">
        <f>AND(R1113,NOT(W1113))</f>
        <v>0</v>
      </c>
      <c r="AF1113" s="562" t="b">
        <f>AND(AE1113,NOT(Q1113))</f>
        <v>0</v>
      </c>
      <c r="AG1113" s="562"/>
      <c r="AH1113" s="562"/>
      <c r="AI1113" s="562"/>
      <c r="AJ1113" s="562"/>
      <c r="AK1113" s="562"/>
      <c r="AL1113" s="562"/>
      <c r="AM1113" s="562"/>
      <c r="AN1113" s="562"/>
      <c r="AO1113" s="562"/>
      <c r="AP1113" s="190" t="str">
        <f>SUBSTITUTE(SUBSTITUTE(SUBSTITUTE("vch"&amp;$B1113&amp;$C1113&amp;$D1113&amp;$E1113&amp;$F1113,".","_"),"(","_"),")","")</f>
        <v>vch902_1_5_1</v>
      </c>
      <c r="AQ1113" s="190">
        <f>W1113</f>
        <v>0</v>
      </c>
      <c r="AR1113" s="190" t="str">
        <f>SUBSTITUTE(SUBSTITUTE(SUBSTITUTE("vnt"&amp;$B1113&amp;$C1113&amp;$D1113&amp;$E1113&amp;$F1113,".","_"),"(","_"),")","")</f>
        <v>vnt902_1_5_1</v>
      </c>
      <c r="AS1113" s="190">
        <f>X1113</f>
        <v>0</v>
      </c>
      <c r="AT1113" s="562"/>
      <c r="AU1113" s="562"/>
      <c r="AV1113" s="562"/>
      <c r="AW1113" s="562"/>
      <c r="AX1113" s="562"/>
      <c r="AY1113" s="562"/>
      <c r="AZ1113" s="562"/>
      <c r="BA1113" s="562"/>
      <c r="BB1113" s="562"/>
      <c r="BC1113" s="562"/>
      <c r="BD1113" s="562"/>
      <c r="BE1113" s="562"/>
      <c r="BF1113" s="562"/>
      <c r="BG1113" s="562"/>
      <c r="BH1113" s="562"/>
    </row>
    <row r="1114" spans="1:60" x14ac:dyDescent="0.2">
      <c r="A1114" s="541">
        <v>9</v>
      </c>
      <c r="B1114" s="551" t="s">
        <v>3148</v>
      </c>
      <c r="C1114" s="544"/>
      <c r="D1114" s="544"/>
      <c r="E1114" s="544" t="s">
        <v>2181</v>
      </c>
      <c r="F1114" s="544"/>
      <c r="G1114" s="543" t="str">
        <f t="shared" si="336"/>
        <v/>
      </c>
      <c r="H1114" s="541" t="s">
        <v>3758</v>
      </c>
      <c r="I1114" s="121"/>
      <c r="J1114" s="159"/>
      <c r="K1114" s="165"/>
      <c r="L1114" s="792"/>
      <c r="M1114" s="616"/>
      <c r="N1114" s="609"/>
      <c r="O1114" s="609"/>
      <c r="P1114" s="562"/>
      <c r="Q1114" s="562"/>
      <c r="R1114" s="562"/>
      <c r="S1114" s="562"/>
      <c r="T1114" s="562"/>
      <c r="U1114" s="562"/>
      <c r="V1114" s="562"/>
      <c r="W1114" s="562"/>
      <c r="X1114" s="787"/>
      <c r="Y1114" s="980"/>
      <c r="Z1114" s="983"/>
      <c r="AA1114" s="562"/>
      <c r="AB1114" s="562"/>
      <c r="AC1114" s="562"/>
      <c r="AD1114" s="562"/>
      <c r="AE1114" s="562"/>
      <c r="AF1114" s="562"/>
      <c r="AG1114" s="562"/>
      <c r="AH1114" s="562"/>
      <c r="AI1114" s="562"/>
      <c r="AJ1114" s="562"/>
      <c r="AK1114" s="562"/>
      <c r="AL1114" s="562"/>
      <c r="AM1114" s="562"/>
      <c r="AN1114" s="562"/>
      <c r="AO1114" s="562"/>
      <c r="AP1114" s="562"/>
      <c r="AQ1114" s="562"/>
      <c r="AR1114" s="562"/>
      <c r="AS1114" s="562"/>
      <c r="AT1114" s="562"/>
      <c r="AU1114" s="562"/>
      <c r="AV1114" s="562"/>
      <c r="AW1114" s="562"/>
      <c r="AX1114" s="562"/>
      <c r="AY1114" s="562"/>
      <c r="AZ1114" s="562"/>
      <c r="BA1114" s="562"/>
      <c r="BB1114" s="562"/>
      <c r="BC1114" s="562"/>
      <c r="BD1114" s="562"/>
      <c r="BE1114" s="562"/>
      <c r="BF1114" s="562"/>
      <c r="BG1114" s="562"/>
      <c r="BH1114" s="562"/>
    </row>
    <row r="1115" spans="1:60" x14ac:dyDescent="0.2">
      <c r="A1115" s="541">
        <v>9</v>
      </c>
      <c r="B1115" s="551" t="s">
        <v>3148</v>
      </c>
      <c r="C1115" s="544"/>
      <c r="D1115" s="544"/>
      <c r="E1115" s="544" t="s">
        <v>2183</v>
      </c>
      <c r="F1115" s="544"/>
      <c r="G1115" s="543" t="str">
        <f t="shared" si="336"/>
        <v/>
      </c>
      <c r="H1115" s="541" t="s">
        <v>3758</v>
      </c>
      <c r="I1115" s="121"/>
      <c r="J1115" s="134" t="s">
        <v>2183</v>
      </c>
      <c r="K1115" s="98"/>
      <c r="L1115" s="791" t="s">
        <v>3152</v>
      </c>
      <c r="M1115" s="616"/>
      <c r="N1115" s="609"/>
      <c r="O1115" s="609"/>
      <c r="P1115" s="64" t="b">
        <v>0</v>
      </c>
      <c r="Q1115" s="64" t="b">
        <v>1</v>
      </c>
      <c r="R1115" s="562" t="b">
        <v>0</v>
      </c>
      <c r="S1115" s="562" t="b">
        <v>1</v>
      </c>
      <c r="T1115" s="562" t="b">
        <v>0</v>
      </c>
      <c r="U1115" s="562"/>
      <c r="V1115" s="562"/>
      <c r="W1115" s="18"/>
      <c r="X1115" s="787"/>
      <c r="Y1115" s="980" t="str">
        <f>IF(LEN('Ch9'!X214)=0,"None",'Ch9'!X214)</f>
        <v>None</v>
      </c>
      <c r="Z1115" s="983"/>
      <c r="AA1115" s="562"/>
      <c r="AB1115" s="562"/>
      <c r="AC1115" s="562" t="b">
        <f>OR(AD1115:AE1115)</f>
        <v>0</v>
      </c>
      <c r="AD1115" s="562" t="b">
        <f>T1115</f>
        <v>0</v>
      </c>
      <c r="AE1115" s="562" t="b">
        <f>AND(R1115,NOT(W1115))</f>
        <v>0</v>
      </c>
      <c r="AF1115" s="562" t="b">
        <f>AND(AE1115,NOT(Q1115))</f>
        <v>0</v>
      </c>
      <c r="AG1115" s="562"/>
      <c r="AH1115" s="562"/>
      <c r="AI1115" s="562"/>
      <c r="AJ1115" s="562"/>
      <c r="AK1115" s="562"/>
      <c r="AL1115" s="562"/>
      <c r="AM1115" s="562"/>
      <c r="AN1115" s="562"/>
      <c r="AO1115" s="562"/>
      <c r="AP1115" s="190" t="str">
        <f>SUBSTITUTE(SUBSTITUTE(SUBSTITUTE("vch"&amp;$B1115&amp;$C1115&amp;$D1115&amp;$E1115&amp;$F1115,".","_"),"(","_"),")","")</f>
        <v>vch902_1_5_2</v>
      </c>
      <c r="AQ1115" s="190">
        <f>W1115</f>
        <v>0</v>
      </c>
      <c r="AR1115" s="190" t="str">
        <f>SUBSTITUTE(SUBSTITUTE(SUBSTITUTE("vnt"&amp;$B1115&amp;$C1115&amp;$D1115&amp;$E1115&amp;$F1115,".","_"),"(","_"),")","")</f>
        <v>vnt902_1_5_2</v>
      </c>
      <c r="AS1115" s="190">
        <f>X1115</f>
        <v>0</v>
      </c>
      <c r="AT1115" s="562"/>
      <c r="AU1115" s="562"/>
      <c r="AV1115" s="562"/>
      <c r="AW1115" s="562"/>
      <c r="AX1115" s="562"/>
      <c r="AY1115" s="562"/>
      <c r="AZ1115" s="562"/>
      <c r="BA1115" s="562"/>
      <c r="BB1115" s="562"/>
      <c r="BC1115" s="562"/>
      <c r="BD1115" s="562"/>
      <c r="BE1115" s="562"/>
      <c r="BF1115" s="562"/>
      <c r="BG1115" s="562"/>
      <c r="BH1115" s="562"/>
    </row>
    <row r="1116" spans="1:60" x14ac:dyDescent="0.2">
      <c r="A1116" s="541">
        <v>9</v>
      </c>
      <c r="B1116" s="551" t="s">
        <v>3148</v>
      </c>
      <c r="C1116" s="544"/>
      <c r="D1116" s="544"/>
      <c r="E1116" s="544" t="s">
        <v>2183</v>
      </c>
      <c r="F1116" s="544"/>
      <c r="G1116" s="543" t="str">
        <f t="shared" si="336"/>
        <v/>
      </c>
      <c r="H1116" s="541" t="s">
        <v>3758</v>
      </c>
      <c r="I1116" s="121"/>
      <c r="J1116" s="165"/>
      <c r="K1116" s="165"/>
      <c r="L1116" s="792"/>
      <c r="M1116" s="616"/>
      <c r="N1116" s="609"/>
      <c r="O1116" s="609"/>
      <c r="P1116" s="562"/>
      <c r="Q1116" s="562"/>
      <c r="R1116" s="562"/>
      <c r="S1116" s="562"/>
      <c r="T1116" s="562"/>
      <c r="U1116" s="562"/>
      <c r="V1116" s="562"/>
      <c r="W1116" s="562"/>
      <c r="X1116" s="787"/>
      <c r="Y1116" s="980"/>
      <c r="Z1116" s="983"/>
      <c r="AA1116" s="562"/>
      <c r="AB1116" s="562"/>
      <c r="AC1116" s="562"/>
      <c r="AD1116" s="562"/>
      <c r="AE1116" s="562"/>
      <c r="AF1116" s="562"/>
      <c r="AG1116" s="562"/>
      <c r="AH1116" s="562"/>
      <c r="AI1116" s="562"/>
      <c r="AJ1116" s="562"/>
      <c r="AK1116" s="562"/>
      <c r="AL1116" s="562"/>
      <c r="AM1116" s="562"/>
      <c r="AN1116" s="562"/>
      <c r="AO1116" s="562"/>
      <c r="AP1116" s="562"/>
      <c r="AQ1116" s="562"/>
      <c r="AR1116" s="562"/>
      <c r="AS1116" s="562"/>
      <c r="AT1116" s="562"/>
      <c r="AU1116" s="562"/>
      <c r="AV1116" s="562"/>
      <c r="AW1116" s="562"/>
      <c r="AX1116" s="562"/>
      <c r="AY1116" s="562"/>
      <c r="AZ1116" s="562"/>
      <c r="BA1116" s="562"/>
      <c r="BB1116" s="562"/>
      <c r="BC1116" s="562"/>
      <c r="BD1116" s="562"/>
      <c r="BE1116" s="562"/>
      <c r="BF1116" s="562"/>
      <c r="BG1116" s="562"/>
      <c r="BH1116" s="562"/>
    </row>
    <row r="1117" spans="1:60" x14ac:dyDescent="0.2">
      <c r="A1117" s="541">
        <v>9</v>
      </c>
      <c r="B1117" s="551" t="s">
        <v>3148</v>
      </c>
      <c r="C1117" s="544"/>
      <c r="D1117" s="544"/>
      <c r="E1117" s="544" t="s">
        <v>2185</v>
      </c>
      <c r="F1117" s="544"/>
      <c r="G1117" s="543" t="str">
        <f t="shared" si="336"/>
        <v/>
      </c>
      <c r="H1117" s="541" t="s">
        <v>3758</v>
      </c>
      <c r="I1117" s="253"/>
      <c r="J1117" s="134" t="s">
        <v>2185</v>
      </c>
      <c r="K1117" s="98"/>
      <c r="L1117" s="791" t="s">
        <v>3153</v>
      </c>
      <c r="M1117" s="610"/>
      <c r="N1117" s="607"/>
      <c r="O1117" s="607"/>
      <c r="P1117" s="64" t="b">
        <v>0</v>
      </c>
      <c r="Q1117" s="64" t="b">
        <v>1</v>
      </c>
      <c r="R1117" s="64" t="b">
        <v>0</v>
      </c>
      <c r="S1117" s="64" t="b">
        <v>1</v>
      </c>
      <c r="T1117" s="64" t="b">
        <v>0</v>
      </c>
      <c r="U1117" s="64"/>
      <c r="V1117" s="64"/>
      <c r="W1117" s="18"/>
      <c r="X1117" s="798"/>
      <c r="Y1117" s="977" t="str">
        <f>IF(LEN('Ch9'!X216)=0,"None",'Ch9'!X216)</f>
        <v>None</v>
      </c>
      <c r="Z1117" s="978"/>
      <c r="AA1117" s="562"/>
      <c r="AB1117" s="562"/>
      <c r="AC1117" s="562" t="b">
        <f>OR(AD1117:AE1117)</f>
        <v>0</v>
      </c>
      <c r="AD1117" s="562" t="b">
        <f>T1117</f>
        <v>0</v>
      </c>
      <c r="AE1117" s="562" t="b">
        <f>AND(R1117,NOT(W1117))</f>
        <v>0</v>
      </c>
      <c r="AF1117" s="562" t="b">
        <f>AND(AE1117,NOT(Q1117))</f>
        <v>0</v>
      </c>
      <c r="AG1117" s="562"/>
      <c r="AH1117" s="562"/>
      <c r="AI1117" s="562"/>
      <c r="AJ1117" s="562"/>
      <c r="AK1117" s="562"/>
      <c r="AL1117" s="562"/>
      <c r="AM1117" s="562"/>
      <c r="AN1117" s="562"/>
      <c r="AO1117" s="562"/>
      <c r="AP1117" s="190" t="str">
        <f>SUBSTITUTE(SUBSTITUTE(SUBSTITUTE("vch"&amp;$B1117&amp;$C1117&amp;$D1117&amp;$E1117&amp;$F1117,".","_"),"(","_"),")","")</f>
        <v>vch902_1_5_3</v>
      </c>
      <c r="AQ1117" s="190">
        <f>W1117</f>
        <v>0</v>
      </c>
      <c r="AR1117" s="190" t="str">
        <f>SUBSTITUTE(SUBSTITUTE(SUBSTITUTE("vnt"&amp;$B1117&amp;$C1117&amp;$D1117&amp;$E1117&amp;$F1117,".","_"),"(","_"),")","")</f>
        <v>vnt902_1_5_3</v>
      </c>
      <c r="AS1117" s="190">
        <f>X1117</f>
        <v>0</v>
      </c>
      <c r="AT1117" s="562"/>
      <c r="AU1117" s="562"/>
      <c r="AV1117" s="562"/>
      <c r="AW1117" s="562"/>
      <c r="AX1117" s="562"/>
      <c r="AY1117" s="562"/>
      <c r="AZ1117" s="562"/>
      <c r="BA1117" s="562"/>
      <c r="BB1117" s="562"/>
      <c r="BC1117" s="562"/>
      <c r="BD1117" s="562"/>
      <c r="BE1117" s="562"/>
      <c r="BF1117" s="562"/>
      <c r="BG1117" s="562"/>
      <c r="BH1117" s="562"/>
    </row>
    <row r="1118" spans="1:60" x14ac:dyDescent="0.2">
      <c r="A1118" s="541">
        <v>9</v>
      </c>
      <c r="B1118" s="551" t="s">
        <v>3148</v>
      </c>
      <c r="C1118" s="544"/>
      <c r="D1118" s="544"/>
      <c r="E1118" s="544" t="s">
        <v>2185</v>
      </c>
      <c r="F1118" s="544"/>
      <c r="G1118" s="543" t="str">
        <f t="shared" si="336"/>
        <v/>
      </c>
      <c r="H1118" s="541" t="s">
        <v>3758</v>
      </c>
      <c r="I1118" s="253"/>
      <c r="J1118" s="98"/>
      <c r="K1118" s="98"/>
      <c r="L1118" s="791"/>
      <c r="M1118" s="610"/>
      <c r="N1118" s="607"/>
      <c r="O1118" s="607"/>
      <c r="P1118" s="64"/>
      <c r="Q1118" s="64"/>
      <c r="R1118" s="64"/>
      <c r="S1118" s="64"/>
      <c r="T1118" s="64"/>
      <c r="U1118" s="64"/>
      <c r="V1118" s="64"/>
      <c r="W1118" s="64"/>
      <c r="X1118" s="798"/>
      <c r="Y1118" s="977"/>
      <c r="Z1118" s="978"/>
      <c r="AA1118" s="562"/>
      <c r="AB1118" s="562"/>
      <c r="AC1118" s="562"/>
      <c r="AD1118" s="562"/>
      <c r="AE1118" s="562"/>
      <c r="AF1118" s="562"/>
      <c r="AG1118" s="562"/>
      <c r="AH1118" s="562"/>
      <c r="AI1118" s="562"/>
      <c r="AJ1118" s="562"/>
      <c r="AK1118" s="562"/>
      <c r="AL1118" s="562"/>
      <c r="AM1118" s="562"/>
      <c r="AN1118" s="562"/>
      <c r="AO1118" s="562"/>
      <c r="AP1118" s="562"/>
      <c r="AQ1118" s="562"/>
      <c r="AR1118" s="562"/>
      <c r="AS1118" s="562"/>
      <c r="AT1118" s="562"/>
      <c r="AU1118" s="562"/>
      <c r="AV1118" s="562"/>
      <c r="AW1118" s="562"/>
      <c r="AX1118" s="562"/>
      <c r="AY1118" s="562"/>
      <c r="AZ1118" s="562"/>
      <c r="BA1118" s="562"/>
      <c r="BB1118" s="562"/>
      <c r="BC1118" s="562"/>
      <c r="BD1118" s="562"/>
      <c r="BE1118" s="562"/>
      <c r="BF1118" s="562"/>
      <c r="BG1118" s="562"/>
      <c r="BH1118" s="562"/>
    </row>
    <row r="1119" spans="1:60" ht="16" thickBot="1" x14ac:dyDescent="0.25">
      <c r="A1119" s="541">
        <v>9</v>
      </c>
      <c r="B1119" s="551" t="s">
        <v>3148</v>
      </c>
      <c r="C1119" s="544"/>
      <c r="D1119" s="544"/>
      <c r="E1119" s="544" t="s">
        <v>2185</v>
      </c>
      <c r="F1119" s="544"/>
      <c r="G1119" s="543" t="str">
        <f t="shared" si="336"/>
        <v/>
      </c>
      <c r="H1119" s="541" t="s">
        <v>3758</v>
      </c>
      <c r="I1119" s="254"/>
      <c r="J1119" s="185"/>
      <c r="K1119" s="185"/>
      <c r="L1119" s="818"/>
      <c r="M1119" s="615"/>
      <c r="N1119" s="622"/>
      <c r="O1119" s="622"/>
      <c r="P1119" s="68"/>
      <c r="Q1119" s="68"/>
      <c r="R1119" s="68"/>
      <c r="S1119" s="68"/>
      <c r="T1119" s="68"/>
      <c r="U1119" s="68"/>
      <c r="V1119" s="68"/>
      <c r="W1119" s="68"/>
      <c r="X1119" s="799"/>
      <c r="Y1119" s="979"/>
      <c r="Z1119" s="1007"/>
      <c r="AA1119" s="562"/>
      <c r="AB1119" s="562"/>
      <c r="AC1119" s="562"/>
      <c r="AD1119" s="562"/>
      <c r="AE1119" s="562"/>
      <c r="AF1119" s="562"/>
      <c r="AG1119" s="562"/>
      <c r="AH1119" s="562"/>
      <c r="AI1119" s="562"/>
      <c r="AJ1119" s="562"/>
      <c r="AK1119" s="562"/>
      <c r="AL1119" s="562"/>
      <c r="AM1119" s="562"/>
      <c r="AN1119" s="562"/>
      <c r="AO1119" s="562"/>
      <c r="AP1119" s="562"/>
      <c r="AQ1119" s="562"/>
      <c r="AR1119" s="562"/>
      <c r="AS1119" s="562"/>
      <c r="AT1119" s="562"/>
      <c r="AU1119" s="562"/>
      <c r="AV1119" s="562"/>
      <c r="AW1119" s="562"/>
      <c r="AX1119" s="562"/>
      <c r="AY1119" s="562"/>
      <c r="AZ1119" s="562"/>
      <c r="BA1119" s="562"/>
      <c r="BB1119" s="562"/>
      <c r="BC1119" s="562"/>
      <c r="BD1119" s="562"/>
      <c r="BE1119" s="562"/>
      <c r="BF1119" s="562"/>
      <c r="BG1119" s="562"/>
      <c r="BH1119" s="562"/>
    </row>
    <row r="1120" spans="1:60" ht="16" thickTop="1" x14ac:dyDescent="0.2">
      <c r="A1120" s="541">
        <v>9</v>
      </c>
      <c r="B1120" s="551">
        <v>902.2</v>
      </c>
      <c r="C1120" s="544"/>
      <c r="D1120" s="544"/>
      <c r="E1120" s="544"/>
      <c r="F1120" s="544"/>
      <c r="G1120" s="543" t="s">
        <v>3343</v>
      </c>
      <c r="H1120" s="541" t="s">
        <v>3758</v>
      </c>
      <c r="I1120" s="131" t="s">
        <v>3154</v>
      </c>
      <c r="J1120" s="132"/>
      <c r="K1120" s="132"/>
      <c r="L1120" s="646" t="s">
        <v>3155</v>
      </c>
      <c r="M1120" s="625"/>
      <c r="N1120" s="623"/>
      <c r="O1120" s="623"/>
      <c r="P1120" s="74"/>
      <c r="Q1120" s="74"/>
      <c r="R1120" s="74"/>
      <c r="S1120" s="74"/>
      <c r="T1120" s="74"/>
      <c r="U1120" s="74"/>
      <c r="V1120" s="74"/>
      <c r="W1120" s="74"/>
      <c r="X1120" s="74"/>
      <c r="Y1120" s="562"/>
      <c r="Z1120" s="430"/>
      <c r="AA1120" s="562"/>
      <c r="AB1120" s="562"/>
      <c r="AC1120" s="562"/>
      <c r="AD1120" s="562"/>
      <c r="AE1120" s="562"/>
      <c r="AF1120" s="562"/>
      <c r="AG1120" s="562"/>
      <c r="AH1120" s="562"/>
      <c r="AI1120" s="562"/>
      <c r="AJ1120" s="562"/>
      <c r="AK1120" s="562"/>
      <c r="AL1120" s="562"/>
      <c r="AM1120" s="562"/>
      <c r="AN1120" s="562"/>
      <c r="AO1120" s="562"/>
      <c r="AP1120" s="562"/>
      <c r="AQ1120" s="562"/>
      <c r="AR1120" s="562"/>
      <c r="AS1120" s="562"/>
      <c r="AT1120" s="562"/>
      <c r="AU1120" s="562"/>
      <c r="AV1120" s="562"/>
      <c r="AW1120" s="562"/>
      <c r="AX1120" s="562"/>
      <c r="AY1120" s="562"/>
      <c r="AZ1120" s="562"/>
      <c r="BA1120" s="562"/>
      <c r="BB1120" s="562"/>
      <c r="BC1120" s="562"/>
      <c r="BD1120" s="562"/>
      <c r="BE1120" s="562"/>
      <c r="BF1120" s="562"/>
      <c r="BG1120" s="562"/>
      <c r="BH1120" s="562"/>
    </row>
    <row r="1121" spans="1:60" x14ac:dyDescent="0.2">
      <c r="A1121" s="541">
        <v>9</v>
      </c>
      <c r="B1121" s="551" t="s">
        <v>3156</v>
      </c>
      <c r="C1121" s="544"/>
      <c r="D1121" s="544"/>
      <c r="E1121" s="544"/>
      <c r="F1121" s="544"/>
      <c r="G1121" s="543" t="s">
        <v>3343</v>
      </c>
      <c r="H1121" s="541" t="s">
        <v>3758</v>
      </c>
      <c r="I1121" s="99" t="s">
        <v>3157</v>
      </c>
      <c r="J1121" s="98"/>
      <c r="K1121" s="98"/>
      <c r="L1121" s="820" t="s">
        <v>3158</v>
      </c>
      <c r="M1121" s="829" t="str">
        <f>IF(R1121,"Mandatory 
(ACH50 is &lt; 5.0)","N/A")</f>
        <v>N/A</v>
      </c>
      <c r="N1121" s="793">
        <f ca="1">'Ch9'!O220</f>
        <v>0</v>
      </c>
      <c r="O1121" s="793">
        <f ca="1">IFERROR(INDEX({3,6,7,8},MATCH(W1121,INDIRECT(U1121),0)),0)*S1121</f>
        <v>0</v>
      </c>
      <c r="P1121" s="64" t="b">
        <v>0</v>
      </c>
      <c r="Q1121" s="64" t="b">
        <v>1</v>
      </c>
      <c r="R1121" s="64" t="b">
        <f>AND(IF(S1122=0,FALSE,IF(S1122&lt;5,TRUE,FALSE)))</f>
        <v>0</v>
      </c>
      <c r="S1121" s="64" t="b">
        <v>1</v>
      </c>
      <c r="T1121" s="64" t="b">
        <f>AND(NOT(S1121),LEN(W1121)&gt;0)</f>
        <v>0</v>
      </c>
      <c r="U1121" s="64" t="str">
        <f>SUBSTITUTE(SUBSTITUTE(SUBSTITUTE("dd"&amp;B1121&amp;C1121&amp;D1121&amp;E1121&amp;F1121,".","_"),"(","_"),")","")</f>
        <v>dd902_2_1</v>
      </c>
      <c r="V1121" s="64"/>
      <c r="W1121" s="6"/>
      <c r="X1121" s="798"/>
      <c r="Y1121" s="980" t="str">
        <f>IF(LEN('Ch9'!X220)=0,"None",'Ch9'!X220)</f>
        <v>None</v>
      </c>
      <c r="Z1121" s="983"/>
      <c r="AA1121" s="562"/>
      <c r="AB1121" s="562"/>
      <c r="AC1121" s="562" t="b">
        <f>OR(AD1121:AE1121)</f>
        <v>0</v>
      </c>
      <c r="AD1121" s="562" t="b">
        <f>T1121</f>
        <v>0</v>
      </c>
      <c r="AE1121" s="562" t="b">
        <f>AND(R1121,OR(W1121="Not Met",W1121=""))</f>
        <v>0</v>
      </c>
      <c r="AF1121" s="562" t="b">
        <f>AND(AE1121,NOT(Q1121))</f>
        <v>0</v>
      </c>
      <c r="AG1121" s="562"/>
      <c r="AH1121" s="562"/>
      <c r="AI1121" s="562"/>
      <c r="AJ1121" s="562"/>
      <c r="AK1121" s="562"/>
      <c r="AL1121" s="190" t="str">
        <f t="shared" ref="AL1121" si="337">SUBSTITUTE(SUBSTITUTE(SUBSTITUTE("vpa"&amp;$B1121&amp;$C1121&amp;$D1121&amp;$E1121&amp;$F1121,".","_"),"(","_"),")","")</f>
        <v>vpa902_2_1</v>
      </c>
      <c r="AM1121" s="190" t="str">
        <f>M1121</f>
        <v>N/A</v>
      </c>
      <c r="AN1121" s="190" t="str">
        <f>SUBSTITUTE(SUBSTITUTE(SUBSTITUTE("vpc"&amp;$B1121&amp;$C1121&amp;$D1121&amp;$E1121&amp;$F1121,".","_"),"(","_"),")","")</f>
        <v>vpc902_2_1</v>
      </c>
      <c r="AO1121" s="190">
        <f ca="1">O1121</f>
        <v>0</v>
      </c>
      <c r="AP1121" s="190" t="str">
        <f>SUBSTITUTE(SUBSTITUTE(SUBSTITUTE("vch"&amp;$B1121&amp;$C1121&amp;$D1121&amp;$E1121&amp;$F1121,".","_"),"(","_"),")","")</f>
        <v>vch902_2_1</v>
      </c>
      <c r="AQ1121" s="190">
        <f>W1121</f>
        <v>0</v>
      </c>
      <c r="AR1121" s="190" t="str">
        <f>SUBSTITUTE(SUBSTITUTE(SUBSTITUTE("vnt"&amp;$B1121&amp;$C1121&amp;$D1121&amp;$E1121&amp;$F1121,".","_"),"(","_"),")","")</f>
        <v>vnt902_2_1</v>
      </c>
      <c r="AS1121" s="190">
        <f>X1121</f>
        <v>0</v>
      </c>
      <c r="AT1121" s="562"/>
      <c r="AU1121" s="562"/>
      <c r="AV1121" s="562"/>
      <c r="AW1121" s="562"/>
      <c r="AX1121" s="562"/>
      <c r="AY1121" s="562"/>
      <c r="AZ1121" s="562"/>
      <c r="BA1121" s="562"/>
      <c r="BB1121" s="562"/>
      <c r="BC1121" s="562"/>
      <c r="BD1121" s="562"/>
      <c r="BE1121" s="562"/>
      <c r="BF1121" s="562"/>
      <c r="BG1121" s="562"/>
      <c r="BH1121" s="562"/>
    </row>
    <row r="1122" spans="1:60" x14ac:dyDescent="0.2">
      <c r="A1122" s="541">
        <v>9</v>
      </c>
      <c r="B1122" s="551" t="s">
        <v>3156</v>
      </c>
      <c r="C1122" s="544"/>
      <c r="D1122" s="544"/>
      <c r="E1122" s="544"/>
      <c r="F1122" s="544"/>
      <c r="G1122" s="543" t="s">
        <v>3343</v>
      </c>
      <c r="H1122" s="541" t="s">
        <v>3758</v>
      </c>
      <c r="I1122" s="253"/>
      <c r="J1122" s="98"/>
      <c r="K1122" s="98"/>
      <c r="L1122" s="820"/>
      <c r="M1122" s="829"/>
      <c r="N1122" s="793"/>
      <c r="O1122" s="793"/>
      <c r="P1122" s="64"/>
      <c r="Q1122" s="64"/>
      <c r="R1122" s="258" t="s">
        <v>2861</v>
      </c>
      <c r="S1122" s="466">
        <f>W828</f>
        <v>0</v>
      </c>
      <c r="T1122" s="64"/>
      <c r="U1122" s="64"/>
      <c r="V1122" s="64"/>
      <c r="W1122" s="64"/>
      <c r="X1122" s="798"/>
      <c r="Y1122" s="980"/>
      <c r="Z1122" s="983"/>
      <c r="AA1122" s="562"/>
      <c r="AB1122" s="562"/>
      <c r="AC1122" s="562"/>
      <c r="AD1122" s="562"/>
      <c r="AE1122" s="562"/>
      <c r="AF1122" s="562"/>
      <c r="AG1122" s="562"/>
      <c r="AH1122" s="562"/>
      <c r="AI1122" s="562"/>
      <c r="AJ1122" s="562"/>
      <c r="AK1122" s="562"/>
      <c r="AL1122" s="562"/>
      <c r="AM1122" s="562"/>
      <c r="AN1122" s="562"/>
      <c r="AO1122" s="562"/>
      <c r="AP1122" s="562"/>
      <c r="AQ1122" s="562"/>
      <c r="AR1122" s="562"/>
      <c r="AS1122" s="562"/>
      <c r="AT1122" s="562"/>
      <c r="AU1122" s="562"/>
      <c r="AV1122" s="562"/>
      <c r="AW1122" s="562"/>
      <c r="AX1122" s="562"/>
      <c r="AY1122" s="562"/>
      <c r="AZ1122" s="562"/>
      <c r="BA1122" s="562"/>
      <c r="BB1122" s="562"/>
      <c r="BC1122" s="562"/>
      <c r="BD1122" s="562"/>
      <c r="BE1122" s="562"/>
      <c r="BF1122" s="562"/>
      <c r="BG1122" s="562"/>
      <c r="BH1122" s="562"/>
    </row>
    <row r="1123" spans="1:60" s="496" customFormat="1" x14ac:dyDescent="0.2">
      <c r="A1123" s="541">
        <v>9</v>
      </c>
      <c r="B1123" s="551" t="s">
        <v>3156</v>
      </c>
      <c r="C1123" s="544"/>
      <c r="D1123" s="544"/>
      <c r="E1123" s="544"/>
      <c r="F1123" s="544"/>
      <c r="G1123" s="543" t="s">
        <v>3343</v>
      </c>
      <c r="H1123" s="541" t="s">
        <v>3758</v>
      </c>
      <c r="I1123" s="253"/>
      <c r="J1123" s="98"/>
      <c r="K1123" s="98"/>
      <c r="L1123" s="820"/>
      <c r="M1123" s="829"/>
      <c r="N1123" s="793"/>
      <c r="O1123" s="793"/>
      <c r="P1123" s="64"/>
      <c r="Q1123" s="64"/>
      <c r="R1123" s="562"/>
      <c r="S1123" s="562"/>
      <c r="T1123" s="64"/>
      <c r="U1123" s="64"/>
      <c r="V1123" s="64"/>
      <c r="W1123" s="64"/>
      <c r="X1123" s="798"/>
      <c r="Y1123" s="980"/>
      <c r="Z1123" s="983"/>
      <c r="AA1123" s="562"/>
      <c r="AB1123" s="562"/>
      <c r="AC1123" s="562"/>
      <c r="AD1123" s="562"/>
      <c r="AE1123" s="562"/>
      <c r="AF1123" s="562"/>
      <c r="AG1123" s="562"/>
      <c r="AH1123" s="562"/>
      <c r="AI1123" s="562"/>
      <c r="AJ1123" s="562"/>
      <c r="AK1123" s="562"/>
      <c r="AL1123" s="562"/>
      <c r="AM1123" s="562"/>
      <c r="AN1123" s="562"/>
      <c r="AO1123" s="562"/>
      <c r="AP1123" s="562"/>
      <c r="AQ1123" s="562"/>
      <c r="AR1123" s="562"/>
      <c r="AS1123" s="562"/>
      <c r="AT1123" s="562"/>
      <c r="AU1123" s="562"/>
      <c r="AV1123" s="562"/>
      <c r="AW1123" s="562"/>
      <c r="AX1123" s="562"/>
      <c r="AY1123" s="562"/>
      <c r="AZ1123" s="562"/>
      <c r="BA1123" s="562"/>
      <c r="BB1123" s="562"/>
      <c r="BC1123" s="562"/>
      <c r="BD1123" s="562"/>
      <c r="BE1123" s="562"/>
      <c r="BF1123" s="562"/>
      <c r="BG1123" s="562"/>
      <c r="BH1123" s="562"/>
    </row>
    <row r="1124" spans="1:60" x14ac:dyDescent="0.2">
      <c r="A1124" s="541">
        <v>9</v>
      </c>
      <c r="B1124" s="551" t="s">
        <v>3156</v>
      </c>
      <c r="C1124" s="544"/>
      <c r="D1124" s="544"/>
      <c r="E1124" s="544"/>
      <c r="F1124" s="544"/>
      <c r="G1124" s="543" t="s">
        <v>3343</v>
      </c>
      <c r="H1124" s="541" t="s">
        <v>3758</v>
      </c>
      <c r="I1124" s="253"/>
      <c r="J1124" s="98"/>
      <c r="K1124" s="98"/>
      <c r="L1124" s="820"/>
      <c r="M1124" s="829"/>
      <c r="N1124" s="793"/>
      <c r="O1124" s="793"/>
      <c r="P1124" s="64"/>
      <c r="Q1124" s="64"/>
      <c r="R1124" s="562"/>
      <c r="S1124" s="562"/>
      <c r="T1124" s="64"/>
      <c r="U1124" s="64"/>
      <c r="V1124" s="64"/>
      <c r="W1124" s="64"/>
      <c r="X1124" s="798"/>
      <c r="Y1124" s="980"/>
      <c r="Z1124" s="983"/>
      <c r="AA1124" s="562"/>
      <c r="AB1124" s="562"/>
      <c r="AC1124" s="562"/>
      <c r="AD1124" s="562"/>
      <c r="AE1124" s="562"/>
      <c r="AF1124" s="562"/>
      <c r="AG1124" s="562"/>
      <c r="AH1124" s="562"/>
      <c r="AI1124" s="562"/>
      <c r="AJ1124" s="562"/>
      <c r="AK1124" s="562"/>
      <c r="AL1124" s="562"/>
      <c r="AM1124" s="562"/>
      <c r="AN1124" s="562"/>
      <c r="AO1124" s="562"/>
      <c r="AP1124" s="562"/>
      <c r="AQ1124" s="562"/>
      <c r="AR1124" s="562"/>
      <c r="AS1124" s="562"/>
      <c r="AT1124" s="562"/>
      <c r="AU1124" s="562"/>
      <c r="AV1124" s="562"/>
      <c r="AW1124" s="562"/>
      <c r="AX1124" s="562"/>
      <c r="AY1124" s="562"/>
      <c r="AZ1124" s="562"/>
      <c r="BA1124" s="562"/>
      <c r="BB1124" s="562"/>
      <c r="BC1124" s="562"/>
      <c r="BD1124" s="562"/>
      <c r="BE1124" s="562"/>
      <c r="BF1124" s="562"/>
      <c r="BG1124" s="562"/>
      <c r="BH1124" s="562"/>
    </row>
    <row r="1125" spans="1:60" x14ac:dyDescent="0.2">
      <c r="A1125" s="541">
        <v>9</v>
      </c>
      <c r="B1125" s="551" t="s">
        <v>3156</v>
      </c>
      <c r="C1125" s="544"/>
      <c r="D1125" s="544"/>
      <c r="E1125" s="544" t="s">
        <v>2181</v>
      </c>
      <c r="F1125" s="544"/>
      <c r="G1125" s="543" t="s">
        <v>3343</v>
      </c>
      <c r="H1125" s="541" t="s">
        <v>3758</v>
      </c>
      <c r="I1125" s="253"/>
      <c r="J1125" s="134" t="s">
        <v>2181</v>
      </c>
      <c r="K1125" s="98"/>
      <c r="L1125" s="776" t="s">
        <v>3159</v>
      </c>
      <c r="M1125" s="800">
        <v>3</v>
      </c>
      <c r="N1125" s="607"/>
      <c r="O1125" s="607"/>
      <c r="P1125" s="64"/>
      <c r="Q1125" s="64"/>
      <c r="R1125" s="562"/>
      <c r="S1125" s="562"/>
      <c r="T1125" s="64"/>
      <c r="U1125" s="64"/>
      <c r="V1125" s="64"/>
      <c r="W1125" s="64"/>
      <c r="X1125" s="798"/>
      <c r="Y1125" s="980"/>
      <c r="Z1125" s="983"/>
      <c r="AA1125" s="562"/>
      <c r="AB1125" s="562"/>
      <c r="AC1125" s="562"/>
      <c r="AD1125" s="562"/>
      <c r="AE1125" s="562"/>
      <c r="AF1125" s="562"/>
      <c r="AG1125" s="562"/>
      <c r="AH1125" s="562"/>
      <c r="AI1125" s="562"/>
      <c r="AJ1125" s="562"/>
      <c r="AK1125" s="562"/>
      <c r="AL1125" s="190" t="str">
        <f t="shared" ref="AL1125" si="338">SUBSTITUTE(SUBSTITUTE(SUBSTITUTE("vpa"&amp;$B1125&amp;$C1125&amp;$D1125&amp;$E1125&amp;$F1125,".","_"),"(","_"),")","")</f>
        <v>vpa902_2_1_1</v>
      </c>
      <c r="AM1125" s="190">
        <f>M1125</f>
        <v>3</v>
      </c>
      <c r="AN1125" s="562"/>
      <c r="AO1125" s="562"/>
      <c r="AP1125" s="562"/>
      <c r="AQ1125" s="562"/>
      <c r="AR1125" s="562"/>
      <c r="AS1125" s="562"/>
      <c r="AT1125" s="562"/>
      <c r="AU1125" s="562"/>
      <c r="AV1125" s="562"/>
      <c r="AW1125" s="562"/>
      <c r="AX1125" s="562"/>
      <c r="AY1125" s="562"/>
      <c r="AZ1125" s="562"/>
      <c r="BA1125" s="562"/>
      <c r="BB1125" s="562"/>
      <c r="BC1125" s="562"/>
      <c r="BD1125" s="562"/>
      <c r="BE1125" s="562"/>
      <c r="BF1125" s="562"/>
      <c r="BG1125" s="562"/>
      <c r="BH1125" s="562"/>
    </row>
    <row r="1126" spans="1:60" x14ac:dyDescent="0.2">
      <c r="A1126" s="541">
        <v>9</v>
      </c>
      <c r="B1126" s="551" t="s">
        <v>3156</v>
      </c>
      <c r="C1126" s="544"/>
      <c r="D1126" s="544"/>
      <c r="E1126" s="544" t="s">
        <v>2181</v>
      </c>
      <c r="F1126" s="544"/>
      <c r="G1126" s="543" t="s">
        <v>3343</v>
      </c>
      <c r="H1126" s="541" t="s">
        <v>3758</v>
      </c>
      <c r="I1126" s="253"/>
      <c r="J1126" s="159"/>
      <c r="K1126" s="165"/>
      <c r="L1126" s="777"/>
      <c r="M1126" s="801"/>
      <c r="N1126" s="607"/>
      <c r="O1126" s="607"/>
      <c r="P1126" s="64"/>
      <c r="Q1126" s="64"/>
      <c r="R1126" s="64"/>
      <c r="S1126" s="64"/>
      <c r="T1126" s="64"/>
      <c r="U1126" s="64"/>
      <c r="V1126" s="64"/>
      <c r="W1126" s="64"/>
      <c r="X1126" s="798"/>
      <c r="Y1126" s="980"/>
      <c r="Z1126" s="983"/>
      <c r="AA1126" s="562"/>
      <c r="AB1126" s="562"/>
      <c r="AC1126" s="562"/>
      <c r="AD1126" s="562"/>
      <c r="AE1126" s="562"/>
      <c r="AF1126" s="562"/>
      <c r="AG1126" s="562"/>
      <c r="AH1126" s="562"/>
      <c r="AI1126" s="562"/>
      <c r="AJ1126" s="562"/>
      <c r="AK1126" s="562"/>
      <c r="AL1126" s="562"/>
      <c r="AM1126" s="562"/>
      <c r="AN1126" s="562"/>
      <c r="AO1126" s="562"/>
      <c r="AP1126" s="562"/>
      <c r="AQ1126" s="562"/>
      <c r="AR1126" s="562"/>
      <c r="AS1126" s="562"/>
      <c r="AT1126" s="562"/>
      <c r="AU1126" s="562"/>
      <c r="AV1126" s="562"/>
      <c r="AW1126" s="562"/>
      <c r="AX1126" s="562"/>
      <c r="AY1126" s="562"/>
      <c r="AZ1126" s="562"/>
      <c r="BA1126" s="562"/>
      <c r="BB1126" s="562"/>
      <c r="BC1126" s="562"/>
      <c r="BD1126" s="562"/>
      <c r="BE1126" s="562"/>
      <c r="BF1126" s="562"/>
      <c r="BG1126" s="562"/>
      <c r="BH1126" s="562"/>
    </row>
    <row r="1127" spans="1:60" x14ac:dyDescent="0.2">
      <c r="A1127" s="541">
        <v>9</v>
      </c>
      <c r="B1127" s="551" t="s">
        <v>3156</v>
      </c>
      <c r="C1127" s="544"/>
      <c r="D1127" s="544"/>
      <c r="E1127" s="544" t="s">
        <v>2183</v>
      </c>
      <c r="F1127" s="544"/>
      <c r="G1127" s="543" t="s">
        <v>3343</v>
      </c>
      <c r="H1127" s="541" t="s">
        <v>3758</v>
      </c>
      <c r="I1127" s="253"/>
      <c r="J1127" s="134" t="s">
        <v>2183</v>
      </c>
      <c r="K1127" s="98"/>
      <c r="L1127" s="791" t="s">
        <v>3160</v>
      </c>
      <c r="M1127" s="800">
        <v>6</v>
      </c>
      <c r="N1127" s="607"/>
      <c r="O1127" s="607"/>
      <c r="P1127" s="64"/>
      <c r="Q1127" s="64"/>
      <c r="R1127" s="64"/>
      <c r="S1127" s="64"/>
      <c r="T1127" s="64"/>
      <c r="U1127" s="64"/>
      <c r="V1127" s="64"/>
      <c r="W1127" s="64"/>
      <c r="X1127" s="798"/>
      <c r="Y1127" s="980"/>
      <c r="Z1127" s="983"/>
      <c r="AA1127" s="562"/>
      <c r="AB1127" s="562"/>
      <c r="AC1127" s="562"/>
      <c r="AD1127" s="562"/>
      <c r="AE1127" s="562"/>
      <c r="AF1127" s="562"/>
      <c r="AG1127" s="562"/>
      <c r="AH1127" s="562"/>
      <c r="AI1127" s="562"/>
      <c r="AJ1127" s="562"/>
      <c r="AK1127" s="562"/>
      <c r="AL1127" s="190" t="str">
        <f t="shared" ref="AL1127" si="339">SUBSTITUTE(SUBSTITUTE(SUBSTITUTE("vpa"&amp;$B1127&amp;$C1127&amp;$D1127&amp;$E1127&amp;$F1127,".","_"),"(","_"),")","")</f>
        <v>vpa902_2_1_2</v>
      </c>
      <c r="AM1127" s="190">
        <f>M1127</f>
        <v>6</v>
      </c>
      <c r="AN1127" s="562"/>
      <c r="AO1127" s="562"/>
      <c r="AP1127" s="562"/>
      <c r="AQ1127" s="562"/>
      <c r="AR1127" s="562"/>
      <c r="AS1127" s="562"/>
      <c r="AT1127" s="562"/>
      <c r="AU1127" s="562"/>
      <c r="AV1127" s="562"/>
      <c r="AW1127" s="562"/>
      <c r="AX1127" s="562"/>
      <c r="AY1127" s="562"/>
      <c r="AZ1127" s="562"/>
      <c r="BA1127" s="562"/>
      <c r="BB1127" s="562"/>
      <c r="BC1127" s="562"/>
      <c r="BD1127" s="562"/>
      <c r="BE1127" s="562"/>
      <c r="BF1127" s="562"/>
      <c r="BG1127" s="562"/>
      <c r="BH1127" s="562"/>
    </row>
    <row r="1128" spans="1:60" x14ac:dyDescent="0.2">
      <c r="A1128" s="541">
        <v>9</v>
      </c>
      <c r="B1128" s="551" t="s">
        <v>3156</v>
      </c>
      <c r="C1128" s="544"/>
      <c r="D1128" s="544"/>
      <c r="E1128" s="544" t="s">
        <v>2183</v>
      </c>
      <c r="F1128" s="544"/>
      <c r="G1128" s="543" t="s">
        <v>3343</v>
      </c>
      <c r="H1128" s="541" t="s">
        <v>3758</v>
      </c>
      <c r="I1128" s="253"/>
      <c r="J1128" s="165"/>
      <c r="K1128" s="165"/>
      <c r="L1128" s="792"/>
      <c r="M1128" s="801"/>
      <c r="N1128" s="607"/>
      <c r="O1128" s="607"/>
      <c r="P1128" s="64"/>
      <c r="Q1128" s="64"/>
      <c r="R1128" s="64"/>
      <c r="S1128" s="64"/>
      <c r="T1128" s="64"/>
      <c r="U1128" s="64"/>
      <c r="V1128" s="64"/>
      <c r="W1128" s="64"/>
      <c r="X1128" s="798"/>
      <c r="Y1128" s="980"/>
      <c r="Z1128" s="983"/>
      <c r="AA1128" s="562"/>
      <c r="AB1128" s="562"/>
      <c r="AC1128" s="562"/>
      <c r="AD1128" s="562"/>
      <c r="AE1128" s="562"/>
      <c r="AF1128" s="562"/>
      <c r="AG1128" s="562"/>
      <c r="AH1128" s="562"/>
      <c r="AI1128" s="562"/>
      <c r="AJ1128" s="562"/>
      <c r="AK1128" s="562"/>
      <c r="AL1128" s="562"/>
      <c r="AM1128" s="562"/>
      <c r="AN1128" s="562"/>
      <c r="AO1128" s="562"/>
      <c r="AP1128" s="562"/>
      <c r="AQ1128" s="562"/>
      <c r="AR1128" s="562"/>
      <c r="AS1128" s="562"/>
      <c r="AT1128" s="562"/>
      <c r="AU1128" s="562"/>
      <c r="AV1128" s="562"/>
      <c r="AW1128" s="562"/>
      <c r="AX1128" s="562"/>
      <c r="AY1128" s="562"/>
      <c r="AZ1128" s="562"/>
      <c r="BA1128" s="562"/>
      <c r="BB1128" s="562"/>
      <c r="BC1128" s="562"/>
      <c r="BD1128" s="562"/>
      <c r="BE1128" s="562"/>
      <c r="BF1128" s="562"/>
      <c r="BG1128" s="562"/>
      <c r="BH1128" s="562"/>
    </row>
    <row r="1129" spans="1:60" ht="15" customHeight="1" x14ac:dyDescent="0.2">
      <c r="A1129" s="541">
        <v>9</v>
      </c>
      <c r="B1129" s="551" t="s">
        <v>3156</v>
      </c>
      <c r="C1129" s="544"/>
      <c r="D1129" s="544"/>
      <c r="E1129" s="544" t="s">
        <v>2185</v>
      </c>
      <c r="F1129" s="544"/>
      <c r="G1129" s="543" t="s">
        <v>3343</v>
      </c>
      <c r="H1129" s="541" t="s">
        <v>3758</v>
      </c>
      <c r="I1129" s="253"/>
      <c r="J1129" s="159" t="s">
        <v>2185</v>
      </c>
      <c r="K1129" s="165"/>
      <c r="L1129" s="599" t="s">
        <v>3161</v>
      </c>
      <c r="M1129" s="611">
        <v>7</v>
      </c>
      <c r="N1129" s="607"/>
      <c r="O1129" s="607"/>
      <c r="P1129" s="64"/>
      <c r="Q1129" s="64"/>
      <c r="R1129" s="64"/>
      <c r="S1129" s="64"/>
      <c r="T1129" s="64"/>
      <c r="U1129" s="64"/>
      <c r="V1129" s="64"/>
      <c r="W1129" s="64"/>
      <c r="X1129" s="798"/>
      <c r="Y1129" s="980"/>
      <c r="Z1129" s="983"/>
      <c r="AA1129" s="562"/>
      <c r="AB1129" s="562"/>
      <c r="AC1129" s="562"/>
      <c r="AD1129" s="562"/>
      <c r="AE1129" s="562"/>
      <c r="AF1129" s="562"/>
      <c r="AG1129" s="562"/>
      <c r="AH1129" s="562"/>
      <c r="AI1129" s="562"/>
      <c r="AJ1129" s="562"/>
      <c r="AK1129" s="562"/>
      <c r="AL1129" s="190" t="str">
        <f t="shared" ref="AL1129:AL1131" si="340">SUBSTITUTE(SUBSTITUTE(SUBSTITUTE("vpa"&amp;$B1129&amp;$C1129&amp;$D1129&amp;$E1129&amp;$F1129,".","_"),"(","_"),")","")</f>
        <v>vpa902_2_1_3</v>
      </c>
      <c r="AM1129" s="190">
        <f>M1129</f>
        <v>7</v>
      </c>
      <c r="AN1129" s="562"/>
      <c r="AO1129" s="562"/>
      <c r="AP1129" s="562"/>
      <c r="AQ1129" s="562"/>
      <c r="AR1129" s="562"/>
      <c r="AS1129" s="562"/>
      <c r="AT1129" s="562"/>
      <c r="AU1129" s="562"/>
      <c r="AV1129" s="562"/>
      <c r="AW1129" s="562"/>
      <c r="AX1129" s="562"/>
      <c r="AY1129" s="562"/>
      <c r="AZ1129" s="562"/>
      <c r="BA1129" s="562"/>
      <c r="BB1129" s="562"/>
      <c r="BC1129" s="562"/>
      <c r="BD1129" s="562"/>
      <c r="BE1129" s="562"/>
      <c r="BF1129" s="562"/>
      <c r="BG1129" s="562"/>
      <c r="BH1129" s="562"/>
    </row>
    <row r="1130" spans="1:60" x14ac:dyDescent="0.2">
      <c r="A1130" s="541">
        <v>9</v>
      </c>
      <c r="B1130" s="551" t="s">
        <v>3156</v>
      </c>
      <c r="C1130" s="544"/>
      <c r="D1130" s="544"/>
      <c r="E1130" s="544" t="s">
        <v>2192</v>
      </c>
      <c r="F1130" s="544"/>
      <c r="G1130" s="543" t="s">
        <v>3343</v>
      </c>
      <c r="H1130" s="541" t="s">
        <v>3758</v>
      </c>
      <c r="I1130" s="272"/>
      <c r="J1130" s="159" t="s">
        <v>2192</v>
      </c>
      <c r="K1130" s="165"/>
      <c r="L1130" s="599" t="s">
        <v>3162</v>
      </c>
      <c r="M1130" s="611">
        <v>8</v>
      </c>
      <c r="N1130" s="608"/>
      <c r="O1130" s="608"/>
      <c r="P1130" s="129"/>
      <c r="Q1130" s="129"/>
      <c r="R1130" s="129"/>
      <c r="S1130" s="129"/>
      <c r="T1130" s="129"/>
      <c r="U1130" s="129"/>
      <c r="V1130" s="129"/>
      <c r="W1130" s="129"/>
      <c r="X1130" s="798"/>
      <c r="Y1130" s="980"/>
      <c r="Z1130" s="983"/>
      <c r="AA1130" s="562"/>
      <c r="AB1130" s="562"/>
      <c r="AC1130" s="562"/>
      <c r="AD1130" s="562"/>
      <c r="AE1130" s="562"/>
      <c r="AF1130" s="562"/>
      <c r="AG1130" s="562"/>
      <c r="AH1130" s="562"/>
      <c r="AI1130" s="562"/>
      <c r="AJ1130" s="562"/>
      <c r="AK1130" s="562"/>
      <c r="AL1130" s="190" t="str">
        <f t="shared" si="340"/>
        <v>vpa902_2_1_4</v>
      </c>
      <c r="AM1130" s="190">
        <f>M1130</f>
        <v>8</v>
      </c>
      <c r="AN1130" s="562"/>
      <c r="AO1130" s="562"/>
      <c r="AP1130" s="562"/>
      <c r="AQ1130" s="562"/>
      <c r="AR1130" s="562"/>
      <c r="AS1130" s="562"/>
      <c r="AT1130" s="562"/>
      <c r="AU1130" s="562"/>
      <c r="AV1130" s="562"/>
      <c r="AW1130" s="562"/>
      <c r="AX1130" s="562"/>
      <c r="AY1130" s="562"/>
      <c r="AZ1130" s="562"/>
      <c r="BA1130" s="562"/>
      <c r="BB1130" s="562"/>
      <c r="BC1130" s="562"/>
      <c r="BD1130" s="562"/>
      <c r="BE1130" s="562"/>
      <c r="BF1130" s="562"/>
      <c r="BG1130" s="562"/>
      <c r="BH1130" s="562"/>
    </row>
    <row r="1131" spans="1:60" x14ac:dyDescent="0.2">
      <c r="A1131" s="541">
        <v>9</v>
      </c>
      <c r="B1131" s="551" t="s">
        <v>3163</v>
      </c>
      <c r="C1131" s="544"/>
      <c r="D1131" s="544"/>
      <c r="E1131" s="544"/>
      <c r="F1131" s="544"/>
      <c r="G1131" s="543" t="str">
        <f ca="1">IF(N1131&gt;0,"P","")</f>
        <v/>
      </c>
      <c r="H1131" s="541" t="s">
        <v>3758</v>
      </c>
      <c r="I1131" s="145" t="s">
        <v>3164</v>
      </c>
      <c r="J1131" s="146"/>
      <c r="K1131" s="146"/>
      <c r="L1131" s="847" t="s">
        <v>3165</v>
      </c>
      <c r="M1131" s="824">
        <v>4</v>
      </c>
      <c r="N1131" s="815">
        <f ca="1">'Ch9'!O230</f>
        <v>0</v>
      </c>
      <c r="O1131" s="815">
        <f ca="1">M1131*S1131*W1131</f>
        <v>0</v>
      </c>
      <c r="P1131" s="64" t="b">
        <v>0</v>
      </c>
      <c r="Q1131" s="64" t="b">
        <v>1</v>
      </c>
      <c r="R1131" s="148" t="b">
        <v>0</v>
      </c>
      <c r="S1131" s="148" t="b">
        <f ca="1">O1121&gt;0</f>
        <v>0</v>
      </c>
      <c r="T1131" s="148" t="b">
        <f ca="1">AND(NOT(S1131),W1131=TRUE)</f>
        <v>0</v>
      </c>
      <c r="U1131" s="148"/>
      <c r="V1131" s="148"/>
      <c r="W1131" s="18"/>
      <c r="X1131" s="798"/>
      <c r="Y1131" s="980" t="str">
        <f>IF(LEN('Ch9'!X230)=0,"None",'Ch9'!X230)</f>
        <v>None</v>
      </c>
      <c r="Z1131" s="983"/>
      <c r="AA1131" s="562"/>
      <c r="AB1131" s="562"/>
      <c r="AC1131" s="562" t="b">
        <f ca="1">OR(AD1131:AE1131)</f>
        <v>0</v>
      </c>
      <c r="AD1131" s="562" t="b">
        <f ca="1">T1131</f>
        <v>0</v>
      </c>
      <c r="AE1131" s="562" t="b">
        <f>AND(R1131,NOT(W1131))</f>
        <v>0</v>
      </c>
      <c r="AF1131" s="562" t="b">
        <f>AND(AE1131,NOT(Q1131))</f>
        <v>0</v>
      </c>
      <c r="AG1131" s="562"/>
      <c r="AH1131" s="562"/>
      <c r="AI1131" s="562"/>
      <c r="AJ1131" s="562"/>
      <c r="AK1131" s="562"/>
      <c r="AL1131" s="190" t="str">
        <f t="shared" si="340"/>
        <v>vpa902_2_2</v>
      </c>
      <c r="AM1131" s="190">
        <f>M1131</f>
        <v>4</v>
      </c>
      <c r="AN1131" s="190" t="str">
        <f>SUBSTITUTE(SUBSTITUTE(SUBSTITUTE("vpc"&amp;$B1131&amp;$C1131&amp;$D1131&amp;$E1131&amp;$F1131,".","_"),"(","_"),")","")</f>
        <v>vpc902_2_2</v>
      </c>
      <c r="AO1131" s="190">
        <f ca="1">O1131</f>
        <v>0</v>
      </c>
      <c r="AP1131" s="190" t="str">
        <f>SUBSTITUTE(SUBSTITUTE(SUBSTITUTE("vch"&amp;$B1131&amp;$C1131&amp;$D1131&amp;$E1131&amp;$F1131,".","_"),"(","_"),")","")</f>
        <v>vch902_2_2</v>
      </c>
      <c r="AQ1131" s="190">
        <f>W1131</f>
        <v>0</v>
      </c>
      <c r="AR1131" s="190" t="str">
        <f>SUBSTITUTE(SUBSTITUTE(SUBSTITUTE("vnt"&amp;$B1131&amp;$C1131&amp;$D1131&amp;$E1131&amp;$F1131,".","_"),"(","_"),")","")</f>
        <v>vnt902_2_2</v>
      </c>
      <c r="AS1131" s="190">
        <f>X1131</f>
        <v>0</v>
      </c>
      <c r="AT1131" s="562"/>
      <c r="AU1131" s="562"/>
      <c r="AV1131" s="562"/>
      <c r="AW1131" s="562"/>
      <c r="AX1131" s="562"/>
      <c r="AY1131" s="562"/>
      <c r="AZ1131" s="562"/>
      <c r="BA1131" s="562"/>
      <c r="BB1131" s="562"/>
      <c r="BC1131" s="562"/>
      <c r="BD1131" s="562"/>
      <c r="BE1131" s="562"/>
      <c r="BF1131" s="562"/>
      <c r="BG1131" s="562"/>
      <c r="BH1131" s="562"/>
    </row>
    <row r="1132" spans="1:60" x14ac:dyDescent="0.2">
      <c r="A1132" s="541">
        <v>9</v>
      </c>
      <c r="B1132" s="551" t="s">
        <v>3163</v>
      </c>
      <c r="C1132" s="544"/>
      <c r="D1132" s="544"/>
      <c r="E1132" s="544"/>
      <c r="F1132" s="544"/>
      <c r="G1132" s="543" t="str">
        <f t="shared" ref="G1132" ca="1" si="341">G1131</f>
        <v/>
      </c>
      <c r="H1132" s="541" t="s">
        <v>3758</v>
      </c>
      <c r="I1132" s="272"/>
      <c r="J1132" s="165"/>
      <c r="K1132" s="165"/>
      <c r="L1132" s="832"/>
      <c r="M1132" s="801"/>
      <c r="N1132" s="794"/>
      <c r="O1132" s="794"/>
      <c r="P1132" s="129"/>
      <c r="Q1132" s="129"/>
      <c r="R1132" s="129"/>
      <c r="S1132" s="129"/>
      <c r="T1132" s="129"/>
      <c r="U1132" s="129"/>
      <c r="V1132" s="129"/>
      <c r="W1132" s="129"/>
      <c r="X1132" s="798"/>
      <c r="Y1132" s="980"/>
      <c r="Z1132" s="983"/>
      <c r="AA1132" s="562"/>
      <c r="AB1132" s="562"/>
      <c r="AC1132" s="562"/>
      <c r="AD1132" s="562"/>
      <c r="AE1132" s="562"/>
      <c r="AF1132" s="562"/>
      <c r="AG1132" s="562"/>
      <c r="AH1132" s="562"/>
      <c r="AI1132" s="562"/>
      <c r="AJ1132" s="562"/>
      <c r="AK1132" s="562"/>
      <c r="AL1132" s="562"/>
      <c r="AM1132" s="562"/>
      <c r="AN1132" s="562"/>
      <c r="AO1132" s="562"/>
      <c r="AP1132" s="562"/>
      <c r="AQ1132" s="562"/>
      <c r="AR1132" s="562"/>
      <c r="AS1132" s="562"/>
      <c r="AT1132" s="562"/>
      <c r="AU1132" s="562"/>
      <c r="AV1132" s="562"/>
      <c r="AW1132" s="562"/>
      <c r="AX1132" s="562"/>
      <c r="AY1132" s="562"/>
      <c r="AZ1132" s="562"/>
      <c r="BA1132" s="562"/>
      <c r="BB1132" s="562"/>
      <c r="BC1132" s="562"/>
      <c r="BD1132" s="562"/>
      <c r="BE1132" s="562"/>
      <c r="BF1132" s="562"/>
      <c r="BG1132" s="562"/>
      <c r="BH1132" s="562"/>
    </row>
    <row r="1133" spans="1:60" x14ac:dyDescent="0.2">
      <c r="A1133" s="541">
        <v>9</v>
      </c>
      <c r="B1133" s="551" t="s">
        <v>3166</v>
      </c>
      <c r="C1133" s="544"/>
      <c r="D1133" s="544"/>
      <c r="E1133" s="544"/>
      <c r="F1133" s="544"/>
      <c r="G1133" s="543" t="str">
        <f>IF(N1133&gt;0,"P","")</f>
        <v/>
      </c>
      <c r="H1133" s="541" t="s">
        <v>3758</v>
      </c>
      <c r="I1133" s="145" t="s">
        <v>3167</v>
      </c>
      <c r="J1133" s="146"/>
      <c r="K1133" s="146"/>
      <c r="L1133" s="847" t="s">
        <v>3168</v>
      </c>
      <c r="M1133" s="824">
        <v>2</v>
      </c>
      <c r="N1133" s="815">
        <f>'Ch9'!O232</f>
        <v>0</v>
      </c>
      <c r="O1133" s="815">
        <f>M1133*S1133*W1133</f>
        <v>0</v>
      </c>
      <c r="P1133" s="64" t="b">
        <v>0</v>
      </c>
      <c r="Q1133" s="64" t="b">
        <v>1</v>
      </c>
      <c r="R1133" s="148" t="b">
        <v>0</v>
      </c>
      <c r="S1133" s="148" t="b">
        <f>NOT(OR(AND(AY967=INDEX(ddHDucts,2),AY963=INDEX(ddCDucts,2)),W1136))</f>
        <v>1</v>
      </c>
      <c r="T1133" s="148" t="b">
        <f>AND(NOT(S1133),W1133=TRUE)</f>
        <v>0</v>
      </c>
      <c r="U1133" s="148"/>
      <c r="V1133" s="148"/>
      <c r="W1133" s="18"/>
      <c r="X1133" s="798"/>
      <c r="Y1133" s="980" t="str">
        <f>IF(LEN('Ch9'!X232)=0,"None",'Ch9'!X232)</f>
        <v>None</v>
      </c>
      <c r="Z1133" s="983"/>
      <c r="AA1133" s="562"/>
      <c r="AB1133" s="562"/>
      <c r="AC1133" s="562" t="b">
        <f>OR(AD1133:AE1133)</f>
        <v>0</v>
      </c>
      <c r="AD1133" s="562" t="b">
        <f>T1133</f>
        <v>0</v>
      </c>
      <c r="AE1133" s="562" t="b">
        <f>AND(R1133,NOT(W1133))</f>
        <v>0</v>
      </c>
      <c r="AF1133" s="562" t="b">
        <f>AND(AE1133,NOT(Q1133))</f>
        <v>0</v>
      </c>
      <c r="AG1133" s="562"/>
      <c r="AH1133" s="562"/>
      <c r="AI1133" s="562"/>
      <c r="AJ1133" s="562"/>
      <c r="AK1133" s="562"/>
      <c r="AL1133" s="190" t="str">
        <f t="shared" ref="AL1133" si="342">SUBSTITUTE(SUBSTITUTE(SUBSTITUTE("vpa"&amp;$B1133&amp;$C1133&amp;$D1133&amp;$E1133&amp;$F1133,".","_"),"(","_"),")","")</f>
        <v>vpa902_2_3</v>
      </c>
      <c r="AM1133" s="190">
        <f>M1133</f>
        <v>2</v>
      </c>
      <c r="AN1133" s="190" t="str">
        <f>SUBSTITUTE(SUBSTITUTE(SUBSTITUTE("vpc"&amp;$B1133&amp;$C1133&amp;$D1133&amp;$E1133&amp;$F1133,".","_"),"(","_"),")","")</f>
        <v>vpc902_2_3</v>
      </c>
      <c r="AO1133" s="190">
        <f>O1133</f>
        <v>0</v>
      </c>
      <c r="AP1133" s="190" t="str">
        <f>SUBSTITUTE(SUBSTITUTE(SUBSTITUTE("vch"&amp;$B1133&amp;$C1133&amp;$D1133&amp;$E1133&amp;$F1133,".","_"),"(","_"),")","")</f>
        <v>vch902_2_3</v>
      </c>
      <c r="AQ1133" s="190">
        <f>W1133</f>
        <v>0</v>
      </c>
      <c r="AR1133" s="190" t="str">
        <f>SUBSTITUTE(SUBSTITUTE(SUBSTITUTE("vnt"&amp;$B1133&amp;$C1133&amp;$D1133&amp;$E1133&amp;$F1133,".","_"),"(","_"),")","")</f>
        <v>vnt902_2_3</v>
      </c>
      <c r="AS1133" s="190">
        <f>X1133</f>
        <v>0</v>
      </c>
      <c r="AT1133" s="562"/>
      <c r="AU1133" s="562"/>
      <c r="AV1133" s="562"/>
      <c r="AW1133" s="562"/>
      <c r="AX1133" s="562"/>
      <c r="AY1133" s="562"/>
      <c r="AZ1133" s="562"/>
      <c r="BA1133" s="562"/>
      <c r="BB1133" s="562"/>
      <c r="BC1133" s="562"/>
      <c r="BD1133" s="562"/>
      <c r="BE1133" s="562"/>
      <c r="BF1133" s="562"/>
      <c r="BG1133" s="562"/>
      <c r="BH1133" s="562"/>
    </row>
    <row r="1134" spans="1:60" x14ac:dyDescent="0.2">
      <c r="A1134" s="541">
        <v>9</v>
      </c>
      <c r="B1134" s="551" t="s">
        <v>3166</v>
      </c>
      <c r="C1134" s="544"/>
      <c r="D1134" s="544"/>
      <c r="E1134" s="544"/>
      <c r="F1134" s="544"/>
      <c r="G1134" s="543" t="str">
        <f t="shared" ref="G1134:G1135" si="343">G1133</f>
        <v/>
      </c>
      <c r="H1134" s="541" t="s">
        <v>3758</v>
      </c>
      <c r="I1134" s="253"/>
      <c r="J1134" s="98"/>
      <c r="K1134" s="98"/>
      <c r="L1134" s="820"/>
      <c r="M1134" s="800"/>
      <c r="N1134" s="793"/>
      <c r="O1134" s="793"/>
      <c r="P1134" s="64"/>
      <c r="Q1134" s="64"/>
      <c r="R1134" s="64"/>
      <c r="S1134" s="64"/>
      <c r="T1134" s="64"/>
      <c r="U1134" s="64"/>
      <c r="V1134" s="64"/>
      <c r="W1134" s="64"/>
      <c r="X1134" s="798"/>
      <c r="Y1134" s="980"/>
      <c r="Z1134" s="983"/>
      <c r="AA1134" s="562"/>
      <c r="AB1134" s="562"/>
      <c r="AC1134" s="562"/>
      <c r="AD1134" s="562"/>
      <c r="AE1134" s="562"/>
      <c r="AF1134" s="562"/>
      <c r="AG1134" s="562"/>
      <c r="AH1134" s="562"/>
      <c r="AI1134" s="562"/>
      <c r="AJ1134" s="562"/>
      <c r="AK1134" s="562"/>
      <c r="AL1134" s="562"/>
      <c r="AM1134" s="562"/>
      <c r="AN1134" s="562"/>
      <c r="AO1134" s="562"/>
      <c r="AP1134" s="562"/>
      <c r="AQ1134" s="562"/>
      <c r="AR1134" s="562"/>
      <c r="AS1134" s="562"/>
      <c r="AT1134" s="562"/>
      <c r="AU1134" s="562"/>
      <c r="AV1134" s="562"/>
      <c r="AW1134" s="562"/>
      <c r="AX1134" s="562"/>
      <c r="AY1134" s="562"/>
      <c r="AZ1134" s="562"/>
      <c r="BA1134" s="562"/>
      <c r="BB1134" s="562"/>
      <c r="BC1134" s="562"/>
      <c r="BD1134" s="562"/>
      <c r="BE1134" s="562"/>
      <c r="BF1134" s="562"/>
      <c r="BG1134" s="562"/>
      <c r="BH1134" s="562"/>
    </row>
    <row r="1135" spans="1:60" x14ac:dyDescent="0.2">
      <c r="A1135" s="541">
        <v>9</v>
      </c>
      <c r="B1135" s="551" t="s">
        <v>3166</v>
      </c>
      <c r="C1135" s="544"/>
      <c r="D1135" s="544"/>
      <c r="E1135" s="544"/>
      <c r="F1135" s="544"/>
      <c r="G1135" s="543" t="str">
        <f t="shared" si="343"/>
        <v/>
      </c>
      <c r="H1135" s="541" t="s">
        <v>3758</v>
      </c>
      <c r="I1135" s="272"/>
      <c r="J1135" s="165"/>
      <c r="K1135" s="165"/>
      <c r="L1135" s="832"/>
      <c r="M1135" s="801"/>
      <c r="N1135" s="794"/>
      <c r="O1135" s="794"/>
      <c r="P1135" s="129"/>
      <c r="Q1135" s="129"/>
      <c r="R1135" s="129"/>
      <c r="S1135" s="129"/>
      <c r="T1135" s="129"/>
      <c r="U1135" s="129"/>
      <c r="V1135" s="129"/>
      <c r="W1135" s="129"/>
      <c r="X1135" s="798"/>
      <c r="Y1135" s="980"/>
      <c r="Z1135" s="983"/>
      <c r="AA1135" s="562"/>
      <c r="AB1135" s="562"/>
      <c r="AC1135" s="562"/>
      <c r="AD1135" s="562"/>
      <c r="AE1135" s="562"/>
      <c r="AF1135" s="562"/>
      <c r="AG1135" s="562"/>
      <c r="AH1135" s="562"/>
      <c r="AI1135" s="562"/>
      <c r="AJ1135" s="562"/>
      <c r="AK1135" s="562"/>
      <c r="AL1135" s="562"/>
      <c r="AM1135" s="562"/>
      <c r="AN1135" s="562"/>
      <c r="AO1135" s="562"/>
      <c r="AP1135" s="562"/>
      <c r="AQ1135" s="562"/>
      <c r="AR1135" s="562"/>
      <c r="AS1135" s="562"/>
      <c r="AT1135" s="562"/>
      <c r="AU1135" s="562"/>
      <c r="AV1135" s="562"/>
      <c r="AW1135" s="562"/>
      <c r="AX1135" s="562"/>
      <c r="AY1135" s="562"/>
      <c r="AZ1135" s="562"/>
      <c r="BA1135" s="562"/>
      <c r="BB1135" s="562"/>
      <c r="BC1135" s="562"/>
      <c r="BD1135" s="562"/>
      <c r="BE1135" s="562"/>
      <c r="BF1135" s="562"/>
      <c r="BG1135" s="562"/>
      <c r="BH1135" s="562"/>
    </row>
    <row r="1136" spans="1:60" x14ac:dyDescent="0.2">
      <c r="A1136" s="541">
        <v>9</v>
      </c>
      <c r="B1136" s="551" t="s">
        <v>3169</v>
      </c>
      <c r="C1136" s="544"/>
      <c r="D1136" s="544"/>
      <c r="E1136" s="544"/>
      <c r="F1136" s="544"/>
      <c r="G1136" s="543" t="str">
        <f>IF(N1136&gt;0,"P","")</f>
        <v/>
      </c>
      <c r="H1136" s="541" t="s">
        <v>3758</v>
      </c>
      <c r="I1136" s="99" t="s">
        <v>3170</v>
      </c>
      <c r="J1136" s="98"/>
      <c r="K1136" s="98"/>
      <c r="L1136" s="820" t="s">
        <v>3171</v>
      </c>
      <c r="M1136" s="800">
        <v>3</v>
      </c>
      <c r="N1136" s="793">
        <f>'Ch9'!O235</f>
        <v>0</v>
      </c>
      <c r="O1136" s="793">
        <f>M1136*S1136*W1136</f>
        <v>0</v>
      </c>
      <c r="P1136" s="64" t="b">
        <v>0</v>
      </c>
      <c r="Q1136" s="64" t="b">
        <v>1</v>
      </c>
      <c r="R1136" s="64" t="b">
        <v>0</v>
      </c>
      <c r="S1136" s="64" t="b">
        <f>NOT(OR(AND(AY967=INDEX(ddHDucts,2),AY963=INDEX(ddCDucts,2)),W1133))</f>
        <v>1</v>
      </c>
      <c r="T1136" s="64" t="b">
        <f>AND(NOT(S1136),W1136=TRUE)</f>
        <v>0</v>
      </c>
      <c r="U1136" s="64"/>
      <c r="V1136" s="64"/>
      <c r="W1136" s="18"/>
      <c r="X1136" s="786"/>
      <c r="Y1136" s="977" t="str">
        <f>IF(LEN('Ch9'!X235)=0,"None",'Ch9'!X235)</f>
        <v>None</v>
      </c>
      <c r="Z1136" s="978"/>
      <c r="AA1136" s="562"/>
      <c r="AB1136" s="562"/>
      <c r="AC1136" s="562" t="b">
        <f>OR(AD1136:AE1136)</f>
        <v>0</v>
      </c>
      <c r="AD1136" s="562" t="b">
        <f>T1136</f>
        <v>0</v>
      </c>
      <c r="AE1136" s="562" t="b">
        <f>AND(R1136,NOT(W1136))</f>
        <v>0</v>
      </c>
      <c r="AF1136" s="562" t="b">
        <f>AND(AE1136,NOT(Q1136))</f>
        <v>0</v>
      </c>
      <c r="AG1136" s="562"/>
      <c r="AH1136" s="562"/>
      <c r="AI1136" s="562"/>
      <c r="AJ1136" s="562"/>
      <c r="AK1136" s="562"/>
      <c r="AL1136" s="190" t="str">
        <f t="shared" ref="AL1136" si="344">SUBSTITUTE(SUBSTITUTE(SUBSTITUTE("vpa"&amp;$B1136&amp;$C1136&amp;$D1136&amp;$E1136&amp;$F1136,".","_"),"(","_"),")","")</f>
        <v>vpa902_2_4</v>
      </c>
      <c r="AM1136" s="190">
        <f>M1136</f>
        <v>3</v>
      </c>
      <c r="AN1136" s="190" t="str">
        <f>SUBSTITUTE(SUBSTITUTE(SUBSTITUTE("vpc"&amp;$B1136&amp;$C1136&amp;$D1136&amp;$E1136&amp;$F1136,".","_"),"(","_"),")","")</f>
        <v>vpc902_2_4</v>
      </c>
      <c r="AO1136" s="190">
        <f>O1136</f>
        <v>0</v>
      </c>
      <c r="AP1136" s="190" t="str">
        <f>SUBSTITUTE(SUBSTITUTE(SUBSTITUTE("vch"&amp;$B1136&amp;$C1136&amp;$D1136&amp;$E1136&amp;$F1136,".","_"),"(","_"),")","")</f>
        <v>vch902_2_4</v>
      </c>
      <c r="AQ1136" s="190">
        <f>W1136</f>
        <v>0</v>
      </c>
      <c r="AR1136" s="190" t="str">
        <f>SUBSTITUTE(SUBSTITUTE(SUBSTITUTE("vnt"&amp;$B1136&amp;$C1136&amp;$D1136&amp;$E1136&amp;$F1136,".","_"),"(","_"),")","")</f>
        <v>vnt902_2_4</v>
      </c>
      <c r="AS1136" s="190">
        <f>X1136</f>
        <v>0</v>
      </c>
      <c r="AT1136" s="562"/>
      <c r="AU1136" s="562"/>
      <c r="AV1136" s="562"/>
      <c r="AW1136" s="562"/>
      <c r="AX1136" s="562"/>
      <c r="AY1136" s="562"/>
      <c r="AZ1136" s="562"/>
      <c r="BA1136" s="562"/>
      <c r="BB1136" s="562"/>
      <c r="BC1136" s="562"/>
      <c r="BD1136" s="562"/>
      <c r="BE1136" s="562"/>
      <c r="BF1136" s="562"/>
      <c r="BG1136" s="562"/>
      <c r="BH1136" s="562"/>
    </row>
    <row r="1137" spans="1:60" x14ac:dyDescent="0.2">
      <c r="A1137" s="541">
        <v>9</v>
      </c>
      <c r="B1137" s="551" t="s">
        <v>3169</v>
      </c>
      <c r="C1137" s="544"/>
      <c r="D1137" s="544"/>
      <c r="E1137" s="544"/>
      <c r="F1137" s="544"/>
      <c r="G1137" s="543" t="str">
        <f t="shared" ref="G1137:G1138" si="345">G1136</f>
        <v/>
      </c>
      <c r="H1137" s="541" t="s">
        <v>3758</v>
      </c>
      <c r="I1137" s="253"/>
      <c r="J1137" s="98"/>
      <c r="K1137" s="98"/>
      <c r="L1137" s="820"/>
      <c r="M1137" s="800"/>
      <c r="N1137" s="793"/>
      <c r="O1137" s="793"/>
      <c r="P1137" s="64"/>
      <c r="Q1137" s="64"/>
      <c r="R1137" s="64"/>
      <c r="S1137" s="64"/>
      <c r="T1137" s="64"/>
      <c r="U1137" s="64"/>
      <c r="V1137" s="64"/>
      <c r="W1137" s="64"/>
      <c r="X1137" s="798"/>
      <c r="Y1137" s="977"/>
      <c r="Z1137" s="978"/>
      <c r="AA1137" s="562"/>
      <c r="AB1137" s="562"/>
      <c r="AC1137" s="562"/>
      <c r="AD1137" s="562"/>
      <c r="AE1137" s="562"/>
      <c r="AF1137" s="562"/>
      <c r="AG1137" s="562"/>
      <c r="AH1137" s="562"/>
      <c r="AI1137" s="562"/>
      <c r="AJ1137" s="562"/>
      <c r="AK1137" s="562"/>
      <c r="AL1137" s="562"/>
      <c r="AM1137" s="562"/>
      <c r="AN1137" s="562"/>
      <c r="AO1137" s="562"/>
      <c r="AP1137" s="562"/>
      <c r="AQ1137" s="562"/>
      <c r="AR1137" s="562"/>
      <c r="AS1137" s="562"/>
      <c r="AT1137" s="562"/>
      <c r="AU1137" s="562"/>
      <c r="AV1137" s="562"/>
      <c r="AW1137" s="562"/>
      <c r="AX1137" s="562"/>
      <c r="AY1137" s="562"/>
      <c r="AZ1137" s="562"/>
      <c r="BA1137" s="562"/>
      <c r="BB1137" s="562"/>
      <c r="BC1137" s="562"/>
      <c r="BD1137" s="562"/>
      <c r="BE1137" s="562"/>
      <c r="BF1137" s="562"/>
      <c r="BG1137" s="562"/>
      <c r="BH1137" s="562"/>
    </row>
    <row r="1138" spans="1:60" ht="16" thickBot="1" x14ac:dyDescent="0.25">
      <c r="A1138" s="541">
        <v>9</v>
      </c>
      <c r="B1138" s="551" t="s">
        <v>3169</v>
      </c>
      <c r="C1138" s="544"/>
      <c r="D1138" s="544"/>
      <c r="E1138" s="544"/>
      <c r="F1138" s="544"/>
      <c r="G1138" s="543" t="str">
        <f t="shared" si="345"/>
        <v/>
      </c>
      <c r="H1138" s="541" t="s">
        <v>3758</v>
      </c>
      <c r="I1138" s="254"/>
      <c r="J1138" s="185"/>
      <c r="K1138" s="185"/>
      <c r="L1138" s="822"/>
      <c r="M1138" s="813"/>
      <c r="N1138" s="821"/>
      <c r="O1138" s="821"/>
      <c r="P1138" s="68"/>
      <c r="Q1138" s="68"/>
      <c r="R1138" s="68"/>
      <c r="S1138" s="68"/>
      <c r="T1138" s="68"/>
      <c r="U1138" s="68"/>
      <c r="V1138" s="68"/>
      <c r="W1138" s="68"/>
      <c r="X1138" s="799"/>
      <c r="Y1138" s="979"/>
      <c r="Z1138" s="1007"/>
      <c r="AA1138" s="562"/>
      <c r="AB1138" s="562"/>
      <c r="AC1138" s="562"/>
      <c r="AD1138" s="562"/>
      <c r="AE1138" s="562"/>
      <c r="AF1138" s="562"/>
      <c r="AG1138" s="562"/>
      <c r="AH1138" s="562"/>
      <c r="AI1138" s="562"/>
      <c r="AJ1138" s="562"/>
      <c r="AK1138" s="562"/>
      <c r="AL1138" s="562"/>
      <c r="AM1138" s="562"/>
      <c r="AN1138" s="562"/>
      <c r="AO1138" s="562"/>
      <c r="AP1138" s="562"/>
      <c r="AQ1138" s="562"/>
      <c r="AR1138" s="562"/>
      <c r="AS1138" s="562"/>
      <c r="AT1138" s="562"/>
      <c r="AU1138" s="562"/>
      <c r="AV1138" s="562"/>
      <c r="AW1138" s="562"/>
      <c r="AX1138" s="562"/>
      <c r="AY1138" s="562"/>
      <c r="AZ1138" s="562"/>
      <c r="BA1138" s="562"/>
      <c r="BB1138" s="562"/>
      <c r="BC1138" s="562"/>
      <c r="BD1138" s="562"/>
      <c r="BE1138" s="562"/>
      <c r="BF1138" s="562"/>
      <c r="BG1138" s="562"/>
      <c r="BH1138" s="562"/>
    </row>
    <row r="1139" spans="1:60" ht="16" thickTop="1" x14ac:dyDescent="0.2">
      <c r="A1139" s="541">
        <v>9</v>
      </c>
      <c r="B1139" s="551">
        <v>902.3</v>
      </c>
      <c r="C1139" s="544"/>
      <c r="D1139" s="544"/>
      <c r="E1139" s="544"/>
      <c r="F1139" s="544"/>
      <c r="G1139" s="543" t="s">
        <v>3343</v>
      </c>
      <c r="H1139" s="541" t="s">
        <v>3751</v>
      </c>
      <c r="I1139" s="131" t="s">
        <v>3172</v>
      </c>
      <c r="J1139" s="132"/>
      <c r="K1139" s="132"/>
      <c r="L1139" s="819" t="s">
        <v>3173</v>
      </c>
      <c r="M1139" s="625"/>
      <c r="N1139" s="623"/>
      <c r="O1139" s="623"/>
      <c r="P1139" s="74"/>
      <c r="Q1139" s="74"/>
      <c r="R1139" s="74"/>
      <c r="S1139" s="74"/>
      <c r="T1139" s="74"/>
      <c r="U1139" s="74"/>
      <c r="V1139" s="74"/>
      <c r="W1139" s="74"/>
      <c r="X1139" s="802"/>
      <c r="Y1139" s="975" t="str">
        <f>IF(LEN('Ch9'!X238)=0,"None",'Ch9'!X238)</f>
        <v>None</v>
      </c>
      <c r="Z1139" s="976"/>
      <c r="AA1139" s="562"/>
      <c r="AB1139" s="562"/>
      <c r="AC1139" s="562"/>
      <c r="AD1139" s="562"/>
      <c r="AE1139" s="562"/>
      <c r="AF1139" s="562"/>
      <c r="AG1139" s="562"/>
      <c r="AH1139" s="562"/>
      <c r="AI1139" s="562"/>
      <c r="AJ1139" s="562"/>
      <c r="AK1139" s="562"/>
      <c r="AL1139" s="562"/>
      <c r="AM1139" s="562"/>
      <c r="AN1139" s="562"/>
      <c r="AO1139" s="562"/>
      <c r="AP1139" s="562"/>
      <c r="AQ1139" s="562"/>
      <c r="AR1139" s="190" t="str">
        <f>SUBSTITUTE(SUBSTITUTE(SUBSTITUTE("vnt"&amp;$B1139&amp;$C1139&amp;$D1139&amp;$E1139&amp;$F1139,".","_"),"(","_"),")","")</f>
        <v>vnt902,3</v>
      </c>
      <c r="AS1139" s="190">
        <f>X1139</f>
        <v>0</v>
      </c>
      <c r="AT1139" s="562"/>
      <c r="AU1139" s="562"/>
      <c r="AV1139" s="562"/>
      <c r="AW1139" s="562"/>
      <c r="AX1139" s="562"/>
      <c r="AY1139" s="562"/>
      <c r="AZ1139" s="562"/>
      <c r="BA1139" s="562"/>
      <c r="BB1139" s="562"/>
      <c r="BC1139" s="562"/>
      <c r="BD1139" s="562"/>
      <c r="BE1139" s="562"/>
      <c r="BF1139" s="562"/>
      <c r="BG1139" s="562"/>
      <c r="BH1139" s="562"/>
    </row>
    <row r="1140" spans="1:60" s="497" customFormat="1" x14ac:dyDescent="0.2">
      <c r="A1140" s="541">
        <v>9</v>
      </c>
      <c r="B1140" s="551">
        <v>902.3</v>
      </c>
      <c r="C1140" s="544"/>
      <c r="D1140" s="544"/>
      <c r="E1140" s="544"/>
      <c r="F1140" s="544"/>
      <c r="G1140" s="543" t="s">
        <v>3343</v>
      </c>
      <c r="H1140" s="541" t="s">
        <v>3751</v>
      </c>
      <c r="I1140" s="99"/>
      <c r="J1140" s="98"/>
      <c r="K1140" s="98"/>
      <c r="L1140" s="820"/>
      <c r="M1140" s="610"/>
      <c r="N1140" s="607"/>
      <c r="O1140" s="607"/>
      <c r="P1140" s="64"/>
      <c r="Q1140" s="64"/>
      <c r="R1140" s="64"/>
      <c r="S1140" s="64"/>
      <c r="T1140" s="64"/>
      <c r="U1140" s="64"/>
      <c r="V1140" s="64"/>
      <c r="W1140" s="64"/>
      <c r="X1140" s="786"/>
      <c r="Y1140" s="975"/>
      <c r="Z1140" s="976"/>
      <c r="AA1140" s="562"/>
      <c r="AB1140" s="562"/>
      <c r="AC1140" s="562"/>
      <c r="AD1140" s="562"/>
      <c r="AE1140" s="562"/>
      <c r="AF1140" s="562"/>
      <c r="AG1140" s="562"/>
      <c r="AH1140" s="562"/>
      <c r="AI1140" s="562"/>
      <c r="AJ1140" s="562"/>
      <c r="AK1140" s="562"/>
      <c r="AL1140" s="562"/>
      <c r="AM1140" s="562"/>
      <c r="AN1140" s="562"/>
      <c r="AO1140" s="562"/>
      <c r="AP1140" s="562"/>
      <c r="AQ1140" s="562"/>
      <c r="AR1140" s="190"/>
      <c r="AS1140" s="190"/>
      <c r="AT1140" s="562"/>
      <c r="AU1140" s="562"/>
      <c r="AV1140" s="562"/>
      <c r="AW1140" s="562"/>
      <c r="AX1140" s="562"/>
      <c r="AY1140" s="562"/>
      <c r="AZ1140" s="562"/>
      <c r="BA1140" s="562"/>
      <c r="BB1140" s="562"/>
      <c r="BC1140" s="562"/>
      <c r="BD1140" s="562"/>
      <c r="BE1140" s="562"/>
      <c r="BF1140" s="562"/>
      <c r="BG1140" s="562"/>
      <c r="BH1140" s="562"/>
    </row>
    <row r="1141" spans="1:60" x14ac:dyDescent="0.2">
      <c r="A1141" s="541">
        <v>9</v>
      </c>
      <c r="B1141" s="551">
        <v>902.3</v>
      </c>
      <c r="C1141" s="544"/>
      <c r="D1141" s="544"/>
      <c r="E1141" s="544"/>
      <c r="F1141" s="544"/>
      <c r="G1141" s="543" t="s">
        <v>3343</v>
      </c>
      <c r="H1141" s="541" t="s">
        <v>3751</v>
      </c>
      <c r="I1141" s="253"/>
      <c r="J1141" s="98"/>
      <c r="K1141" s="98"/>
      <c r="L1141" s="820"/>
      <c r="M1141" s="610"/>
      <c r="N1141" s="607"/>
      <c r="O1141" s="607"/>
      <c r="P1141" s="64"/>
      <c r="Q1141" s="64"/>
      <c r="R1141" s="64"/>
      <c r="S1141" s="64"/>
      <c r="T1141" s="64"/>
      <c r="U1141" s="64"/>
      <c r="V1141" s="64"/>
      <c r="W1141" s="64"/>
      <c r="X1141" s="798"/>
      <c r="Y1141" s="977"/>
      <c r="Z1141" s="978"/>
      <c r="AA1141" s="562"/>
      <c r="AB1141" s="562"/>
      <c r="AC1141" s="562"/>
      <c r="AD1141" s="562"/>
      <c r="AE1141" s="562"/>
      <c r="AF1141" s="562"/>
      <c r="AG1141" s="562"/>
      <c r="AH1141" s="562"/>
      <c r="AI1141" s="562"/>
      <c r="AJ1141" s="562"/>
      <c r="AK1141" s="562"/>
      <c r="AL1141" s="562"/>
      <c r="AM1141" s="562"/>
      <c r="AN1141" s="562"/>
      <c r="AO1141" s="562"/>
      <c r="AP1141" s="562"/>
      <c r="AQ1141" s="562"/>
      <c r="AR1141" s="562"/>
      <c r="AS1141" s="562"/>
      <c r="AT1141" s="562"/>
      <c r="AU1141" s="562"/>
      <c r="AV1141" s="562"/>
      <c r="AW1141" s="562"/>
      <c r="AX1141" s="562"/>
      <c r="AY1141" s="562"/>
      <c r="AZ1141" s="562"/>
      <c r="BA1141" s="562"/>
      <c r="BB1141" s="562"/>
      <c r="BC1141" s="562"/>
      <c r="BD1141" s="562"/>
      <c r="BE1141" s="562"/>
      <c r="BF1141" s="562"/>
      <c r="BG1141" s="562"/>
      <c r="BH1141" s="562"/>
    </row>
    <row r="1142" spans="1:60" x14ac:dyDescent="0.2">
      <c r="A1142" s="541">
        <v>9</v>
      </c>
      <c r="B1142" s="551">
        <v>902.3</v>
      </c>
      <c r="C1142" s="544"/>
      <c r="D1142" s="544"/>
      <c r="E1142" s="544" t="s">
        <v>2181</v>
      </c>
      <c r="F1142" s="544"/>
      <c r="G1142" s="543" t="s">
        <v>3343</v>
      </c>
      <c r="H1142" s="541" t="s">
        <v>3751</v>
      </c>
      <c r="I1142" s="253"/>
      <c r="J1142" s="134" t="s">
        <v>2181</v>
      </c>
      <c r="K1142" s="98"/>
      <c r="L1142" s="598" t="s">
        <v>3174</v>
      </c>
      <c r="M1142" s="630" t="str">
        <f>IF(R1142,"Mandatory","N/A")</f>
        <v>N/A</v>
      </c>
      <c r="N1142" s="607">
        <f ca="1">'Ch9'!O241</f>
        <v>0</v>
      </c>
      <c r="O1142" s="607">
        <f ca="1">IFERROR(INDEX({7,10},MATCH(W1142,INDIRECT(U1142),0)),0)*S1142</f>
        <v>0</v>
      </c>
      <c r="P1142" s="64" t="b">
        <v>1</v>
      </c>
      <c r="Q1142" s="64" t="b">
        <v>1</v>
      </c>
      <c r="R1142" s="64" t="b">
        <f>S1142</f>
        <v>0</v>
      </c>
      <c r="S1142" s="64" t="b">
        <f>BE942=1</f>
        <v>0</v>
      </c>
      <c r="T1142" s="64" t="b">
        <f>AND(NOT(S1142),LEN(W1142)&gt;0)</f>
        <v>0</v>
      </c>
      <c r="U1142" s="64" t="str">
        <f>SUBSTITUTE(SUBSTITUTE(SUBSTITUTE("dd"&amp;B1142&amp;C1142&amp;D1142&amp;E1142&amp;F1142,".","_"),"(","_"),")","")</f>
        <v>dd902,3_1</v>
      </c>
      <c r="V1142" s="64"/>
      <c r="W1142" s="6"/>
      <c r="X1142" s="798"/>
      <c r="Y1142" s="977"/>
      <c r="Z1142" s="978"/>
      <c r="AA1142" s="562"/>
      <c r="AB1142" s="562"/>
      <c r="AC1142" s="562" t="b">
        <f>OR(AD1142:AE1142)</f>
        <v>0</v>
      </c>
      <c r="AD1142" s="562" t="b">
        <f>T1142</f>
        <v>0</v>
      </c>
      <c r="AE1142" s="562" t="b">
        <f>AND(R1142,OR(W1142="Not Met",W1142=""))</f>
        <v>0</v>
      </c>
      <c r="AF1142" s="562" t="b">
        <f>AND(AE1142,NOT(Q1142))</f>
        <v>0</v>
      </c>
      <c r="AG1142" s="562"/>
      <c r="AH1142" s="562"/>
      <c r="AI1142" s="562"/>
      <c r="AJ1142" s="562"/>
      <c r="AK1142" s="562"/>
      <c r="AL1142" s="190" t="str">
        <f t="shared" ref="AL1142:AL1144" si="346">SUBSTITUTE(SUBSTITUTE(SUBSTITUTE("vpa"&amp;$B1142&amp;$C1142&amp;$D1142&amp;$E1142&amp;$F1142,".","_"),"(","_"),")","")</f>
        <v>vpa902,3_1</v>
      </c>
      <c r="AM1142" s="190" t="str">
        <f>M1142</f>
        <v>N/A</v>
      </c>
      <c r="AN1142" s="190" t="str">
        <f>SUBSTITUTE(SUBSTITUTE(SUBSTITUTE("vpc"&amp;$B1142&amp;$C1142&amp;$D1142&amp;$E1142&amp;$F1142,".","_"),"(","_"),")","")</f>
        <v>vpc902,3_1</v>
      </c>
      <c r="AO1142" s="190">
        <f ca="1">O1142</f>
        <v>0</v>
      </c>
      <c r="AP1142" s="190" t="str">
        <f>SUBSTITUTE(SUBSTITUTE(SUBSTITUTE("vch"&amp;$B1142&amp;$C1142&amp;$D1142&amp;$E1142&amp;$F1142,".","_"),"(","_"),")","")</f>
        <v>vch902,3_1</v>
      </c>
      <c r="AQ1142" s="190">
        <f>W1142</f>
        <v>0</v>
      </c>
      <c r="AR1142" s="562"/>
      <c r="AS1142" s="562"/>
      <c r="AT1142" s="562"/>
      <c r="AU1142" s="562"/>
      <c r="AV1142" s="562"/>
      <c r="AW1142" s="562"/>
      <c r="AX1142" s="562"/>
      <c r="AY1142" s="562"/>
      <c r="AZ1142" s="562"/>
      <c r="BA1142" s="562"/>
      <c r="BB1142" s="562"/>
      <c r="BC1142" s="562"/>
      <c r="BD1142" s="562"/>
      <c r="BE1142" s="562"/>
      <c r="BF1142" s="562"/>
      <c r="BG1142" s="562"/>
      <c r="BH1142" s="562"/>
    </row>
    <row r="1143" spans="1:60" x14ac:dyDescent="0.2">
      <c r="A1143" s="541">
        <v>9</v>
      </c>
      <c r="B1143" s="551">
        <v>902.3</v>
      </c>
      <c r="C1143" s="544"/>
      <c r="D1143" s="544"/>
      <c r="E1143" s="544" t="s">
        <v>2181</v>
      </c>
      <c r="F1143" s="544" t="s">
        <v>2196</v>
      </c>
      <c r="G1143" s="543" t="s">
        <v>3343</v>
      </c>
      <c r="H1143" s="541" t="s">
        <v>3751</v>
      </c>
      <c r="I1143" s="253"/>
      <c r="J1143" s="98"/>
      <c r="K1143" s="134" t="s">
        <v>2196</v>
      </c>
      <c r="L1143" s="598" t="s">
        <v>3175</v>
      </c>
      <c r="M1143" s="610">
        <v>7</v>
      </c>
      <c r="N1143" s="607"/>
      <c r="O1143" s="607"/>
      <c r="P1143" s="64"/>
      <c r="Q1143" s="64"/>
      <c r="R1143" s="64"/>
      <c r="S1143" s="64"/>
      <c r="T1143" s="64"/>
      <c r="U1143" s="64"/>
      <c r="V1143" s="64"/>
      <c r="W1143" s="64"/>
      <c r="X1143" s="798"/>
      <c r="Y1143" s="977"/>
      <c r="Z1143" s="978"/>
      <c r="AA1143" s="562"/>
      <c r="AB1143" s="562"/>
      <c r="AC1143" s="562"/>
      <c r="AD1143" s="562"/>
      <c r="AE1143" s="562"/>
      <c r="AF1143" s="562"/>
      <c r="AG1143" s="562"/>
      <c r="AH1143" s="562"/>
      <c r="AI1143" s="562"/>
      <c r="AJ1143" s="562"/>
      <c r="AK1143" s="562"/>
      <c r="AL1143" s="190" t="str">
        <f t="shared" si="346"/>
        <v>vpa902,3_1_a</v>
      </c>
      <c r="AM1143" s="190">
        <f>M1143</f>
        <v>7</v>
      </c>
      <c r="AN1143" s="562"/>
      <c r="AO1143" s="562"/>
      <c r="AP1143" s="562"/>
      <c r="AQ1143" s="562"/>
      <c r="AR1143" s="562"/>
      <c r="AS1143" s="562"/>
      <c r="AT1143" s="562"/>
      <c r="AU1143" s="562"/>
      <c r="AV1143" s="562"/>
      <c r="AW1143" s="562"/>
      <c r="AX1143" s="562"/>
      <c r="AY1143" s="562"/>
      <c r="AZ1143" s="562"/>
      <c r="BA1143" s="562"/>
      <c r="BB1143" s="562"/>
      <c r="BC1143" s="562"/>
      <c r="BD1143" s="562"/>
      <c r="BE1143" s="562"/>
      <c r="BF1143" s="562"/>
      <c r="BG1143" s="562"/>
      <c r="BH1143" s="562"/>
    </row>
    <row r="1144" spans="1:60" x14ac:dyDescent="0.2">
      <c r="A1144" s="541">
        <v>9</v>
      </c>
      <c r="B1144" s="551">
        <v>902.3</v>
      </c>
      <c r="C1144" s="544"/>
      <c r="D1144" s="544"/>
      <c r="E1144" s="544" t="s">
        <v>2181</v>
      </c>
      <c r="F1144" s="544" t="s">
        <v>2198</v>
      </c>
      <c r="G1144" s="543" t="s">
        <v>3343</v>
      </c>
      <c r="H1144" s="541" t="s">
        <v>3751</v>
      </c>
      <c r="I1144" s="253"/>
      <c r="J1144" s="165"/>
      <c r="K1144" s="159" t="s">
        <v>2198</v>
      </c>
      <c r="L1144" s="599" t="s">
        <v>3176</v>
      </c>
      <c r="M1144" s="611">
        <v>10</v>
      </c>
      <c r="N1144" s="607"/>
      <c r="O1144" s="607"/>
      <c r="P1144" s="64"/>
      <c r="Q1144" s="64"/>
      <c r="R1144" s="64"/>
      <c r="S1144" s="64"/>
      <c r="T1144" s="64"/>
      <c r="U1144" s="64"/>
      <c r="V1144" s="64"/>
      <c r="W1144" s="64"/>
      <c r="X1144" s="798"/>
      <c r="Y1144" s="977"/>
      <c r="Z1144" s="978"/>
      <c r="AA1144" s="562"/>
      <c r="AB1144" s="562"/>
      <c r="AC1144" s="562"/>
      <c r="AD1144" s="562"/>
      <c r="AE1144" s="562"/>
      <c r="AF1144" s="562"/>
      <c r="AG1144" s="562"/>
      <c r="AH1144" s="562"/>
      <c r="AI1144" s="562"/>
      <c r="AJ1144" s="562"/>
      <c r="AK1144" s="562"/>
      <c r="AL1144" s="190" t="str">
        <f t="shared" si="346"/>
        <v>vpa902,3_1_b</v>
      </c>
      <c r="AM1144" s="190">
        <f>M1144</f>
        <v>10</v>
      </c>
      <c r="AN1144" s="562"/>
      <c r="AO1144" s="562"/>
      <c r="AP1144" s="562"/>
      <c r="AQ1144" s="562"/>
      <c r="AR1144" s="562"/>
      <c r="AS1144" s="562"/>
      <c r="AT1144" s="562"/>
      <c r="AU1144" s="562"/>
      <c r="AV1144" s="562"/>
      <c r="AW1144" s="562"/>
      <c r="AX1144" s="562"/>
      <c r="AY1144" s="562"/>
      <c r="AZ1144" s="562"/>
      <c r="BA1144" s="562"/>
      <c r="BB1144" s="562"/>
      <c r="BC1144" s="562"/>
      <c r="BD1144" s="562"/>
      <c r="BE1144" s="562"/>
      <c r="BF1144" s="562"/>
      <c r="BG1144" s="562"/>
      <c r="BH1144" s="562"/>
    </row>
    <row r="1145" spans="1:60" x14ac:dyDescent="0.2">
      <c r="A1145" s="541">
        <v>9</v>
      </c>
      <c r="B1145" s="551">
        <v>902.3</v>
      </c>
      <c r="C1145" s="544"/>
      <c r="D1145" s="544"/>
      <c r="E1145" s="544" t="s">
        <v>2183</v>
      </c>
      <c r="F1145" s="544"/>
      <c r="G1145" s="539" t="str">
        <f>IF(COUNTIF(G1146,"P")&gt;0,"P","")</f>
        <v/>
      </c>
      <c r="H1145" s="541" t="s">
        <v>3751</v>
      </c>
      <c r="I1145" s="253"/>
      <c r="J1145" s="134" t="s">
        <v>2183</v>
      </c>
      <c r="K1145" s="98"/>
      <c r="L1145" s="598" t="s">
        <v>3177</v>
      </c>
      <c r="M1145" s="610"/>
      <c r="N1145" s="607"/>
      <c r="O1145" s="607"/>
      <c r="P1145" s="64"/>
      <c r="Q1145" s="64"/>
      <c r="R1145" s="64"/>
      <c r="S1145" s="64"/>
      <c r="T1145" s="64"/>
      <c r="U1145" s="64"/>
      <c r="V1145" s="64"/>
      <c r="W1145" s="64"/>
      <c r="X1145" s="798"/>
      <c r="Y1145" s="977"/>
      <c r="Z1145" s="978"/>
      <c r="AA1145" s="562"/>
      <c r="AB1145" s="562"/>
      <c r="AC1145" s="562"/>
      <c r="AD1145" s="562"/>
      <c r="AE1145" s="562"/>
      <c r="AF1145" s="562"/>
      <c r="AG1145" s="562"/>
      <c r="AH1145" s="562"/>
      <c r="AI1145" s="562"/>
      <c r="AJ1145" s="562"/>
      <c r="AK1145" s="562"/>
      <c r="AL1145" s="562"/>
      <c r="AM1145" s="562"/>
      <c r="AN1145" s="562"/>
      <c r="AO1145" s="562"/>
      <c r="AP1145" s="562"/>
      <c r="AQ1145" s="562"/>
      <c r="AR1145" s="562"/>
      <c r="AS1145" s="562"/>
      <c r="AT1145" s="562"/>
      <c r="AU1145" s="562"/>
      <c r="AV1145" s="562"/>
      <c r="AW1145" s="562"/>
      <c r="AX1145" s="562"/>
      <c r="AY1145" s="562"/>
      <c r="AZ1145" s="562"/>
      <c r="BA1145" s="562"/>
      <c r="BB1145" s="562"/>
      <c r="BC1145" s="562"/>
      <c r="BD1145" s="562"/>
      <c r="BE1145" s="562"/>
      <c r="BF1145" s="562"/>
      <c r="BG1145" s="562"/>
      <c r="BH1145" s="562"/>
    </row>
    <row r="1146" spans="1:60" ht="16" thickBot="1" x14ac:dyDescent="0.25">
      <c r="A1146" s="541">
        <v>9</v>
      </c>
      <c r="B1146" s="551">
        <v>902.3</v>
      </c>
      <c r="C1146" s="544"/>
      <c r="D1146" s="544"/>
      <c r="E1146" s="544" t="s">
        <v>2183</v>
      </c>
      <c r="F1146" s="544" t="s">
        <v>2196</v>
      </c>
      <c r="G1146" s="543" t="str">
        <f>IF(N1146&gt;0,"P","")</f>
        <v/>
      </c>
      <c r="H1146" s="541" t="s">
        <v>3751</v>
      </c>
      <c r="I1146" s="254"/>
      <c r="J1146" s="185"/>
      <c r="K1146" s="143" t="s">
        <v>2196</v>
      </c>
      <c r="L1146" s="626" t="s">
        <v>3178</v>
      </c>
      <c r="M1146" s="615">
        <v>7</v>
      </c>
      <c r="N1146" s="622">
        <f>'Ch9'!O245</f>
        <v>0</v>
      </c>
      <c r="O1146" s="622">
        <f>M1146*S1146*W1146</f>
        <v>0</v>
      </c>
      <c r="P1146" s="64" t="b">
        <v>1</v>
      </c>
      <c r="Q1146" s="64" t="b">
        <v>1</v>
      </c>
      <c r="R1146" s="68" t="b">
        <v>0</v>
      </c>
      <c r="S1146" s="68" t="b">
        <f>OR(BE942=2,BE942=3)</f>
        <v>0</v>
      </c>
      <c r="T1146" s="68" t="b">
        <f>AND(NOT(S1146),W1146=TRUE)</f>
        <v>0</v>
      </c>
      <c r="U1146" s="68"/>
      <c r="V1146" s="68"/>
      <c r="W1146" s="69"/>
      <c r="X1146" s="799"/>
      <c r="Y1146" s="979"/>
      <c r="Z1146" s="1007"/>
      <c r="AA1146" s="562"/>
      <c r="AB1146" s="562"/>
      <c r="AC1146" s="562" t="b">
        <f>OR(AD1146:AE1146)</f>
        <v>0</v>
      </c>
      <c r="AD1146" s="562" t="b">
        <f>T1146</f>
        <v>0</v>
      </c>
      <c r="AE1146" s="562" t="b">
        <f>AND(R1146,NOT(W1146))</f>
        <v>0</v>
      </c>
      <c r="AF1146" s="562" t="b">
        <f>AND(AE1146,NOT(Q1146))</f>
        <v>0</v>
      </c>
      <c r="AG1146" s="562"/>
      <c r="AH1146" s="562"/>
      <c r="AI1146" s="562"/>
      <c r="AJ1146" s="562"/>
      <c r="AK1146" s="562"/>
      <c r="AL1146" s="190" t="str">
        <f t="shared" ref="AL1146:AL1147" si="347">SUBSTITUTE(SUBSTITUTE(SUBSTITUTE("vpa"&amp;$B1146&amp;$C1146&amp;$D1146&amp;$E1146&amp;$F1146,".","_"),"(","_"),")","")</f>
        <v>vpa902,3_2_a</v>
      </c>
      <c r="AM1146" s="190">
        <f>M1146</f>
        <v>7</v>
      </c>
      <c r="AN1146" s="190" t="str">
        <f t="shared" ref="AN1146:AN1147" si="348">SUBSTITUTE(SUBSTITUTE(SUBSTITUTE("vpc"&amp;$B1146&amp;$C1146&amp;$D1146&amp;$E1146&amp;$F1146,".","_"),"(","_"),")","")</f>
        <v>vpc902,3_2_a</v>
      </c>
      <c r="AO1146" s="190">
        <f>O1146</f>
        <v>0</v>
      </c>
      <c r="AP1146" s="190" t="str">
        <f>SUBSTITUTE(SUBSTITUTE(SUBSTITUTE("vch"&amp;$B1146&amp;$C1146&amp;$D1146&amp;$E1146&amp;$F1146,".","_"),"(","_"),")","")</f>
        <v>vch902,3_2_a</v>
      </c>
      <c r="AQ1146" s="190">
        <f>W1146</f>
        <v>0</v>
      </c>
      <c r="AR1146" s="562"/>
      <c r="AS1146" s="562"/>
      <c r="AT1146" s="562"/>
      <c r="AU1146" s="562"/>
      <c r="AV1146" s="562"/>
      <c r="AW1146" s="562"/>
      <c r="AX1146" s="562"/>
      <c r="AY1146" s="562"/>
      <c r="AZ1146" s="562"/>
      <c r="BA1146" s="562"/>
      <c r="BB1146" s="562"/>
      <c r="BC1146" s="562"/>
      <c r="BD1146" s="562"/>
      <c r="BE1146" s="562"/>
      <c r="BF1146" s="562"/>
      <c r="BG1146" s="562"/>
      <c r="BH1146" s="562"/>
    </row>
    <row r="1147" spans="1:60" ht="16" thickTop="1" x14ac:dyDescent="0.2">
      <c r="A1147" s="541">
        <v>9</v>
      </c>
      <c r="B1147" s="551">
        <v>902.4</v>
      </c>
      <c r="C1147" s="544"/>
      <c r="D1147" s="544"/>
      <c r="E1147" s="544"/>
      <c r="F1147" s="544"/>
      <c r="G1147" s="543" t="str">
        <f>IF(N1147&gt;0,"P","")</f>
        <v/>
      </c>
      <c r="H1147" s="541" t="s">
        <v>3751</v>
      </c>
      <c r="I1147" s="40" t="s">
        <v>3179</v>
      </c>
      <c r="J1147" s="3"/>
      <c r="K1147" s="3"/>
      <c r="L1147" s="775" t="s">
        <v>3180</v>
      </c>
      <c r="M1147" s="814">
        <v>3</v>
      </c>
      <c r="N1147" s="795">
        <f>'Ch9'!O246</f>
        <v>0</v>
      </c>
      <c r="O1147" s="795">
        <f>M1147*S1149*IFERROR(OR(W1149,W1151),0)</f>
        <v>0</v>
      </c>
      <c r="P1147" s="562"/>
      <c r="Q1147" s="562"/>
      <c r="R1147" s="562"/>
      <c r="S1147" s="562"/>
      <c r="T1147" s="562"/>
      <c r="U1147" s="562"/>
      <c r="V1147" s="562"/>
      <c r="W1147" s="562"/>
      <c r="X1147" s="562"/>
      <c r="Y1147" s="562"/>
      <c r="Z1147" s="430"/>
      <c r="AA1147" s="562"/>
      <c r="AB1147" s="562"/>
      <c r="AC1147" s="562"/>
      <c r="AD1147" s="562"/>
      <c r="AE1147" s="562"/>
      <c r="AF1147" s="562"/>
      <c r="AG1147" s="562"/>
      <c r="AH1147" s="562"/>
      <c r="AI1147" s="562"/>
      <c r="AJ1147" s="562"/>
      <c r="AK1147" s="562"/>
      <c r="AL1147" s="190" t="str">
        <f t="shared" si="347"/>
        <v>vpa902,4</v>
      </c>
      <c r="AM1147" s="190">
        <f>M1147</f>
        <v>3</v>
      </c>
      <c r="AN1147" s="190" t="str">
        <f t="shared" si="348"/>
        <v>vpc902,4</v>
      </c>
      <c r="AO1147" s="190">
        <f>O1147</f>
        <v>0</v>
      </c>
      <c r="AP1147" s="562"/>
      <c r="AQ1147" s="562"/>
      <c r="AR1147" s="562"/>
      <c r="AS1147" s="562"/>
      <c r="AT1147" s="562"/>
      <c r="AU1147" s="562"/>
      <c r="AV1147" s="562"/>
      <c r="AW1147" s="562"/>
      <c r="AX1147" s="562"/>
      <c r="AY1147" s="562"/>
      <c r="AZ1147" s="562"/>
      <c r="BA1147" s="562"/>
      <c r="BB1147" s="562"/>
      <c r="BC1147" s="562"/>
      <c r="BD1147" s="562"/>
      <c r="BE1147" s="562"/>
      <c r="BF1147" s="562"/>
      <c r="BG1147" s="562"/>
      <c r="BH1147" s="562"/>
    </row>
    <row r="1148" spans="1:60" x14ac:dyDescent="0.2">
      <c r="A1148" s="541">
        <v>9</v>
      </c>
      <c r="B1148" s="551">
        <v>902.4</v>
      </c>
      <c r="C1148" s="544"/>
      <c r="D1148" s="544"/>
      <c r="E1148" s="544"/>
      <c r="F1148" s="544"/>
      <c r="G1148" s="543" t="str">
        <f t="shared" ref="G1148:G1153" si="349">G1147</f>
        <v/>
      </c>
      <c r="H1148" s="541" t="s">
        <v>3751</v>
      </c>
      <c r="I1148" s="121"/>
      <c r="J1148" s="3"/>
      <c r="K1148" s="3"/>
      <c r="L1148" s="775"/>
      <c r="M1148" s="814"/>
      <c r="N1148" s="795"/>
      <c r="O1148" s="795"/>
      <c r="P1148" s="562"/>
      <c r="Q1148" s="562"/>
      <c r="R1148" s="562"/>
      <c r="S1148" s="562"/>
      <c r="T1148" s="562"/>
      <c r="U1148" s="562"/>
      <c r="V1148" s="562"/>
      <c r="W1148" s="562"/>
      <c r="X1148" s="562"/>
      <c r="Y1148" s="562"/>
      <c r="Z1148" s="430"/>
      <c r="AA1148" s="562"/>
      <c r="AB1148" s="562"/>
      <c r="AC1148" s="562"/>
      <c r="AD1148" s="562"/>
      <c r="AE1148" s="562"/>
      <c r="AF1148" s="562"/>
      <c r="AG1148" s="562"/>
      <c r="AH1148" s="562"/>
      <c r="AI1148" s="562"/>
      <c r="AJ1148" s="562"/>
      <c r="AK1148" s="562"/>
      <c r="AL1148" s="562"/>
      <c r="AM1148" s="562"/>
      <c r="AN1148" s="562"/>
      <c r="AO1148" s="562"/>
      <c r="AP1148" s="562"/>
      <c r="AQ1148" s="562"/>
      <c r="AR1148" s="562"/>
      <c r="AS1148" s="562"/>
      <c r="AT1148" s="562"/>
      <c r="AU1148" s="562"/>
      <c r="AV1148" s="562"/>
      <c r="AW1148" s="562"/>
      <c r="AX1148" s="562"/>
      <c r="AY1148" s="562"/>
      <c r="AZ1148" s="562"/>
      <c r="BA1148" s="562"/>
      <c r="BB1148" s="562"/>
      <c r="BC1148" s="562"/>
      <c r="BD1148" s="562"/>
      <c r="BE1148" s="562"/>
      <c r="BF1148" s="562"/>
      <c r="BG1148" s="562"/>
      <c r="BH1148" s="562"/>
    </row>
    <row r="1149" spans="1:60" x14ac:dyDescent="0.2">
      <c r="A1149" s="541">
        <v>9</v>
      </c>
      <c r="B1149" s="551">
        <v>902.4</v>
      </c>
      <c r="C1149" s="544"/>
      <c r="D1149" s="544"/>
      <c r="E1149" s="544" t="s">
        <v>2181</v>
      </c>
      <c r="F1149" s="544"/>
      <c r="G1149" s="543" t="str">
        <f t="shared" si="349"/>
        <v/>
      </c>
      <c r="H1149" s="541" t="s">
        <v>3757</v>
      </c>
      <c r="I1149" s="121"/>
      <c r="J1149" s="134" t="s">
        <v>2181</v>
      </c>
      <c r="K1149" s="98"/>
      <c r="L1149" s="791" t="s">
        <v>3181</v>
      </c>
      <c r="M1149" s="616"/>
      <c r="N1149" s="609"/>
      <c r="O1149" s="609"/>
      <c r="P1149" s="64" t="b">
        <v>1</v>
      </c>
      <c r="Q1149" s="64" t="b">
        <v>0</v>
      </c>
      <c r="R1149" s="562" t="b">
        <v>0</v>
      </c>
      <c r="S1149" s="562" t="b">
        <v>1</v>
      </c>
      <c r="T1149" s="562" t="b">
        <v>0</v>
      </c>
      <c r="U1149" s="562"/>
      <c r="V1149" s="562"/>
      <c r="W1149" s="18"/>
      <c r="X1149" s="787"/>
      <c r="Y1149" s="980" t="str">
        <f>IF(LEN('Ch9'!X248)=0,"None",'Ch9'!X248)</f>
        <v>None</v>
      </c>
      <c r="Z1149" s="983"/>
      <c r="AA1149" s="562"/>
      <c r="AB1149" s="562"/>
      <c r="AC1149" s="562" t="b">
        <f>OR(AD1149:AE1149)</f>
        <v>0</v>
      </c>
      <c r="AD1149" s="562" t="b">
        <f>T1149</f>
        <v>0</v>
      </c>
      <c r="AE1149" s="562" t="b">
        <f>AND(R1149,NOT(W1149))</f>
        <v>0</v>
      </c>
      <c r="AF1149" s="562" t="b">
        <f>AND(AE1149,NOT(Q1149))</f>
        <v>0</v>
      </c>
      <c r="AG1149" s="562"/>
      <c r="AH1149" s="562"/>
      <c r="AI1149" s="562"/>
      <c r="AJ1149" s="562"/>
      <c r="AK1149" s="562"/>
      <c r="AL1149" s="562"/>
      <c r="AM1149" s="562"/>
      <c r="AN1149" s="562"/>
      <c r="AO1149" s="562"/>
      <c r="AP1149" s="190" t="str">
        <f>SUBSTITUTE(SUBSTITUTE(SUBSTITUTE("vch"&amp;$B1149&amp;$C1149&amp;$D1149&amp;$E1149&amp;$F1149,".","_"),"(","_"),")","")</f>
        <v>vch902,4_1</v>
      </c>
      <c r="AQ1149" s="190">
        <f>W1149</f>
        <v>0</v>
      </c>
      <c r="AR1149" s="190" t="str">
        <f>SUBSTITUTE(SUBSTITUTE(SUBSTITUTE("vnt"&amp;$B1149&amp;$C1149&amp;$D1149&amp;$E1149&amp;$F1149,".","_"),"(","_"),")","")</f>
        <v>vnt902,4_1</v>
      </c>
      <c r="AS1149" s="190">
        <f>X1149</f>
        <v>0</v>
      </c>
      <c r="AT1149" s="562"/>
      <c r="AU1149" s="562"/>
      <c r="AV1149" s="562"/>
      <c r="AW1149" s="562"/>
      <c r="AX1149" s="562"/>
      <c r="AY1149" s="562"/>
      <c r="AZ1149" s="562"/>
      <c r="BA1149" s="562"/>
      <c r="BB1149" s="562"/>
      <c r="BC1149" s="562"/>
      <c r="BD1149" s="562"/>
      <c r="BE1149" s="562"/>
      <c r="BF1149" s="562"/>
      <c r="BG1149" s="562"/>
      <c r="BH1149" s="562"/>
    </row>
    <row r="1150" spans="1:60" x14ac:dyDescent="0.2">
      <c r="A1150" s="541">
        <v>9</v>
      </c>
      <c r="B1150" s="551">
        <v>902.4</v>
      </c>
      <c r="C1150" s="544"/>
      <c r="D1150" s="544"/>
      <c r="E1150" s="544" t="s">
        <v>2181</v>
      </c>
      <c r="F1150" s="544"/>
      <c r="G1150" s="543" t="str">
        <f t="shared" si="349"/>
        <v/>
      </c>
      <c r="H1150" s="541" t="s">
        <v>3757</v>
      </c>
      <c r="I1150" s="121"/>
      <c r="J1150" s="159"/>
      <c r="K1150" s="165"/>
      <c r="L1150" s="792"/>
      <c r="M1150" s="616"/>
      <c r="N1150" s="609"/>
      <c r="O1150" s="609"/>
      <c r="P1150" s="562"/>
      <c r="Q1150" s="562"/>
      <c r="R1150" s="562"/>
      <c r="S1150" s="562"/>
      <c r="T1150" s="562"/>
      <c r="U1150" s="562"/>
      <c r="V1150" s="562"/>
      <c r="W1150" s="562"/>
      <c r="X1150" s="787"/>
      <c r="Y1150" s="980"/>
      <c r="Z1150" s="983"/>
      <c r="AA1150" s="562"/>
      <c r="AB1150" s="562"/>
      <c r="AC1150" s="562"/>
      <c r="AD1150" s="562"/>
      <c r="AE1150" s="562"/>
      <c r="AF1150" s="562"/>
      <c r="AG1150" s="562"/>
      <c r="AH1150" s="562"/>
      <c r="AI1150" s="562"/>
      <c r="AJ1150" s="562"/>
      <c r="AK1150" s="562"/>
      <c r="AL1150" s="562"/>
      <c r="AM1150" s="562"/>
      <c r="AN1150" s="562"/>
      <c r="AO1150" s="562"/>
      <c r="AP1150" s="562"/>
      <c r="AQ1150" s="562"/>
      <c r="AR1150" s="562"/>
      <c r="AS1150" s="562"/>
      <c r="AT1150" s="562"/>
      <c r="AU1150" s="562"/>
      <c r="AV1150" s="562"/>
      <c r="AW1150" s="562"/>
      <c r="AX1150" s="562"/>
      <c r="AY1150" s="562"/>
      <c r="AZ1150" s="562"/>
      <c r="BA1150" s="562"/>
      <c r="BB1150" s="562"/>
      <c r="BC1150" s="562"/>
      <c r="BD1150" s="562"/>
      <c r="BE1150" s="562"/>
      <c r="BF1150" s="562"/>
      <c r="BG1150" s="562"/>
      <c r="BH1150" s="562"/>
    </row>
    <row r="1151" spans="1:60" x14ac:dyDescent="0.2">
      <c r="A1151" s="541">
        <v>9</v>
      </c>
      <c r="B1151" s="551">
        <v>902.4</v>
      </c>
      <c r="C1151" s="544"/>
      <c r="D1151" s="544"/>
      <c r="E1151" s="544" t="s">
        <v>2183</v>
      </c>
      <c r="F1151" s="544"/>
      <c r="G1151" s="543" t="str">
        <f t="shared" si="349"/>
        <v/>
      </c>
      <c r="H1151" s="541" t="s">
        <v>3758</v>
      </c>
      <c r="I1151" s="253"/>
      <c r="J1151" s="134" t="s">
        <v>2183</v>
      </c>
      <c r="K1151" s="98"/>
      <c r="L1151" s="791" t="s">
        <v>3182</v>
      </c>
      <c r="M1151" s="610"/>
      <c r="N1151" s="607"/>
      <c r="O1151" s="607"/>
      <c r="P1151" s="64" t="b">
        <v>0</v>
      </c>
      <c r="Q1151" s="64" t="b">
        <v>1</v>
      </c>
      <c r="R1151" s="64" t="b">
        <v>0</v>
      </c>
      <c r="S1151" s="64" t="b">
        <v>1</v>
      </c>
      <c r="T1151" s="64" t="b">
        <v>0</v>
      </c>
      <c r="U1151" s="64"/>
      <c r="V1151" s="64"/>
      <c r="W1151" s="18"/>
      <c r="X1151" s="798"/>
      <c r="Y1151" s="977" t="str">
        <f>IF(LEN('Ch9'!X250)=0,"None",'Ch9'!X250)</f>
        <v>None</v>
      </c>
      <c r="Z1151" s="978"/>
      <c r="AA1151" s="562"/>
      <c r="AB1151" s="562"/>
      <c r="AC1151" s="562" t="b">
        <f>OR(AD1151:AE1151)</f>
        <v>0</v>
      </c>
      <c r="AD1151" s="562" t="b">
        <f>T1151</f>
        <v>0</v>
      </c>
      <c r="AE1151" s="562" t="b">
        <f>AND(R1151,NOT(W1151))</f>
        <v>0</v>
      </c>
      <c r="AF1151" s="562" t="b">
        <f>AND(AE1151,NOT(Q1151))</f>
        <v>0</v>
      </c>
      <c r="AG1151" s="562"/>
      <c r="AH1151" s="562"/>
      <c r="AI1151" s="562"/>
      <c r="AJ1151" s="562"/>
      <c r="AK1151" s="562"/>
      <c r="AL1151" s="562"/>
      <c r="AM1151" s="562"/>
      <c r="AN1151" s="562"/>
      <c r="AO1151" s="562"/>
      <c r="AP1151" s="190" t="str">
        <f>SUBSTITUTE(SUBSTITUTE(SUBSTITUTE("vch"&amp;$B1151&amp;$C1151&amp;$D1151&amp;$E1151&amp;$F1151,".","_"),"(","_"),")","")</f>
        <v>vch902,4_2</v>
      </c>
      <c r="AQ1151" s="190">
        <f>W1151</f>
        <v>0</v>
      </c>
      <c r="AR1151" s="190" t="str">
        <f>SUBSTITUTE(SUBSTITUTE(SUBSTITUTE("vnt"&amp;$B1151&amp;$C1151&amp;$D1151&amp;$E1151&amp;$F1151,".","_"),"(","_"),")","")</f>
        <v>vnt902,4_2</v>
      </c>
      <c r="AS1151" s="190">
        <f>X1151</f>
        <v>0</v>
      </c>
      <c r="AT1151" s="562"/>
      <c r="AU1151" s="562"/>
      <c r="AV1151" s="562"/>
      <c r="AW1151" s="562"/>
      <c r="AX1151" s="562"/>
      <c r="AY1151" s="562"/>
      <c r="AZ1151" s="562"/>
      <c r="BA1151" s="562"/>
      <c r="BB1151" s="562"/>
      <c r="BC1151" s="562"/>
      <c r="BD1151" s="562"/>
      <c r="BE1151" s="562"/>
      <c r="BF1151" s="562"/>
      <c r="BG1151" s="562"/>
      <c r="BH1151" s="562"/>
    </row>
    <row r="1152" spans="1:60" x14ac:dyDescent="0.2">
      <c r="A1152" s="541">
        <v>9</v>
      </c>
      <c r="B1152" s="551">
        <v>902.4</v>
      </c>
      <c r="C1152" s="544"/>
      <c r="D1152" s="544"/>
      <c r="E1152" s="544" t="s">
        <v>2183</v>
      </c>
      <c r="F1152" s="544"/>
      <c r="G1152" s="543" t="str">
        <f t="shared" si="349"/>
        <v/>
      </c>
      <c r="H1152" s="541" t="s">
        <v>3758</v>
      </c>
      <c r="I1152" s="253"/>
      <c r="J1152" s="98"/>
      <c r="K1152" s="98"/>
      <c r="L1152" s="791"/>
      <c r="M1152" s="610"/>
      <c r="N1152" s="607"/>
      <c r="O1152" s="607"/>
      <c r="P1152" s="64"/>
      <c r="Q1152" s="64"/>
      <c r="R1152" s="64"/>
      <c r="S1152" s="64"/>
      <c r="T1152" s="64"/>
      <c r="U1152" s="64"/>
      <c r="V1152" s="64"/>
      <c r="W1152" s="64"/>
      <c r="X1152" s="798"/>
      <c r="Y1152" s="977"/>
      <c r="Z1152" s="978"/>
      <c r="AA1152" s="562"/>
      <c r="AB1152" s="562"/>
      <c r="AC1152" s="562"/>
      <c r="AD1152" s="562"/>
      <c r="AE1152" s="562"/>
      <c r="AF1152" s="562"/>
      <c r="AG1152" s="562"/>
      <c r="AH1152" s="562"/>
      <c r="AI1152" s="562"/>
      <c r="AJ1152" s="562"/>
      <c r="AK1152" s="562"/>
      <c r="AL1152" s="562"/>
      <c r="AM1152" s="562"/>
      <c r="AN1152" s="562"/>
      <c r="AO1152" s="562"/>
      <c r="AP1152" s="562"/>
      <c r="AQ1152" s="562"/>
      <c r="AR1152" s="562"/>
      <c r="AS1152" s="562"/>
      <c r="AT1152" s="562"/>
      <c r="AU1152" s="562"/>
      <c r="AV1152" s="562"/>
      <c r="AW1152" s="562"/>
      <c r="AX1152" s="562"/>
      <c r="AY1152" s="562"/>
      <c r="AZ1152" s="562"/>
      <c r="BA1152" s="562"/>
      <c r="BB1152" s="562"/>
      <c r="BC1152" s="562"/>
      <c r="BD1152" s="562"/>
      <c r="BE1152" s="562"/>
      <c r="BF1152" s="562"/>
      <c r="BG1152" s="562"/>
      <c r="BH1152" s="562"/>
    </row>
    <row r="1153" spans="1:60" ht="16" thickBot="1" x14ac:dyDescent="0.25">
      <c r="A1153" s="541">
        <v>9</v>
      </c>
      <c r="B1153" s="551">
        <v>902.4</v>
      </c>
      <c r="C1153" s="544"/>
      <c r="D1153" s="544"/>
      <c r="E1153" s="544" t="s">
        <v>2183</v>
      </c>
      <c r="F1153" s="544"/>
      <c r="G1153" s="543" t="str">
        <f t="shared" si="349"/>
        <v/>
      </c>
      <c r="H1153" s="541" t="s">
        <v>3758</v>
      </c>
      <c r="I1153" s="254"/>
      <c r="J1153" s="185"/>
      <c r="K1153" s="185"/>
      <c r="L1153" s="818"/>
      <c r="M1153" s="615"/>
      <c r="N1153" s="622"/>
      <c r="O1153" s="622"/>
      <c r="P1153" s="68"/>
      <c r="Q1153" s="68"/>
      <c r="R1153" s="68"/>
      <c r="S1153" s="68"/>
      <c r="T1153" s="68"/>
      <c r="U1153" s="68"/>
      <c r="V1153" s="68"/>
      <c r="W1153" s="68"/>
      <c r="X1153" s="799"/>
      <c r="Y1153" s="979"/>
      <c r="Z1153" s="1007"/>
      <c r="AA1153" s="562"/>
      <c r="AB1153" s="562"/>
      <c r="AC1153" s="562"/>
      <c r="AD1153" s="562"/>
      <c r="AE1153" s="562"/>
      <c r="AF1153" s="562"/>
      <c r="AG1153" s="562"/>
      <c r="AH1153" s="562"/>
      <c r="AI1153" s="562"/>
      <c r="AJ1153" s="562"/>
      <c r="AK1153" s="562"/>
      <c r="AL1153" s="562"/>
      <c r="AM1153" s="562"/>
      <c r="AN1153" s="562"/>
      <c r="AO1153" s="562"/>
      <c r="AP1153" s="562"/>
      <c r="AQ1153" s="562"/>
      <c r="AR1153" s="562"/>
      <c r="AS1153" s="562"/>
      <c r="AT1153" s="562"/>
      <c r="AU1153" s="562"/>
      <c r="AV1153" s="562"/>
      <c r="AW1153" s="562"/>
      <c r="AX1153" s="562"/>
      <c r="AY1153" s="562"/>
      <c r="AZ1153" s="562"/>
      <c r="BA1153" s="562"/>
      <c r="BB1153" s="562"/>
      <c r="BC1153" s="562"/>
      <c r="BD1153" s="562"/>
      <c r="BE1153" s="562"/>
      <c r="BF1153" s="562"/>
      <c r="BG1153" s="562"/>
      <c r="BH1153" s="562"/>
    </row>
    <row r="1154" spans="1:60" ht="16" thickTop="1" x14ac:dyDescent="0.2">
      <c r="A1154" s="541">
        <v>9</v>
      </c>
      <c r="B1154" s="551">
        <v>902.5</v>
      </c>
      <c r="C1154" s="544"/>
      <c r="D1154" s="544"/>
      <c r="E1154" s="544"/>
      <c r="F1154" s="544"/>
      <c r="G1154" s="543" t="str">
        <f>IF(N1154&gt;0,"P","")</f>
        <v/>
      </c>
      <c r="H1154" s="541" t="s">
        <v>3751</v>
      </c>
      <c r="I1154" s="131" t="s">
        <v>3183</v>
      </c>
      <c r="J1154" s="132"/>
      <c r="K1154" s="132"/>
      <c r="L1154" s="883" t="s">
        <v>3184</v>
      </c>
      <c r="M1154" s="827">
        <v>3</v>
      </c>
      <c r="N1154" s="823">
        <f>'Ch9'!O253</f>
        <v>0</v>
      </c>
      <c r="O1154" s="823">
        <f>M1154*S1154*W1154</f>
        <v>0</v>
      </c>
      <c r="P1154" s="64" t="b">
        <v>1</v>
      </c>
      <c r="Q1154" s="64" t="b">
        <v>1</v>
      </c>
      <c r="R1154" s="74" t="b">
        <v>0</v>
      </c>
      <c r="S1154" s="74" t="b">
        <v>1</v>
      </c>
      <c r="T1154" s="74" t="b">
        <v>0</v>
      </c>
      <c r="U1154" s="74"/>
      <c r="V1154" s="74"/>
      <c r="W1154" s="18"/>
      <c r="X1154" s="802"/>
      <c r="Y1154" s="975" t="str">
        <f>IF(LEN('Ch9'!X253)=0,"None",'Ch9'!X253)</f>
        <v>None</v>
      </c>
      <c r="Z1154" s="976"/>
      <c r="AA1154" s="562"/>
      <c r="AB1154" s="562"/>
      <c r="AC1154" s="562" t="b">
        <f>OR(AD1154:AE1154)</f>
        <v>0</v>
      </c>
      <c r="AD1154" s="562" t="b">
        <f>T1154</f>
        <v>0</v>
      </c>
      <c r="AE1154" s="562" t="b">
        <f>AND(R1154,NOT(W1154))</f>
        <v>0</v>
      </c>
      <c r="AF1154" s="562" t="b">
        <f>AND(AE1154,NOT(Q1154))</f>
        <v>0</v>
      </c>
      <c r="AG1154" s="562"/>
      <c r="AH1154" s="562"/>
      <c r="AI1154" s="562"/>
      <c r="AJ1154" s="562"/>
      <c r="AK1154" s="562"/>
      <c r="AL1154" s="190" t="str">
        <f t="shared" ref="AL1154" si="350">SUBSTITUTE(SUBSTITUTE(SUBSTITUTE("vpa"&amp;$B1154&amp;$C1154&amp;$D1154&amp;$E1154&amp;$F1154,".","_"),"(","_"),")","")</f>
        <v>vpa902,5</v>
      </c>
      <c r="AM1154" s="190">
        <f>M1154</f>
        <v>3</v>
      </c>
      <c r="AN1154" s="190" t="str">
        <f>SUBSTITUTE(SUBSTITUTE(SUBSTITUTE("vpc"&amp;$B1154&amp;$C1154&amp;$D1154&amp;$E1154&amp;$F1154,".","_"),"(","_"),")","")</f>
        <v>vpc902,5</v>
      </c>
      <c r="AO1154" s="190">
        <f>O1154</f>
        <v>0</v>
      </c>
      <c r="AP1154" s="190" t="str">
        <f>SUBSTITUTE(SUBSTITUTE(SUBSTITUTE("vch"&amp;$B1154&amp;$C1154&amp;$D1154&amp;$E1154&amp;$F1154,".","_"),"(","_"),")","")</f>
        <v>vch902,5</v>
      </c>
      <c r="AQ1154" s="190">
        <f>W1154</f>
        <v>0</v>
      </c>
      <c r="AR1154" s="190" t="str">
        <f>SUBSTITUTE(SUBSTITUTE(SUBSTITUTE("vnt"&amp;$B1154&amp;$C1154&amp;$D1154&amp;$E1154&amp;$F1154,".","_"),"(","_"),")","")</f>
        <v>vnt902,5</v>
      </c>
      <c r="AS1154" s="190">
        <f>X1154</f>
        <v>0</v>
      </c>
      <c r="AT1154" s="562"/>
      <c r="AU1154" s="562"/>
      <c r="AV1154" s="562"/>
      <c r="AW1154" s="562"/>
      <c r="AX1154" s="562"/>
      <c r="AY1154" s="562"/>
      <c r="AZ1154" s="562"/>
      <c r="BA1154" s="562"/>
      <c r="BB1154" s="562"/>
      <c r="BC1154" s="562"/>
      <c r="BD1154" s="562"/>
      <c r="BE1154" s="562"/>
      <c r="BF1154" s="562"/>
      <c r="BG1154" s="562"/>
      <c r="BH1154" s="562"/>
    </row>
    <row r="1155" spans="1:60" ht="16" thickBot="1" x14ac:dyDescent="0.25">
      <c r="A1155" s="541">
        <v>9</v>
      </c>
      <c r="B1155" s="551">
        <v>902.5</v>
      </c>
      <c r="C1155" s="544"/>
      <c r="D1155" s="544"/>
      <c r="E1155" s="544"/>
      <c r="F1155" s="544"/>
      <c r="G1155" s="543" t="str">
        <f t="shared" ref="G1155" si="351">G1154</f>
        <v/>
      </c>
      <c r="H1155" s="541" t="s">
        <v>3751</v>
      </c>
      <c r="I1155" s="142"/>
      <c r="J1155" s="185"/>
      <c r="K1155" s="185"/>
      <c r="L1155" s="884"/>
      <c r="M1155" s="813"/>
      <c r="N1155" s="821"/>
      <c r="O1155" s="821"/>
      <c r="P1155" s="68"/>
      <c r="Q1155" s="68"/>
      <c r="R1155" s="68"/>
      <c r="S1155" s="68"/>
      <c r="T1155" s="68"/>
      <c r="U1155" s="68"/>
      <c r="V1155" s="68"/>
      <c r="W1155" s="68"/>
      <c r="X1155" s="799"/>
      <c r="Y1155" s="979"/>
      <c r="Z1155" s="1007"/>
      <c r="AA1155" s="562"/>
      <c r="AB1155" s="562"/>
      <c r="AC1155" s="562"/>
      <c r="AD1155" s="562"/>
      <c r="AE1155" s="562"/>
      <c r="AF1155" s="562"/>
      <c r="AG1155" s="562"/>
      <c r="AH1155" s="562"/>
      <c r="AI1155" s="562"/>
      <c r="AJ1155" s="562"/>
      <c r="AK1155" s="562"/>
      <c r="AL1155" s="562"/>
      <c r="AM1155" s="562"/>
      <c r="AN1155" s="562"/>
      <c r="AO1155" s="562"/>
      <c r="AP1155" s="562"/>
      <c r="AQ1155" s="562"/>
      <c r="AR1155" s="562"/>
      <c r="AS1155" s="562"/>
      <c r="AT1155" s="562"/>
      <c r="AU1155" s="562"/>
      <c r="AV1155" s="562"/>
      <c r="AW1155" s="562"/>
      <c r="AX1155" s="562"/>
      <c r="AY1155" s="562"/>
      <c r="AZ1155" s="562"/>
      <c r="BA1155" s="562"/>
      <c r="BB1155" s="562"/>
      <c r="BC1155" s="562"/>
      <c r="BD1155" s="562"/>
      <c r="BE1155" s="562"/>
      <c r="BF1155" s="562"/>
      <c r="BG1155" s="562"/>
      <c r="BH1155" s="562"/>
    </row>
    <row r="1156" spans="1:60" ht="16" thickTop="1" x14ac:dyDescent="0.2">
      <c r="A1156" s="541">
        <v>9</v>
      </c>
      <c r="B1156" s="551">
        <v>902.6</v>
      </c>
      <c r="C1156" s="544"/>
      <c r="D1156" s="544"/>
      <c r="E1156" s="544"/>
      <c r="F1156" s="544"/>
      <c r="G1156" s="543" t="s">
        <v>3343</v>
      </c>
      <c r="H1156" s="541" t="s">
        <v>3757</v>
      </c>
      <c r="I1156" s="40" t="s">
        <v>3185</v>
      </c>
      <c r="J1156" s="3"/>
      <c r="K1156" s="3"/>
      <c r="L1156" s="775" t="s">
        <v>3186</v>
      </c>
      <c r="M1156" s="838" t="str">
        <f>IF(R1156,"Mandatory","N/A")</f>
        <v>Mandatory</v>
      </c>
      <c r="N1156" s="609"/>
      <c r="O1156" s="609"/>
      <c r="P1156" s="64" t="b">
        <v>1</v>
      </c>
      <c r="Q1156" s="64" t="b">
        <v>0</v>
      </c>
      <c r="R1156" s="562" t="b">
        <f>S1156</f>
        <v>1</v>
      </c>
      <c r="S1156" s="562" t="b">
        <v>1</v>
      </c>
      <c r="T1156" s="562" t="b">
        <v>0</v>
      </c>
      <c r="U1156" s="562"/>
      <c r="V1156" s="562"/>
      <c r="W1156" s="18"/>
      <c r="X1156" s="786"/>
      <c r="Y1156" s="975" t="str">
        <f>IF(LEN('Ch9'!X255)=0,"None",'Ch9'!X255)</f>
        <v>None</v>
      </c>
      <c r="Z1156" s="976"/>
      <c r="AA1156" s="562"/>
      <c r="AB1156" s="562"/>
      <c r="AC1156" s="562" t="b">
        <f>OR(AD1156:AE1156)</f>
        <v>1</v>
      </c>
      <c r="AD1156" s="562" t="b">
        <f>T1156</f>
        <v>0</v>
      </c>
      <c r="AE1156" s="562" t="b">
        <f>AND(R1156,NOT(W1156))</f>
        <v>1</v>
      </c>
      <c r="AF1156" s="562" t="b">
        <f>AND(AE1156,NOT(Q1156))</f>
        <v>1</v>
      </c>
      <c r="AG1156" s="562"/>
      <c r="AH1156" s="562"/>
      <c r="AI1156" s="562"/>
      <c r="AJ1156" s="562"/>
      <c r="AK1156" s="562"/>
      <c r="AL1156" s="190" t="str">
        <f t="shared" ref="AL1156" si="352">SUBSTITUTE(SUBSTITUTE(SUBSTITUTE("vpa"&amp;$B1156&amp;$C1156&amp;$D1156&amp;$E1156&amp;$F1156,".","_"),"(","_"),")","")</f>
        <v>vpa902,6</v>
      </c>
      <c r="AM1156" s="190" t="str">
        <f>M1156</f>
        <v>Mandatory</v>
      </c>
      <c r="AN1156" s="562"/>
      <c r="AO1156" s="562"/>
      <c r="AP1156" s="190" t="str">
        <f>SUBSTITUTE(SUBSTITUTE(SUBSTITUTE("vch"&amp;$B1156&amp;$C1156&amp;$D1156&amp;$E1156&amp;$F1156,".","_"),"(","_"),")","")</f>
        <v>vch902,6</v>
      </c>
      <c r="AQ1156" s="190">
        <f>W1156</f>
        <v>0</v>
      </c>
      <c r="AR1156" s="190" t="str">
        <f>SUBSTITUTE(SUBSTITUTE(SUBSTITUTE("vnt"&amp;$B1156&amp;$C1156&amp;$D1156&amp;$E1156&amp;$F1156,".","_"),"(","_"),")","")</f>
        <v>vnt902,6</v>
      </c>
      <c r="AS1156" s="190">
        <f>X1156</f>
        <v>0</v>
      </c>
      <c r="AT1156" s="562"/>
      <c r="AU1156" s="562"/>
      <c r="AV1156" s="562"/>
      <c r="AW1156" s="562"/>
      <c r="AX1156" s="562"/>
      <c r="AY1156" s="562"/>
      <c r="AZ1156" s="562"/>
      <c r="BA1156" s="562"/>
      <c r="BB1156" s="562"/>
      <c r="BC1156" s="562"/>
      <c r="BD1156" s="562"/>
      <c r="BE1156" s="562"/>
      <c r="BF1156" s="562"/>
      <c r="BG1156" s="562"/>
      <c r="BH1156" s="562"/>
    </row>
    <row r="1157" spans="1:60" x14ac:dyDescent="0.2">
      <c r="A1157" s="541">
        <v>9</v>
      </c>
      <c r="B1157" s="551">
        <v>902.6</v>
      </c>
      <c r="C1157" s="544"/>
      <c r="D1157" s="544"/>
      <c r="E1157" s="544"/>
      <c r="F1157" s="544"/>
      <c r="G1157" s="543" t="s">
        <v>3343</v>
      </c>
      <c r="H1157" s="541" t="s">
        <v>3757</v>
      </c>
      <c r="I1157" s="121"/>
      <c r="J1157" s="3"/>
      <c r="K1157" s="3"/>
      <c r="L1157" s="775"/>
      <c r="M1157" s="838"/>
      <c r="N1157" s="609"/>
      <c r="O1157" s="609"/>
      <c r="P1157" s="562"/>
      <c r="Q1157" s="562"/>
      <c r="R1157" s="562"/>
      <c r="S1157" s="562"/>
      <c r="T1157" s="562"/>
      <c r="U1157" s="562"/>
      <c r="V1157" s="562"/>
      <c r="W1157" s="562"/>
      <c r="X1157" s="787"/>
      <c r="Y1157" s="980"/>
      <c r="Z1157" s="983"/>
      <c r="AA1157" s="562"/>
      <c r="AB1157" s="562"/>
      <c r="AC1157" s="562"/>
      <c r="AD1157" s="562"/>
      <c r="AE1157" s="562"/>
      <c r="AF1157" s="562"/>
      <c r="AG1157" s="562"/>
      <c r="AH1157" s="562"/>
      <c r="AI1157" s="562"/>
      <c r="AJ1157" s="562"/>
      <c r="AK1157" s="562"/>
      <c r="AL1157" s="562"/>
      <c r="AM1157" s="562"/>
      <c r="AN1157" s="562"/>
      <c r="AO1157" s="562"/>
      <c r="AP1157" s="562"/>
      <c r="AQ1157" s="562"/>
      <c r="AR1157" s="562"/>
      <c r="AS1157" s="562"/>
      <c r="AT1157" s="562"/>
      <c r="AU1157" s="562"/>
      <c r="AV1157" s="562"/>
      <c r="AW1157" s="562"/>
      <c r="AX1157" s="562"/>
      <c r="AY1157" s="562"/>
      <c r="AZ1157" s="562"/>
      <c r="BA1157" s="562"/>
      <c r="BB1157" s="562"/>
      <c r="BC1157" s="562"/>
      <c r="BD1157" s="562"/>
      <c r="BE1157" s="562"/>
      <c r="BF1157" s="562"/>
      <c r="BG1157" s="562"/>
      <c r="BH1157" s="562"/>
    </row>
    <row r="1158" spans="1:60" ht="19" x14ac:dyDescent="0.25">
      <c r="A1158" s="541">
        <v>9</v>
      </c>
      <c r="B1158" s="551">
        <v>903</v>
      </c>
      <c r="C1158" s="544"/>
      <c r="D1158" s="544"/>
      <c r="E1158" s="544"/>
      <c r="F1158" s="544"/>
      <c r="G1158" s="543" t="s">
        <v>3343</v>
      </c>
      <c r="H1158" s="541" t="s">
        <v>3751</v>
      </c>
      <c r="I1158" s="8" t="s">
        <v>3187</v>
      </c>
      <c r="J1158" s="16"/>
      <c r="K1158" s="16"/>
      <c r="L1158" s="54"/>
      <c r="M1158" s="264"/>
      <c r="N1158" s="264"/>
      <c r="O1158" s="264"/>
      <c r="P1158" s="16"/>
      <c r="Q1158" s="16"/>
      <c r="R1158" s="16"/>
      <c r="S1158" s="16"/>
      <c r="T1158" s="16"/>
      <c r="U1158" s="16"/>
      <c r="V1158" s="16"/>
      <c r="W1158" s="16"/>
      <c r="X1158" s="16"/>
      <c r="Y1158" s="16"/>
      <c r="Z1158" s="453"/>
      <c r="AA1158" s="562"/>
      <c r="AB1158" s="562"/>
      <c r="AC1158" s="562"/>
      <c r="AD1158" s="562"/>
      <c r="AE1158" s="562"/>
      <c r="AF1158" s="562"/>
      <c r="AG1158" s="562"/>
      <c r="AH1158" s="562"/>
      <c r="AI1158" s="562"/>
      <c r="AJ1158" s="562"/>
      <c r="AK1158" s="562"/>
      <c r="AL1158" s="562"/>
      <c r="AM1158" s="562"/>
      <c r="AN1158" s="562"/>
      <c r="AO1158" s="562"/>
      <c r="AP1158" s="562"/>
      <c r="AQ1158" s="562"/>
      <c r="AR1158" s="562"/>
      <c r="AS1158" s="562"/>
      <c r="AT1158" s="562"/>
      <c r="AU1158" s="562"/>
      <c r="AV1158" s="562"/>
      <c r="AW1158" s="562"/>
      <c r="AX1158" s="562"/>
      <c r="AY1158" s="562"/>
      <c r="AZ1158" s="562"/>
      <c r="BA1158" s="562"/>
      <c r="BB1158" s="562"/>
      <c r="BC1158" s="562"/>
      <c r="BD1158" s="562"/>
      <c r="BE1158" s="562"/>
      <c r="BF1158" s="562"/>
      <c r="BG1158" s="562"/>
      <c r="BH1158" s="562"/>
    </row>
    <row r="1159" spans="1:60" ht="16" thickBot="1" x14ac:dyDescent="0.25">
      <c r="A1159" s="541">
        <v>9</v>
      </c>
      <c r="B1159" s="551" t="s">
        <v>3188</v>
      </c>
      <c r="C1159" s="544"/>
      <c r="D1159" s="544"/>
      <c r="E1159" s="544"/>
      <c r="F1159" s="544"/>
      <c r="G1159" s="541"/>
      <c r="H1159" s="541"/>
      <c r="I1159" s="513">
        <v>11.903</v>
      </c>
      <c r="J1159" s="185"/>
      <c r="K1159" s="185"/>
      <c r="L1159" s="647" t="s">
        <v>3770</v>
      </c>
      <c r="M1159" s="615"/>
      <c r="N1159" s="622"/>
      <c r="O1159" s="622"/>
      <c r="P1159" s="68"/>
      <c r="Q1159" s="68"/>
      <c r="R1159" s="68"/>
      <c r="S1159" s="68"/>
      <c r="T1159" s="68"/>
      <c r="U1159" s="68"/>
      <c r="V1159" s="68"/>
      <c r="W1159" s="68"/>
      <c r="X1159" s="68"/>
      <c r="Y1159" s="68"/>
      <c r="Z1159" s="455"/>
      <c r="AA1159" s="562"/>
      <c r="AB1159" s="562"/>
      <c r="AC1159" s="562"/>
      <c r="AD1159" s="562"/>
      <c r="AE1159" s="562"/>
      <c r="AF1159" s="562"/>
      <c r="AG1159" s="562"/>
      <c r="AH1159" s="562"/>
      <c r="AI1159" s="562"/>
      <c r="AJ1159" s="562"/>
      <c r="AK1159" s="562"/>
      <c r="AL1159" s="562"/>
      <c r="AM1159" s="562"/>
      <c r="AN1159" s="562"/>
      <c r="AO1159" s="562"/>
      <c r="AP1159" s="562"/>
      <c r="AQ1159" s="562"/>
      <c r="AR1159" s="562"/>
      <c r="AS1159" s="562"/>
      <c r="AT1159" s="562"/>
      <c r="AU1159" s="562"/>
      <c r="AV1159" s="562"/>
      <c r="AW1159" s="562"/>
      <c r="AX1159" s="562"/>
      <c r="AY1159" s="562"/>
      <c r="AZ1159" s="562"/>
      <c r="BA1159" s="562"/>
      <c r="BB1159" s="562"/>
      <c r="BC1159" s="562"/>
      <c r="BD1159" s="562"/>
      <c r="BE1159" s="562"/>
      <c r="BF1159" s="562"/>
      <c r="BG1159" s="562"/>
      <c r="BH1159" s="562"/>
    </row>
    <row r="1160" spans="1:60" ht="16" thickTop="1" x14ac:dyDescent="0.2">
      <c r="A1160" s="541">
        <v>9</v>
      </c>
      <c r="B1160" s="551">
        <v>903.1</v>
      </c>
      <c r="C1160" s="544"/>
      <c r="D1160" s="544"/>
      <c r="E1160" s="544"/>
      <c r="F1160" s="544"/>
      <c r="G1160" s="543" t="str">
        <f ca="1">IF(N1160&gt;0,"P","")</f>
        <v/>
      </c>
      <c r="H1160" s="541" t="s">
        <v>3757</v>
      </c>
      <c r="I1160" s="252" t="s">
        <v>3191</v>
      </c>
      <c r="J1160" s="132"/>
      <c r="K1160" s="132"/>
      <c r="L1160" s="646" t="s">
        <v>3192</v>
      </c>
      <c r="M1160" s="625"/>
      <c r="N1160" s="623">
        <f ca="1">'Ch9'!O259</f>
        <v>0</v>
      </c>
      <c r="O1160" s="623">
        <f ca="1">IFERROR(INDEX({2,5},MATCH(W1160,INDIRECT(U1160),0)),0)*S1160</f>
        <v>0</v>
      </c>
      <c r="P1160" s="64" t="b">
        <v>1</v>
      </c>
      <c r="Q1160" s="64" t="b">
        <v>0</v>
      </c>
      <c r="R1160" s="74" t="b">
        <v>0</v>
      </c>
      <c r="S1160" s="74" t="b">
        <v>1</v>
      </c>
      <c r="T1160" s="74" t="b">
        <v>0</v>
      </c>
      <c r="U1160" s="74" t="str">
        <f>SUBSTITUTE(SUBSTITUTE(SUBSTITUTE("dd"&amp;B1160&amp;C1160&amp;D1160&amp;E1160&amp;F1160,".","_"),"(","_"),")","")</f>
        <v>dd903,1</v>
      </c>
      <c r="V1160" s="74"/>
      <c r="W1160" s="6"/>
      <c r="X1160" s="802"/>
      <c r="Y1160" s="975" t="str">
        <f>IF(LEN('Ch9'!X259)=0,"None",'Ch9'!X259)</f>
        <v>None</v>
      </c>
      <c r="Z1160" s="976"/>
      <c r="AA1160" s="562"/>
      <c r="AB1160" s="562"/>
      <c r="AC1160" s="562" t="b">
        <f>OR(AD1160:AE1160)</f>
        <v>0</v>
      </c>
      <c r="AD1160" s="562" t="b">
        <f>T1160</f>
        <v>0</v>
      </c>
      <c r="AE1160" s="562" t="b">
        <f>AND(R1160,OR(W1160="Not Met",W1160=""))</f>
        <v>0</v>
      </c>
      <c r="AF1160" s="562" t="b">
        <f>AND(AE1160,NOT(Q1160))</f>
        <v>0</v>
      </c>
      <c r="AG1160" s="562"/>
      <c r="AH1160" s="562"/>
      <c r="AI1160" s="562"/>
      <c r="AJ1160" s="562"/>
      <c r="AK1160" s="562"/>
      <c r="AL1160" s="562"/>
      <c r="AM1160" s="562"/>
      <c r="AN1160" s="190" t="str">
        <f>SUBSTITUTE(SUBSTITUTE(SUBSTITUTE("vpc"&amp;$B1160&amp;$C1160&amp;$D1160&amp;$E1160&amp;$F1160,".","_"),"(","_"),")","")</f>
        <v>vpc903,1</v>
      </c>
      <c r="AO1160" s="190">
        <f ca="1">O1160</f>
        <v>0</v>
      </c>
      <c r="AP1160" s="190" t="str">
        <f>SUBSTITUTE(SUBSTITUTE(SUBSTITUTE("vch"&amp;$B1160&amp;$C1160&amp;$D1160&amp;$E1160&amp;$F1160,".","_"),"(","_"),")","")</f>
        <v>vch903,1</v>
      </c>
      <c r="AQ1160" s="190">
        <f>W1160</f>
        <v>0</v>
      </c>
      <c r="AR1160" s="190" t="str">
        <f>SUBSTITUTE(SUBSTITUTE(SUBSTITUTE("vnt"&amp;$B1160&amp;$C1160&amp;$D1160&amp;$E1160&amp;$F1160,".","_"),"(","_"),")","")</f>
        <v>vnt903,1</v>
      </c>
      <c r="AS1160" s="190">
        <f>X1160</f>
        <v>0</v>
      </c>
      <c r="AT1160" s="562"/>
      <c r="AU1160" s="562"/>
      <c r="AV1160" s="562"/>
      <c r="AW1160" s="562"/>
      <c r="AX1160" s="562"/>
      <c r="AY1160" s="562"/>
      <c r="AZ1160" s="562"/>
      <c r="BA1160" s="562"/>
      <c r="BB1160" s="562"/>
      <c r="BC1160" s="562"/>
      <c r="BD1160" s="562"/>
      <c r="BE1160" s="562"/>
      <c r="BF1160" s="562"/>
      <c r="BG1160" s="562"/>
      <c r="BH1160" s="562"/>
    </row>
    <row r="1161" spans="1:60" x14ac:dyDescent="0.2">
      <c r="A1161" s="541">
        <v>9</v>
      </c>
      <c r="B1161" s="551" t="s">
        <v>3193</v>
      </c>
      <c r="C1161" s="544"/>
      <c r="D1161" s="544"/>
      <c r="E1161" s="544" t="s">
        <v>2181</v>
      </c>
      <c r="F1161" s="544"/>
      <c r="G1161" s="543" t="str">
        <f t="shared" ref="G1161:G1163" ca="1" si="353">G1160</f>
        <v/>
      </c>
      <c r="H1161" s="541" t="s">
        <v>3757</v>
      </c>
      <c r="I1161" s="253"/>
      <c r="J1161" s="134" t="s">
        <v>2181</v>
      </c>
      <c r="K1161" s="98"/>
      <c r="L1161" s="791" t="s">
        <v>3194</v>
      </c>
      <c r="M1161" s="800">
        <v>2</v>
      </c>
      <c r="N1161" s="607"/>
      <c r="O1161" s="607"/>
      <c r="P1161" s="64"/>
      <c r="Q1161" s="64"/>
      <c r="R1161" s="64"/>
      <c r="S1161" s="64"/>
      <c r="T1161" s="64"/>
      <c r="U1161" s="64"/>
      <c r="V1161" s="64"/>
      <c r="W1161" s="64"/>
      <c r="X1161" s="798"/>
      <c r="Y1161" s="977"/>
      <c r="Z1161" s="978"/>
      <c r="AA1161" s="562"/>
      <c r="AB1161" s="562"/>
      <c r="AC1161" s="562"/>
      <c r="AD1161" s="562"/>
      <c r="AE1161" s="562"/>
      <c r="AF1161" s="562"/>
      <c r="AG1161" s="562"/>
      <c r="AH1161" s="562"/>
      <c r="AI1161" s="562"/>
      <c r="AJ1161" s="562"/>
      <c r="AK1161" s="562"/>
      <c r="AL1161" s="190" t="str">
        <f t="shared" ref="AL1161" si="354">SUBSTITUTE(SUBSTITUTE(SUBSTITUTE("vpa"&amp;$B1161&amp;$C1161&amp;$D1161&amp;$E1161&amp;$F1161,".","_"),"(","_"),")","")</f>
        <v>vpa903_1_1_1</v>
      </c>
      <c r="AM1161" s="190">
        <f>M1161</f>
        <v>2</v>
      </c>
      <c r="AN1161" s="562"/>
      <c r="AO1161" s="562"/>
      <c r="AP1161" s="562"/>
      <c r="AQ1161" s="562"/>
      <c r="AR1161" s="562"/>
      <c r="AS1161" s="562"/>
      <c r="AT1161" s="562"/>
      <c r="AU1161" s="562"/>
      <c r="AV1161" s="562"/>
      <c r="AW1161" s="562"/>
      <c r="AX1161" s="562"/>
      <c r="AY1161" s="562"/>
      <c r="AZ1161" s="562"/>
      <c r="BA1161" s="562"/>
      <c r="BB1161" s="562"/>
      <c r="BC1161" s="562"/>
      <c r="BD1161" s="562"/>
      <c r="BE1161" s="562"/>
      <c r="BF1161" s="562"/>
      <c r="BG1161" s="562"/>
      <c r="BH1161" s="562"/>
    </row>
    <row r="1162" spans="1:60" x14ac:dyDescent="0.2">
      <c r="A1162" s="541">
        <v>9</v>
      </c>
      <c r="B1162" s="551" t="s">
        <v>3193</v>
      </c>
      <c r="C1162" s="544"/>
      <c r="D1162" s="544"/>
      <c r="E1162" s="544"/>
      <c r="F1162" s="544"/>
      <c r="G1162" s="543" t="str">
        <f t="shared" ca="1" si="353"/>
        <v/>
      </c>
      <c r="H1162" s="541" t="s">
        <v>3757</v>
      </c>
      <c r="I1162" s="253"/>
      <c r="J1162" s="159"/>
      <c r="K1162" s="165"/>
      <c r="L1162" s="832"/>
      <c r="M1162" s="801"/>
      <c r="N1162" s="607"/>
      <c r="O1162" s="607"/>
      <c r="P1162" s="64"/>
      <c r="Q1162" s="64"/>
      <c r="R1162" s="64"/>
      <c r="S1162" s="64"/>
      <c r="T1162" s="64"/>
      <c r="U1162" s="64"/>
      <c r="V1162" s="64"/>
      <c r="W1162" s="64"/>
      <c r="X1162" s="798"/>
      <c r="Y1162" s="977"/>
      <c r="Z1162" s="978"/>
      <c r="AA1162" s="562"/>
      <c r="AB1162" s="562"/>
      <c r="AC1162" s="562"/>
      <c r="AD1162" s="562"/>
      <c r="AE1162" s="562"/>
      <c r="AF1162" s="562"/>
      <c r="AG1162" s="562"/>
      <c r="AH1162" s="562"/>
      <c r="AI1162" s="562"/>
      <c r="AJ1162" s="562"/>
      <c r="AK1162" s="562"/>
      <c r="AL1162" s="562"/>
      <c r="AM1162" s="562"/>
      <c r="AN1162" s="562"/>
      <c r="AO1162" s="562"/>
      <c r="AP1162" s="562"/>
      <c r="AQ1162" s="562"/>
      <c r="AR1162" s="562"/>
      <c r="AS1162" s="562"/>
      <c r="AT1162" s="562"/>
      <c r="AU1162" s="562"/>
      <c r="AV1162" s="562"/>
      <c r="AW1162" s="562"/>
      <c r="AX1162" s="562"/>
      <c r="AY1162" s="562"/>
      <c r="AZ1162" s="562"/>
      <c r="BA1162" s="562"/>
      <c r="BB1162" s="562"/>
      <c r="BC1162" s="562"/>
      <c r="BD1162" s="562"/>
      <c r="BE1162" s="562"/>
      <c r="BF1162" s="562"/>
      <c r="BG1162" s="562"/>
      <c r="BH1162" s="562"/>
    </row>
    <row r="1163" spans="1:60" ht="16" thickBot="1" x14ac:dyDescent="0.25">
      <c r="A1163" s="541">
        <v>9</v>
      </c>
      <c r="B1163" s="551" t="s">
        <v>3195</v>
      </c>
      <c r="C1163" s="544"/>
      <c r="D1163" s="544"/>
      <c r="E1163" s="544" t="s">
        <v>2183</v>
      </c>
      <c r="F1163" s="544"/>
      <c r="G1163" s="543" t="str">
        <f t="shared" ca="1" si="353"/>
        <v/>
      </c>
      <c r="H1163" s="541" t="s">
        <v>3757</v>
      </c>
      <c r="I1163" s="254"/>
      <c r="J1163" s="143" t="s">
        <v>2183</v>
      </c>
      <c r="K1163" s="185"/>
      <c r="L1163" s="626" t="s">
        <v>3196</v>
      </c>
      <c r="M1163" s="615">
        <v>5</v>
      </c>
      <c r="N1163" s="622"/>
      <c r="O1163" s="622"/>
      <c r="P1163" s="68"/>
      <c r="Q1163" s="68"/>
      <c r="R1163" s="68"/>
      <c r="S1163" s="68"/>
      <c r="T1163" s="68"/>
      <c r="U1163" s="68"/>
      <c r="V1163" s="68"/>
      <c r="W1163" s="68"/>
      <c r="X1163" s="799"/>
      <c r="Y1163" s="979"/>
      <c r="Z1163" s="1007"/>
      <c r="AA1163" s="562"/>
      <c r="AB1163" s="562"/>
      <c r="AC1163" s="562"/>
      <c r="AD1163" s="562"/>
      <c r="AE1163" s="562"/>
      <c r="AF1163" s="562"/>
      <c r="AG1163" s="562"/>
      <c r="AH1163" s="562"/>
      <c r="AI1163" s="562"/>
      <c r="AJ1163" s="562"/>
      <c r="AK1163" s="562"/>
      <c r="AL1163" s="190" t="str">
        <f t="shared" ref="AL1163" si="355">SUBSTITUTE(SUBSTITUTE(SUBSTITUTE("vpa"&amp;$B1163&amp;$C1163&amp;$D1163&amp;$E1163&amp;$F1163,".","_"),"(","_"),")","")</f>
        <v>vpa903_1_2_2</v>
      </c>
      <c r="AM1163" s="190">
        <f>M1163</f>
        <v>5</v>
      </c>
      <c r="AN1163" s="562"/>
      <c r="AO1163" s="562"/>
      <c r="AP1163" s="562"/>
      <c r="AQ1163" s="562"/>
      <c r="AR1163" s="562"/>
      <c r="AS1163" s="562"/>
      <c r="AT1163" s="562"/>
      <c r="AU1163" s="562"/>
      <c r="AV1163" s="562"/>
      <c r="AW1163" s="562"/>
      <c r="AX1163" s="562"/>
      <c r="AY1163" s="562"/>
      <c r="AZ1163" s="562"/>
      <c r="BA1163" s="562"/>
      <c r="BB1163" s="562"/>
      <c r="BC1163" s="562"/>
      <c r="BD1163" s="562"/>
      <c r="BE1163" s="562"/>
      <c r="BF1163" s="562"/>
      <c r="BG1163" s="562"/>
      <c r="BH1163" s="562"/>
    </row>
    <row r="1164" spans="1:60" ht="16" thickTop="1" x14ac:dyDescent="0.2">
      <c r="A1164" s="541">
        <v>9</v>
      </c>
      <c r="B1164" s="551">
        <v>903.2</v>
      </c>
      <c r="C1164" s="544"/>
      <c r="D1164" s="544"/>
      <c r="E1164" s="544"/>
      <c r="F1164" s="544"/>
      <c r="G1164" s="543" t="str">
        <f ca="1">IF(N1164&gt;0,"P","")</f>
        <v/>
      </c>
      <c r="H1164" s="541" t="s">
        <v>3751</v>
      </c>
      <c r="I1164" s="131" t="s">
        <v>3197</v>
      </c>
      <c r="J1164" s="132"/>
      <c r="K1164" s="132"/>
      <c r="L1164" s="646" t="s">
        <v>3198</v>
      </c>
      <c r="M1164" s="625"/>
      <c r="N1164" s="623">
        <f ca="1">'Ch9'!O263</f>
        <v>0</v>
      </c>
      <c r="O1164" s="623">
        <f ca="1">IFERROR(INDEX({1,3},MATCH(W1164,INDIRECT(U1164),0)),0)*S1164</f>
        <v>0</v>
      </c>
      <c r="P1164" s="64" t="b">
        <v>1</v>
      </c>
      <c r="Q1164" s="64" t="b">
        <v>1</v>
      </c>
      <c r="R1164" s="74" t="b">
        <v>0</v>
      </c>
      <c r="S1164" s="74" t="b">
        <v>1</v>
      </c>
      <c r="T1164" s="74" t="b">
        <v>0</v>
      </c>
      <c r="U1164" s="74" t="str">
        <f>SUBSTITUTE(SUBSTITUTE(SUBSTITUTE("dd"&amp;B1164&amp;C1164&amp;D1164&amp;E1164&amp;F1164,".","_"),"(","_"),")","")</f>
        <v>dd903,2</v>
      </c>
      <c r="V1164" s="74"/>
      <c r="W1164" s="6"/>
      <c r="X1164" s="802"/>
      <c r="Y1164" s="975" t="str">
        <f>IF(LEN('Ch9'!X263)=0,"None",'Ch9'!X263)</f>
        <v>None</v>
      </c>
      <c r="Z1164" s="976"/>
      <c r="AA1164" s="562"/>
      <c r="AB1164" s="562"/>
      <c r="AC1164" s="562" t="b">
        <f>OR(AD1164:AE1164)</f>
        <v>0</v>
      </c>
      <c r="AD1164" s="562" t="b">
        <f>T1164</f>
        <v>0</v>
      </c>
      <c r="AE1164" s="562" t="b">
        <f>AND(R1164,OR(W1164="Not Met",W1164=""))</f>
        <v>0</v>
      </c>
      <c r="AF1164" s="562" t="b">
        <f>AND(AE1164,NOT(Q1164))</f>
        <v>0</v>
      </c>
      <c r="AG1164" s="562"/>
      <c r="AH1164" s="562"/>
      <c r="AI1164" s="562"/>
      <c r="AJ1164" s="562"/>
      <c r="AK1164" s="562"/>
      <c r="AL1164" s="562"/>
      <c r="AM1164" s="562"/>
      <c r="AN1164" s="190" t="str">
        <f>SUBSTITUTE(SUBSTITUTE(SUBSTITUTE("vpc"&amp;$B1164&amp;$C1164&amp;$D1164&amp;$E1164&amp;$F1164,".","_"),"(","_"),")","")</f>
        <v>vpc903,2</v>
      </c>
      <c r="AO1164" s="190">
        <f ca="1">O1164</f>
        <v>0</v>
      </c>
      <c r="AP1164" s="190" t="str">
        <f>SUBSTITUTE(SUBSTITUTE(SUBSTITUTE("vch"&amp;$B1164&amp;$C1164&amp;$D1164&amp;$E1164&amp;$F1164,".","_"),"(","_"),")","")</f>
        <v>vch903,2</v>
      </c>
      <c r="AQ1164" s="190">
        <f>W1164</f>
        <v>0</v>
      </c>
      <c r="AR1164" s="190" t="str">
        <f>SUBSTITUTE(SUBSTITUTE(SUBSTITUTE("vnt"&amp;$B1164&amp;$C1164&amp;$D1164&amp;$E1164&amp;$F1164,".","_"),"(","_"),")","")</f>
        <v>vnt903,2</v>
      </c>
      <c r="AS1164" s="190">
        <f>X1164</f>
        <v>0</v>
      </c>
      <c r="AT1164" s="562"/>
      <c r="AU1164" s="562"/>
      <c r="AV1164" s="562"/>
      <c r="AW1164" s="562"/>
      <c r="AX1164" s="562"/>
      <c r="AY1164" s="562"/>
      <c r="AZ1164" s="562"/>
      <c r="BA1164" s="562"/>
      <c r="BB1164" s="562"/>
      <c r="BC1164" s="562"/>
      <c r="BD1164" s="562"/>
      <c r="BE1164" s="562"/>
      <c r="BF1164" s="562"/>
      <c r="BG1164" s="562"/>
      <c r="BH1164" s="562"/>
    </row>
    <row r="1165" spans="1:60" x14ac:dyDescent="0.2">
      <c r="A1165" s="541">
        <v>9</v>
      </c>
      <c r="B1165" s="551">
        <v>903.2</v>
      </c>
      <c r="C1165" s="544"/>
      <c r="D1165" s="544"/>
      <c r="E1165" s="544" t="s">
        <v>2181</v>
      </c>
      <c r="F1165" s="544"/>
      <c r="G1165" s="543" t="str">
        <f t="shared" ref="G1165:G1167" ca="1" si="356">G1164</f>
        <v/>
      </c>
      <c r="H1165" s="541" t="s">
        <v>3751</v>
      </c>
      <c r="I1165" s="253"/>
      <c r="J1165" s="159" t="s">
        <v>2181</v>
      </c>
      <c r="K1165" s="165"/>
      <c r="L1165" s="599" t="s">
        <v>3199</v>
      </c>
      <c r="M1165" s="611">
        <v>1</v>
      </c>
      <c r="N1165" s="607"/>
      <c r="O1165" s="607"/>
      <c r="P1165" s="64"/>
      <c r="Q1165" s="64"/>
      <c r="R1165" s="64"/>
      <c r="S1165" s="64"/>
      <c r="T1165" s="64"/>
      <c r="U1165" s="64"/>
      <c r="V1165" s="64"/>
      <c r="W1165" s="64"/>
      <c r="X1165" s="798"/>
      <c r="Y1165" s="977"/>
      <c r="Z1165" s="978"/>
      <c r="AA1165" s="562"/>
      <c r="AB1165" s="562"/>
      <c r="AC1165" s="562"/>
      <c r="AD1165" s="562"/>
      <c r="AE1165" s="562"/>
      <c r="AF1165" s="562"/>
      <c r="AG1165" s="562"/>
      <c r="AH1165" s="562"/>
      <c r="AI1165" s="562"/>
      <c r="AJ1165" s="562"/>
      <c r="AK1165" s="562"/>
      <c r="AL1165" s="190" t="str">
        <f t="shared" ref="AL1165:AL1166" si="357">SUBSTITUTE(SUBSTITUTE(SUBSTITUTE("vpa"&amp;$B1165&amp;$C1165&amp;$D1165&amp;$E1165&amp;$F1165,".","_"),"(","_"),")","")</f>
        <v>vpa903,2_1</v>
      </c>
      <c r="AM1165" s="190">
        <f>M1165</f>
        <v>1</v>
      </c>
      <c r="AN1165" s="562"/>
      <c r="AO1165" s="562"/>
      <c r="AP1165" s="562"/>
      <c r="AQ1165" s="562"/>
      <c r="AR1165" s="562"/>
      <c r="AS1165" s="562"/>
      <c r="AT1165" s="562"/>
      <c r="AU1165" s="562"/>
      <c r="AV1165" s="562"/>
      <c r="AW1165" s="562"/>
      <c r="AX1165" s="562"/>
      <c r="AY1165" s="562"/>
      <c r="AZ1165" s="562"/>
      <c r="BA1165" s="562"/>
      <c r="BB1165" s="562"/>
      <c r="BC1165" s="562"/>
      <c r="BD1165" s="562"/>
      <c r="BE1165" s="562"/>
      <c r="BF1165" s="562"/>
      <c r="BG1165" s="562"/>
      <c r="BH1165" s="562"/>
    </row>
    <row r="1166" spans="1:60" x14ac:dyDescent="0.2">
      <c r="A1166" s="541">
        <v>9</v>
      </c>
      <c r="B1166" s="551">
        <v>903.2</v>
      </c>
      <c r="C1166" s="544"/>
      <c r="D1166" s="544"/>
      <c r="E1166" s="544" t="s">
        <v>2183</v>
      </c>
      <c r="F1166" s="544"/>
      <c r="G1166" s="543" t="str">
        <f t="shared" ca="1" si="356"/>
        <v/>
      </c>
      <c r="H1166" s="541" t="s">
        <v>3751</v>
      </c>
      <c r="I1166" s="253"/>
      <c r="J1166" s="134" t="s">
        <v>2183</v>
      </c>
      <c r="K1166" s="98"/>
      <c r="L1166" s="791" t="s">
        <v>3200</v>
      </c>
      <c r="M1166" s="800">
        <v>3</v>
      </c>
      <c r="N1166" s="607"/>
      <c r="O1166" s="607"/>
      <c r="P1166" s="64"/>
      <c r="Q1166" s="64"/>
      <c r="R1166" s="64"/>
      <c r="S1166" s="64"/>
      <c r="T1166" s="64"/>
      <c r="U1166" s="64"/>
      <c r="V1166" s="64"/>
      <c r="W1166" s="64"/>
      <c r="X1166" s="798"/>
      <c r="Y1166" s="977"/>
      <c r="Z1166" s="978"/>
      <c r="AA1166" s="562"/>
      <c r="AB1166" s="562"/>
      <c r="AC1166" s="562"/>
      <c r="AD1166" s="562"/>
      <c r="AE1166" s="562"/>
      <c r="AF1166" s="562"/>
      <c r="AG1166" s="562"/>
      <c r="AH1166" s="562"/>
      <c r="AI1166" s="562"/>
      <c r="AJ1166" s="562"/>
      <c r="AK1166" s="562"/>
      <c r="AL1166" s="190" t="str">
        <f t="shared" si="357"/>
        <v>vpa903,2_2</v>
      </c>
      <c r="AM1166" s="190">
        <f>M1166</f>
        <v>3</v>
      </c>
      <c r="AN1166" s="562"/>
      <c r="AO1166" s="562"/>
      <c r="AP1166" s="562"/>
      <c r="AQ1166" s="562"/>
      <c r="AR1166" s="562"/>
      <c r="AS1166" s="562"/>
      <c r="AT1166" s="562"/>
      <c r="AU1166" s="562"/>
      <c r="AV1166" s="562"/>
      <c r="AW1166" s="562"/>
      <c r="AX1166" s="562"/>
      <c r="AY1166" s="562"/>
      <c r="AZ1166" s="562"/>
      <c r="BA1166" s="562"/>
      <c r="BB1166" s="562"/>
      <c r="BC1166" s="562"/>
      <c r="BD1166" s="562"/>
      <c r="BE1166" s="562"/>
      <c r="BF1166" s="562"/>
      <c r="BG1166" s="562"/>
      <c r="BH1166" s="562"/>
    </row>
    <row r="1167" spans="1:60" ht="16" thickBot="1" x14ac:dyDescent="0.25">
      <c r="A1167" s="541">
        <v>9</v>
      </c>
      <c r="B1167" s="551">
        <v>903.2</v>
      </c>
      <c r="C1167" s="544"/>
      <c r="D1167" s="544"/>
      <c r="E1167" s="544"/>
      <c r="F1167" s="544"/>
      <c r="G1167" s="543" t="str">
        <f t="shared" ca="1" si="356"/>
        <v/>
      </c>
      <c r="H1167" s="541" t="s">
        <v>3751</v>
      </c>
      <c r="I1167" s="254"/>
      <c r="J1167" s="185"/>
      <c r="K1167" s="185"/>
      <c r="L1167" s="818"/>
      <c r="M1167" s="813"/>
      <c r="N1167" s="622"/>
      <c r="O1167" s="622"/>
      <c r="P1167" s="68"/>
      <c r="Q1167" s="68"/>
      <c r="R1167" s="68"/>
      <c r="S1167" s="68"/>
      <c r="T1167" s="68"/>
      <c r="U1167" s="68"/>
      <c r="V1167" s="68"/>
      <c r="W1167" s="68"/>
      <c r="X1167" s="799"/>
      <c r="Y1167" s="979"/>
      <c r="Z1167" s="1007"/>
      <c r="AA1167" s="562"/>
      <c r="AB1167" s="562"/>
      <c r="AC1167" s="562"/>
      <c r="AD1167" s="562"/>
      <c r="AE1167" s="562"/>
      <c r="AF1167" s="562"/>
      <c r="AG1167" s="562"/>
      <c r="AH1167" s="562"/>
      <c r="AI1167" s="562"/>
      <c r="AJ1167" s="562"/>
      <c r="AK1167" s="562"/>
      <c r="AL1167" s="562"/>
      <c r="AM1167" s="562"/>
      <c r="AN1167" s="562"/>
      <c r="AO1167" s="562"/>
      <c r="AP1167" s="562"/>
      <c r="AQ1167" s="562"/>
      <c r="AR1167" s="562"/>
      <c r="AS1167" s="562"/>
      <c r="AT1167" s="562"/>
      <c r="AU1167" s="562"/>
      <c r="AV1167" s="562"/>
      <c r="AW1167" s="562"/>
      <c r="AX1167" s="562"/>
      <c r="AY1167" s="562"/>
      <c r="AZ1167" s="562"/>
      <c r="BA1167" s="562"/>
      <c r="BB1167" s="562"/>
      <c r="BC1167" s="562"/>
      <c r="BD1167" s="562"/>
      <c r="BE1167" s="562"/>
      <c r="BF1167" s="562"/>
      <c r="BG1167" s="562"/>
      <c r="BH1167" s="562"/>
    </row>
    <row r="1168" spans="1:60" ht="16" thickTop="1" x14ac:dyDescent="0.2">
      <c r="A1168" s="541">
        <v>9</v>
      </c>
      <c r="B1168" s="551">
        <v>903.3</v>
      </c>
      <c r="C1168" s="544"/>
      <c r="D1168" s="544"/>
      <c r="E1168" s="544"/>
      <c r="F1168" s="544"/>
      <c r="G1168" s="543" t="str">
        <f>IF(N1168&gt;0,"P","")</f>
        <v/>
      </c>
      <c r="H1168" s="541" t="s">
        <v>3758</v>
      </c>
      <c r="I1168" s="40" t="s">
        <v>3201</v>
      </c>
      <c r="J1168" s="3"/>
      <c r="K1168" s="3"/>
      <c r="L1168" s="775" t="s">
        <v>3202</v>
      </c>
      <c r="M1168" s="814">
        <v>7</v>
      </c>
      <c r="N1168" s="795">
        <f>'Ch9'!O267</f>
        <v>0</v>
      </c>
      <c r="O1168" s="795">
        <f>M1168*S1170*IFERROR(OR(W1170,W1171),0)</f>
        <v>0</v>
      </c>
      <c r="P1168" s="562"/>
      <c r="Q1168" s="562"/>
      <c r="R1168" s="562"/>
      <c r="S1168" s="562"/>
      <c r="T1168" s="562"/>
      <c r="U1168" s="562"/>
      <c r="V1168" s="562"/>
      <c r="W1168" s="562"/>
      <c r="X1168" s="786"/>
      <c r="Y1168" s="975" t="str">
        <f>IF(LEN('Ch9'!X267)=0,"None",'Ch9'!X267)</f>
        <v>None</v>
      </c>
      <c r="Z1168" s="976"/>
      <c r="AA1168" s="562"/>
      <c r="AB1168" s="562"/>
      <c r="AC1168" s="562"/>
      <c r="AD1168" s="562"/>
      <c r="AE1168" s="562"/>
      <c r="AF1168" s="562"/>
      <c r="AG1168" s="562"/>
      <c r="AH1168" s="562"/>
      <c r="AI1168" s="562"/>
      <c r="AJ1168" s="562"/>
      <c r="AK1168" s="562"/>
      <c r="AL1168" s="190" t="str">
        <f t="shared" ref="AL1168" si="358">SUBSTITUTE(SUBSTITUTE(SUBSTITUTE("vpa"&amp;$B1168&amp;$C1168&amp;$D1168&amp;$E1168&amp;$F1168,".","_"),"(","_"),")","")</f>
        <v>vpa903,3</v>
      </c>
      <c r="AM1168" s="190">
        <f>M1168</f>
        <v>7</v>
      </c>
      <c r="AN1168" s="190" t="str">
        <f>SUBSTITUTE(SUBSTITUTE(SUBSTITUTE("vpc"&amp;$B1168&amp;$C1168&amp;$D1168&amp;$E1168&amp;$F1168,".","_"),"(","_"),")","")</f>
        <v>vpc903,3</v>
      </c>
      <c r="AO1168" s="190">
        <f>O1168</f>
        <v>0</v>
      </c>
      <c r="AP1168" s="562"/>
      <c r="AQ1168" s="562"/>
      <c r="AR1168" s="190" t="str">
        <f>SUBSTITUTE(SUBSTITUTE(SUBSTITUTE("vnt"&amp;$B1168&amp;$C1168&amp;$D1168&amp;$E1168&amp;$F1168,".","_"),"(","_"),")","")</f>
        <v>vnt903,3</v>
      </c>
      <c r="AS1168" s="190">
        <f>X1168</f>
        <v>0</v>
      </c>
      <c r="AT1168" s="562"/>
      <c r="AU1168" s="562"/>
      <c r="AV1168" s="562"/>
      <c r="AW1168" s="562"/>
      <c r="AX1168" s="562"/>
      <c r="AY1168" s="562"/>
      <c r="AZ1168" s="562"/>
      <c r="BA1168" s="562"/>
      <c r="BB1168" s="562"/>
      <c r="BC1168" s="562"/>
      <c r="BD1168" s="562"/>
      <c r="BE1168" s="562"/>
      <c r="BF1168" s="562"/>
      <c r="BG1168" s="562"/>
      <c r="BH1168" s="562"/>
    </row>
    <row r="1169" spans="1:60" x14ac:dyDescent="0.2">
      <c r="A1169" s="541">
        <v>9</v>
      </c>
      <c r="B1169" s="551">
        <v>903.3</v>
      </c>
      <c r="C1169" s="544"/>
      <c r="D1169" s="544"/>
      <c r="E1169" s="544"/>
      <c r="F1169" s="544"/>
      <c r="G1169" s="543" t="str">
        <f t="shared" ref="G1169:G1172" si="359">G1168</f>
        <v/>
      </c>
      <c r="H1169" s="541" t="s">
        <v>3758</v>
      </c>
      <c r="I1169" s="121"/>
      <c r="J1169" s="3"/>
      <c r="K1169" s="3"/>
      <c r="L1169" s="775"/>
      <c r="M1169" s="814"/>
      <c r="N1169" s="795"/>
      <c r="O1169" s="795"/>
      <c r="P1169" s="562"/>
      <c r="Q1169" s="562"/>
      <c r="R1169" s="562"/>
      <c r="S1169" s="562"/>
      <c r="T1169" s="562"/>
      <c r="U1169" s="562"/>
      <c r="V1169" s="562"/>
      <c r="W1169" s="562"/>
      <c r="X1169" s="787"/>
      <c r="Y1169" s="980"/>
      <c r="Z1169" s="983"/>
      <c r="AA1169" s="562"/>
      <c r="AB1169" s="562"/>
      <c r="AC1169" s="562"/>
      <c r="AD1169" s="562"/>
      <c r="AE1169" s="562"/>
      <c r="AF1169" s="562"/>
      <c r="AG1169" s="562"/>
      <c r="AH1169" s="562"/>
      <c r="AI1169" s="562"/>
      <c r="AJ1169" s="562"/>
      <c r="AK1169" s="562"/>
      <c r="AL1169" s="562"/>
      <c r="AM1169" s="562"/>
      <c r="AN1169" s="562"/>
      <c r="AO1169" s="562"/>
      <c r="AP1169" s="562"/>
      <c r="AQ1169" s="562"/>
      <c r="AR1169" s="562"/>
      <c r="AS1169" s="562"/>
      <c r="AT1169" s="562"/>
      <c r="AU1169" s="562"/>
      <c r="AV1169" s="562"/>
      <c r="AW1169" s="562"/>
      <c r="AX1169" s="562"/>
      <c r="AY1169" s="562"/>
      <c r="AZ1169" s="562"/>
      <c r="BA1169" s="562"/>
      <c r="BB1169" s="562"/>
      <c r="BC1169" s="562"/>
      <c r="BD1169" s="562"/>
      <c r="BE1169" s="562"/>
      <c r="BF1169" s="562"/>
      <c r="BG1169" s="562"/>
      <c r="BH1169" s="562"/>
    </row>
    <row r="1170" spans="1:60" x14ac:dyDescent="0.2">
      <c r="A1170" s="541">
        <v>9</v>
      </c>
      <c r="B1170" s="551">
        <v>903.3</v>
      </c>
      <c r="C1170" s="544"/>
      <c r="D1170" s="544"/>
      <c r="E1170" s="544" t="s">
        <v>2181</v>
      </c>
      <c r="F1170" s="544"/>
      <c r="G1170" s="543" t="str">
        <f t="shared" si="359"/>
        <v/>
      </c>
      <c r="H1170" s="541" t="s">
        <v>3758</v>
      </c>
      <c r="I1170" s="121"/>
      <c r="J1170" s="159" t="s">
        <v>2181</v>
      </c>
      <c r="K1170" s="129"/>
      <c r="L1170" s="599" t="s">
        <v>3203</v>
      </c>
      <c r="M1170" s="610"/>
      <c r="N1170" s="607"/>
      <c r="O1170" s="607"/>
      <c r="P1170" s="64" t="b">
        <v>0</v>
      </c>
      <c r="Q1170" s="64" t="b">
        <v>1</v>
      </c>
      <c r="R1170" s="129" t="b">
        <v>0</v>
      </c>
      <c r="S1170" s="129" t="b">
        <f>AND(BF942&lt;6,BG942="Moist")</f>
        <v>0</v>
      </c>
      <c r="T1170" s="129" t="b">
        <f>AND(NOT(S1170),W1170=TRUE)</f>
        <v>0</v>
      </c>
      <c r="U1170" s="129"/>
      <c r="V1170" s="129"/>
      <c r="W1170" s="18"/>
      <c r="X1170" s="787"/>
      <c r="Y1170" s="980"/>
      <c r="Z1170" s="983"/>
      <c r="AA1170" s="562"/>
      <c r="AB1170" s="562"/>
      <c r="AC1170" s="562" t="b">
        <f>OR(AD1170:AE1170)</f>
        <v>0</v>
      </c>
      <c r="AD1170" s="562" t="b">
        <f>T1170</f>
        <v>0</v>
      </c>
      <c r="AE1170" s="562" t="b">
        <f>AND(R1170,NOT(W1170))</f>
        <v>0</v>
      </c>
      <c r="AF1170" s="562" t="b">
        <f>AND(AE1170,NOT(Q1170))</f>
        <v>0</v>
      </c>
      <c r="AG1170" s="562"/>
      <c r="AH1170" s="562"/>
      <c r="AI1170" s="562"/>
      <c r="AJ1170" s="562"/>
      <c r="AK1170" s="562"/>
      <c r="AL1170" s="562"/>
      <c r="AM1170" s="562"/>
      <c r="AN1170" s="562"/>
      <c r="AO1170" s="562"/>
      <c r="AP1170" s="190" t="str">
        <f t="shared" ref="AP1170:AP1171" si="360">SUBSTITUTE(SUBSTITUTE(SUBSTITUTE("vch"&amp;$B1170&amp;$C1170&amp;$D1170&amp;$E1170&amp;$F1170,".","_"),"(","_"),")","")</f>
        <v>vch903,3_1</v>
      </c>
      <c r="AQ1170" s="190">
        <f>W1170</f>
        <v>0</v>
      </c>
      <c r="AR1170" s="562"/>
      <c r="AS1170" s="562"/>
      <c r="AT1170" s="562"/>
      <c r="AU1170" s="562"/>
      <c r="AV1170" s="562"/>
      <c r="AW1170" s="562"/>
      <c r="AX1170" s="562"/>
      <c r="AY1170" s="562"/>
      <c r="AZ1170" s="562"/>
      <c r="BA1170" s="562"/>
      <c r="BB1170" s="562"/>
      <c r="BC1170" s="562"/>
      <c r="BD1170" s="562"/>
      <c r="BE1170" s="562"/>
      <c r="BF1170" s="562"/>
      <c r="BG1170" s="562"/>
      <c r="BH1170" s="562"/>
    </row>
    <row r="1171" spans="1:60" x14ac:dyDescent="0.2">
      <c r="A1171" s="541">
        <v>9</v>
      </c>
      <c r="B1171" s="551">
        <v>903.3</v>
      </c>
      <c r="C1171" s="544"/>
      <c r="D1171" s="544"/>
      <c r="E1171" s="544" t="s">
        <v>2183</v>
      </c>
      <c r="F1171" s="544"/>
      <c r="G1171" s="543" t="str">
        <f t="shared" si="359"/>
        <v/>
      </c>
      <c r="H1171" s="541" t="s">
        <v>3758</v>
      </c>
      <c r="I1171" s="121"/>
      <c r="J1171" s="20" t="s">
        <v>2183</v>
      </c>
      <c r="K1171" s="562"/>
      <c r="L1171" s="848" t="s">
        <v>3204</v>
      </c>
      <c r="M1171" s="610"/>
      <c r="N1171" s="607"/>
      <c r="O1171" s="607"/>
      <c r="P1171" s="64" t="b">
        <v>0</v>
      </c>
      <c r="Q1171" s="64" t="b">
        <v>1</v>
      </c>
      <c r="R1171" s="562" t="b">
        <v>0</v>
      </c>
      <c r="S1171" s="562" t="b">
        <f>AND(BF942&lt;6,BG942="Moist")</f>
        <v>0</v>
      </c>
      <c r="T1171" s="64" t="b">
        <f>AND(NOT(S1171),W1171=TRUE)</f>
        <v>0</v>
      </c>
      <c r="U1171" s="562"/>
      <c r="V1171" s="562"/>
      <c r="W1171" s="18"/>
      <c r="X1171" s="787"/>
      <c r="Y1171" s="980"/>
      <c r="Z1171" s="983"/>
      <c r="AA1171" s="562"/>
      <c r="AB1171" s="562"/>
      <c r="AC1171" s="562" t="b">
        <f>OR(AD1171:AE1171)</f>
        <v>0</v>
      </c>
      <c r="AD1171" s="562" t="b">
        <f>T1171</f>
        <v>0</v>
      </c>
      <c r="AE1171" s="562" t="b">
        <f>AND(R1171,NOT(W1171))</f>
        <v>0</v>
      </c>
      <c r="AF1171" s="562" t="b">
        <f>AND(AE1171,NOT(Q1171))</f>
        <v>0</v>
      </c>
      <c r="AG1171" s="562"/>
      <c r="AH1171" s="562"/>
      <c r="AI1171" s="562"/>
      <c r="AJ1171" s="562"/>
      <c r="AK1171" s="562"/>
      <c r="AL1171" s="562"/>
      <c r="AM1171" s="562"/>
      <c r="AN1171" s="562"/>
      <c r="AO1171" s="562"/>
      <c r="AP1171" s="190" t="str">
        <f t="shared" si="360"/>
        <v>vch903,3_2</v>
      </c>
      <c r="AQ1171" s="190">
        <f>W1171</f>
        <v>0</v>
      </c>
      <c r="AR1171" s="562"/>
      <c r="AS1171" s="562"/>
      <c r="AT1171" s="562"/>
      <c r="AU1171" s="562"/>
      <c r="AV1171" s="562"/>
      <c r="AW1171" s="562"/>
      <c r="AX1171" s="562"/>
      <c r="AY1171" s="562"/>
      <c r="AZ1171" s="562"/>
      <c r="BA1171" s="562"/>
      <c r="BB1171" s="562"/>
      <c r="BC1171" s="562"/>
      <c r="BD1171" s="562"/>
      <c r="BE1171" s="562"/>
      <c r="BF1171" s="562"/>
      <c r="BG1171" s="562"/>
      <c r="BH1171" s="562"/>
    </row>
    <row r="1172" spans="1:60" x14ac:dyDescent="0.2">
      <c r="A1172" s="541">
        <v>9</v>
      </c>
      <c r="B1172" s="551">
        <v>903.3</v>
      </c>
      <c r="C1172" s="544"/>
      <c r="D1172" s="544"/>
      <c r="E1172" s="544" t="s">
        <v>2183</v>
      </c>
      <c r="F1172" s="544"/>
      <c r="G1172" s="543" t="str">
        <f t="shared" si="359"/>
        <v/>
      </c>
      <c r="H1172" s="541" t="s">
        <v>3758</v>
      </c>
      <c r="I1172" s="121"/>
      <c r="J1172" s="3"/>
      <c r="K1172" s="20"/>
      <c r="L1172" s="848"/>
      <c r="M1172" s="616"/>
      <c r="N1172" s="609"/>
      <c r="O1172" s="609"/>
      <c r="P1172" s="562"/>
      <c r="Q1172" s="562"/>
      <c r="R1172" s="562"/>
      <c r="S1172" s="562"/>
      <c r="T1172" s="562"/>
      <c r="U1172" s="562"/>
      <c r="V1172" s="562"/>
      <c r="W1172" s="562"/>
      <c r="X1172" s="787"/>
      <c r="Y1172" s="980"/>
      <c r="Z1172" s="983"/>
      <c r="AA1172" s="562"/>
      <c r="AB1172" s="562"/>
      <c r="AC1172" s="562"/>
      <c r="AD1172" s="562"/>
      <c r="AE1172" s="562"/>
      <c r="AF1172" s="562"/>
      <c r="AG1172" s="562"/>
      <c r="AH1172" s="562"/>
      <c r="AI1172" s="562"/>
      <c r="AJ1172" s="562"/>
      <c r="AK1172" s="562"/>
      <c r="AL1172" s="562"/>
      <c r="AM1172" s="562"/>
      <c r="AN1172" s="562"/>
      <c r="AO1172" s="562"/>
      <c r="AP1172" s="562"/>
      <c r="AQ1172" s="562"/>
      <c r="AR1172" s="562"/>
      <c r="AS1172" s="562"/>
      <c r="AT1172" s="562"/>
      <c r="AU1172" s="562"/>
      <c r="AV1172" s="562"/>
      <c r="AW1172" s="562"/>
      <c r="AX1172" s="562"/>
      <c r="AY1172" s="562"/>
      <c r="AZ1172" s="562"/>
      <c r="BA1172" s="562"/>
      <c r="BB1172" s="562"/>
      <c r="BC1172" s="562"/>
      <c r="BD1172" s="562"/>
      <c r="BE1172" s="562"/>
      <c r="BF1172" s="562"/>
      <c r="BG1172" s="562"/>
      <c r="BH1172" s="562"/>
    </row>
    <row r="1173" spans="1:60" ht="19" x14ac:dyDescent="0.25">
      <c r="A1173" s="541">
        <v>9</v>
      </c>
      <c r="B1173" s="551">
        <v>904</v>
      </c>
      <c r="C1173" s="544"/>
      <c r="D1173" s="544"/>
      <c r="E1173" s="544"/>
      <c r="F1173" s="544"/>
      <c r="G1173" s="543" t="s">
        <v>3343</v>
      </c>
      <c r="H1173" s="541" t="s">
        <v>3751</v>
      </c>
      <c r="I1173" s="8" t="s">
        <v>3205</v>
      </c>
      <c r="J1173" s="16"/>
      <c r="K1173" s="16"/>
      <c r="L1173" s="54"/>
      <c r="M1173" s="264"/>
      <c r="N1173" s="264"/>
      <c r="O1173" s="264"/>
      <c r="P1173" s="16"/>
      <c r="Q1173" s="16"/>
      <c r="R1173" s="16"/>
      <c r="S1173" s="16"/>
      <c r="T1173" s="16"/>
      <c r="U1173" s="16"/>
      <c r="V1173" s="16"/>
      <c r="W1173" s="16"/>
      <c r="X1173" s="16"/>
      <c r="Y1173" s="16"/>
      <c r="Z1173" s="453"/>
      <c r="AA1173" s="562"/>
      <c r="AB1173" s="562"/>
      <c r="AC1173" s="562"/>
      <c r="AD1173" s="562"/>
      <c r="AE1173" s="562"/>
      <c r="AF1173" s="562"/>
      <c r="AG1173" s="562"/>
      <c r="AH1173" s="562"/>
      <c r="AI1173" s="562"/>
      <c r="AJ1173" s="562"/>
      <c r="AK1173" s="562"/>
      <c r="AL1173" s="562"/>
      <c r="AM1173" s="562"/>
      <c r="AN1173" s="562"/>
      <c r="AO1173" s="562"/>
      <c r="AP1173" s="562"/>
      <c r="AQ1173" s="562"/>
      <c r="AR1173" s="562"/>
      <c r="AS1173" s="562"/>
      <c r="AT1173" s="562"/>
      <c r="AU1173" s="562"/>
      <c r="AV1173" s="562"/>
      <c r="AW1173" s="562"/>
      <c r="AX1173" s="562"/>
      <c r="AY1173" s="562"/>
      <c r="AZ1173" s="562"/>
      <c r="BA1173" s="562"/>
      <c r="BB1173" s="562"/>
      <c r="BC1173" s="562"/>
      <c r="BD1173" s="562"/>
      <c r="BE1173" s="562"/>
      <c r="BF1173" s="562"/>
      <c r="BG1173" s="562"/>
      <c r="BH1173" s="562"/>
    </row>
    <row r="1174" spans="1:60" x14ac:dyDescent="0.2">
      <c r="A1174" s="541">
        <v>9</v>
      </c>
      <c r="B1174" s="551" t="s">
        <v>3206</v>
      </c>
      <c r="C1174" s="544"/>
      <c r="D1174" s="544"/>
      <c r="E1174" s="544"/>
      <c r="F1174" s="544"/>
      <c r="G1174" s="541"/>
      <c r="H1174" s="541"/>
      <c r="I1174" s="512">
        <v>11.904</v>
      </c>
      <c r="J1174" s="98"/>
      <c r="K1174" s="98"/>
      <c r="L1174" s="820" t="s">
        <v>3208</v>
      </c>
      <c r="M1174" s="610"/>
      <c r="N1174" s="607"/>
      <c r="O1174" s="607"/>
      <c r="P1174" s="64"/>
      <c r="Q1174" s="64"/>
      <c r="R1174" s="64"/>
      <c r="S1174" s="64"/>
      <c r="T1174" s="64"/>
      <c r="U1174" s="64"/>
      <c r="V1174" s="64"/>
      <c r="W1174" s="64"/>
      <c r="X1174" s="64"/>
      <c r="Y1174" s="562"/>
      <c r="Z1174" s="430"/>
      <c r="AA1174" s="562"/>
      <c r="AB1174" s="562"/>
      <c r="AC1174" s="562"/>
      <c r="AD1174" s="562"/>
      <c r="AE1174" s="562"/>
      <c r="AF1174" s="562"/>
      <c r="AG1174" s="562"/>
      <c r="AH1174" s="562"/>
      <c r="AI1174" s="562"/>
      <c r="AJ1174" s="562"/>
      <c r="AK1174" s="562"/>
      <c r="AL1174" s="562"/>
      <c r="AM1174" s="562"/>
      <c r="AN1174" s="562"/>
      <c r="AO1174" s="562"/>
      <c r="AP1174" s="562"/>
      <c r="AQ1174" s="562"/>
      <c r="AR1174" s="562"/>
      <c r="AS1174" s="562"/>
      <c r="AT1174" s="562"/>
      <c r="AU1174" s="562"/>
      <c r="AV1174" s="562"/>
      <c r="AW1174" s="562"/>
      <c r="AX1174" s="562"/>
      <c r="AY1174" s="562"/>
      <c r="AZ1174" s="562"/>
      <c r="BA1174" s="562"/>
      <c r="BB1174" s="562"/>
      <c r="BC1174" s="562"/>
      <c r="BD1174" s="562"/>
      <c r="BE1174" s="562"/>
      <c r="BF1174" s="562"/>
      <c r="BG1174" s="562"/>
      <c r="BH1174" s="562"/>
    </row>
    <row r="1175" spans="1:60" ht="16" thickBot="1" x14ac:dyDescent="0.25">
      <c r="A1175" s="541">
        <v>9</v>
      </c>
      <c r="B1175" s="551" t="s">
        <v>3206</v>
      </c>
      <c r="C1175" s="544"/>
      <c r="D1175" s="544"/>
      <c r="E1175" s="544"/>
      <c r="F1175" s="544"/>
      <c r="G1175" s="541"/>
      <c r="H1175" s="541"/>
      <c r="I1175" s="254"/>
      <c r="J1175" s="185"/>
      <c r="K1175" s="185"/>
      <c r="L1175" s="822"/>
      <c r="M1175" s="615"/>
      <c r="N1175" s="622"/>
      <c r="O1175" s="622"/>
      <c r="P1175" s="68"/>
      <c r="Q1175" s="68"/>
      <c r="R1175" s="68"/>
      <c r="S1175" s="68"/>
      <c r="T1175" s="68"/>
      <c r="U1175" s="68"/>
      <c r="V1175" s="68"/>
      <c r="W1175" s="68"/>
      <c r="X1175" s="68"/>
      <c r="Y1175" s="68"/>
      <c r="Z1175" s="455"/>
      <c r="AA1175" s="562"/>
      <c r="AB1175" s="562"/>
      <c r="AC1175" s="562"/>
      <c r="AD1175" s="562"/>
      <c r="AE1175" s="562"/>
      <c r="AF1175" s="562"/>
      <c r="AG1175" s="562"/>
      <c r="AH1175" s="562"/>
      <c r="AI1175" s="562"/>
      <c r="AJ1175" s="562"/>
      <c r="AK1175" s="562"/>
      <c r="AL1175" s="562"/>
      <c r="AM1175" s="562"/>
      <c r="AN1175" s="562"/>
      <c r="AO1175" s="562"/>
      <c r="AP1175" s="562"/>
      <c r="AQ1175" s="562"/>
      <c r="AR1175" s="562"/>
      <c r="AS1175" s="562"/>
      <c r="AT1175" s="562"/>
      <c r="AU1175" s="562"/>
      <c r="AV1175" s="562"/>
      <c r="AW1175" s="562"/>
      <c r="AX1175" s="562"/>
      <c r="AY1175" s="562"/>
      <c r="AZ1175" s="562"/>
      <c r="BA1175" s="562"/>
      <c r="BB1175" s="562"/>
      <c r="BC1175" s="562"/>
      <c r="BD1175" s="562"/>
      <c r="BE1175" s="562"/>
      <c r="BF1175" s="562"/>
      <c r="BG1175" s="562"/>
      <c r="BH1175" s="562"/>
    </row>
    <row r="1176" spans="1:60" ht="16" thickTop="1" x14ac:dyDescent="0.2">
      <c r="A1176" s="541">
        <v>9</v>
      </c>
      <c r="B1176" s="551">
        <v>904.1</v>
      </c>
      <c r="C1176" s="544"/>
      <c r="D1176" s="544"/>
      <c r="E1176" s="544"/>
      <c r="F1176" s="544"/>
      <c r="G1176" s="543" t="str">
        <f>IF(N1176&gt;0,"P","")</f>
        <v/>
      </c>
      <c r="H1176" s="541" t="s">
        <v>3757</v>
      </c>
      <c r="I1176" s="252" t="s">
        <v>3209</v>
      </c>
      <c r="J1176" s="132"/>
      <c r="K1176" s="132"/>
      <c r="L1176" s="819" t="s">
        <v>3210</v>
      </c>
      <c r="M1176" s="827">
        <v>2</v>
      </c>
      <c r="N1176" s="823">
        <f>'Ch9'!O275</f>
        <v>0</v>
      </c>
      <c r="O1176" s="823">
        <f>M1176*S1176*W1176</f>
        <v>0</v>
      </c>
      <c r="P1176" s="64" t="b">
        <v>1</v>
      </c>
      <c r="Q1176" s="64" t="b">
        <v>0</v>
      </c>
      <c r="R1176" s="74" t="b">
        <v>0</v>
      </c>
      <c r="S1176" s="74" t="b">
        <f>T1177</f>
        <v>0</v>
      </c>
      <c r="T1176" s="74" t="b">
        <f>AND(NOT(S1176),W1176=TRUE)</f>
        <v>0</v>
      </c>
      <c r="U1176" s="74"/>
      <c r="V1176" s="74"/>
      <c r="W1176" s="18"/>
      <c r="X1176" s="802"/>
      <c r="Y1176" s="984" t="str">
        <f>IF(LEN('Ch9'!X275)=0,"None",'Ch9'!X275)</f>
        <v>None</v>
      </c>
      <c r="Z1176" s="1035"/>
      <c r="AA1176" s="562"/>
      <c r="AB1176" s="562"/>
      <c r="AC1176" s="562" t="b">
        <f>OR(AD1176:AE1176)</f>
        <v>0</v>
      </c>
      <c r="AD1176" s="562" t="b">
        <f>T1176</f>
        <v>0</v>
      </c>
      <c r="AE1176" s="562" t="b">
        <f>AND(R1176,NOT(W1176))</f>
        <v>0</v>
      </c>
      <c r="AF1176" s="562" t="b">
        <f>AND(AE1176,NOT(Q1176))</f>
        <v>0</v>
      </c>
      <c r="AG1176" s="562"/>
      <c r="AH1176" s="562"/>
      <c r="AI1176" s="562"/>
      <c r="AJ1176" s="562"/>
      <c r="AK1176" s="562"/>
      <c r="AL1176" s="190" t="str">
        <f t="shared" ref="AL1176" si="361">SUBSTITUTE(SUBSTITUTE(SUBSTITUTE("vpa"&amp;$B1176&amp;$C1176&amp;$D1176&amp;$E1176&amp;$F1176,".","_"),"(","_"),")","")</f>
        <v>vpa904,1</v>
      </c>
      <c r="AM1176" s="190">
        <f>M1176</f>
        <v>2</v>
      </c>
      <c r="AN1176" s="190" t="str">
        <f>SUBSTITUTE(SUBSTITUTE(SUBSTITUTE("vpc"&amp;$B1176&amp;$C1176&amp;$D1176&amp;$E1176&amp;$F1176,".","_"),"(","_"),")","")</f>
        <v>vpc904,1</v>
      </c>
      <c r="AO1176" s="190">
        <f>O1176</f>
        <v>0</v>
      </c>
      <c r="AP1176" s="190" t="str">
        <f>SUBSTITUTE(SUBSTITUTE(SUBSTITUTE("vch"&amp;$B1176&amp;$C1176&amp;$D1176&amp;$E1176&amp;$F1176,".","_"),"(","_"),")","")</f>
        <v>vch904,1</v>
      </c>
      <c r="AQ1176" s="190">
        <f>W1176</f>
        <v>0</v>
      </c>
      <c r="AR1176" s="190" t="str">
        <f>SUBSTITUTE(SUBSTITUTE(SUBSTITUTE("vnt"&amp;$B1176&amp;$C1176&amp;$D1176&amp;$E1176&amp;$F1176,".","_"),"(","_"),")","")</f>
        <v>vnt904,1</v>
      </c>
      <c r="AS1176" s="190">
        <f>X1176</f>
        <v>0</v>
      </c>
      <c r="AT1176" s="562"/>
      <c r="AU1176" s="562"/>
      <c r="AV1176" s="562"/>
      <c r="AW1176" s="562"/>
      <c r="AX1176" s="562"/>
      <c r="AY1176" s="562"/>
      <c r="AZ1176" s="562"/>
      <c r="BA1176" s="562"/>
      <c r="BB1176" s="562"/>
      <c r="BC1176" s="562"/>
      <c r="BD1176" s="562"/>
      <c r="BE1176" s="562"/>
      <c r="BF1176" s="562"/>
      <c r="BG1176" s="562"/>
      <c r="BH1176" s="562"/>
    </row>
    <row r="1177" spans="1:60" x14ac:dyDescent="0.2">
      <c r="A1177" s="541">
        <v>9</v>
      </c>
      <c r="B1177" s="551">
        <v>904.1</v>
      </c>
      <c r="C1177" s="544"/>
      <c r="D1177" s="544"/>
      <c r="E1177" s="544"/>
      <c r="F1177" s="544"/>
      <c r="G1177" s="543" t="str">
        <f t="shared" ref="G1177:G1180" si="362">G1176</f>
        <v/>
      </c>
      <c r="H1177" s="541" t="s">
        <v>3757</v>
      </c>
      <c r="I1177" s="253"/>
      <c r="J1177" s="98"/>
      <c r="K1177" s="98"/>
      <c r="L1177" s="820"/>
      <c r="M1177" s="800"/>
      <c r="N1177" s="793"/>
      <c r="O1177" s="793"/>
      <c r="P1177" s="64"/>
      <c r="Q1177" s="64"/>
      <c r="R1177" s="64"/>
      <c r="S1177" s="258" t="s">
        <v>3211</v>
      </c>
      <c r="T1177" s="150" t="b">
        <f>W403=TRUE</f>
        <v>0</v>
      </c>
      <c r="U1177" s="64"/>
      <c r="V1177" s="64"/>
      <c r="W1177" s="64"/>
      <c r="X1177" s="798"/>
      <c r="Y1177" s="977"/>
      <c r="Z1177" s="978"/>
      <c r="AA1177" s="562"/>
      <c r="AB1177" s="562"/>
      <c r="AC1177" s="562"/>
      <c r="AD1177" s="562"/>
      <c r="AE1177" s="562"/>
      <c r="AF1177" s="562"/>
      <c r="AG1177" s="562"/>
      <c r="AH1177" s="562"/>
      <c r="AI1177" s="562"/>
      <c r="AJ1177" s="562"/>
      <c r="AK1177" s="562"/>
      <c r="AL1177" s="562"/>
      <c r="AM1177" s="562"/>
      <c r="AN1177" s="562"/>
      <c r="AO1177" s="562"/>
      <c r="AP1177" s="562"/>
      <c r="AQ1177" s="562"/>
      <c r="AR1177" s="562"/>
      <c r="AS1177" s="562"/>
      <c r="AT1177" s="562"/>
      <c r="AU1177" s="562"/>
      <c r="AV1177" s="562"/>
      <c r="AW1177" s="562"/>
      <c r="AX1177" s="562"/>
      <c r="AY1177" s="562"/>
      <c r="AZ1177" s="562"/>
      <c r="BA1177" s="562"/>
      <c r="BB1177" s="562"/>
      <c r="BC1177" s="562"/>
      <c r="BD1177" s="562"/>
      <c r="BE1177" s="562"/>
      <c r="BF1177" s="562"/>
      <c r="BG1177" s="562"/>
      <c r="BH1177" s="562"/>
    </row>
    <row r="1178" spans="1:60" x14ac:dyDescent="0.2">
      <c r="A1178" s="541">
        <v>9</v>
      </c>
      <c r="B1178" s="551">
        <v>904.1</v>
      </c>
      <c r="C1178" s="544"/>
      <c r="D1178" s="544"/>
      <c r="E1178" s="544"/>
      <c r="F1178" s="544"/>
      <c r="G1178" s="543" t="str">
        <f t="shared" si="362"/>
        <v/>
      </c>
      <c r="H1178" s="541" t="s">
        <v>3757</v>
      </c>
      <c r="I1178" s="253"/>
      <c r="J1178" s="98"/>
      <c r="K1178" s="98"/>
      <c r="L1178" s="820"/>
      <c r="M1178" s="800"/>
      <c r="N1178" s="793"/>
      <c r="O1178" s="793"/>
      <c r="P1178" s="64"/>
      <c r="Q1178" s="64"/>
      <c r="R1178" s="64"/>
      <c r="S1178" s="64"/>
      <c r="T1178" s="64"/>
      <c r="U1178" s="64"/>
      <c r="V1178" s="64"/>
      <c r="W1178" s="64"/>
      <c r="X1178" s="798"/>
      <c r="Y1178" s="977"/>
      <c r="Z1178" s="978"/>
      <c r="AA1178" s="562"/>
      <c r="AB1178" s="562"/>
      <c r="AC1178" s="562"/>
      <c r="AD1178" s="562"/>
      <c r="AE1178" s="562"/>
      <c r="AF1178" s="562"/>
      <c r="AG1178" s="562"/>
      <c r="AH1178" s="562"/>
      <c r="AI1178" s="562"/>
      <c r="AJ1178" s="562"/>
      <c r="AK1178" s="562"/>
      <c r="AL1178" s="562"/>
      <c r="AM1178" s="562"/>
      <c r="AN1178" s="562"/>
      <c r="AO1178" s="562"/>
      <c r="AP1178" s="562"/>
      <c r="AQ1178" s="562"/>
      <c r="AR1178" s="562"/>
      <c r="AS1178" s="562"/>
      <c r="AT1178" s="562"/>
      <c r="AU1178" s="562"/>
      <c r="AV1178" s="562"/>
      <c r="AW1178" s="562"/>
      <c r="AX1178" s="562"/>
      <c r="AY1178" s="562"/>
      <c r="AZ1178" s="562"/>
      <c r="BA1178" s="562"/>
      <c r="BB1178" s="562"/>
      <c r="BC1178" s="562"/>
      <c r="BD1178" s="562"/>
      <c r="BE1178" s="562"/>
      <c r="BF1178" s="562"/>
      <c r="BG1178" s="562"/>
      <c r="BH1178" s="562"/>
    </row>
    <row r="1179" spans="1:60" x14ac:dyDescent="0.2">
      <c r="A1179" s="541">
        <v>9</v>
      </c>
      <c r="B1179" s="551">
        <v>904.1</v>
      </c>
      <c r="C1179" s="544"/>
      <c r="D1179" s="544"/>
      <c r="E1179" s="544"/>
      <c r="F1179" s="544"/>
      <c r="G1179" s="543" t="str">
        <f t="shared" si="362"/>
        <v/>
      </c>
      <c r="H1179" s="541" t="s">
        <v>3757</v>
      </c>
      <c r="I1179" s="253"/>
      <c r="J1179" s="98"/>
      <c r="K1179" s="98"/>
      <c r="L1179" s="820"/>
      <c r="M1179" s="800"/>
      <c r="N1179" s="793"/>
      <c r="O1179" s="793"/>
      <c r="P1179" s="64"/>
      <c r="Q1179" s="64"/>
      <c r="R1179" s="64"/>
      <c r="S1179" s="64"/>
      <c r="T1179" s="64"/>
      <c r="U1179" s="64"/>
      <c r="V1179" s="64"/>
      <c r="W1179" s="64"/>
      <c r="X1179" s="798"/>
      <c r="Y1179" s="977"/>
      <c r="Z1179" s="978"/>
      <c r="AA1179" s="562"/>
      <c r="AB1179" s="562"/>
      <c r="AC1179" s="562"/>
      <c r="AD1179" s="562"/>
      <c r="AE1179" s="562"/>
      <c r="AF1179" s="562"/>
      <c r="AG1179" s="562"/>
      <c r="AH1179" s="562"/>
      <c r="AI1179" s="562"/>
      <c r="AJ1179" s="562"/>
      <c r="AK1179" s="562"/>
      <c r="AL1179" s="562"/>
      <c r="AM1179" s="562"/>
      <c r="AN1179" s="562"/>
      <c r="AO1179" s="562"/>
      <c r="AP1179" s="562"/>
      <c r="AQ1179" s="562"/>
      <c r="AR1179" s="562"/>
      <c r="AS1179" s="562"/>
      <c r="AT1179" s="562"/>
      <c r="AU1179" s="562"/>
      <c r="AV1179" s="562"/>
      <c r="AW1179" s="562"/>
      <c r="AX1179" s="562"/>
      <c r="AY1179" s="562"/>
      <c r="AZ1179" s="562"/>
      <c r="BA1179" s="562"/>
      <c r="BB1179" s="562"/>
      <c r="BC1179" s="562"/>
      <c r="BD1179" s="562"/>
      <c r="BE1179" s="562"/>
      <c r="BF1179" s="562"/>
      <c r="BG1179" s="562"/>
      <c r="BH1179" s="562"/>
    </row>
    <row r="1180" spans="1:60" ht="16" thickBot="1" x14ac:dyDescent="0.25">
      <c r="A1180" s="541">
        <v>9</v>
      </c>
      <c r="B1180" s="551">
        <v>904.1</v>
      </c>
      <c r="C1180" s="544"/>
      <c r="D1180" s="544"/>
      <c r="E1180" s="544"/>
      <c r="F1180" s="544"/>
      <c r="G1180" s="543" t="str">
        <f t="shared" si="362"/>
        <v/>
      </c>
      <c r="H1180" s="541" t="s">
        <v>3757</v>
      </c>
      <c r="I1180" s="254"/>
      <c r="J1180" s="185"/>
      <c r="K1180" s="185"/>
      <c r="L1180" s="822"/>
      <c r="M1180" s="813"/>
      <c r="N1180" s="821"/>
      <c r="O1180" s="821"/>
      <c r="P1180" s="68"/>
      <c r="Q1180" s="68"/>
      <c r="R1180" s="68"/>
      <c r="S1180" s="68"/>
      <c r="T1180" s="68"/>
      <c r="U1180" s="68"/>
      <c r="V1180" s="68"/>
      <c r="W1180" s="68"/>
      <c r="X1180" s="799"/>
      <c r="Y1180" s="979"/>
      <c r="Z1180" s="1007"/>
      <c r="AA1180" s="562"/>
      <c r="AB1180" s="562"/>
      <c r="AC1180" s="562"/>
      <c r="AD1180" s="562"/>
      <c r="AE1180" s="562"/>
      <c r="AF1180" s="562"/>
      <c r="AG1180" s="562"/>
      <c r="AH1180" s="562"/>
      <c r="AI1180" s="562"/>
      <c r="AJ1180" s="562"/>
      <c r="AK1180" s="562"/>
      <c r="AL1180" s="562"/>
      <c r="AM1180" s="562"/>
      <c r="AN1180" s="562"/>
      <c r="AO1180" s="562"/>
      <c r="AP1180" s="562"/>
      <c r="AQ1180" s="562"/>
      <c r="AR1180" s="562"/>
      <c r="AS1180" s="562"/>
      <c r="AT1180" s="562"/>
      <c r="AU1180" s="562"/>
      <c r="AV1180" s="562"/>
      <c r="AW1180" s="562"/>
      <c r="AX1180" s="562"/>
      <c r="AY1180" s="562"/>
      <c r="AZ1180" s="562"/>
      <c r="BA1180" s="562"/>
      <c r="BB1180" s="562"/>
      <c r="BC1180" s="562"/>
      <c r="BD1180" s="562"/>
      <c r="BE1180" s="562"/>
      <c r="BF1180" s="562"/>
      <c r="BG1180" s="562"/>
      <c r="BH1180" s="562"/>
    </row>
    <row r="1181" spans="1:60" ht="16" thickTop="1" x14ac:dyDescent="0.2">
      <c r="A1181" s="541">
        <v>9</v>
      </c>
      <c r="B1181" s="551">
        <v>904.2</v>
      </c>
      <c r="C1181" s="544"/>
      <c r="D1181" s="544"/>
      <c r="E1181" s="544"/>
      <c r="F1181" s="544"/>
      <c r="G1181" s="543" t="str">
        <f>IF(N1181&gt;0,"P","")</f>
        <v/>
      </c>
      <c r="H1181" s="541" t="s">
        <v>3758</v>
      </c>
      <c r="I1181" s="40" t="s">
        <v>3212</v>
      </c>
      <c r="J1181" s="3"/>
      <c r="K1181" s="3"/>
      <c r="L1181" s="775" t="s">
        <v>3213</v>
      </c>
      <c r="M1181" s="814">
        <v>3</v>
      </c>
      <c r="N1181" s="795">
        <f>'Ch9'!O280</f>
        <v>0</v>
      </c>
      <c r="O1181" s="795">
        <f>M1181*S1181*W1181</f>
        <v>0</v>
      </c>
      <c r="P1181" s="64" t="b">
        <v>0</v>
      </c>
      <c r="Q1181" s="64" t="b">
        <v>1</v>
      </c>
      <c r="R1181" s="562" t="b">
        <v>0</v>
      </c>
      <c r="S1181" s="562" t="b">
        <f>T1177</f>
        <v>0</v>
      </c>
      <c r="T1181" s="64" t="b">
        <f>AND(NOT(S1181),W1181=TRUE)</f>
        <v>0</v>
      </c>
      <c r="U1181" s="562"/>
      <c r="V1181" s="562"/>
      <c r="W1181" s="18"/>
      <c r="X1181" s="786"/>
      <c r="Y1181" s="975" t="str">
        <f>IF(LEN('Ch9'!X280)=0,"None",'Ch9'!X280)</f>
        <v>None</v>
      </c>
      <c r="Z1181" s="976"/>
      <c r="AA1181" s="562"/>
      <c r="AB1181" s="562"/>
      <c r="AC1181" s="562" t="b">
        <f>OR(AD1181:AE1181)</f>
        <v>0</v>
      </c>
      <c r="AD1181" s="562" t="b">
        <f>T1181</f>
        <v>0</v>
      </c>
      <c r="AE1181" s="562" t="b">
        <f>AND(R1181,NOT(W1181))</f>
        <v>0</v>
      </c>
      <c r="AF1181" s="562" t="b">
        <f>AND(AE1181,NOT(Q1181))</f>
        <v>0</v>
      </c>
      <c r="AG1181" s="562"/>
      <c r="AH1181" s="562"/>
      <c r="AI1181" s="562"/>
      <c r="AJ1181" s="562"/>
      <c r="AK1181" s="562"/>
      <c r="AL1181" s="190" t="str">
        <f t="shared" ref="AL1181" si="363">SUBSTITUTE(SUBSTITUTE(SUBSTITUTE("vpa"&amp;$B1181&amp;$C1181&amp;$D1181&amp;$E1181&amp;$F1181,".","_"),"(","_"),")","")</f>
        <v>vpa904,2</v>
      </c>
      <c r="AM1181" s="190">
        <f>M1181</f>
        <v>3</v>
      </c>
      <c r="AN1181" s="190" t="str">
        <f>SUBSTITUTE(SUBSTITUTE(SUBSTITUTE("vpc"&amp;$B1181&amp;$C1181&amp;$D1181&amp;$E1181&amp;$F1181,".","_"),"(","_"),")","")</f>
        <v>vpc904,2</v>
      </c>
      <c r="AO1181" s="190">
        <f>O1181</f>
        <v>0</v>
      </c>
      <c r="AP1181" s="190" t="str">
        <f>SUBSTITUTE(SUBSTITUTE(SUBSTITUTE("vch"&amp;$B1181&amp;$C1181&amp;$D1181&amp;$E1181&amp;$F1181,".","_"),"(","_"),")","")</f>
        <v>vch904,2</v>
      </c>
      <c r="AQ1181" s="190">
        <f>W1181</f>
        <v>0</v>
      </c>
      <c r="AR1181" s="190" t="str">
        <f>SUBSTITUTE(SUBSTITUTE(SUBSTITUTE("vnt"&amp;$B1181&amp;$C1181&amp;$D1181&amp;$E1181&amp;$F1181,".","_"),"(","_"),")","")</f>
        <v>vnt904,2</v>
      </c>
      <c r="AS1181" s="190">
        <f>X1181</f>
        <v>0</v>
      </c>
      <c r="AT1181" s="562"/>
      <c r="AU1181" s="562"/>
      <c r="AV1181" s="562"/>
      <c r="AW1181" s="562"/>
      <c r="AX1181" s="562"/>
      <c r="AY1181" s="562"/>
      <c r="AZ1181" s="562"/>
      <c r="BA1181" s="562"/>
      <c r="BB1181" s="562"/>
      <c r="BC1181" s="562"/>
      <c r="BD1181" s="562"/>
      <c r="BE1181" s="562"/>
      <c r="BF1181" s="562"/>
      <c r="BG1181" s="562"/>
      <c r="BH1181" s="562"/>
    </row>
    <row r="1182" spans="1:60" x14ac:dyDescent="0.2">
      <c r="A1182" s="541">
        <v>9</v>
      </c>
      <c r="B1182" s="551">
        <v>904.2</v>
      </c>
      <c r="C1182" s="544"/>
      <c r="D1182" s="544"/>
      <c r="E1182" s="544"/>
      <c r="F1182" s="544"/>
      <c r="G1182" s="543" t="str">
        <f t="shared" ref="G1182:G1183" si="364">G1181</f>
        <v/>
      </c>
      <c r="H1182" s="541" t="s">
        <v>3758</v>
      </c>
      <c r="I1182" s="121"/>
      <c r="J1182" s="3"/>
      <c r="K1182" s="3"/>
      <c r="L1182" s="775"/>
      <c r="M1182" s="814"/>
      <c r="N1182" s="795"/>
      <c r="O1182" s="795"/>
      <c r="P1182" s="562"/>
      <c r="Q1182" s="562"/>
      <c r="R1182" s="562"/>
      <c r="S1182" s="562"/>
      <c r="T1182" s="562"/>
      <c r="U1182" s="562"/>
      <c r="V1182" s="562"/>
      <c r="W1182" s="562"/>
      <c r="X1182" s="787"/>
      <c r="Y1182" s="980"/>
      <c r="Z1182" s="983"/>
      <c r="AA1182" s="562"/>
      <c r="AB1182" s="562"/>
      <c r="AC1182" s="562"/>
      <c r="AD1182" s="562"/>
      <c r="AE1182" s="562"/>
      <c r="AF1182" s="562"/>
      <c r="AG1182" s="562"/>
      <c r="AH1182" s="562"/>
      <c r="AI1182" s="562"/>
      <c r="AJ1182" s="562"/>
      <c r="AK1182" s="562"/>
      <c r="AL1182" s="562"/>
      <c r="AM1182" s="562"/>
      <c r="AN1182" s="562"/>
      <c r="AO1182" s="562"/>
      <c r="AP1182" s="562"/>
      <c r="AQ1182" s="562"/>
      <c r="AR1182" s="562"/>
      <c r="AS1182" s="562"/>
      <c r="AT1182" s="562"/>
      <c r="AU1182" s="562"/>
      <c r="AV1182" s="562"/>
      <c r="AW1182" s="562"/>
      <c r="AX1182" s="562"/>
      <c r="AY1182" s="562"/>
      <c r="AZ1182" s="562"/>
      <c r="BA1182" s="562"/>
      <c r="BB1182" s="562"/>
      <c r="BC1182" s="562"/>
      <c r="BD1182" s="562"/>
      <c r="BE1182" s="562"/>
      <c r="BF1182" s="562"/>
      <c r="BG1182" s="562"/>
      <c r="BH1182" s="562"/>
    </row>
    <row r="1183" spans="1:60" x14ac:dyDescent="0.2">
      <c r="A1183" s="541">
        <v>9</v>
      </c>
      <c r="B1183" s="551">
        <v>904.2</v>
      </c>
      <c r="C1183" s="544"/>
      <c r="D1183" s="544"/>
      <c r="E1183" s="544"/>
      <c r="F1183" s="544"/>
      <c r="G1183" s="543" t="str">
        <f t="shared" si="364"/>
        <v/>
      </c>
      <c r="H1183" s="541" t="s">
        <v>3758</v>
      </c>
      <c r="I1183" s="121"/>
      <c r="J1183" s="3"/>
      <c r="K1183" s="3"/>
      <c r="L1183" s="775"/>
      <c r="M1183" s="814"/>
      <c r="N1183" s="795"/>
      <c r="O1183" s="795"/>
      <c r="P1183" s="562"/>
      <c r="Q1183" s="562"/>
      <c r="R1183" s="562"/>
      <c r="S1183" s="562"/>
      <c r="T1183" s="562"/>
      <c r="U1183" s="562"/>
      <c r="V1183" s="562"/>
      <c r="W1183" s="562"/>
      <c r="X1183" s="787"/>
      <c r="Y1183" s="980"/>
      <c r="Z1183" s="983"/>
      <c r="AA1183" s="562"/>
      <c r="AB1183" s="562"/>
      <c r="AC1183" s="562"/>
      <c r="AD1183" s="562"/>
      <c r="AE1183" s="562"/>
      <c r="AF1183" s="562"/>
      <c r="AG1183" s="562"/>
      <c r="AH1183" s="562"/>
      <c r="AI1183" s="562"/>
      <c r="AJ1183" s="562"/>
      <c r="AK1183" s="562"/>
      <c r="AL1183" s="562"/>
      <c r="AM1183" s="562"/>
      <c r="AN1183" s="562"/>
      <c r="AO1183" s="562"/>
      <c r="AP1183" s="562"/>
      <c r="AQ1183" s="562"/>
      <c r="AR1183" s="562"/>
      <c r="AS1183" s="562"/>
      <c r="AT1183" s="562"/>
      <c r="AU1183" s="562"/>
      <c r="AV1183" s="562"/>
      <c r="AW1183" s="562"/>
      <c r="AX1183" s="562"/>
      <c r="AY1183" s="562"/>
      <c r="AZ1183" s="562"/>
      <c r="BA1183" s="562"/>
      <c r="BB1183" s="562"/>
      <c r="BC1183" s="562"/>
      <c r="BD1183" s="562"/>
      <c r="BE1183" s="562"/>
      <c r="BF1183" s="562"/>
      <c r="BG1183" s="562"/>
      <c r="BH1183" s="562"/>
    </row>
    <row r="1184" spans="1:60" ht="19" x14ac:dyDescent="0.25">
      <c r="A1184" s="541">
        <v>9</v>
      </c>
      <c r="B1184" s="551">
        <v>905</v>
      </c>
      <c r="C1184" s="544"/>
      <c r="D1184" s="544"/>
      <c r="E1184" s="544"/>
      <c r="F1184" s="544"/>
      <c r="G1184" s="543" t="s">
        <v>3343</v>
      </c>
      <c r="H1184" s="541" t="s">
        <v>3751</v>
      </c>
      <c r="I1184" s="8" t="s">
        <v>3214</v>
      </c>
      <c r="J1184" s="16"/>
      <c r="K1184" s="16"/>
      <c r="L1184" s="54"/>
      <c r="M1184" s="264"/>
      <c r="N1184" s="264"/>
      <c r="O1184" s="264"/>
      <c r="P1184" s="16"/>
      <c r="Q1184" s="16"/>
      <c r="R1184" s="16"/>
      <c r="S1184" s="16"/>
      <c r="T1184" s="16"/>
      <c r="U1184" s="16"/>
      <c r="V1184" s="16"/>
      <c r="W1184" s="16"/>
      <c r="X1184" s="16"/>
      <c r="Y1184" s="16"/>
      <c r="Z1184" s="453"/>
      <c r="AA1184" s="562"/>
      <c r="AB1184" s="562"/>
      <c r="AC1184" s="562"/>
      <c r="AD1184" s="562"/>
      <c r="AE1184" s="562"/>
      <c r="AF1184" s="562"/>
      <c r="AG1184" s="562"/>
      <c r="AH1184" s="562"/>
      <c r="AI1184" s="562"/>
      <c r="AJ1184" s="562"/>
      <c r="AK1184" s="562"/>
      <c r="AL1184" s="562"/>
      <c r="AM1184" s="562"/>
      <c r="AN1184" s="562"/>
      <c r="AO1184" s="562"/>
      <c r="AP1184" s="562"/>
      <c r="AQ1184" s="562"/>
      <c r="AR1184" s="562"/>
      <c r="AS1184" s="562"/>
      <c r="AT1184" s="562"/>
      <c r="AU1184" s="562"/>
      <c r="AV1184" s="562"/>
      <c r="AW1184" s="562"/>
      <c r="AX1184" s="562"/>
      <c r="AY1184" s="562"/>
      <c r="AZ1184" s="562"/>
      <c r="BA1184" s="562"/>
      <c r="BB1184" s="562"/>
      <c r="BC1184" s="562"/>
      <c r="BD1184" s="562"/>
      <c r="BE1184" s="562"/>
      <c r="BF1184" s="562"/>
      <c r="BG1184" s="562"/>
      <c r="BH1184" s="562"/>
    </row>
    <row r="1185" spans="1:60" x14ac:dyDescent="0.2">
      <c r="A1185" s="541">
        <v>9</v>
      </c>
      <c r="B1185" s="551">
        <v>905.1</v>
      </c>
      <c r="C1185" s="544"/>
      <c r="D1185" s="544"/>
      <c r="E1185" s="544"/>
      <c r="F1185" s="544"/>
      <c r="G1185" s="543" t="str">
        <f>IF(N1185&gt;0,"P","")</f>
        <v/>
      </c>
      <c r="H1185" s="541" t="s">
        <v>3758</v>
      </c>
      <c r="I1185" s="99" t="s">
        <v>3215</v>
      </c>
      <c r="J1185" s="98"/>
      <c r="K1185" s="98"/>
      <c r="L1185" s="820" t="s">
        <v>3216</v>
      </c>
      <c r="M1185" s="800">
        <v>2</v>
      </c>
      <c r="N1185" s="793">
        <f>'Ch9'!O284</f>
        <v>0</v>
      </c>
      <c r="O1185" s="793">
        <f>M1185*S1185*W1185</f>
        <v>0</v>
      </c>
      <c r="P1185" s="64" t="b">
        <v>0</v>
      </c>
      <c r="Q1185" s="64" t="b">
        <v>1</v>
      </c>
      <c r="R1185" s="64" t="b">
        <v>0</v>
      </c>
      <c r="S1185" s="64" t="b">
        <v>1</v>
      </c>
      <c r="T1185" s="64" t="b">
        <v>0</v>
      </c>
      <c r="U1185" s="64"/>
      <c r="V1185" s="64"/>
      <c r="W1185" s="18"/>
      <c r="X1185" s="798"/>
      <c r="Y1185" s="977" t="str">
        <f>IF(LEN('Ch9'!X284)=0,"None",'Ch9'!X284)</f>
        <v>None</v>
      </c>
      <c r="Z1185" s="978"/>
      <c r="AA1185" s="562"/>
      <c r="AB1185" s="562"/>
      <c r="AC1185" s="562" t="b">
        <f>OR(AD1185:AE1185)</f>
        <v>0</v>
      </c>
      <c r="AD1185" s="562" t="b">
        <f>T1185</f>
        <v>0</v>
      </c>
      <c r="AE1185" s="562" t="b">
        <f>AND(R1185,NOT(W1185))</f>
        <v>0</v>
      </c>
      <c r="AF1185" s="562" t="b">
        <f>AND(AE1185,NOT(Q1185))</f>
        <v>0</v>
      </c>
      <c r="AG1185" s="562"/>
      <c r="AH1185" s="562"/>
      <c r="AI1185" s="562"/>
      <c r="AJ1185" s="562"/>
      <c r="AK1185" s="562"/>
      <c r="AL1185" s="190" t="str">
        <f t="shared" ref="AL1185" si="365">SUBSTITUTE(SUBSTITUTE(SUBSTITUTE("vpa"&amp;$B1185&amp;$C1185&amp;$D1185&amp;$E1185&amp;$F1185,".","_"),"(","_"),")","")</f>
        <v>vpa905,1</v>
      </c>
      <c r="AM1185" s="190">
        <f>M1185</f>
        <v>2</v>
      </c>
      <c r="AN1185" s="190" t="str">
        <f>SUBSTITUTE(SUBSTITUTE(SUBSTITUTE("vpc"&amp;$B1185&amp;$C1185&amp;$D1185&amp;$E1185&amp;$F1185,".","_"),"(","_"),")","")</f>
        <v>vpc905,1</v>
      </c>
      <c r="AO1185" s="190">
        <f>O1185</f>
        <v>0</v>
      </c>
      <c r="AP1185" s="190" t="str">
        <f>SUBSTITUTE(SUBSTITUTE(SUBSTITUTE("vch"&amp;$B1185&amp;$C1185&amp;$D1185&amp;$E1185&amp;$F1185,".","_"),"(","_"),")","")</f>
        <v>vch905,1</v>
      </c>
      <c r="AQ1185" s="190">
        <f>W1185</f>
        <v>0</v>
      </c>
      <c r="AR1185" s="190" t="str">
        <f>SUBSTITUTE(SUBSTITUTE(SUBSTITUTE("vnt"&amp;$B1185&amp;$C1185&amp;$D1185&amp;$E1185&amp;$F1185,".","_"),"(","_"),")","")</f>
        <v>vnt905,1</v>
      </c>
      <c r="AS1185" s="190">
        <f>X1185</f>
        <v>0</v>
      </c>
      <c r="AT1185" s="562"/>
      <c r="AU1185" s="562"/>
      <c r="AV1185" s="562"/>
      <c r="AW1185" s="562"/>
      <c r="AX1185" s="562"/>
      <c r="AY1185" s="562"/>
      <c r="AZ1185" s="562"/>
      <c r="BA1185" s="562"/>
      <c r="BB1185" s="562"/>
      <c r="BC1185" s="562"/>
      <c r="BD1185" s="562"/>
      <c r="BE1185" s="562"/>
      <c r="BF1185" s="562"/>
      <c r="BG1185" s="562"/>
      <c r="BH1185" s="562"/>
    </row>
    <row r="1186" spans="1:60" x14ac:dyDescent="0.2">
      <c r="A1186" s="541">
        <v>9</v>
      </c>
      <c r="B1186" s="551">
        <v>905.1</v>
      </c>
      <c r="C1186" s="544"/>
      <c r="D1186" s="544"/>
      <c r="E1186" s="544"/>
      <c r="F1186" s="544"/>
      <c r="G1186" s="543" t="str">
        <f t="shared" ref="G1186:G1189" si="366">G1185</f>
        <v/>
      </c>
      <c r="H1186" s="541" t="s">
        <v>3758</v>
      </c>
      <c r="I1186" s="253"/>
      <c r="J1186" s="98"/>
      <c r="K1186" s="98"/>
      <c r="L1186" s="820"/>
      <c r="M1186" s="800"/>
      <c r="N1186" s="793"/>
      <c r="O1186" s="793"/>
      <c r="P1186" s="64"/>
      <c r="Q1186" s="64"/>
      <c r="R1186" s="64"/>
      <c r="S1186" s="64"/>
      <c r="T1186" s="64"/>
      <c r="U1186" s="64"/>
      <c r="V1186" s="64"/>
      <c r="W1186" s="64"/>
      <c r="X1186" s="798"/>
      <c r="Y1186" s="977"/>
      <c r="Z1186" s="978"/>
      <c r="AA1186" s="562"/>
      <c r="AB1186" s="562"/>
      <c r="AC1186" s="562"/>
      <c r="AD1186" s="562"/>
      <c r="AE1186" s="562"/>
      <c r="AF1186" s="562"/>
      <c r="AG1186" s="562"/>
      <c r="AH1186" s="562"/>
      <c r="AI1186" s="562"/>
      <c r="AJ1186" s="562"/>
      <c r="AK1186" s="562"/>
      <c r="AL1186" s="562"/>
      <c r="AM1186" s="562"/>
      <c r="AN1186" s="562"/>
      <c r="AO1186" s="562"/>
      <c r="AP1186" s="562"/>
      <c r="AQ1186" s="562"/>
      <c r="AR1186" s="562"/>
      <c r="AS1186" s="562"/>
      <c r="AT1186" s="562"/>
      <c r="AU1186" s="562"/>
      <c r="AV1186" s="562"/>
      <c r="AW1186" s="562"/>
      <c r="AX1186" s="562"/>
      <c r="AY1186" s="562"/>
      <c r="AZ1186" s="562"/>
      <c r="BA1186" s="562"/>
      <c r="BB1186" s="562"/>
      <c r="BC1186" s="562"/>
      <c r="BD1186" s="562"/>
      <c r="BE1186" s="562"/>
      <c r="BF1186" s="562"/>
      <c r="BG1186" s="562"/>
      <c r="BH1186" s="562"/>
    </row>
    <row r="1187" spans="1:60" x14ac:dyDescent="0.2">
      <c r="A1187" s="541">
        <v>9</v>
      </c>
      <c r="B1187" s="551">
        <v>905.1</v>
      </c>
      <c r="C1187" s="544"/>
      <c r="D1187" s="544"/>
      <c r="E1187" s="544"/>
      <c r="F1187" s="544"/>
      <c r="G1187" s="543" t="str">
        <f t="shared" si="366"/>
        <v/>
      </c>
      <c r="H1187" s="541" t="s">
        <v>3758</v>
      </c>
      <c r="I1187" s="253"/>
      <c r="J1187" s="98"/>
      <c r="K1187" s="98"/>
      <c r="L1187" s="820"/>
      <c r="M1187" s="800"/>
      <c r="N1187" s="793"/>
      <c r="O1187" s="793"/>
      <c r="P1187" s="64"/>
      <c r="Q1187" s="64"/>
      <c r="R1187" s="64"/>
      <c r="S1187" s="64"/>
      <c r="T1187" s="64"/>
      <c r="U1187" s="64"/>
      <c r="V1187" s="64"/>
      <c r="W1187" s="64"/>
      <c r="X1187" s="798"/>
      <c r="Y1187" s="977"/>
      <c r="Z1187" s="978"/>
      <c r="AA1187" s="562"/>
      <c r="AB1187" s="562"/>
      <c r="AC1187" s="562"/>
      <c r="AD1187" s="562"/>
      <c r="AE1187" s="562"/>
      <c r="AF1187" s="562"/>
      <c r="AG1187" s="562"/>
      <c r="AH1187" s="562"/>
      <c r="AI1187" s="562"/>
      <c r="AJ1187" s="562"/>
      <c r="AK1187" s="562"/>
      <c r="AL1187" s="562"/>
      <c r="AM1187" s="562"/>
      <c r="AN1187" s="562"/>
      <c r="AO1187" s="562"/>
      <c r="AP1187" s="562"/>
      <c r="AQ1187" s="562"/>
      <c r="AR1187" s="562"/>
      <c r="AS1187" s="562"/>
      <c r="AT1187" s="562"/>
      <c r="AU1187" s="562"/>
      <c r="AV1187" s="562"/>
      <c r="AW1187" s="562"/>
      <c r="AX1187" s="562"/>
      <c r="AY1187" s="562"/>
      <c r="AZ1187" s="562"/>
      <c r="BA1187" s="562"/>
      <c r="BB1187" s="562"/>
      <c r="BC1187" s="562"/>
      <c r="BD1187" s="562"/>
      <c r="BE1187" s="562"/>
      <c r="BF1187" s="562"/>
      <c r="BG1187" s="562"/>
      <c r="BH1187" s="562"/>
    </row>
    <row r="1188" spans="1:60" x14ac:dyDescent="0.2">
      <c r="A1188" s="541">
        <v>9</v>
      </c>
      <c r="B1188" s="551">
        <v>905.1</v>
      </c>
      <c r="C1188" s="544"/>
      <c r="D1188" s="544"/>
      <c r="E1188" s="544"/>
      <c r="F1188" s="544"/>
      <c r="G1188" s="543" t="str">
        <f t="shared" si="366"/>
        <v/>
      </c>
      <c r="H1188" s="541" t="s">
        <v>3758</v>
      </c>
      <c r="I1188" s="253"/>
      <c r="J1188" s="98"/>
      <c r="K1188" s="98"/>
      <c r="L1188" s="820"/>
      <c r="M1188" s="800"/>
      <c r="N1188" s="793"/>
      <c r="O1188" s="793"/>
      <c r="P1188" s="64"/>
      <c r="Q1188" s="64"/>
      <c r="R1188" s="64"/>
      <c r="S1188" s="64"/>
      <c r="T1188" s="64"/>
      <c r="U1188" s="64"/>
      <c r="V1188" s="64"/>
      <c r="W1188" s="64"/>
      <c r="X1188" s="798"/>
      <c r="Y1188" s="977"/>
      <c r="Z1188" s="978"/>
      <c r="AA1188" s="562"/>
      <c r="AB1188" s="562"/>
      <c r="AC1188" s="562"/>
      <c r="AD1188" s="562"/>
      <c r="AE1188" s="562"/>
      <c r="AF1188" s="562"/>
      <c r="AG1188" s="562"/>
      <c r="AH1188" s="562"/>
      <c r="AI1188" s="562"/>
      <c r="AJ1188" s="562"/>
      <c r="AK1188" s="562"/>
      <c r="AL1188" s="562"/>
      <c r="AM1188" s="562"/>
      <c r="AN1188" s="562"/>
      <c r="AO1188" s="562"/>
      <c r="AP1188" s="562"/>
      <c r="AQ1188" s="562"/>
      <c r="AR1188" s="562"/>
      <c r="AS1188" s="562"/>
      <c r="AT1188" s="562"/>
      <c r="AU1188" s="562"/>
      <c r="AV1188" s="562"/>
      <c r="AW1188" s="562"/>
      <c r="AX1188" s="562"/>
      <c r="AY1188" s="562"/>
      <c r="AZ1188" s="562"/>
      <c r="BA1188" s="562"/>
      <c r="BB1188" s="562"/>
      <c r="BC1188" s="562"/>
      <c r="BD1188" s="562"/>
      <c r="BE1188" s="562"/>
      <c r="BF1188" s="562"/>
      <c r="BG1188" s="562"/>
      <c r="BH1188" s="562"/>
    </row>
    <row r="1189" spans="1:60" ht="16" thickBot="1" x14ac:dyDescent="0.25">
      <c r="A1189" s="541">
        <v>9</v>
      </c>
      <c r="B1189" s="551">
        <v>905.1</v>
      </c>
      <c r="C1189" s="544"/>
      <c r="D1189" s="544"/>
      <c r="E1189" s="544"/>
      <c r="F1189" s="544"/>
      <c r="G1189" s="543" t="str">
        <f t="shared" si="366"/>
        <v/>
      </c>
      <c r="H1189" s="541" t="s">
        <v>3758</v>
      </c>
      <c r="I1189" s="254"/>
      <c r="J1189" s="185"/>
      <c r="K1189" s="185"/>
      <c r="L1189" s="822"/>
      <c r="M1189" s="813"/>
      <c r="N1189" s="821"/>
      <c r="O1189" s="821"/>
      <c r="P1189" s="68"/>
      <c r="Q1189" s="68"/>
      <c r="R1189" s="68"/>
      <c r="S1189" s="68"/>
      <c r="T1189" s="68"/>
      <c r="U1189" s="68"/>
      <c r="V1189" s="68"/>
      <c r="W1189" s="68"/>
      <c r="X1189" s="799"/>
      <c r="Y1189" s="979"/>
      <c r="Z1189" s="1007"/>
      <c r="AA1189" s="562"/>
      <c r="AB1189" s="562"/>
      <c r="AC1189" s="562"/>
      <c r="AD1189" s="562"/>
      <c r="AE1189" s="562"/>
      <c r="AF1189" s="562"/>
      <c r="AG1189" s="562"/>
      <c r="AH1189" s="562"/>
      <c r="AI1189" s="562"/>
      <c r="AJ1189" s="562"/>
      <c r="AK1189" s="562"/>
      <c r="AL1189" s="562"/>
      <c r="AM1189" s="562"/>
      <c r="AN1189" s="562"/>
      <c r="AO1189" s="562"/>
      <c r="AP1189" s="562"/>
      <c r="AQ1189" s="562"/>
      <c r="AR1189" s="562"/>
      <c r="AS1189" s="562"/>
      <c r="AT1189" s="562"/>
      <c r="AU1189" s="562"/>
      <c r="AV1189" s="562"/>
      <c r="AW1189" s="562"/>
      <c r="AX1189" s="562"/>
      <c r="AY1189" s="562"/>
      <c r="AZ1189" s="562"/>
      <c r="BA1189" s="562"/>
      <c r="BB1189" s="562"/>
      <c r="BC1189" s="562"/>
      <c r="BD1189" s="562"/>
      <c r="BE1189" s="562"/>
      <c r="BF1189" s="562"/>
      <c r="BG1189" s="562"/>
      <c r="BH1189" s="562"/>
    </row>
    <row r="1190" spans="1:60" ht="16" thickTop="1" x14ac:dyDescent="0.2">
      <c r="A1190" s="541">
        <v>9</v>
      </c>
      <c r="B1190" s="551">
        <v>905.2</v>
      </c>
      <c r="C1190" s="544"/>
      <c r="D1190" s="544"/>
      <c r="E1190" s="544"/>
      <c r="F1190" s="544"/>
      <c r="G1190" s="543" t="str">
        <f>IF(N1190&gt;0,"P","")</f>
        <v/>
      </c>
      <c r="H1190" s="541" t="s">
        <v>3758</v>
      </c>
      <c r="I1190" s="40" t="s">
        <v>3217</v>
      </c>
      <c r="J1190" s="3"/>
      <c r="K1190" s="3"/>
      <c r="L1190" s="775" t="s">
        <v>3218</v>
      </c>
      <c r="M1190" s="814">
        <v>2</v>
      </c>
      <c r="N1190" s="795">
        <f>'Ch9'!O289</f>
        <v>0</v>
      </c>
      <c r="O1190" s="795">
        <f>M1190*S1190*W1190</f>
        <v>0</v>
      </c>
      <c r="P1190" s="64" t="b">
        <v>0</v>
      </c>
      <c r="Q1190" s="64" t="b">
        <v>1</v>
      </c>
      <c r="R1190" s="562" t="b">
        <v>0</v>
      </c>
      <c r="S1190" s="562" t="b">
        <v>1</v>
      </c>
      <c r="T1190" s="562" t="b">
        <v>0</v>
      </c>
      <c r="U1190" s="562"/>
      <c r="V1190" s="562"/>
      <c r="W1190" s="18"/>
      <c r="X1190" s="786"/>
      <c r="Y1190" s="975" t="str">
        <f>IF(LEN('Ch9'!X289)=0,"None",'Ch9'!X289)</f>
        <v>None</v>
      </c>
      <c r="Z1190" s="976"/>
      <c r="AA1190" s="562"/>
      <c r="AB1190" s="562"/>
      <c r="AC1190" s="562" t="b">
        <f>OR(AD1190:AE1190)</f>
        <v>0</v>
      </c>
      <c r="AD1190" s="562" t="b">
        <f>T1190</f>
        <v>0</v>
      </c>
      <c r="AE1190" s="562" t="b">
        <f>AND(R1190,NOT(W1190))</f>
        <v>0</v>
      </c>
      <c r="AF1190" s="562" t="b">
        <f>AND(AE1190,NOT(Q1190))</f>
        <v>0</v>
      </c>
      <c r="AG1190" s="562"/>
      <c r="AH1190" s="562"/>
      <c r="AI1190" s="562"/>
      <c r="AJ1190" s="562"/>
      <c r="AK1190" s="562"/>
      <c r="AL1190" s="190" t="str">
        <f t="shared" ref="AL1190" si="367">SUBSTITUTE(SUBSTITUTE(SUBSTITUTE("vpa"&amp;$B1190&amp;$C1190&amp;$D1190&amp;$E1190&amp;$F1190,".","_"),"(","_"),")","")</f>
        <v>vpa905,2</v>
      </c>
      <c r="AM1190" s="190">
        <f>M1190</f>
        <v>2</v>
      </c>
      <c r="AN1190" s="190" t="str">
        <f>SUBSTITUTE(SUBSTITUTE(SUBSTITUTE("vpc"&amp;$B1190&amp;$C1190&amp;$D1190&amp;$E1190&amp;$F1190,".","_"),"(","_"),")","")</f>
        <v>vpc905,2</v>
      </c>
      <c r="AO1190" s="190">
        <f>O1190</f>
        <v>0</v>
      </c>
      <c r="AP1190" s="190" t="str">
        <f>SUBSTITUTE(SUBSTITUTE(SUBSTITUTE("vch"&amp;$B1190&amp;$C1190&amp;$D1190&amp;$E1190&amp;$F1190,".","_"),"(","_"),")","")</f>
        <v>vch905,2</v>
      </c>
      <c r="AQ1190" s="190">
        <f>W1190</f>
        <v>0</v>
      </c>
      <c r="AR1190" s="190" t="str">
        <f>SUBSTITUTE(SUBSTITUTE(SUBSTITUTE("vnt"&amp;$B1190&amp;$C1190&amp;$D1190&amp;$E1190&amp;$F1190,".","_"),"(","_"),")","")</f>
        <v>vnt905,2</v>
      </c>
      <c r="AS1190" s="190">
        <f>X1190</f>
        <v>0</v>
      </c>
      <c r="AT1190" s="562"/>
      <c r="AU1190" s="562"/>
      <c r="AV1190" s="562"/>
      <c r="AW1190" s="562"/>
      <c r="AX1190" s="562"/>
      <c r="AY1190" s="562"/>
      <c r="AZ1190" s="562"/>
      <c r="BA1190" s="562"/>
      <c r="BB1190" s="562"/>
      <c r="BC1190" s="562"/>
      <c r="BD1190" s="562"/>
      <c r="BE1190" s="562"/>
      <c r="BF1190" s="562"/>
      <c r="BG1190" s="562"/>
      <c r="BH1190" s="562"/>
    </row>
    <row r="1191" spans="1:60" x14ac:dyDescent="0.2">
      <c r="A1191" s="541">
        <v>9</v>
      </c>
      <c r="B1191" s="551">
        <v>905.2</v>
      </c>
      <c r="C1191" s="544"/>
      <c r="D1191" s="544"/>
      <c r="E1191" s="544"/>
      <c r="F1191" s="544"/>
      <c r="G1191" s="543" t="str">
        <f t="shared" ref="G1191" si="368">G1190</f>
        <v/>
      </c>
      <c r="H1191" s="541" t="s">
        <v>3758</v>
      </c>
      <c r="I1191" s="121"/>
      <c r="J1191" s="3"/>
      <c r="K1191" s="3"/>
      <c r="L1191" s="775"/>
      <c r="M1191" s="814"/>
      <c r="N1191" s="795"/>
      <c r="O1191" s="795"/>
      <c r="P1191" s="562"/>
      <c r="Q1191" s="562"/>
      <c r="R1191" s="562"/>
      <c r="S1191" s="562"/>
      <c r="T1191" s="562"/>
      <c r="U1191" s="562"/>
      <c r="V1191" s="562"/>
      <c r="W1191" s="562"/>
      <c r="X1191" s="787"/>
      <c r="Y1191" s="980"/>
      <c r="Z1191" s="983"/>
      <c r="AA1191" s="562"/>
      <c r="AB1191" s="562"/>
      <c r="AC1191" s="562"/>
      <c r="AD1191" s="562"/>
      <c r="AE1191" s="562"/>
      <c r="AF1191" s="562"/>
      <c r="AG1191" s="562"/>
      <c r="AH1191" s="562"/>
      <c r="AI1191" s="562"/>
      <c r="AJ1191" s="562"/>
      <c r="AK1191" s="562"/>
      <c r="AL1191" s="562"/>
      <c r="AM1191" s="562"/>
      <c r="AN1191" s="562"/>
      <c r="AO1191" s="562"/>
      <c r="AP1191" s="562"/>
      <c r="AQ1191" s="562"/>
      <c r="AR1191" s="562"/>
      <c r="AS1191" s="562"/>
      <c r="AT1191" s="562"/>
      <c r="AU1191" s="562"/>
      <c r="AV1191" s="562"/>
      <c r="AW1191" s="562"/>
      <c r="AX1191" s="562"/>
      <c r="AY1191" s="562"/>
      <c r="AZ1191" s="562"/>
      <c r="BA1191" s="562"/>
      <c r="BB1191" s="562"/>
      <c r="BC1191" s="562"/>
      <c r="BD1191" s="562"/>
      <c r="BE1191" s="562"/>
      <c r="BF1191" s="562"/>
      <c r="BG1191" s="562"/>
      <c r="BH1191" s="562"/>
    </row>
    <row r="1192" spans="1:60" ht="19" x14ac:dyDescent="0.25">
      <c r="A1192" s="541">
        <v>10</v>
      </c>
      <c r="B1192" s="551" t="s">
        <v>3771</v>
      </c>
      <c r="C1192" s="541"/>
      <c r="D1192" s="541"/>
      <c r="E1192" s="541"/>
      <c r="F1192" s="541"/>
      <c r="G1192" s="543" t="s">
        <v>3343</v>
      </c>
      <c r="H1192" s="541" t="s">
        <v>3751</v>
      </c>
      <c r="I1192" s="15" t="s">
        <v>3227</v>
      </c>
      <c r="J1192" s="15"/>
      <c r="K1192" s="15"/>
      <c r="L1192" s="16"/>
      <c r="M1192" s="17"/>
      <c r="N1192" s="17"/>
      <c r="O1192" s="17"/>
      <c r="P1192" s="562" t="s">
        <v>48</v>
      </c>
      <c r="Q1192" s="562" t="s">
        <v>48</v>
      </c>
      <c r="R1192" s="562" t="s">
        <v>48</v>
      </c>
      <c r="S1192" s="562" t="s">
        <v>48</v>
      </c>
      <c r="T1192" s="562" t="s">
        <v>48</v>
      </c>
      <c r="U1192" s="562" t="s">
        <v>48</v>
      </c>
      <c r="V1192" s="562" t="s">
        <v>48</v>
      </c>
      <c r="W1192" s="16"/>
      <c r="X1192" s="16"/>
      <c r="Y1192" s="16"/>
      <c r="Z1192" s="453"/>
      <c r="AA1192" s="562"/>
      <c r="AB1192" s="586"/>
      <c r="AC1192" s="586"/>
      <c r="AD1192" s="586"/>
      <c r="AE1192" s="586"/>
      <c r="AF1192" s="586"/>
      <c r="AG1192" s="586"/>
      <c r="AH1192" s="586"/>
      <c r="AI1192" s="586"/>
      <c r="AJ1192" s="586"/>
      <c r="AK1192" s="586"/>
      <c r="AL1192" s="586"/>
      <c r="AM1192" s="586"/>
      <c r="AN1192" s="586"/>
      <c r="AO1192" s="586"/>
      <c r="AP1192" s="586"/>
      <c r="AQ1192" s="586"/>
      <c r="AR1192" s="586"/>
      <c r="AS1192" s="586"/>
      <c r="AT1192" s="562"/>
      <c r="AU1192" s="562"/>
      <c r="AV1192" s="562"/>
      <c r="AW1192" s="586"/>
      <c r="AX1192" s="562"/>
      <c r="AY1192" s="562"/>
      <c r="AZ1192" s="562"/>
      <c r="BA1192" s="562"/>
      <c r="BB1192" s="562"/>
      <c r="BC1192" s="562"/>
      <c r="BD1192" s="562"/>
      <c r="BE1192" s="562"/>
      <c r="BF1192" s="562"/>
      <c r="BG1192" s="562"/>
      <c r="BH1192" s="562"/>
    </row>
    <row r="1193" spans="1:60" x14ac:dyDescent="0.2">
      <c r="A1193" s="541">
        <v>10</v>
      </c>
      <c r="B1193" s="551" t="s">
        <v>3228</v>
      </c>
      <c r="C1193" s="544"/>
      <c r="D1193" s="544"/>
      <c r="E1193" s="544"/>
      <c r="F1193" s="544"/>
      <c r="G1193" s="541"/>
      <c r="H1193" s="541"/>
      <c r="I1193" s="512">
        <v>11.100099999999999</v>
      </c>
      <c r="J1193" s="98"/>
      <c r="K1193" s="98"/>
      <c r="L1193" s="820" t="s">
        <v>3772</v>
      </c>
      <c r="M1193" s="607"/>
      <c r="N1193" s="64"/>
      <c r="O1193" s="64"/>
      <c r="P1193" s="64"/>
      <c r="Q1193" s="64"/>
      <c r="R1193" s="64"/>
      <c r="S1193" s="64"/>
      <c r="T1193" s="64"/>
      <c r="U1193" s="64"/>
      <c r="V1193" s="64"/>
      <c r="W1193" s="64"/>
      <c r="X1193" s="64"/>
      <c r="Y1193" s="562"/>
      <c r="Z1193" s="430"/>
      <c r="AA1193" s="562"/>
      <c r="AB1193" s="562"/>
      <c r="AC1193" s="562"/>
      <c r="AD1193" s="562"/>
      <c r="AE1193" s="562"/>
      <c r="AF1193" s="562"/>
      <c r="AG1193" s="562"/>
      <c r="AH1193" s="562"/>
      <c r="AI1193" s="562"/>
      <c r="AJ1193" s="562"/>
      <c r="AK1193" s="562"/>
      <c r="AL1193" s="562"/>
      <c r="AM1193" s="562"/>
      <c r="AN1193" s="562"/>
      <c r="AO1193" s="562"/>
      <c r="AP1193" s="562"/>
      <c r="AQ1193" s="562"/>
      <c r="AR1193" s="562"/>
      <c r="AS1193" s="562"/>
      <c r="AT1193" s="562"/>
      <c r="AU1193" s="562"/>
      <c r="AV1193" s="562"/>
      <c r="AW1193" s="562"/>
      <c r="AX1193" s="562"/>
      <c r="AY1193" s="562"/>
      <c r="AZ1193" s="562"/>
      <c r="BA1193" s="562"/>
      <c r="BB1193" s="562"/>
      <c r="BC1193" s="562"/>
      <c r="BD1193" s="562"/>
      <c r="BE1193" s="562"/>
      <c r="BF1193" s="562"/>
      <c r="BG1193" s="562"/>
      <c r="BH1193" s="562"/>
    </row>
    <row r="1194" spans="1:60" ht="16" thickBot="1" x14ac:dyDescent="0.25">
      <c r="A1194" s="541">
        <v>10</v>
      </c>
      <c r="B1194" s="551" t="s">
        <v>3228</v>
      </c>
      <c r="C1194" s="544"/>
      <c r="D1194" s="544"/>
      <c r="E1194" s="544"/>
      <c r="F1194" s="544"/>
      <c r="G1194" s="541"/>
      <c r="H1194" s="541"/>
      <c r="I1194" s="185"/>
      <c r="J1194" s="185"/>
      <c r="K1194" s="185"/>
      <c r="L1194" s="822"/>
      <c r="M1194" s="622"/>
      <c r="N1194" s="68"/>
      <c r="O1194" s="68"/>
      <c r="P1194" s="68"/>
      <c r="Q1194" s="68"/>
      <c r="R1194" s="68"/>
      <c r="S1194" s="68"/>
      <c r="T1194" s="68"/>
      <c r="U1194" s="68"/>
      <c r="V1194" s="68"/>
      <c r="W1194" s="68"/>
      <c r="X1194" s="68"/>
      <c r="Y1194" s="68"/>
      <c r="Z1194" s="455"/>
      <c r="AA1194" s="562"/>
      <c r="AB1194" s="562"/>
      <c r="AC1194" s="562"/>
      <c r="AD1194" s="562"/>
      <c r="AE1194" s="562"/>
      <c r="AF1194" s="562"/>
      <c r="AG1194" s="562"/>
      <c r="AH1194" s="562"/>
      <c r="AI1194" s="562"/>
      <c r="AJ1194" s="562"/>
      <c r="AK1194" s="562"/>
      <c r="AL1194" s="562"/>
      <c r="AM1194" s="562"/>
      <c r="AN1194" s="562"/>
      <c r="AO1194" s="562"/>
      <c r="AP1194" s="562"/>
      <c r="AQ1194" s="562"/>
      <c r="AR1194" s="562"/>
      <c r="AS1194" s="562"/>
      <c r="AT1194" s="562"/>
      <c r="AU1194" s="562"/>
      <c r="AV1194" s="562"/>
      <c r="AW1194" s="562"/>
      <c r="AX1194" s="594" t="str">
        <f>'Overview (Verification)'!A8</f>
        <v>Builder Name:</v>
      </c>
      <c r="AY1194" s="562" t="str">
        <f>IF(LEN('Overview (Verification)'!P8)=0,0,'Overview (Verification)'!P8)</f>
        <v>AAA Green Builders</v>
      </c>
      <c r="AZ1194" s="562"/>
      <c r="BA1194" s="562"/>
      <c r="BB1194" s="562"/>
      <c r="BC1194" s="562"/>
      <c r="BD1194" s="562"/>
      <c r="BE1194" s="562"/>
      <c r="BF1194" s="562"/>
      <c r="BG1194" s="562"/>
      <c r="BH1194" s="562"/>
    </row>
    <row r="1195" spans="1:60" ht="16" thickTop="1" x14ac:dyDescent="0.2">
      <c r="A1195" s="541">
        <v>10</v>
      </c>
      <c r="B1195" s="551">
        <v>1001.1</v>
      </c>
      <c r="C1195" s="544"/>
      <c r="D1195" s="544"/>
      <c r="E1195" s="544"/>
      <c r="F1195" s="544"/>
      <c r="G1195" s="543" t="str">
        <f>IF(N1195&gt;0,"P","")</f>
        <v/>
      </c>
      <c r="H1195" s="541" t="s">
        <v>3758</v>
      </c>
      <c r="I1195" s="107" t="s">
        <v>3231</v>
      </c>
      <c r="J1195" s="3"/>
      <c r="K1195" s="3"/>
      <c r="L1195" s="775" t="s">
        <v>3232</v>
      </c>
      <c r="M1195" s="864" t="s">
        <v>3055</v>
      </c>
      <c r="N1195" s="823">
        <f>'Ch10'!O12</f>
        <v>0</v>
      </c>
      <c r="O1195" s="795">
        <f>MIN(IF(AND(COUNTIF(W1198:W1200,TRUE)=3,S1198),ROUNDDOWN(COUNTIF(W1204:W1244,TRUE)/2,0),0),8)</f>
        <v>0</v>
      </c>
      <c r="P1195" s="562"/>
      <c r="Q1195" s="562"/>
      <c r="R1195" s="562"/>
      <c r="S1195" s="562"/>
      <c r="T1195" s="562"/>
      <c r="U1195" s="562"/>
      <c r="V1195" s="562"/>
      <c r="W1195" s="562"/>
      <c r="X1195" s="562"/>
      <c r="Y1195" s="562"/>
      <c r="Z1195" s="430"/>
      <c r="AA1195" s="562"/>
      <c r="AB1195" s="562"/>
      <c r="AC1195" s="562"/>
      <c r="AD1195" s="562"/>
      <c r="AE1195" s="562"/>
      <c r="AF1195" s="562"/>
      <c r="AG1195" s="562"/>
      <c r="AH1195" s="562"/>
      <c r="AI1195" s="562"/>
      <c r="AJ1195" s="562"/>
      <c r="AK1195" s="562"/>
      <c r="AL1195" s="190" t="str">
        <f t="shared" ref="AL1195" si="369">SUBSTITUTE(SUBSTITUTE(SUBSTITUTE("vpa"&amp;$B1195&amp;$C1195&amp;$D1195&amp;$E1195&amp;$F1195,".","_"),"(","_"),")","")</f>
        <v>vpa1001,1</v>
      </c>
      <c r="AM1195" s="190" t="str">
        <f>M1195</f>
        <v>1
8 Max</v>
      </c>
      <c r="AN1195" s="190" t="str">
        <f>SUBSTITUTE(SUBSTITUTE(SUBSTITUTE("vpc"&amp;$B1195&amp;$C1195&amp;$D1195&amp;$E1195&amp;$F1195,".","_"),"(","_"),")","")</f>
        <v>vpc1001,1</v>
      </c>
      <c r="AO1195" s="190">
        <f>O1195</f>
        <v>0</v>
      </c>
      <c r="AP1195" s="562"/>
      <c r="AQ1195" s="562"/>
      <c r="AR1195" s="562"/>
      <c r="AS1195" s="562"/>
      <c r="AT1195" s="562"/>
      <c r="AU1195" s="562"/>
      <c r="AV1195" s="562"/>
      <c r="AW1195" s="562"/>
      <c r="AX1195" s="594" t="str">
        <f>'Overview (Verification)'!A9</f>
        <v>Physical Address of Home:</v>
      </c>
      <c r="AY1195" s="562" t="str">
        <f>IF(LEN('Overview (Verification)'!P9)=0,0,'Overview (Verification)'!P9)</f>
        <v>6666 Oak St.</v>
      </c>
      <c r="AZ1195" s="562"/>
      <c r="BA1195" s="562"/>
      <c r="BB1195" s="562"/>
      <c r="BC1195" s="562"/>
      <c r="BD1195" s="562"/>
      <c r="BE1195" s="562"/>
      <c r="BF1195" s="562"/>
      <c r="BG1195" s="562"/>
      <c r="BH1195" s="562"/>
    </row>
    <row r="1196" spans="1:60" x14ac:dyDescent="0.2">
      <c r="A1196" s="541">
        <v>10</v>
      </c>
      <c r="B1196" s="551">
        <v>1001.1</v>
      </c>
      <c r="C1196" s="544"/>
      <c r="D1196" s="544"/>
      <c r="E1196" s="544"/>
      <c r="F1196" s="544"/>
      <c r="G1196" s="543" t="str">
        <f t="shared" ref="G1196:G1244" si="370">G1195</f>
        <v/>
      </c>
      <c r="H1196" s="541" t="s">
        <v>3758</v>
      </c>
      <c r="I1196" s="3"/>
      <c r="J1196" s="3"/>
      <c r="K1196" s="3"/>
      <c r="L1196" s="775"/>
      <c r="M1196" s="864"/>
      <c r="N1196" s="795"/>
      <c r="O1196" s="795"/>
      <c r="P1196" s="562"/>
      <c r="Q1196" s="562"/>
      <c r="R1196" s="562"/>
      <c r="S1196" s="562"/>
      <c r="T1196" s="562"/>
      <c r="U1196" s="562"/>
      <c r="V1196" s="562"/>
      <c r="W1196" s="562"/>
      <c r="X1196" s="562"/>
      <c r="Y1196" s="562"/>
      <c r="Z1196" s="430"/>
      <c r="AA1196" s="562"/>
      <c r="AB1196" s="562"/>
      <c r="AC1196" s="562"/>
      <c r="AD1196" s="562"/>
      <c r="AE1196" s="562"/>
      <c r="AF1196" s="562"/>
      <c r="AG1196" s="562"/>
      <c r="AH1196" s="562"/>
      <c r="AI1196" s="562"/>
      <c r="AJ1196" s="562"/>
      <c r="AK1196" s="562"/>
      <c r="AL1196" s="190"/>
      <c r="AM1196" s="190"/>
      <c r="AN1196" s="190"/>
      <c r="AO1196" s="190"/>
      <c r="AP1196" s="190"/>
      <c r="AQ1196" s="190"/>
      <c r="AR1196" s="190"/>
      <c r="AS1196" s="190"/>
      <c r="AT1196" s="562"/>
      <c r="AU1196" s="562"/>
      <c r="AV1196" s="562"/>
      <c r="AW1196" s="562"/>
      <c r="AX1196" s="594" t="str">
        <f>'Overview (Verification)'!A10</f>
        <v>Community/Lot #:</v>
      </c>
      <c r="AY1196" s="562">
        <f>IF(LEN('Overview (Verification)'!P10)=0,0,'Overview (Verification)'!P10)</f>
        <v>0</v>
      </c>
      <c r="AZ1196" s="562"/>
      <c r="BA1196" s="562"/>
      <c r="BB1196" s="562"/>
      <c r="BC1196" s="562"/>
      <c r="BD1196" s="562"/>
      <c r="BE1196" s="562"/>
      <c r="BF1196" s="562"/>
      <c r="BG1196" s="562"/>
      <c r="BH1196" s="562"/>
    </row>
    <row r="1197" spans="1:60" x14ac:dyDescent="0.2">
      <c r="A1197" s="541">
        <v>10</v>
      </c>
      <c r="B1197" s="551">
        <v>1001.1</v>
      </c>
      <c r="C1197" s="544"/>
      <c r="D1197" s="544"/>
      <c r="E1197" s="544"/>
      <c r="F1197" s="544"/>
      <c r="G1197" s="543" t="str">
        <f t="shared" si="370"/>
        <v/>
      </c>
      <c r="H1197" s="541" t="s">
        <v>3758</v>
      </c>
      <c r="I1197" s="3"/>
      <c r="J1197" s="3"/>
      <c r="K1197" s="3"/>
      <c r="L1197" s="175" t="s">
        <v>3233</v>
      </c>
      <c r="M1197" s="864"/>
      <c r="N1197" s="795"/>
      <c r="O1197" s="795"/>
      <c r="P1197" s="562"/>
      <c r="Q1197" s="562"/>
      <c r="R1197" s="562"/>
      <c r="S1197" s="562"/>
      <c r="T1197" s="562"/>
      <c r="U1197" s="562"/>
      <c r="V1197" s="562"/>
      <c r="W1197" s="562"/>
      <c r="X1197" s="562"/>
      <c r="Y1197" s="562"/>
      <c r="Z1197" s="430"/>
      <c r="AA1197" s="562"/>
      <c r="AB1197" s="562"/>
      <c r="AC1197" s="562"/>
      <c r="AD1197" s="562"/>
      <c r="AE1197" s="562"/>
      <c r="AF1197" s="562"/>
      <c r="AG1197" s="562"/>
      <c r="AH1197" s="562"/>
      <c r="AI1197" s="562"/>
      <c r="AJ1197" s="562"/>
      <c r="AK1197" s="562"/>
      <c r="AL1197" s="562"/>
      <c r="AM1197" s="562"/>
      <c r="AN1197" s="562"/>
      <c r="AO1197" s="562"/>
      <c r="AP1197" s="562"/>
      <c r="AQ1197" s="562"/>
      <c r="AR1197" s="562"/>
      <c r="AS1197" s="562"/>
      <c r="AT1197" s="562"/>
      <c r="AU1197" s="562"/>
      <c r="AV1197" s="562"/>
      <c r="AW1197" s="562"/>
      <c r="AX1197" s="594" t="str">
        <f>'Overview (Verification)'!A11</f>
        <v>City:</v>
      </c>
      <c r="AY1197" s="562" t="str">
        <f>IF(LEN('Overview (Verification)'!P11)=0,0,'Overview (Verification)'!P11)</f>
        <v>Raleigh</v>
      </c>
      <c r="AZ1197" s="562"/>
      <c r="BA1197" s="562"/>
      <c r="BB1197" s="562"/>
      <c r="BC1197" s="562"/>
      <c r="BD1197" s="562"/>
      <c r="BE1197" s="562"/>
      <c r="BF1197" s="562"/>
      <c r="BG1197" s="562"/>
      <c r="BH1197" s="562"/>
    </row>
    <row r="1198" spans="1:60" ht="16" x14ac:dyDescent="0.2">
      <c r="A1198" s="541">
        <v>10</v>
      </c>
      <c r="B1198" s="551">
        <v>1001.1</v>
      </c>
      <c r="C1198" s="544"/>
      <c r="D1198" s="544"/>
      <c r="E1198" s="544" t="s">
        <v>2181</v>
      </c>
      <c r="F1198" s="544"/>
      <c r="G1198" s="543" t="str">
        <f t="shared" si="370"/>
        <v/>
      </c>
      <c r="H1198" s="541" t="s">
        <v>3758</v>
      </c>
      <c r="I1198" s="3"/>
      <c r="J1198" s="159" t="s">
        <v>2181</v>
      </c>
      <c r="K1198" s="165"/>
      <c r="L1198" s="599" t="s">
        <v>3234</v>
      </c>
      <c r="M1198" s="636" t="str">
        <f t="shared" ref="M1198:M1203" si="371">IF(R1198,"Mandatory","N/A")</f>
        <v>Mandatory</v>
      </c>
      <c r="N1198" s="3"/>
      <c r="O1198" s="609"/>
      <c r="P1198" s="562" t="b">
        <v>0</v>
      </c>
      <c r="Q1198" s="562" t="b">
        <v>1</v>
      </c>
      <c r="R1198" s="562" t="b">
        <f>S1198</f>
        <v>1</v>
      </c>
      <c r="S1198" s="562" t="b">
        <f>IF(AY1202=INDEX(ddSingleOrMulti,1),TRUE,FALSE)</f>
        <v>1</v>
      </c>
      <c r="T1198" s="64" t="b">
        <f>AND(NOT(S1198),W1198=TRUE)</f>
        <v>0</v>
      </c>
      <c r="U1198" s="562"/>
      <c r="V1198" s="562"/>
      <c r="W1198" s="18"/>
      <c r="X1198" s="563"/>
      <c r="Y1198" s="578" t="str">
        <f>IF(LEN('Ch10'!X15)=0,"None",'Ch10'!X15)</f>
        <v>None</v>
      </c>
      <c r="Z1198" s="579"/>
      <c r="AA1198" s="562"/>
      <c r="AB1198" s="562"/>
      <c r="AC1198" s="562" t="b">
        <f>OR(AD1198:AE1198)</f>
        <v>1</v>
      </c>
      <c r="AD1198" s="562" t="b">
        <f>T1198</f>
        <v>0</v>
      </c>
      <c r="AE1198" s="562" t="b">
        <f>AND(R1198,NOT(W1198=TRUE))</f>
        <v>1</v>
      </c>
      <c r="AF1198" s="562" t="b">
        <f>AND(AE1198,NOT(Q1198))</f>
        <v>0</v>
      </c>
      <c r="AG1198" s="562"/>
      <c r="AH1198" s="562"/>
      <c r="AI1198" s="562"/>
      <c r="AJ1198" s="562"/>
      <c r="AK1198" s="562"/>
      <c r="AL1198" s="190" t="str">
        <f t="shared" ref="AL1198:AL1200" si="372">SUBSTITUTE(SUBSTITUTE(SUBSTITUTE("vpa"&amp;$B1198&amp;$C1198&amp;$D1198&amp;$E1198&amp;$F1198,".","_"),"(","_"),")","")</f>
        <v>vpa1001,1_1</v>
      </c>
      <c r="AM1198" s="190" t="str">
        <f>M1198</f>
        <v>Mandatory</v>
      </c>
      <c r="AN1198" s="190"/>
      <c r="AO1198" s="190"/>
      <c r="AP1198" s="190" t="str">
        <f t="shared" ref="AP1198:AP1200" si="373">SUBSTITUTE(SUBSTITUTE(SUBSTITUTE("vch"&amp;$B1198&amp;$C1198&amp;$D1198&amp;$E1198&amp;$F1198,".","_"),"(","_"),")","")</f>
        <v>vch1001,1_1</v>
      </c>
      <c r="AQ1198" s="190">
        <f>W1198</f>
        <v>0</v>
      </c>
      <c r="AR1198" s="190" t="str">
        <f t="shared" ref="AR1198:AR1200" si="374">SUBSTITUTE(SUBSTITUTE(SUBSTITUTE("vnt"&amp;$B1198&amp;$C1198&amp;$D1198&amp;$E1198&amp;$F1198,".","_"),"(","_"),")","")</f>
        <v>vnt1001,1_1</v>
      </c>
      <c r="AS1198" s="190">
        <f>X1198</f>
        <v>0</v>
      </c>
      <c r="AT1198" s="562"/>
      <c r="AU1198" s="562"/>
      <c r="AV1198" s="562"/>
      <c r="AW1198" s="562"/>
      <c r="AX1198" s="594" t="str">
        <f>'Overview (Verification)'!A12</f>
        <v>State:</v>
      </c>
      <c r="AY1198" s="562" t="str">
        <f>IF(LEN('Overview (Verification)'!P12)=0,0,'Overview (Verification)'!P12)</f>
        <v>North Carolina</v>
      </c>
      <c r="AZ1198" s="562"/>
      <c r="BA1198" s="562"/>
      <c r="BB1198" s="562"/>
      <c r="BC1198" s="562" t="str">
        <f>'Overview (Verification)'!T12</f>
        <v>State</v>
      </c>
      <c r="BD1198" s="562" t="str">
        <f>'Overview (Verification)'!U12</f>
        <v>County</v>
      </c>
      <c r="BE1198" s="562" t="str">
        <f>'Overview (Verification)'!V12</f>
        <v>Radon</v>
      </c>
      <c r="BF1198" s="562" t="str">
        <f>'Overview (Verification)'!W12</f>
        <v>Climate</v>
      </c>
      <c r="BG1198" s="562" t="str">
        <f>'Overview (Verification)'!X12</f>
        <v>Moist</v>
      </c>
      <c r="BH1198" s="562" t="str">
        <f>'Overview (Verification)'!Y12</f>
        <v>WarmHumid</v>
      </c>
    </row>
    <row r="1199" spans="1:60" ht="16" x14ac:dyDescent="0.2">
      <c r="A1199" s="541">
        <v>10</v>
      </c>
      <c r="B1199" s="551">
        <v>1001.1</v>
      </c>
      <c r="C1199" s="544"/>
      <c r="D1199" s="544"/>
      <c r="E1199" s="544" t="s">
        <v>2183</v>
      </c>
      <c r="F1199" s="544"/>
      <c r="G1199" s="543" t="str">
        <f t="shared" si="370"/>
        <v/>
      </c>
      <c r="H1199" s="541" t="s">
        <v>3758</v>
      </c>
      <c r="I1199" s="3"/>
      <c r="J1199" s="161" t="s">
        <v>2183</v>
      </c>
      <c r="K1199" s="186"/>
      <c r="L1199" s="205" t="s">
        <v>3235</v>
      </c>
      <c r="M1199" s="630" t="str">
        <f t="shared" si="371"/>
        <v>Mandatory</v>
      </c>
      <c r="N1199" s="3"/>
      <c r="O1199" s="609"/>
      <c r="P1199" s="562" t="b">
        <v>0</v>
      </c>
      <c r="Q1199" s="562" t="b">
        <v>1</v>
      </c>
      <c r="R1199" s="562" t="b">
        <f>S1199</f>
        <v>1</v>
      </c>
      <c r="S1199" s="562" t="b">
        <f>IF(AY1202=INDEX(ddSingleOrMulti,1),TRUE,FALSE)</f>
        <v>1</v>
      </c>
      <c r="T1199" s="64" t="b">
        <f>AND(NOT(S1199),W1199=TRUE)</f>
        <v>0</v>
      </c>
      <c r="U1199" s="562"/>
      <c r="V1199" s="562"/>
      <c r="W1199" s="18"/>
      <c r="X1199" s="563"/>
      <c r="Y1199" s="578" t="str">
        <f>IF(LEN('Ch10'!X16)=0,"None",'Ch10'!X16)</f>
        <v>None</v>
      </c>
      <c r="Z1199" s="579"/>
      <c r="AA1199" s="562"/>
      <c r="AB1199" s="562"/>
      <c r="AC1199" s="562" t="b">
        <f>OR(AD1199:AE1199)</f>
        <v>1</v>
      </c>
      <c r="AD1199" s="562" t="b">
        <f>T1199</f>
        <v>0</v>
      </c>
      <c r="AE1199" s="562" t="b">
        <f>AND(R1199,NOT(W1199=TRUE))</f>
        <v>1</v>
      </c>
      <c r="AF1199" s="562" t="b">
        <f>AND(AE1199,NOT(Q1199))</f>
        <v>0</v>
      </c>
      <c r="AG1199" s="562"/>
      <c r="AH1199" s="562"/>
      <c r="AI1199" s="562"/>
      <c r="AJ1199" s="562"/>
      <c r="AK1199" s="562"/>
      <c r="AL1199" s="190" t="str">
        <f t="shared" si="372"/>
        <v>vpa1001,1_2</v>
      </c>
      <c r="AM1199" s="190" t="str">
        <f>M1199</f>
        <v>Mandatory</v>
      </c>
      <c r="AN1199" s="562"/>
      <c r="AO1199" s="562"/>
      <c r="AP1199" s="190" t="str">
        <f t="shared" si="373"/>
        <v>vch1001,1_2</v>
      </c>
      <c r="AQ1199" s="190">
        <f>W1199</f>
        <v>0</v>
      </c>
      <c r="AR1199" s="190" t="str">
        <f t="shared" si="374"/>
        <v>vnt1001,1_2</v>
      </c>
      <c r="AS1199" s="190">
        <f>X1199</f>
        <v>0</v>
      </c>
      <c r="AT1199" s="586"/>
      <c r="AU1199" s="586"/>
      <c r="AV1199" s="586"/>
      <c r="AW1199" s="562"/>
      <c r="AX1199" s="594" t="str">
        <f>'Overview (Verification)'!A13</f>
        <v>County:</v>
      </c>
      <c r="AY1199" s="562">
        <f>IF(LEN('Overview (Verification)'!P13)=0,0,'Overview (Verification)'!P13)</f>
        <v>0</v>
      </c>
      <c r="AZ1199" s="562"/>
      <c r="BA1199" s="562"/>
      <c r="BB1199" s="562"/>
      <c r="BC1199" s="562" t="str">
        <f>'Overview (Verification)'!T13</f>
        <v>North Carolina</v>
      </c>
      <c r="BD1199" s="562" t="str">
        <f>'Overview (Verification)'!U13</f>
        <v/>
      </c>
      <c r="BE1199" s="562" t="str">
        <f>'Overview (Verification)'!V13</f>
        <v>!!</v>
      </c>
      <c r="BF1199" s="562" t="str">
        <f>'Overview (Verification)'!W13</f>
        <v>!!</v>
      </c>
      <c r="BG1199" s="562" t="str">
        <f>'Overview (Verification)'!X13</f>
        <v>!!</v>
      </c>
      <c r="BH1199" s="562" t="str">
        <f>'Overview (Verification)'!Y13</f>
        <v>!!</v>
      </c>
    </row>
    <row r="1200" spans="1:60" x14ac:dyDescent="0.2">
      <c r="A1200" s="541">
        <v>10</v>
      </c>
      <c r="B1200" s="551">
        <v>1001.1</v>
      </c>
      <c r="C1200" s="544"/>
      <c r="D1200" s="544"/>
      <c r="E1200" s="544" t="s">
        <v>2185</v>
      </c>
      <c r="F1200" s="544"/>
      <c r="G1200" s="543" t="str">
        <f t="shared" si="370"/>
        <v/>
      </c>
      <c r="H1200" s="541" t="s">
        <v>3758</v>
      </c>
      <c r="I1200" s="3"/>
      <c r="J1200" s="164" t="s">
        <v>2185</v>
      </c>
      <c r="K1200" s="146"/>
      <c r="L1200" s="831" t="s">
        <v>3236</v>
      </c>
      <c r="M1200" s="867" t="str">
        <f t="shared" si="371"/>
        <v>Mandatory</v>
      </c>
      <c r="N1200" s="3"/>
      <c r="O1200" s="609"/>
      <c r="P1200" s="562" t="b">
        <v>0</v>
      </c>
      <c r="Q1200" s="562" t="b">
        <v>1</v>
      </c>
      <c r="R1200" s="562" t="b">
        <f>S1200</f>
        <v>1</v>
      </c>
      <c r="S1200" s="562" t="b">
        <f>IF(AY1202=INDEX(ddSingleOrMulti,1),TRUE,FALSE)</f>
        <v>1</v>
      </c>
      <c r="T1200" s="64" t="b">
        <f>AND(NOT(S1200),W1200=TRUE)</f>
        <v>0</v>
      </c>
      <c r="U1200" s="562"/>
      <c r="V1200" s="562"/>
      <c r="W1200" s="18"/>
      <c r="X1200" s="825"/>
      <c r="Y1200" s="980" t="str">
        <f>IF(LEN('Ch10'!X17)=0,"None",'Ch10'!X17)</f>
        <v>None</v>
      </c>
      <c r="Z1200" s="983"/>
      <c r="AA1200" s="562"/>
      <c r="AB1200" s="562"/>
      <c r="AC1200" s="562" t="b">
        <f>OR(AD1200:AE1200)</f>
        <v>1</v>
      </c>
      <c r="AD1200" s="562" t="b">
        <f>T1200</f>
        <v>0</v>
      </c>
      <c r="AE1200" s="562" t="b">
        <f>AND(R1200,NOT(W1200=TRUE))</f>
        <v>1</v>
      </c>
      <c r="AF1200" s="562" t="b">
        <f>AND(AE1200,NOT(Q1200))</f>
        <v>0</v>
      </c>
      <c r="AG1200" s="562"/>
      <c r="AH1200" s="562"/>
      <c r="AI1200" s="562"/>
      <c r="AJ1200" s="562"/>
      <c r="AK1200" s="562"/>
      <c r="AL1200" s="190" t="str">
        <f t="shared" si="372"/>
        <v>vpa1001,1_3</v>
      </c>
      <c r="AM1200" s="190" t="str">
        <f>M1200</f>
        <v>Mandatory</v>
      </c>
      <c r="AN1200" s="562"/>
      <c r="AO1200" s="562"/>
      <c r="AP1200" s="190" t="str">
        <f t="shared" si="373"/>
        <v>vch1001,1_3</v>
      </c>
      <c r="AQ1200" s="190">
        <f>W1200</f>
        <v>0</v>
      </c>
      <c r="AR1200" s="190" t="str">
        <f t="shared" si="374"/>
        <v>vnt1001,1_3</v>
      </c>
      <c r="AS1200" s="190">
        <f>X1200</f>
        <v>0</v>
      </c>
      <c r="AT1200" s="562"/>
      <c r="AU1200" s="562"/>
      <c r="AV1200" s="562"/>
      <c r="AW1200" s="562"/>
      <c r="AX1200" s="594" t="str">
        <f>'Overview (Verification)'!A14</f>
        <v>Zip:</v>
      </c>
      <c r="AY1200" s="562" t="str">
        <f>IF(LEN('Overview (Verification)'!P14)=0,0,'Overview (Verification)'!P14)</f>
        <v>99999</v>
      </c>
      <c r="AZ1200" s="562"/>
      <c r="BA1200" s="562"/>
      <c r="BB1200" s="562"/>
      <c r="BC1200" s="562"/>
      <c r="BD1200" s="562"/>
      <c r="BE1200" s="562"/>
      <c r="BF1200" s="562"/>
      <c r="BG1200" s="562"/>
      <c r="BH1200" s="562"/>
    </row>
    <row r="1201" spans="1:65" x14ac:dyDescent="0.2">
      <c r="A1201" s="541">
        <v>10</v>
      </c>
      <c r="B1201" s="551">
        <v>1001.1</v>
      </c>
      <c r="C1201" s="544"/>
      <c r="D1201" s="544"/>
      <c r="E1201" s="544" t="s">
        <v>2185</v>
      </c>
      <c r="F1201" s="544"/>
      <c r="G1201" s="543" t="str">
        <f t="shared" si="370"/>
        <v/>
      </c>
      <c r="H1201" s="541" t="s">
        <v>3758</v>
      </c>
      <c r="I1201" s="3"/>
      <c r="J1201" s="134"/>
      <c r="K1201" s="98"/>
      <c r="L1201" s="791"/>
      <c r="M1201" s="838" t="str">
        <f t="shared" si="371"/>
        <v>N/A</v>
      </c>
      <c r="N1201" s="3"/>
      <c r="O1201" s="609"/>
      <c r="P1201" s="562"/>
      <c r="Q1201" s="562"/>
      <c r="R1201" s="562"/>
      <c r="S1201" s="562"/>
      <c r="T1201" s="562"/>
      <c r="U1201" s="562"/>
      <c r="V1201" s="562"/>
      <c r="W1201" s="562"/>
      <c r="X1201" s="797"/>
      <c r="Y1201" s="980"/>
      <c r="Z1201" s="983"/>
      <c r="AA1201" s="562"/>
      <c r="AB1201" s="562"/>
      <c r="AC1201" s="562"/>
      <c r="AD1201" s="562"/>
      <c r="AE1201" s="562"/>
      <c r="AF1201" s="562"/>
      <c r="AG1201" s="562"/>
      <c r="AH1201" s="562"/>
      <c r="AI1201" s="562"/>
      <c r="AJ1201" s="562"/>
      <c r="AK1201" s="562"/>
      <c r="AL1201" s="562"/>
      <c r="AM1201" s="562"/>
      <c r="AN1201" s="562"/>
      <c r="AO1201" s="562"/>
      <c r="AP1201" s="562"/>
      <c r="AQ1201" s="562"/>
      <c r="AR1201" s="562"/>
      <c r="AS1201" s="562"/>
      <c r="AT1201" s="562"/>
      <c r="AU1201" s="562"/>
      <c r="AV1201" s="562"/>
      <c r="AW1201" s="562"/>
      <c r="AX1201" s="594"/>
      <c r="AY1201" s="562"/>
      <c r="AZ1201" s="562"/>
      <c r="BA1201" s="562"/>
      <c r="BB1201" s="562"/>
      <c r="BC1201" s="562"/>
      <c r="BD1201" s="562"/>
      <c r="BE1201" s="562"/>
      <c r="BF1201" s="562"/>
      <c r="BG1201" s="562"/>
      <c r="BH1201" s="562"/>
      <c r="BI1201" s="562"/>
      <c r="BJ1201" s="562"/>
      <c r="BK1201" s="562"/>
      <c r="BL1201" s="562"/>
      <c r="BM1201" s="562"/>
    </row>
    <row r="1202" spans="1:65" x14ac:dyDescent="0.2">
      <c r="A1202" s="541">
        <v>10</v>
      </c>
      <c r="B1202" s="551">
        <v>1001.1</v>
      </c>
      <c r="C1202" s="544"/>
      <c r="D1202" s="544"/>
      <c r="E1202" s="544" t="s">
        <v>2185</v>
      </c>
      <c r="F1202" s="544"/>
      <c r="G1202" s="543" t="str">
        <f t="shared" si="370"/>
        <v/>
      </c>
      <c r="H1202" s="541" t="s">
        <v>3758</v>
      </c>
      <c r="I1202" s="3"/>
      <c r="J1202" s="134"/>
      <c r="K1202" s="98"/>
      <c r="L1202" s="791"/>
      <c r="M1202" s="838" t="str">
        <f t="shared" si="371"/>
        <v>N/A</v>
      </c>
      <c r="N1202" s="3"/>
      <c r="O1202" s="609"/>
      <c r="P1202" s="562"/>
      <c r="Q1202" s="562"/>
      <c r="R1202" s="562"/>
      <c r="S1202" s="562"/>
      <c r="T1202" s="562"/>
      <c r="U1202" s="562"/>
      <c r="V1202" s="562"/>
      <c r="W1202" s="562"/>
      <c r="X1202" s="797"/>
      <c r="Y1202" s="980"/>
      <c r="Z1202" s="983"/>
      <c r="AA1202" s="562"/>
      <c r="AB1202" s="562"/>
      <c r="AC1202" s="562"/>
      <c r="AD1202" s="562"/>
      <c r="AE1202" s="562"/>
      <c r="AF1202" s="562"/>
      <c r="AG1202" s="562"/>
      <c r="AH1202" s="562"/>
      <c r="AI1202" s="562"/>
      <c r="AJ1202" s="562"/>
      <c r="AK1202" s="562"/>
      <c r="AL1202" s="562"/>
      <c r="AM1202" s="562"/>
      <c r="AN1202" s="562"/>
      <c r="AO1202" s="562"/>
      <c r="AP1202" s="562"/>
      <c r="AQ1202" s="562"/>
      <c r="AR1202" s="562"/>
      <c r="AS1202" s="562"/>
      <c r="AT1202" s="562"/>
      <c r="AU1202" s="562"/>
      <c r="AV1202" s="562"/>
      <c r="AW1202" s="562"/>
      <c r="AX1202" s="594" t="str">
        <f>'Overview (Verification)'!A16</f>
        <v>Single-Family or Multifamily:</v>
      </c>
      <c r="AY1202" s="562" t="str">
        <f>IF(LEN('Overview (Verification)'!P16)=0,0,'Overview (Verification)'!P16)</f>
        <v>Single-Family</v>
      </c>
      <c r="AZ1202" s="562"/>
      <c r="BA1202" s="562"/>
      <c r="BB1202" s="562"/>
      <c r="BC1202" s="562"/>
      <c r="BD1202" s="562"/>
      <c r="BE1202" s="562"/>
      <c r="BF1202" s="562"/>
      <c r="BG1202" s="562"/>
      <c r="BH1202" s="562"/>
      <c r="BI1202" s="562"/>
      <c r="BJ1202" s="562"/>
      <c r="BK1202" s="562"/>
      <c r="BL1202" s="562"/>
      <c r="BM1202" s="562"/>
    </row>
    <row r="1203" spans="1:65" x14ac:dyDescent="0.2">
      <c r="A1203" s="541">
        <v>10</v>
      </c>
      <c r="B1203" s="551">
        <v>1001.1</v>
      </c>
      <c r="C1203" s="544"/>
      <c r="D1203" s="544"/>
      <c r="E1203" s="544" t="s">
        <v>2185</v>
      </c>
      <c r="F1203" s="544"/>
      <c r="G1203" s="543" t="str">
        <f t="shared" si="370"/>
        <v/>
      </c>
      <c r="H1203" s="541" t="s">
        <v>3758</v>
      </c>
      <c r="I1203" s="3"/>
      <c r="J1203" s="159"/>
      <c r="K1203" s="165"/>
      <c r="L1203" s="792"/>
      <c r="M1203" s="854" t="str">
        <f t="shared" si="371"/>
        <v>N/A</v>
      </c>
      <c r="N1203" s="3"/>
      <c r="O1203" s="609"/>
      <c r="P1203" s="562"/>
      <c r="Q1203" s="562"/>
      <c r="R1203" s="562"/>
      <c r="S1203" s="562"/>
      <c r="T1203" s="562"/>
      <c r="U1203" s="562"/>
      <c r="V1203" s="562"/>
      <c r="W1203" s="562"/>
      <c r="X1203" s="786"/>
      <c r="Y1203" s="980"/>
      <c r="Z1203" s="983"/>
      <c r="AA1203" s="562"/>
      <c r="AB1203" s="562"/>
      <c r="AC1203" s="562"/>
      <c r="AD1203" s="562"/>
      <c r="AE1203" s="562"/>
      <c r="AF1203" s="562"/>
      <c r="AG1203" s="562"/>
      <c r="AH1203" s="562"/>
      <c r="AI1203" s="562"/>
      <c r="AJ1203" s="562"/>
      <c r="AK1203" s="562"/>
      <c r="AL1203" s="562"/>
      <c r="AM1203" s="562"/>
      <c r="AN1203" s="562"/>
      <c r="AO1203" s="562"/>
      <c r="AP1203" s="562"/>
      <c r="AQ1203" s="562"/>
      <c r="AR1203" s="562"/>
      <c r="AS1203" s="562"/>
      <c r="AT1203" s="562"/>
      <c r="AU1203" s="562"/>
      <c r="AV1203" s="562"/>
      <c r="AW1203" s="562"/>
      <c r="AX1203" s="594" t="str">
        <f>'Overview (Verification)'!A17</f>
        <v>Number of Units:</v>
      </c>
      <c r="AY1203" s="562">
        <f>IF(LEN('Overview (Verification)'!P17)=0,0,'Overview (Verification)'!P17)</f>
        <v>0</v>
      </c>
      <c r="AZ1203" s="562"/>
      <c r="BA1203" s="562"/>
      <c r="BB1203" s="562"/>
      <c r="BC1203" s="562"/>
      <c r="BD1203" s="562"/>
      <c r="BE1203" s="562"/>
      <c r="BF1203" s="562"/>
      <c r="BG1203" s="562"/>
      <c r="BH1203" s="562"/>
      <c r="BI1203" s="562"/>
      <c r="BJ1203" s="562"/>
      <c r="BK1203" s="562"/>
      <c r="BL1203" s="562"/>
      <c r="BM1203" s="562"/>
    </row>
    <row r="1204" spans="1:65" ht="16" x14ac:dyDescent="0.2">
      <c r="A1204" s="541">
        <v>10</v>
      </c>
      <c r="B1204" s="551">
        <v>1001.1</v>
      </c>
      <c r="C1204" s="544"/>
      <c r="D1204" s="544"/>
      <c r="E1204" s="544" t="s">
        <v>2192</v>
      </c>
      <c r="F1204" s="544"/>
      <c r="G1204" s="543" t="str">
        <f t="shared" si="370"/>
        <v/>
      </c>
      <c r="H1204" s="541" t="s">
        <v>3758</v>
      </c>
      <c r="I1204" s="3"/>
      <c r="J1204" s="161" t="s">
        <v>2192</v>
      </c>
      <c r="K1204" s="186"/>
      <c r="L1204" s="205" t="s">
        <v>3237</v>
      </c>
      <c r="M1204" s="609"/>
      <c r="N1204" s="3"/>
      <c r="O1204" s="609"/>
      <c r="P1204" s="562" t="b">
        <v>0</v>
      </c>
      <c r="Q1204" s="562" t="b">
        <v>1</v>
      </c>
      <c r="R1204" s="562" t="b">
        <v>0</v>
      </c>
      <c r="S1204" s="562" t="b">
        <f>IF(AY1202=INDEX(ddSingleOrMulti,1),TRUE,FALSE)</f>
        <v>1</v>
      </c>
      <c r="T1204" s="64" t="b">
        <f>AND(NOT(S1204),W1204=TRUE)</f>
        <v>0</v>
      </c>
      <c r="U1204" s="562"/>
      <c r="V1204" s="562"/>
      <c r="W1204" s="18"/>
      <c r="X1204" s="563"/>
      <c r="Y1204" s="578" t="str">
        <f>IF(LEN('Ch10'!X21)=0,"None",'Ch10'!X21)</f>
        <v>None</v>
      </c>
      <c r="Z1204" s="579"/>
      <c r="AA1204" s="562"/>
      <c r="AB1204" s="562"/>
      <c r="AC1204" s="562" t="b">
        <f>OR(AD1204:AE1204)</f>
        <v>0</v>
      </c>
      <c r="AD1204" s="562" t="b">
        <f>T1204</f>
        <v>0</v>
      </c>
      <c r="AE1204" s="562"/>
      <c r="AF1204" s="562"/>
      <c r="AG1204" s="562"/>
      <c r="AH1204" s="562"/>
      <c r="AI1204" s="562"/>
      <c r="AJ1204" s="562"/>
      <c r="AK1204" s="562"/>
      <c r="AL1204" s="562"/>
      <c r="AM1204" s="562"/>
      <c r="AN1204" s="562"/>
      <c r="AO1204" s="562"/>
      <c r="AP1204" s="190" t="str">
        <f t="shared" ref="AP1204:AP1206" si="375">SUBSTITUTE(SUBSTITUTE(SUBSTITUTE("vch"&amp;$B1204&amp;$C1204&amp;$D1204&amp;$E1204&amp;$F1204,".","_"),"(","_"),")","")</f>
        <v>vch1001,1_4</v>
      </c>
      <c r="AQ1204" s="190">
        <f>W1204</f>
        <v>0</v>
      </c>
      <c r="AR1204" s="190" t="str">
        <f t="shared" ref="AR1204:AR1206" si="376">SUBSTITUTE(SUBSTITUTE(SUBSTITUTE("vnt"&amp;$B1204&amp;$C1204&amp;$D1204&amp;$E1204&amp;$F1204,".","_"),"(","_"),")","")</f>
        <v>vnt1001,1_4</v>
      </c>
      <c r="AS1204" s="190">
        <f>X1204</f>
        <v>0</v>
      </c>
      <c r="AT1204" s="562"/>
      <c r="AU1204" s="562"/>
      <c r="AV1204" s="562"/>
      <c r="AW1204" s="562"/>
      <c r="AX1204" s="594" t="str">
        <f>'Overview (Verification)'!A18</f>
        <v>Project Name:</v>
      </c>
      <c r="AY1204" s="562">
        <f>IF(LEN('Overview (Verification)'!P18)=0,0,'Overview (Verification)'!P18)</f>
        <v>0</v>
      </c>
      <c r="AZ1204" s="562"/>
      <c r="BA1204" s="562"/>
      <c r="BB1204" s="562"/>
      <c r="BC1204" s="562"/>
      <c r="BD1204" s="562"/>
      <c r="BE1204" s="562"/>
      <c r="BF1204" s="562"/>
      <c r="BG1204" s="562"/>
      <c r="BH1204" s="562"/>
      <c r="BI1204" s="562"/>
      <c r="BJ1204" s="562"/>
      <c r="BK1204" s="562"/>
      <c r="BL1204" s="562"/>
      <c r="BM1204" s="562"/>
    </row>
    <row r="1205" spans="1:65" ht="16" x14ac:dyDescent="0.2">
      <c r="A1205" s="541">
        <v>10</v>
      </c>
      <c r="B1205" s="551">
        <v>1001.1</v>
      </c>
      <c r="C1205" s="544"/>
      <c r="D1205" s="544"/>
      <c r="E1205" s="544" t="s">
        <v>2194</v>
      </c>
      <c r="F1205" s="544"/>
      <c r="G1205" s="543" t="str">
        <f t="shared" si="370"/>
        <v/>
      </c>
      <c r="H1205" s="541" t="s">
        <v>3758</v>
      </c>
      <c r="I1205" s="3"/>
      <c r="J1205" s="161" t="s">
        <v>2194</v>
      </c>
      <c r="K1205" s="186"/>
      <c r="L1205" s="205" t="s">
        <v>3238</v>
      </c>
      <c r="M1205" s="609"/>
      <c r="N1205" s="3"/>
      <c r="O1205" s="609"/>
      <c r="P1205" s="562" t="b">
        <v>0</v>
      </c>
      <c r="Q1205" s="562" t="b">
        <v>1</v>
      </c>
      <c r="R1205" s="562" t="b">
        <v>0</v>
      </c>
      <c r="S1205" s="562" t="b">
        <f>IF(AY1202=INDEX(ddSingleOrMulti,1),TRUE,FALSE)</f>
        <v>1</v>
      </c>
      <c r="T1205" s="64" t="b">
        <f>AND(NOT(S1205),W1205=TRUE)</f>
        <v>0</v>
      </c>
      <c r="U1205" s="562"/>
      <c r="V1205" s="562"/>
      <c r="W1205" s="18"/>
      <c r="X1205" s="563"/>
      <c r="Y1205" s="578" t="str">
        <f>IF(LEN('Ch10'!X22)=0,"None",'Ch10'!X22)</f>
        <v>None</v>
      </c>
      <c r="Z1205" s="579"/>
      <c r="AA1205" s="562"/>
      <c r="AB1205" s="562"/>
      <c r="AC1205" s="562" t="b">
        <f>OR(AD1205:AE1205)</f>
        <v>0</v>
      </c>
      <c r="AD1205" s="562" t="b">
        <f>T1205</f>
        <v>0</v>
      </c>
      <c r="AE1205" s="562"/>
      <c r="AF1205" s="562"/>
      <c r="AG1205" s="562"/>
      <c r="AH1205" s="562"/>
      <c r="AI1205" s="562"/>
      <c r="AJ1205" s="562"/>
      <c r="AK1205" s="562"/>
      <c r="AL1205" s="562"/>
      <c r="AM1205" s="562"/>
      <c r="AN1205" s="562"/>
      <c r="AO1205" s="562"/>
      <c r="AP1205" s="190" t="str">
        <f t="shared" si="375"/>
        <v>vch1001,1_5</v>
      </c>
      <c r="AQ1205" s="190">
        <f>W1205</f>
        <v>0</v>
      </c>
      <c r="AR1205" s="190" t="str">
        <f t="shared" si="376"/>
        <v>vnt1001,1_5</v>
      </c>
      <c r="AS1205" s="190">
        <f>X1205</f>
        <v>0</v>
      </c>
      <c r="AT1205" s="562"/>
      <c r="AU1205" s="562"/>
      <c r="AV1205" s="562"/>
      <c r="AW1205" s="562"/>
      <c r="AX1205" s="562"/>
      <c r="AY1205" s="562"/>
      <c r="AZ1205" s="562"/>
      <c r="BA1205" s="562"/>
      <c r="BB1205" s="562"/>
      <c r="BC1205" s="562"/>
      <c r="BD1205" s="562"/>
      <c r="BE1205" s="562"/>
      <c r="BF1205" s="562"/>
      <c r="BG1205" s="562"/>
      <c r="BH1205" s="562"/>
      <c r="BI1205" s="562"/>
      <c r="BJ1205" s="562"/>
      <c r="BK1205" s="562"/>
      <c r="BL1205" s="562"/>
      <c r="BM1205" s="562"/>
    </row>
    <row r="1206" spans="1:65" x14ac:dyDescent="0.2">
      <c r="A1206" s="541">
        <v>10</v>
      </c>
      <c r="B1206" s="551">
        <v>1001.1</v>
      </c>
      <c r="C1206" s="544"/>
      <c r="D1206" s="544"/>
      <c r="E1206" s="544" t="s">
        <v>2221</v>
      </c>
      <c r="F1206" s="544"/>
      <c r="G1206" s="543" t="str">
        <f t="shared" si="370"/>
        <v/>
      </c>
      <c r="H1206" s="541" t="s">
        <v>3758</v>
      </c>
      <c r="I1206" s="3"/>
      <c r="J1206" s="164" t="s">
        <v>2221</v>
      </c>
      <c r="K1206" s="146"/>
      <c r="L1206" s="831" t="s">
        <v>3239</v>
      </c>
      <c r="M1206" s="609"/>
      <c r="N1206" s="3"/>
      <c r="O1206" s="609"/>
      <c r="P1206" s="562" t="b">
        <v>0</v>
      </c>
      <c r="Q1206" s="562" t="b">
        <v>1</v>
      </c>
      <c r="R1206" s="562" t="b">
        <v>0</v>
      </c>
      <c r="S1206" s="562" t="b">
        <f>IF(AY1202=INDEX(ddSingleOrMulti,1),TRUE,FALSE)</f>
        <v>1</v>
      </c>
      <c r="T1206" s="64" t="b">
        <f>AND(NOT(S1206),W1206=TRUE)</f>
        <v>0</v>
      </c>
      <c r="U1206" s="562"/>
      <c r="V1206" s="562"/>
      <c r="W1206" s="18"/>
      <c r="X1206" s="787"/>
      <c r="Y1206" s="980" t="str">
        <f>IF(LEN('Ch10'!X23)=0,"None",'Ch10'!X23)</f>
        <v>None</v>
      </c>
      <c r="Z1206" s="983"/>
      <c r="AA1206" s="562"/>
      <c r="AB1206" s="562"/>
      <c r="AC1206" s="562" t="b">
        <f>OR(AD1206:AE1206)</f>
        <v>0</v>
      </c>
      <c r="AD1206" s="562" t="b">
        <f>T1206</f>
        <v>0</v>
      </c>
      <c r="AE1206" s="562"/>
      <c r="AF1206" s="562"/>
      <c r="AG1206" s="562"/>
      <c r="AH1206" s="562"/>
      <c r="AI1206" s="562"/>
      <c r="AJ1206" s="562"/>
      <c r="AK1206" s="562"/>
      <c r="AL1206" s="562"/>
      <c r="AM1206" s="562"/>
      <c r="AN1206" s="562"/>
      <c r="AO1206" s="562"/>
      <c r="AP1206" s="190" t="str">
        <f t="shared" si="375"/>
        <v>vch1001,1_6</v>
      </c>
      <c r="AQ1206" s="190">
        <f>W1206</f>
        <v>0</v>
      </c>
      <c r="AR1206" s="190" t="str">
        <f t="shared" si="376"/>
        <v>vnt1001,1_6</v>
      </c>
      <c r="AS1206" s="190">
        <f>X1206</f>
        <v>0</v>
      </c>
      <c r="AT1206" s="562"/>
      <c r="AU1206" s="562"/>
      <c r="AV1206" s="562"/>
      <c r="AW1206" s="562"/>
      <c r="AX1206" s="594" t="str">
        <f>'Overview (Verification)'!A20</f>
        <v>Year Built:</v>
      </c>
      <c r="AY1206" s="562">
        <f>IF(LEN('Overview (Verification)'!P20)=0,0,'Overview (Verification)'!P20)</f>
        <v>1993</v>
      </c>
      <c r="AZ1206" s="562"/>
      <c r="BA1206" s="562"/>
      <c r="BB1206" s="562"/>
      <c r="BC1206" s="562"/>
      <c r="BD1206" s="562"/>
      <c r="BE1206" s="562"/>
      <c r="BF1206" s="562"/>
      <c r="BG1206" s="562"/>
      <c r="BH1206" s="562"/>
      <c r="BI1206" s="562"/>
      <c r="BJ1206" s="562"/>
      <c r="BK1206" s="562"/>
      <c r="BL1206" s="562"/>
      <c r="BM1206" s="562"/>
    </row>
    <row r="1207" spans="1:65" x14ac:dyDescent="0.2">
      <c r="A1207" s="541">
        <v>10</v>
      </c>
      <c r="B1207" s="551">
        <v>1001.1</v>
      </c>
      <c r="C1207" s="544"/>
      <c r="D1207" s="544"/>
      <c r="E1207" s="544" t="s">
        <v>2221</v>
      </c>
      <c r="F1207" s="544"/>
      <c r="G1207" s="543" t="str">
        <f t="shared" si="370"/>
        <v/>
      </c>
      <c r="H1207" s="541" t="s">
        <v>3758</v>
      </c>
      <c r="I1207" s="3"/>
      <c r="J1207" s="159"/>
      <c r="K1207" s="165"/>
      <c r="L1207" s="792"/>
      <c r="M1207" s="609"/>
      <c r="N1207" s="3"/>
      <c r="O1207" s="609"/>
      <c r="P1207" s="562"/>
      <c r="Q1207" s="562"/>
      <c r="R1207" s="562"/>
      <c r="S1207" s="562"/>
      <c r="T1207" s="562"/>
      <c r="U1207" s="562"/>
      <c r="V1207" s="562"/>
      <c r="W1207" s="562"/>
      <c r="X1207" s="787"/>
      <c r="Y1207" s="980"/>
      <c r="Z1207" s="983"/>
      <c r="AA1207" s="562"/>
      <c r="AB1207" s="562"/>
      <c r="AC1207" s="562"/>
      <c r="AD1207" s="562"/>
      <c r="AE1207" s="562"/>
      <c r="AF1207" s="562"/>
      <c r="AG1207" s="562"/>
      <c r="AH1207" s="562"/>
      <c r="AI1207" s="562"/>
      <c r="AJ1207" s="562"/>
      <c r="AK1207" s="562"/>
      <c r="AL1207" s="562"/>
      <c r="AM1207" s="562"/>
      <c r="AN1207" s="562"/>
      <c r="AO1207" s="562"/>
      <c r="AP1207" s="562"/>
      <c r="AQ1207" s="562"/>
      <c r="AR1207" s="562"/>
      <c r="AS1207" s="562"/>
      <c r="AT1207" s="562"/>
      <c r="AU1207" s="562"/>
      <c r="AV1207" s="562"/>
      <c r="AW1207" s="562"/>
      <c r="AX1207" s="594" t="str">
        <f>'Overview (Verification)'!A21</f>
        <v>Above grade plane finished floor area:</v>
      </c>
      <c r="AY1207" s="562">
        <f>IF(LEN('Overview (Verification)'!P21)=0,0,'Overview (Verification)'!P21)</f>
        <v>0</v>
      </c>
      <c r="AZ1207" s="562"/>
      <c r="BA1207" s="562"/>
      <c r="BB1207" s="562"/>
      <c r="BC1207" s="562"/>
      <c r="BD1207" s="562"/>
      <c r="BE1207" s="562"/>
      <c r="BF1207" s="562"/>
      <c r="BG1207" s="562"/>
      <c r="BH1207" s="562"/>
      <c r="BI1207" s="562"/>
      <c r="BJ1207" s="562"/>
      <c r="BK1207" s="562"/>
      <c r="BL1207" s="562"/>
      <c r="BM1207" s="562"/>
    </row>
    <row r="1208" spans="1:65" x14ac:dyDescent="0.2">
      <c r="A1208" s="541">
        <v>10</v>
      </c>
      <c r="B1208" s="551">
        <v>1001.1</v>
      </c>
      <c r="C1208" s="544"/>
      <c r="D1208" s="544"/>
      <c r="E1208" s="544" t="s">
        <v>2223</v>
      </c>
      <c r="F1208" s="544"/>
      <c r="G1208" s="543" t="str">
        <f t="shared" si="370"/>
        <v/>
      </c>
      <c r="H1208" s="541" t="s">
        <v>3758</v>
      </c>
      <c r="I1208" s="3"/>
      <c r="J1208" s="164" t="s">
        <v>2223</v>
      </c>
      <c r="K1208" s="146"/>
      <c r="L1208" s="831" t="s">
        <v>3240</v>
      </c>
      <c r="M1208" s="609"/>
      <c r="N1208" s="3"/>
      <c r="O1208" s="609"/>
      <c r="P1208" s="562" t="b">
        <v>0</v>
      </c>
      <c r="Q1208" s="562" t="b">
        <v>1</v>
      </c>
      <c r="R1208" s="562" t="b">
        <v>0</v>
      </c>
      <c r="S1208" s="562" t="b">
        <f>IF(AY1202=INDEX(ddSingleOrMulti,1),TRUE,FALSE)</f>
        <v>1</v>
      </c>
      <c r="T1208" s="64" t="b">
        <f>AND(NOT(S1208),W1208=TRUE)</f>
        <v>0</v>
      </c>
      <c r="U1208" s="562"/>
      <c r="V1208" s="562"/>
      <c r="W1208" s="18"/>
      <c r="X1208" s="787"/>
      <c r="Y1208" s="980" t="str">
        <f>IF(LEN('Ch10'!X25)=0,"None",'Ch10'!X25)</f>
        <v>None</v>
      </c>
      <c r="Z1208" s="983"/>
      <c r="AA1208" s="562"/>
      <c r="AB1208" s="562"/>
      <c r="AC1208" s="562" t="b">
        <f>OR(AD1208:AE1208)</f>
        <v>0</v>
      </c>
      <c r="AD1208" s="562" t="b">
        <f>T1208</f>
        <v>0</v>
      </c>
      <c r="AE1208" s="562"/>
      <c r="AF1208" s="562"/>
      <c r="AG1208" s="562"/>
      <c r="AH1208" s="562"/>
      <c r="AI1208" s="562"/>
      <c r="AJ1208" s="562"/>
      <c r="AK1208" s="562"/>
      <c r="AL1208" s="562"/>
      <c r="AM1208" s="562"/>
      <c r="AN1208" s="562"/>
      <c r="AO1208" s="562"/>
      <c r="AP1208" s="190" t="str">
        <f>SUBSTITUTE(SUBSTITUTE(SUBSTITUTE("vch"&amp;$B1208&amp;$C1208&amp;$D1208&amp;$E1208&amp;$F1208,".","_"),"(","_"),")","")</f>
        <v>vch1001,1_7</v>
      </c>
      <c r="AQ1208" s="190">
        <f>W1208</f>
        <v>0</v>
      </c>
      <c r="AR1208" s="190" t="str">
        <f>SUBSTITUTE(SUBSTITUTE(SUBSTITUTE("vnt"&amp;$B1208&amp;$C1208&amp;$D1208&amp;$E1208&amp;$F1208,".","_"),"(","_"),")","")</f>
        <v>vnt1001,1_7</v>
      </c>
      <c r="AS1208" s="190">
        <f>X1208</f>
        <v>0</v>
      </c>
      <c r="AT1208" s="562"/>
      <c r="AU1208" s="562"/>
      <c r="AV1208" s="562"/>
      <c r="AW1208" s="562"/>
      <c r="AX1208" s="594" t="str">
        <f>'Overview (Verification)'!A22</f>
        <v>Total conditioned floor area:</v>
      </c>
      <c r="AY1208" s="562">
        <f>IF(LEN('Overview (Verification)'!P22)=0,0,'Overview (Verification)'!P22)</f>
        <v>0</v>
      </c>
      <c r="AZ1208" s="562"/>
      <c r="BA1208" s="562"/>
      <c r="BB1208" s="562"/>
      <c r="BC1208" s="562"/>
      <c r="BD1208" s="562"/>
      <c r="BE1208" s="562"/>
      <c r="BF1208" s="562"/>
      <c r="BG1208" s="562"/>
      <c r="BH1208" s="562"/>
      <c r="BI1208" s="562"/>
      <c r="BJ1208" s="562"/>
      <c r="BK1208" s="562"/>
      <c r="BL1208" s="562"/>
      <c r="BM1208" s="562"/>
    </row>
    <row r="1209" spans="1:65" x14ac:dyDescent="0.2">
      <c r="A1209" s="541">
        <v>10</v>
      </c>
      <c r="B1209" s="551">
        <v>1001.1</v>
      </c>
      <c r="C1209" s="544"/>
      <c r="D1209" s="544"/>
      <c r="E1209" s="544" t="s">
        <v>2223</v>
      </c>
      <c r="F1209" s="544"/>
      <c r="G1209" s="543" t="str">
        <f t="shared" si="370"/>
        <v/>
      </c>
      <c r="H1209" s="541" t="s">
        <v>3758</v>
      </c>
      <c r="I1209" s="3"/>
      <c r="J1209" s="159"/>
      <c r="K1209" s="165"/>
      <c r="L1209" s="792"/>
      <c r="M1209" s="609"/>
      <c r="N1209" s="3"/>
      <c r="O1209" s="609"/>
      <c r="P1209" s="562"/>
      <c r="Q1209" s="562"/>
      <c r="R1209" s="562"/>
      <c r="S1209" s="562"/>
      <c r="T1209" s="562"/>
      <c r="U1209" s="562"/>
      <c r="V1209" s="562"/>
      <c r="W1209" s="562"/>
      <c r="X1209" s="787"/>
      <c r="Y1209" s="980"/>
      <c r="Z1209" s="983"/>
      <c r="AA1209" s="562"/>
      <c r="AB1209" s="562"/>
      <c r="AC1209" s="562"/>
      <c r="AD1209" s="562"/>
      <c r="AE1209" s="562"/>
      <c r="AF1209" s="562"/>
      <c r="AG1209" s="562"/>
      <c r="AH1209" s="562"/>
      <c r="AI1209" s="562"/>
      <c r="AJ1209" s="562"/>
      <c r="AK1209" s="562"/>
      <c r="AL1209" s="562"/>
      <c r="AM1209" s="562"/>
      <c r="AN1209" s="562"/>
      <c r="AO1209" s="562"/>
      <c r="AP1209" s="562"/>
      <c r="AQ1209" s="562"/>
      <c r="AR1209" s="562"/>
      <c r="AS1209" s="562"/>
      <c r="AT1209" s="562"/>
      <c r="AU1209" s="562"/>
      <c r="AV1209" s="562"/>
      <c r="AW1209" s="562"/>
      <c r="AX1209" s="594" t="str">
        <f>'Overview (Verification)'!A23</f>
        <v>Stories above grade:</v>
      </c>
      <c r="AY1209" s="562">
        <f>IF(LEN('Overview (Verification)'!P23)=0,0,'Overview (Verification)'!P23)</f>
        <v>0</v>
      </c>
      <c r="AZ1209" s="562"/>
      <c r="BA1209" s="562"/>
      <c r="BB1209" s="562"/>
      <c r="BC1209" s="562"/>
      <c r="BD1209" s="562"/>
      <c r="BE1209" s="562"/>
      <c r="BF1209" s="562"/>
      <c r="BG1209" s="562"/>
      <c r="BH1209" s="562"/>
      <c r="BI1209" s="562"/>
      <c r="BJ1209" s="562"/>
      <c r="BK1209" s="562"/>
      <c r="BL1209" s="562"/>
      <c r="BM1209" s="562"/>
    </row>
    <row r="1210" spans="1:65" ht="16" x14ac:dyDescent="0.2">
      <c r="A1210" s="541">
        <v>10</v>
      </c>
      <c r="B1210" s="551">
        <v>1001.1</v>
      </c>
      <c r="C1210" s="544"/>
      <c r="D1210" s="544"/>
      <c r="E1210" s="544" t="s">
        <v>2282</v>
      </c>
      <c r="F1210" s="544"/>
      <c r="G1210" s="543" t="str">
        <f t="shared" si="370"/>
        <v/>
      </c>
      <c r="H1210" s="541" t="s">
        <v>3758</v>
      </c>
      <c r="I1210" s="3"/>
      <c r="J1210" s="161" t="s">
        <v>2282</v>
      </c>
      <c r="K1210" s="186"/>
      <c r="L1210" s="205" t="s">
        <v>3241</v>
      </c>
      <c r="M1210" s="609"/>
      <c r="N1210" s="3"/>
      <c r="O1210" s="609"/>
      <c r="P1210" s="562" t="b">
        <v>0</v>
      </c>
      <c r="Q1210" s="562" t="b">
        <v>1</v>
      </c>
      <c r="R1210" s="562" t="b">
        <v>0</v>
      </c>
      <c r="S1210" s="562" t="b">
        <f>IF(AY1202=INDEX(ddSingleOrMulti,1),TRUE,FALSE)</f>
        <v>1</v>
      </c>
      <c r="T1210" s="64" t="b">
        <f>AND(NOT(S1210),W1210=TRUE)</f>
        <v>0</v>
      </c>
      <c r="U1210" s="562"/>
      <c r="V1210" s="562"/>
      <c r="W1210" s="18"/>
      <c r="X1210" s="563"/>
      <c r="Y1210" s="578" t="str">
        <f>IF(LEN('Ch10'!X27)=0,"None",'Ch10'!X27)</f>
        <v>None</v>
      </c>
      <c r="Z1210" s="579"/>
      <c r="AA1210" s="562"/>
      <c r="AB1210" s="562"/>
      <c r="AC1210" s="562" t="b">
        <f>OR(AD1210:AE1210)</f>
        <v>0</v>
      </c>
      <c r="AD1210" s="562" t="b">
        <f>T1210</f>
        <v>0</v>
      </c>
      <c r="AE1210" s="562"/>
      <c r="AF1210" s="562"/>
      <c r="AG1210" s="562"/>
      <c r="AH1210" s="562"/>
      <c r="AI1210" s="562"/>
      <c r="AJ1210" s="562"/>
      <c r="AK1210" s="562"/>
      <c r="AL1210" s="562"/>
      <c r="AM1210" s="562"/>
      <c r="AN1210" s="562"/>
      <c r="AO1210" s="562"/>
      <c r="AP1210" s="190" t="str">
        <f t="shared" ref="AP1210:AP1215" si="377">SUBSTITUTE(SUBSTITUTE(SUBSTITUTE("vch"&amp;$B1210&amp;$C1210&amp;$D1210&amp;$E1210&amp;$F1210,".","_"),"(","_"),")","")</f>
        <v>vch1001,1_8</v>
      </c>
      <c r="AQ1210" s="190">
        <f>W1210</f>
        <v>0</v>
      </c>
      <c r="AR1210" s="190" t="str">
        <f t="shared" ref="AR1210:AR1215" si="378">SUBSTITUTE(SUBSTITUTE(SUBSTITUTE("vnt"&amp;$B1210&amp;$C1210&amp;$D1210&amp;$E1210&amp;$F1210,".","_"),"(","_"),")","")</f>
        <v>vnt1001,1_8</v>
      </c>
      <c r="AS1210" s="190">
        <f>X1210</f>
        <v>0</v>
      </c>
      <c r="AT1210" s="562"/>
      <c r="AU1210" s="562"/>
      <c r="AV1210" s="562"/>
      <c r="AW1210" s="562"/>
      <c r="AX1210" s="562"/>
      <c r="AY1210" s="562"/>
      <c r="AZ1210" s="562"/>
      <c r="BA1210" s="562"/>
      <c r="BB1210" s="562"/>
      <c r="BC1210" s="562"/>
      <c r="BD1210" s="562"/>
      <c r="BE1210" s="562"/>
      <c r="BF1210" s="562"/>
      <c r="BG1210" s="562"/>
      <c r="BH1210" s="562"/>
      <c r="BI1210" s="562"/>
      <c r="BJ1210" s="562"/>
      <c r="BK1210" s="562"/>
      <c r="BL1210" s="562"/>
      <c r="BM1210" s="562"/>
    </row>
    <row r="1211" spans="1:65" x14ac:dyDescent="0.2">
      <c r="A1211" s="541">
        <v>10</v>
      </c>
      <c r="B1211" s="551">
        <v>1001.1</v>
      </c>
      <c r="C1211" s="544"/>
      <c r="D1211" s="544"/>
      <c r="E1211" s="544" t="s">
        <v>2284</v>
      </c>
      <c r="F1211" s="544"/>
      <c r="G1211" s="543" t="str">
        <f t="shared" si="370"/>
        <v/>
      </c>
      <c r="H1211" s="541" t="s">
        <v>3758</v>
      </c>
      <c r="I1211" s="3"/>
      <c r="J1211" s="20" t="s">
        <v>2284</v>
      </c>
      <c r="K1211" s="3"/>
      <c r="L1211" s="857" t="s">
        <v>3242</v>
      </c>
      <c r="M1211" s="829" t="str">
        <f ca="1">IF(R1211,"Mandatory per 902.2.1","N/A")</f>
        <v>N/A</v>
      </c>
      <c r="N1211" s="3"/>
      <c r="O1211" s="609"/>
      <c r="P1211" s="562" t="b">
        <v>0</v>
      </c>
      <c r="Q1211" s="562" t="b">
        <v>1</v>
      </c>
      <c r="R1211" s="1" t="b">
        <f ca="1">AND(S1211,OR($O$1121&gt;0,$R$1121))</f>
        <v>0</v>
      </c>
      <c r="S1211" s="562" t="b">
        <f>IF(AY1202=INDEX(ddSingleOrMulti,1),TRUE,FALSE)</f>
        <v>1</v>
      </c>
      <c r="T1211" s="64" t="b">
        <f>AND(NOT(S1211),W1211=TRUE)</f>
        <v>0</v>
      </c>
      <c r="U1211" s="562"/>
      <c r="V1211" s="562"/>
      <c r="W1211" s="18"/>
      <c r="X1211" s="825"/>
      <c r="Y1211" s="969" t="str">
        <f>IF(LEN('Ch10'!X28)=0,"None",'Ch10'!X28)</f>
        <v>None</v>
      </c>
      <c r="Z1211" s="972"/>
      <c r="AA1211" s="562"/>
      <c r="AB1211" s="562"/>
      <c r="AC1211" s="562" t="b">
        <f ca="1">OR(AD1211:AE1211)</f>
        <v>0</v>
      </c>
      <c r="AD1211" s="562" t="b">
        <f>T1211</f>
        <v>0</v>
      </c>
      <c r="AE1211" s="562" t="b">
        <f ca="1">AND(R1211,NOT(W1211=TRUE))</f>
        <v>0</v>
      </c>
      <c r="AF1211" s="562" t="b">
        <f ca="1">AND(AE1211,NOT(Q1211))</f>
        <v>0</v>
      </c>
      <c r="AG1211" s="562"/>
      <c r="AH1211" s="562"/>
      <c r="AI1211" s="562"/>
      <c r="AJ1211" s="562"/>
      <c r="AK1211" s="562"/>
      <c r="AL1211" s="562"/>
      <c r="AM1211" s="562"/>
      <c r="AN1211" s="562"/>
      <c r="AO1211" s="562"/>
      <c r="AP1211" s="190" t="str">
        <f t="shared" si="377"/>
        <v>vch1001,1_9</v>
      </c>
      <c r="AQ1211" s="190">
        <f>W1211</f>
        <v>0</v>
      </c>
      <c r="AR1211" s="190" t="str">
        <f t="shared" si="378"/>
        <v>vnt1001,1_9</v>
      </c>
      <c r="AS1211" s="190">
        <f>X1211</f>
        <v>0</v>
      </c>
      <c r="AT1211" s="562"/>
      <c r="AU1211" s="562"/>
      <c r="AV1211" s="562"/>
      <c r="AW1211" s="562"/>
      <c r="AX1211" s="594" t="str">
        <f>'Overview (Verification)'!A25</f>
        <v xml:space="preserve">Project Description (optional): </v>
      </c>
      <c r="AY1211" s="562" t="str">
        <f>IF(LEN('Overview (Verification)'!P25)=0,0,'Overview (Verification)'!P25)</f>
        <v>Test Description</v>
      </c>
      <c r="AZ1211" s="562"/>
      <c r="BA1211" s="562"/>
      <c r="BB1211" s="562"/>
      <c r="BC1211" s="562"/>
      <c r="BD1211" s="562"/>
      <c r="BE1211" s="562"/>
      <c r="BF1211" s="562"/>
      <c r="BG1211" s="562"/>
      <c r="BH1211" s="562"/>
      <c r="BI1211" s="562"/>
      <c r="BJ1211" s="562"/>
      <c r="BK1211" s="562"/>
      <c r="BL1211" s="562"/>
      <c r="BM1211" s="562"/>
    </row>
    <row r="1212" spans="1:65" x14ac:dyDescent="0.2">
      <c r="A1212" s="541">
        <v>10</v>
      </c>
      <c r="B1212" s="551">
        <v>1001.1</v>
      </c>
      <c r="C1212" s="544"/>
      <c r="D1212" s="544"/>
      <c r="E1212" s="544" t="s">
        <v>2284</v>
      </c>
      <c r="F1212" s="544"/>
      <c r="G1212" s="543" t="str">
        <f t="shared" si="370"/>
        <v/>
      </c>
      <c r="H1212" s="541" t="s">
        <v>3758</v>
      </c>
      <c r="I1212" s="3"/>
      <c r="J1212" s="20"/>
      <c r="K1212" s="3"/>
      <c r="L1212" s="777"/>
      <c r="M1212" s="829"/>
      <c r="N1212" s="3"/>
      <c r="O1212" s="609"/>
      <c r="P1212" s="562"/>
      <c r="Q1212" s="562"/>
      <c r="R1212" s="562"/>
      <c r="S1212" s="562"/>
      <c r="T1212" s="64"/>
      <c r="U1212" s="562"/>
      <c r="V1212" s="562"/>
      <c r="W1212" s="562"/>
      <c r="X1212" s="786"/>
      <c r="Y1212" s="975"/>
      <c r="Z1212" s="976"/>
      <c r="AA1212" s="562"/>
      <c r="AB1212" s="562"/>
      <c r="AC1212" s="562"/>
      <c r="AD1212" s="562"/>
      <c r="AE1212" s="562"/>
      <c r="AF1212" s="562"/>
      <c r="AG1212" s="562"/>
      <c r="AH1212" s="562"/>
      <c r="AI1212" s="562"/>
      <c r="AJ1212" s="562"/>
      <c r="AK1212" s="562"/>
      <c r="AL1212" s="562"/>
      <c r="AM1212" s="562"/>
      <c r="AN1212" s="562"/>
      <c r="AO1212" s="562"/>
      <c r="AP1212" s="190"/>
      <c r="AQ1212" s="190"/>
      <c r="AR1212" s="190"/>
      <c r="AS1212" s="190"/>
      <c r="AT1212" s="562"/>
      <c r="AU1212" s="562"/>
      <c r="AV1212" s="562"/>
      <c r="AW1212" s="562"/>
      <c r="AX1212" s="562"/>
      <c r="AY1212" s="562"/>
      <c r="AZ1212" s="562"/>
      <c r="BA1212" s="562"/>
      <c r="BB1212" s="562"/>
      <c r="BC1212" s="562"/>
      <c r="BD1212" s="562"/>
      <c r="BE1212" s="562"/>
      <c r="BF1212" s="562"/>
      <c r="BG1212" s="562"/>
      <c r="BH1212" s="562"/>
      <c r="BI1212" s="562"/>
      <c r="BJ1212" s="562"/>
      <c r="BK1212" s="562"/>
      <c r="BL1212" s="562"/>
      <c r="BM1212" s="562"/>
    </row>
    <row r="1213" spans="1:65" ht="16" x14ac:dyDescent="0.2">
      <c r="A1213" s="541">
        <v>10</v>
      </c>
      <c r="B1213" s="551">
        <v>1001.1</v>
      </c>
      <c r="C1213" s="544"/>
      <c r="D1213" s="544"/>
      <c r="E1213" s="544" t="s">
        <v>2286</v>
      </c>
      <c r="F1213" s="544"/>
      <c r="G1213" s="543" t="str">
        <f>G1211</f>
        <v/>
      </c>
      <c r="H1213" s="541" t="s">
        <v>3758</v>
      </c>
      <c r="I1213" s="3"/>
      <c r="J1213" s="161" t="s">
        <v>2286</v>
      </c>
      <c r="K1213" s="186"/>
      <c r="L1213" s="205" t="s">
        <v>3243</v>
      </c>
      <c r="M1213" s="609"/>
      <c r="N1213" s="3"/>
      <c r="O1213" s="609"/>
      <c r="P1213" s="562" t="b">
        <v>0</v>
      </c>
      <c r="Q1213" s="562" t="b">
        <v>1</v>
      </c>
      <c r="R1213" s="562" t="b">
        <v>0</v>
      </c>
      <c r="S1213" s="562" t="b">
        <f>IF(AY1202=INDEX(ddSingleOrMulti,1),TRUE,FALSE)</f>
        <v>1</v>
      </c>
      <c r="T1213" s="64" t="b">
        <f>AND(NOT(S1213),W1213=TRUE)</f>
        <v>0</v>
      </c>
      <c r="U1213" s="562"/>
      <c r="V1213" s="562"/>
      <c r="W1213" s="18"/>
      <c r="X1213" s="563"/>
      <c r="Y1213" s="578" t="str">
        <f>IF(LEN('Ch10'!X30)=0,"None",'Ch10'!X30)</f>
        <v>None</v>
      </c>
      <c r="Z1213" s="579"/>
      <c r="AA1213" s="562"/>
      <c r="AB1213" s="562"/>
      <c r="AC1213" s="562" t="b">
        <f>OR(AD1213:AE1213)</f>
        <v>0</v>
      </c>
      <c r="AD1213" s="562" t="b">
        <f>T1213</f>
        <v>0</v>
      </c>
      <c r="AE1213" s="562"/>
      <c r="AF1213" s="562"/>
      <c r="AG1213" s="562"/>
      <c r="AH1213" s="562"/>
      <c r="AI1213" s="562"/>
      <c r="AJ1213" s="562"/>
      <c r="AK1213" s="562"/>
      <c r="AL1213" s="562"/>
      <c r="AM1213" s="562"/>
      <c r="AN1213" s="562"/>
      <c r="AO1213" s="562"/>
      <c r="AP1213" s="190" t="str">
        <f t="shared" si="377"/>
        <v>vch1001,1_10</v>
      </c>
      <c r="AQ1213" s="190">
        <f>W1213</f>
        <v>0</v>
      </c>
      <c r="AR1213" s="190" t="str">
        <f t="shared" si="378"/>
        <v>vnt1001,1_10</v>
      </c>
      <c r="AS1213" s="190">
        <f>X1213</f>
        <v>0</v>
      </c>
      <c r="AT1213" s="562"/>
      <c r="AU1213" s="562"/>
      <c r="AV1213" s="562"/>
      <c r="AW1213" s="562"/>
      <c r="AX1213" s="594" t="str">
        <f>'Overview (Verification)'!A27</f>
        <v>HERS Index (if available):</v>
      </c>
      <c r="AY1213" s="562">
        <f>IF(LEN('Overview (Verification)'!P27)=0,0,'Overview (Verification)'!P27)</f>
        <v>0</v>
      </c>
      <c r="AZ1213" s="562"/>
      <c r="BA1213" s="562"/>
      <c r="BB1213" s="562"/>
      <c r="BC1213" s="562"/>
      <c r="BD1213" s="562"/>
      <c r="BE1213" s="562"/>
      <c r="BF1213" s="562"/>
      <c r="BG1213" s="562"/>
      <c r="BH1213" s="562"/>
      <c r="BI1213" s="562"/>
      <c r="BJ1213" s="562"/>
      <c r="BK1213" s="562"/>
      <c r="BL1213" s="562"/>
      <c r="BM1213" s="562"/>
    </row>
    <row r="1214" spans="1:65" ht="15" customHeight="1" x14ac:dyDescent="0.2">
      <c r="A1214" s="541">
        <v>10</v>
      </c>
      <c r="B1214" s="551">
        <v>1001.1</v>
      </c>
      <c r="C1214" s="544"/>
      <c r="D1214" s="544"/>
      <c r="E1214" s="544" t="s">
        <v>2288</v>
      </c>
      <c r="F1214" s="544"/>
      <c r="G1214" s="543" t="str">
        <f t="shared" si="370"/>
        <v/>
      </c>
      <c r="H1214" s="541" t="s">
        <v>3758</v>
      </c>
      <c r="I1214" s="3"/>
      <c r="J1214" s="20" t="s">
        <v>2288</v>
      </c>
      <c r="K1214" s="3"/>
      <c r="L1214" s="632" t="s">
        <v>3244</v>
      </c>
      <c r="M1214" s="609"/>
      <c r="N1214" s="3"/>
      <c r="O1214" s="609"/>
      <c r="P1214" s="562" t="b">
        <v>0</v>
      </c>
      <c r="Q1214" s="562" t="b">
        <v>1</v>
      </c>
      <c r="R1214" s="562" t="b">
        <v>0</v>
      </c>
      <c r="S1214" s="562" t="b">
        <f>IF(AY1202=INDEX(ddSingleOrMulti,1),TRUE,FALSE)</f>
        <v>1</v>
      </c>
      <c r="T1214" s="64" t="b">
        <f>AND(NOT(S1214),W1214=TRUE)</f>
        <v>0</v>
      </c>
      <c r="U1214" s="562"/>
      <c r="V1214" s="562"/>
      <c r="W1214" s="18"/>
      <c r="X1214" s="563"/>
      <c r="Y1214" s="578" t="str">
        <f>IF(LEN('Ch10'!X31)=0,"None",'Ch10'!X31)</f>
        <v>None</v>
      </c>
      <c r="Z1214" s="579"/>
      <c r="AA1214" s="562"/>
      <c r="AB1214" s="562"/>
      <c r="AC1214" s="562" t="b">
        <f>OR(AD1214:AE1214)</f>
        <v>0</v>
      </c>
      <c r="AD1214" s="562" t="b">
        <f>T1214</f>
        <v>0</v>
      </c>
      <c r="AE1214" s="562"/>
      <c r="AF1214" s="562"/>
      <c r="AG1214" s="562"/>
      <c r="AH1214" s="562"/>
      <c r="AI1214" s="562"/>
      <c r="AJ1214" s="562"/>
      <c r="AK1214" s="562"/>
      <c r="AL1214" s="562"/>
      <c r="AM1214" s="562"/>
      <c r="AN1214" s="562"/>
      <c r="AO1214" s="562"/>
      <c r="AP1214" s="190" t="str">
        <f t="shared" si="377"/>
        <v>vch1001,1_11</v>
      </c>
      <c r="AQ1214" s="190">
        <f>W1214</f>
        <v>0</v>
      </c>
      <c r="AR1214" s="190" t="str">
        <f t="shared" si="378"/>
        <v>vnt1001,1_11</v>
      </c>
      <c r="AS1214" s="190">
        <f>X1214</f>
        <v>0</v>
      </c>
      <c r="AT1214" s="562"/>
      <c r="AU1214" s="562"/>
      <c r="AV1214" s="562"/>
      <c r="AW1214" s="562"/>
      <c r="AX1214" s="594" t="str">
        <f>'Overview (Verification)'!A28</f>
        <v>Foundation Type:</v>
      </c>
      <c r="AY1214" s="562">
        <f>IF(LEN('Overview (Verification)'!P28)=0,0,'Overview (Verification)'!P28)</f>
        <v>0</v>
      </c>
      <c r="AZ1214" s="562"/>
      <c r="BA1214" s="562"/>
      <c r="BB1214" s="562"/>
      <c r="BC1214" s="562"/>
      <c r="BD1214" s="562"/>
      <c r="BE1214" s="562"/>
      <c r="BF1214" s="562"/>
      <c r="BG1214" s="562"/>
      <c r="BH1214" s="562"/>
      <c r="BI1214" s="562"/>
      <c r="BJ1214" s="562"/>
      <c r="BK1214" s="562"/>
      <c r="BL1214" s="562"/>
      <c r="BM1214" s="562"/>
    </row>
    <row r="1215" spans="1:65" x14ac:dyDescent="0.2">
      <c r="A1215" s="541">
        <v>10</v>
      </c>
      <c r="B1215" s="551">
        <v>1001.1</v>
      </c>
      <c r="C1215" s="544"/>
      <c r="D1215" s="544"/>
      <c r="E1215" s="544" t="s">
        <v>2290</v>
      </c>
      <c r="F1215" s="544"/>
      <c r="G1215" s="543" t="str">
        <f t="shared" si="370"/>
        <v/>
      </c>
      <c r="H1215" s="541" t="s">
        <v>3758</v>
      </c>
      <c r="I1215" s="3"/>
      <c r="J1215" s="164" t="s">
        <v>2290</v>
      </c>
      <c r="K1215" s="146"/>
      <c r="L1215" s="831" t="s">
        <v>3245</v>
      </c>
      <c r="M1215" s="609"/>
      <c r="N1215" s="3"/>
      <c r="O1215" s="609"/>
      <c r="P1215" s="562" t="b">
        <v>0</v>
      </c>
      <c r="Q1215" s="562" t="b">
        <v>1</v>
      </c>
      <c r="R1215" s="562" t="b">
        <v>0</v>
      </c>
      <c r="S1215" s="562" t="b">
        <f>IF(AY1202=INDEX(ddSingleOrMulti,1),TRUE,FALSE)</f>
        <v>1</v>
      </c>
      <c r="T1215" s="64" t="b">
        <f>AND(NOT(S1215),W1215=TRUE)</f>
        <v>0</v>
      </c>
      <c r="U1215" s="562"/>
      <c r="V1215" s="562"/>
      <c r="W1215" s="18"/>
      <c r="X1215" s="787"/>
      <c r="Y1215" s="980" t="str">
        <f>IF(LEN('Ch10'!X32)=0,"None",'Ch10'!X32)</f>
        <v>None</v>
      </c>
      <c r="Z1215" s="983"/>
      <c r="AA1215" s="562"/>
      <c r="AB1215" s="562"/>
      <c r="AC1215" s="562" t="b">
        <f>OR(AD1215:AE1215)</f>
        <v>0</v>
      </c>
      <c r="AD1215" s="562" t="b">
        <f>T1215</f>
        <v>0</v>
      </c>
      <c r="AE1215" s="562"/>
      <c r="AF1215" s="562"/>
      <c r="AG1215" s="562"/>
      <c r="AH1215" s="562"/>
      <c r="AI1215" s="562"/>
      <c r="AJ1215" s="562"/>
      <c r="AK1215" s="562"/>
      <c r="AL1215" s="562"/>
      <c r="AM1215" s="562"/>
      <c r="AN1215" s="562"/>
      <c r="AO1215" s="562"/>
      <c r="AP1215" s="190" t="str">
        <f t="shared" si="377"/>
        <v>vch1001,1_12</v>
      </c>
      <c r="AQ1215" s="190">
        <f>W1215</f>
        <v>0</v>
      </c>
      <c r="AR1215" s="190" t="str">
        <f t="shared" si="378"/>
        <v>vnt1001,1_12</v>
      </c>
      <c r="AS1215" s="190">
        <f>X1215</f>
        <v>0</v>
      </c>
      <c r="AT1215" s="562"/>
      <c r="AU1215" s="562"/>
      <c r="AV1215" s="562"/>
      <c r="AW1215" s="562"/>
      <c r="AX1215" s="594"/>
      <c r="AY1215" s="562"/>
      <c r="AZ1215" s="562"/>
      <c r="BA1215" s="562"/>
      <c r="BB1215" s="562"/>
      <c r="BC1215" s="562"/>
      <c r="BD1215" s="562"/>
      <c r="BE1215" s="562"/>
      <c r="BF1215" s="562"/>
      <c r="BG1215" s="562"/>
      <c r="BH1215" s="562"/>
      <c r="BI1215" s="562"/>
      <c r="BJ1215" s="562"/>
      <c r="BK1215" s="562"/>
      <c r="BL1215" s="562"/>
      <c r="BM1215" s="562"/>
    </row>
    <row r="1216" spans="1:65" x14ac:dyDescent="0.2">
      <c r="A1216" s="541">
        <v>10</v>
      </c>
      <c r="B1216" s="551">
        <v>1001.1</v>
      </c>
      <c r="C1216" s="544"/>
      <c r="D1216" s="544"/>
      <c r="E1216" s="544" t="s">
        <v>2290</v>
      </c>
      <c r="F1216" s="544"/>
      <c r="G1216" s="543" t="str">
        <f t="shared" si="370"/>
        <v/>
      </c>
      <c r="H1216" s="541" t="s">
        <v>3758</v>
      </c>
      <c r="I1216" s="3"/>
      <c r="J1216" s="98"/>
      <c r="K1216" s="98"/>
      <c r="L1216" s="791"/>
      <c r="M1216" s="609"/>
      <c r="N1216" s="3"/>
      <c r="O1216" s="609"/>
      <c r="P1216" s="562"/>
      <c r="Q1216" s="562"/>
      <c r="R1216" s="562"/>
      <c r="S1216" s="562"/>
      <c r="T1216" s="562"/>
      <c r="U1216" s="562"/>
      <c r="V1216" s="562"/>
      <c r="W1216" s="562"/>
      <c r="X1216" s="787"/>
      <c r="Y1216" s="980"/>
      <c r="Z1216" s="983"/>
      <c r="AA1216" s="562"/>
      <c r="AB1216" s="562"/>
      <c r="AC1216" s="562"/>
      <c r="AD1216" s="562"/>
      <c r="AE1216" s="562"/>
      <c r="AF1216" s="562"/>
      <c r="AG1216" s="562"/>
      <c r="AH1216" s="562"/>
      <c r="AI1216" s="562"/>
      <c r="AJ1216" s="562"/>
      <c r="AK1216" s="562"/>
      <c r="AL1216" s="562"/>
      <c r="AM1216" s="562"/>
      <c r="AN1216" s="562"/>
      <c r="AO1216" s="562"/>
      <c r="AP1216" s="562"/>
      <c r="AQ1216" s="562"/>
      <c r="AR1216" s="562"/>
      <c r="AS1216" s="562"/>
      <c r="AT1216" s="562"/>
      <c r="AU1216" s="562"/>
      <c r="AV1216" s="562"/>
      <c r="AW1216" s="562"/>
      <c r="AX1216" s="594" t="str">
        <f>'Overview (Verification)'!A30</f>
        <v>Type of Heating System (main system):</v>
      </c>
      <c r="AY1216" s="562">
        <f>IF(LEN('Overview (Verification)'!P30)=0,0,'Overview (Verification)'!P30)</f>
        <v>0</v>
      </c>
      <c r="AZ1216" s="562"/>
      <c r="BA1216" s="562"/>
      <c r="BB1216" s="562"/>
      <c r="BC1216" s="562"/>
      <c r="BD1216" s="562"/>
      <c r="BE1216" s="562"/>
      <c r="BF1216" s="562"/>
      <c r="BG1216" s="562"/>
      <c r="BH1216" s="562"/>
      <c r="BI1216" s="562"/>
      <c r="BJ1216" s="562"/>
      <c r="BK1216" s="562"/>
      <c r="BL1216" s="562"/>
      <c r="BM1216" s="562"/>
    </row>
    <row r="1217" spans="1:65" x14ac:dyDescent="0.2">
      <c r="A1217" s="541">
        <v>10</v>
      </c>
      <c r="B1217" s="551">
        <v>1001.1</v>
      </c>
      <c r="C1217" s="544"/>
      <c r="D1217" s="544"/>
      <c r="E1217" s="544" t="s">
        <v>2290</v>
      </c>
      <c r="F1217" s="544" t="s">
        <v>2196</v>
      </c>
      <c r="G1217" s="543" t="str">
        <f t="shared" si="370"/>
        <v/>
      </c>
      <c r="H1217" s="545" t="s">
        <v>3758</v>
      </c>
      <c r="I1217" s="3"/>
      <c r="J1217" s="98"/>
      <c r="K1217" s="134" t="s">
        <v>2196</v>
      </c>
      <c r="L1217" s="598" t="s">
        <v>3246</v>
      </c>
      <c r="M1217" s="609"/>
      <c r="N1217" s="3"/>
      <c r="O1217" s="609"/>
      <c r="P1217" s="562"/>
      <c r="Q1217" s="562"/>
      <c r="R1217" s="562"/>
      <c r="S1217" s="562"/>
      <c r="T1217" s="562"/>
      <c r="U1217" s="562"/>
      <c r="V1217" s="562"/>
      <c r="W1217" s="562"/>
      <c r="X1217" s="787"/>
      <c r="Y1217" s="980"/>
      <c r="Z1217" s="983"/>
      <c r="AA1217" s="562"/>
      <c r="AB1217" s="562"/>
      <c r="AC1217" s="562"/>
      <c r="AD1217" s="562"/>
      <c r="AE1217" s="562"/>
      <c r="AF1217" s="562"/>
      <c r="AG1217" s="562"/>
      <c r="AH1217" s="562"/>
      <c r="AI1217" s="562"/>
      <c r="AJ1217" s="562"/>
      <c r="AK1217" s="562"/>
      <c r="AL1217" s="562"/>
      <c r="AM1217" s="562"/>
      <c r="AN1217" s="562"/>
      <c r="AO1217" s="562"/>
      <c r="AP1217" s="562"/>
      <c r="AQ1217" s="562"/>
      <c r="AR1217" s="562"/>
      <c r="AS1217" s="562"/>
      <c r="AT1217" s="562"/>
      <c r="AU1217" s="562"/>
      <c r="AV1217" s="562"/>
      <c r="AW1217" s="562"/>
      <c r="AX1217" s="594" t="str">
        <f>'Overview (Verification)'!A31</f>
        <v>Type of Heating System (system 2):</v>
      </c>
      <c r="AY1217" s="562">
        <f>IF(LEN('Overview (Verification)'!P31)=0,0,'Overview (Verification)'!P31)</f>
        <v>0</v>
      </c>
      <c r="AZ1217" s="562"/>
      <c r="BA1217" s="562"/>
      <c r="BB1217" s="562"/>
      <c r="BC1217" s="562"/>
      <c r="BD1217" s="562"/>
      <c r="BE1217" s="562"/>
      <c r="BF1217" s="562"/>
      <c r="BG1217" s="562"/>
      <c r="BH1217" s="562"/>
      <c r="BI1217" s="562"/>
      <c r="BJ1217" s="562"/>
      <c r="BK1217" s="562"/>
      <c r="BL1217" s="562"/>
      <c r="BM1217" s="562"/>
    </row>
    <row r="1218" spans="1:65" ht="15" customHeight="1" x14ac:dyDescent="0.2">
      <c r="A1218" s="541">
        <v>10</v>
      </c>
      <c r="B1218" s="551">
        <v>1001.1</v>
      </c>
      <c r="C1218" s="544"/>
      <c r="D1218" s="544"/>
      <c r="E1218" s="544" t="s">
        <v>2290</v>
      </c>
      <c r="F1218" s="544" t="s">
        <v>2198</v>
      </c>
      <c r="G1218" s="543" t="str">
        <f t="shared" si="370"/>
        <v/>
      </c>
      <c r="H1218" s="545" t="s">
        <v>3758</v>
      </c>
      <c r="I1218" s="3"/>
      <c r="J1218" s="98"/>
      <c r="K1218" s="134" t="s">
        <v>2198</v>
      </c>
      <c r="L1218" s="598" t="s">
        <v>3247</v>
      </c>
      <c r="M1218" s="609"/>
      <c r="N1218" s="3"/>
      <c r="O1218" s="609"/>
      <c r="P1218" s="562"/>
      <c r="Q1218" s="562"/>
      <c r="R1218" s="562"/>
      <c r="S1218" s="562"/>
      <c r="T1218" s="562"/>
      <c r="U1218" s="562"/>
      <c r="V1218" s="562"/>
      <c r="W1218" s="562"/>
      <c r="X1218" s="787"/>
      <c r="Y1218" s="980"/>
      <c r="Z1218" s="983"/>
      <c r="AA1218" s="562"/>
      <c r="AB1218" s="562"/>
      <c r="AC1218" s="562"/>
      <c r="AD1218" s="562"/>
      <c r="AE1218" s="562"/>
      <c r="AF1218" s="562"/>
      <c r="AG1218" s="562"/>
      <c r="AH1218" s="562"/>
      <c r="AI1218" s="562"/>
      <c r="AJ1218" s="562"/>
      <c r="AK1218" s="562"/>
      <c r="AL1218" s="562"/>
      <c r="AM1218" s="562"/>
      <c r="AN1218" s="562"/>
      <c r="AO1218" s="562"/>
      <c r="AP1218" s="562"/>
      <c r="AQ1218" s="562"/>
      <c r="AR1218" s="562"/>
      <c r="AS1218" s="562"/>
      <c r="AT1218" s="562"/>
      <c r="AU1218" s="562"/>
      <c r="AV1218" s="562"/>
      <c r="AW1218" s="562"/>
      <c r="AX1218" s="594" t="str">
        <f>'Overview (Verification)'!A32</f>
        <v>Type of Heating System (system 3):</v>
      </c>
      <c r="AY1218" s="562">
        <f>IF(LEN('Overview (Verification)'!P32)=0,0,'Overview (Verification)'!P32)</f>
        <v>0</v>
      </c>
      <c r="AZ1218" s="562"/>
      <c r="BA1218" s="562"/>
      <c r="BB1218" s="562"/>
      <c r="BC1218" s="562"/>
      <c r="BD1218" s="562"/>
      <c r="BE1218" s="562"/>
      <c r="BF1218" s="562"/>
      <c r="BG1218" s="562"/>
      <c r="BH1218" s="562"/>
      <c r="BI1218" s="562"/>
      <c r="BJ1218" s="562"/>
      <c r="BK1218" s="562"/>
      <c r="BL1218" s="562"/>
      <c r="BM1218" s="562"/>
    </row>
    <row r="1219" spans="1:65" s="438" customFormat="1" ht="15" customHeight="1" x14ac:dyDescent="0.2">
      <c r="A1219" s="541">
        <v>10</v>
      </c>
      <c r="B1219" s="551">
        <v>1001.1</v>
      </c>
      <c r="C1219" s="544"/>
      <c r="D1219" s="544"/>
      <c r="E1219" s="544" t="s">
        <v>2290</v>
      </c>
      <c r="F1219" s="544" t="s">
        <v>2200</v>
      </c>
      <c r="G1219" s="543" t="str">
        <f t="shared" si="370"/>
        <v/>
      </c>
      <c r="H1219" s="545" t="s">
        <v>3758</v>
      </c>
      <c r="I1219" s="3"/>
      <c r="J1219" s="98"/>
      <c r="K1219" s="134" t="s">
        <v>2200</v>
      </c>
      <c r="L1219" s="791" t="s">
        <v>3248</v>
      </c>
      <c r="M1219" s="609"/>
      <c r="N1219" s="3"/>
      <c r="O1219" s="609"/>
      <c r="P1219" s="562"/>
      <c r="Q1219" s="562"/>
      <c r="R1219" s="562"/>
      <c r="S1219" s="562"/>
      <c r="T1219" s="562"/>
      <c r="U1219" s="562"/>
      <c r="V1219" s="562"/>
      <c r="W1219" s="562"/>
      <c r="X1219" s="787"/>
      <c r="Y1219" s="980"/>
      <c r="Z1219" s="983"/>
      <c r="AA1219" s="562"/>
      <c r="AB1219" s="562"/>
      <c r="AC1219" s="562"/>
      <c r="AD1219" s="562"/>
      <c r="AE1219" s="562"/>
      <c r="AF1219" s="562"/>
      <c r="AG1219" s="562"/>
      <c r="AH1219" s="562"/>
      <c r="AI1219" s="562"/>
      <c r="AJ1219" s="562"/>
      <c r="AK1219" s="562"/>
      <c r="AL1219" s="562"/>
      <c r="AM1219" s="562"/>
      <c r="AN1219" s="562"/>
      <c r="AO1219" s="562"/>
      <c r="AP1219" s="562"/>
      <c r="AQ1219" s="562"/>
      <c r="AR1219" s="562"/>
      <c r="AS1219" s="562"/>
      <c r="AT1219" s="562"/>
      <c r="AU1219" s="562"/>
      <c r="AV1219" s="562"/>
      <c r="AW1219" s="562"/>
      <c r="AX1219" s="594" t="str">
        <f>'Overview (Verification)'!A33</f>
        <v>Heating Fuel:</v>
      </c>
      <c r="AY1219" s="562">
        <f>IF(LEN('Overview (Verification)'!P33)=0,0,'Overview (Verification)'!P33)</f>
        <v>0</v>
      </c>
      <c r="AZ1219" s="562"/>
      <c r="BA1219" s="562"/>
      <c r="BB1219" s="562"/>
      <c r="BC1219" s="562"/>
      <c r="BD1219" s="562"/>
      <c r="BE1219" s="562"/>
      <c r="BF1219" s="562"/>
      <c r="BG1219" s="562"/>
      <c r="BH1219" s="562"/>
      <c r="BI1219" s="562"/>
      <c r="BJ1219" s="562"/>
      <c r="BK1219" s="562"/>
      <c r="BL1219" s="562"/>
      <c r="BM1219" s="562"/>
    </row>
    <row r="1220" spans="1:65" x14ac:dyDescent="0.2">
      <c r="A1220" s="541">
        <v>10</v>
      </c>
      <c r="B1220" s="551">
        <v>1001.1</v>
      </c>
      <c r="C1220" s="544"/>
      <c r="D1220" s="544"/>
      <c r="E1220" s="544" t="s">
        <v>2290</v>
      </c>
      <c r="F1220" s="544"/>
      <c r="G1220" s="543" t="str">
        <f t="shared" si="370"/>
        <v/>
      </c>
      <c r="H1220" s="541" t="s">
        <v>3758</v>
      </c>
      <c r="I1220" s="3"/>
      <c r="J1220" s="165"/>
      <c r="K1220" s="165"/>
      <c r="L1220" s="792"/>
      <c r="M1220" s="609"/>
      <c r="N1220" s="3"/>
      <c r="O1220" s="609"/>
      <c r="P1220" s="562"/>
      <c r="Q1220" s="562"/>
      <c r="R1220" s="562"/>
      <c r="S1220" s="562"/>
      <c r="T1220" s="562"/>
      <c r="U1220" s="562"/>
      <c r="V1220" s="562"/>
      <c r="W1220" s="562"/>
      <c r="X1220" s="787"/>
      <c r="Y1220" s="980"/>
      <c r="Z1220" s="983"/>
      <c r="AA1220" s="562"/>
      <c r="AB1220" s="562"/>
      <c r="AC1220" s="562"/>
      <c r="AD1220" s="562"/>
      <c r="AE1220" s="562"/>
      <c r="AF1220" s="562"/>
      <c r="AG1220" s="562"/>
      <c r="AH1220" s="562"/>
      <c r="AI1220" s="562"/>
      <c r="AJ1220" s="562"/>
      <c r="AK1220" s="562"/>
      <c r="AL1220" s="562"/>
      <c r="AM1220" s="562"/>
      <c r="AN1220" s="562"/>
      <c r="AO1220" s="562"/>
      <c r="AP1220" s="562"/>
      <c r="AQ1220" s="562"/>
      <c r="AR1220" s="562"/>
      <c r="AS1220" s="562"/>
      <c r="AT1220" s="562"/>
      <c r="AU1220" s="562"/>
      <c r="AV1220" s="562"/>
      <c r="AW1220" s="562"/>
      <c r="AX1220" s="594" t="str">
        <f>'Overview (Verification)'!A34</f>
        <v>Heating Ducts:</v>
      </c>
      <c r="AY1220" s="562">
        <f>IF(LEN('Overview (Verification)'!P34)=0,0,'Overview (Verification)'!P34)</f>
        <v>0</v>
      </c>
      <c r="AZ1220" s="562"/>
      <c r="BA1220" s="562"/>
      <c r="BB1220" s="562"/>
      <c r="BC1220" s="562"/>
      <c r="BD1220" s="562"/>
      <c r="BE1220" s="562"/>
      <c r="BF1220" s="562"/>
      <c r="BG1220" s="562"/>
      <c r="BH1220" s="562"/>
      <c r="BI1220" s="562"/>
      <c r="BJ1220" s="562"/>
      <c r="BK1220" s="562"/>
      <c r="BL1220" s="562"/>
      <c r="BM1220" s="562"/>
    </row>
    <row r="1221" spans="1:65" ht="15" customHeight="1" x14ac:dyDescent="0.2">
      <c r="A1221" s="541">
        <v>10</v>
      </c>
      <c r="B1221" s="551">
        <v>1001.1</v>
      </c>
      <c r="C1221" s="544"/>
      <c r="D1221" s="544"/>
      <c r="E1221" s="544" t="s">
        <v>3249</v>
      </c>
      <c r="F1221" s="544"/>
      <c r="G1221" s="543" t="str">
        <f t="shared" si="370"/>
        <v/>
      </c>
      <c r="H1221" s="541" t="s">
        <v>3758</v>
      </c>
      <c r="I1221" s="3"/>
      <c r="J1221" s="164" t="s">
        <v>3249</v>
      </c>
      <c r="K1221" s="146"/>
      <c r="L1221" s="831" t="s">
        <v>3250</v>
      </c>
      <c r="M1221" s="609"/>
      <c r="N1221" s="3"/>
      <c r="O1221" s="609"/>
      <c r="P1221" s="562" t="b">
        <v>0</v>
      </c>
      <c r="Q1221" s="562" t="b">
        <v>1</v>
      </c>
      <c r="R1221" s="562" t="b">
        <v>0</v>
      </c>
      <c r="S1221" s="562" t="b">
        <f>IF(AY1202=INDEX(ddSingleOrMulti,1),TRUE,FALSE)</f>
        <v>1</v>
      </c>
      <c r="T1221" s="64" t="b">
        <f>AND(NOT(S1221),W1221=TRUE)</f>
        <v>0</v>
      </c>
      <c r="U1221" s="562"/>
      <c r="V1221" s="562"/>
      <c r="W1221" s="18"/>
      <c r="X1221" s="787"/>
      <c r="Y1221" s="980" t="str">
        <f>IF(LEN('Ch10'!X38)=0,"None",'Ch10'!X38)</f>
        <v>None</v>
      </c>
      <c r="Z1221" s="983"/>
      <c r="AA1221" s="562"/>
      <c r="AB1221" s="562"/>
      <c r="AC1221" s="562" t="b">
        <f>OR(AD1221:AE1221)</f>
        <v>0</v>
      </c>
      <c r="AD1221" s="562" t="b">
        <f>T1221</f>
        <v>0</v>
      </c>
      <c r="AE1221" s="562"/>
      <c r="AF1221" s="562"/>
      <c r="AG1221" s="562"/>
      <c r="AH1221" s="562"/>
      <c r="AI1221" s="562"/>
      <c r="AJ1221" s="562"/>
      <c r="AK1221" s="562"/>
      <c r="AL1221" s="562"/>
      <c r="AM1221" s="562"/>
      <c r="AN1221" s="562"/>
      <c r="AO1221" s="562"/>
      <c r="AP1221" s="190" t="str">
        <f>SUBSTITUTE(SUBSTITUTE(SUBSTITUTE("vch"&amp;$B1221&amp;$C1221&amp;$D1221&amp;$E1221&amp;$F1221,".","_"),"(","_"),")","")</f>
        <v>vch1001,1_13</v>
      </c>
      <c r="AQ1221" s="190">
        <f>W1221</f>
        <v>0</v>
      </c>
      <c r="AR1221" s="190" t="str">
        <f>SUBSTITUTE(SUBSTITUTE(SUBSTITUTE("vnt"&amp;$B1221&amp;$C1221&amp;$D1221&amp;$E1221&amp;$F1221,".","_"),"(","_"),")","")</f>
        <v>vnt1001,1_13</v>
      </c>
      <c r="AS1221" s="190">
        <f>X1221</f>
        <v>0</v>
      </c>
      <c r="AT1221" s="562"/>
      <c r="AU1221" s="562"/>
      <c r="AV1221" s="562"/>
      <c r="AW1221" s="562"/>
      <c r="AX1221" s="594" t="str">
        <f>'Overview (Verification)'!A35</f>
        <v>Type of Cooling System (main system):</v>
      </c>
      <c r="AY1221" s="562">
        <f>IF(LEN('Overview (Verification)'!P35)=0,0,'Overview (Verification)'!P35)</f>
        <v>0</v>
      </c>
      <c r="AZ1221" s="562"/>
      <c r="BA1221" s="562"/>
      <c r="BB1221" s="562"/>
      <c r="BC1221" s="562"/>
      <c r="BD1221" s="562"/>
      <c r="BE1221" s="562"/>
      <c r="BF1221" s="562"/>
      <c r="BG1221" s="562"/>
      <c r="BH1221" s="562"/>
      <c r="BI1221" s="562"/>
      <c r="BJ1221" s="562"/>
      <c r="BK1221" s="562"/>
      <c r="BL1221" s="562"/>
      <c r="BM1221" s="562"/>
    </row>
    <row r="1222" spans="1:65" x14ac:dyDescent="0.2">
      <c r="A1222" s="541">
        <v>10</v>
      </c>
      <c r="B1222" s="551">
        <v>1001.1</v>
      </c>
      <c r="C1222" s="544"/>
      <c r="D1222" s="544"/>
      <c r="E1222" s="544" t="s">
        <v>3249</v>
      </c>
      <c r="F1222" s="544"/>
      <c r="G1222" s="543" t="str">
        <f t="shared" si="370"/>
        <v/>
      </c>
      <c r="H1222" s="541" t="s">
        <v>3758</v>
      </c>
      <c r="I1222" s="3"/>
      <c r="J1222" s="98"/>
      <c r="K1222" s="98"/>
      <c r="L1222" s="791"/>
      <c r="M1222" s="609"/>
      <c r="N1222" s="3"/>
      <c r="O1222" s="609"/>
      <c r="P1222" s="562"/>
      <c r="Q1222" s="562"/>
      <c r="R1222" s="562"/>
      <c r="S1222" s="562"/>
      <c r="T1222" s="562"/>
      <c r="U1222" s="562"/>
      <c r="V1222" s="562"/>
      <c r="W1222" s="562"/>
      <c r="X1222" s="787"/>
      <c r="Y1222" s="980"/>
      <c r="Z1222" s="983"/>
      <c r="AA1222" s="562"/>
      <c r="AB1222" s="562"/>
      <c r="AC1222" s="562"/>
      <c r="AD1222" s="562"/>
      <c r="AE1222" s="562"/>
      <c r="AF1222" s="562"/>
      <c r="AG1222" s="562"/>
      <c r="AH1222" s="562"/>
      <c r="AI1222" s="562"/>
      <c r="AJ1222" s="562"/>
      <c r="AK1222" s="562"/>
      <c r="AL1222" s="562"/>
      <c r="AM1222" s="562"/>
      <c r="AN1222" s="562"/>
      <c r="AO1222" s="562"/>
      <c r="AP1222" s="562"/>
      <c r="AQ1222" s="562"/>
      <c r="AR1222" s="562"/>
      <c r="AS1222" s="562"/>
      <c r="AT1222" s="562"/>
      <c r="AU1222" s="562"/>
      <c r="AV1222" s="562"/>
      <c r="AW1222" s="562"/>
      <c r="AX1222" s="594" t="str">
        <f>'Overview (Verification)'!A36</f>
        <v>Type of Cooling System (system 2):</v>
      </c>
      <c r="AY1222" s="562">
        <f>IF(LEN('Overview (Verification)'!P36)=0,0,'Overview (Verification)'!P36)</f>
        <v>0</v>
      </c>
      <c r="AZ1222" s="562"/>
      <c r="BA1222" s="562"/>
      <c r="BB1222" s="562"/>
      <c r="BC1222" s="562"/>
      <c r="BD1222" s="562"/>
      <c r="BE1222" s="562"/>
      <c r="BF1222" s="562"/>
      <c r="BG1222" s="562"/>
      <c r="BH1222" s="562"/>
      <c r="BI1222" s="562"/>
      <c r="BJ1222" s="562"/>
      <c r="BK1222" s="562"/>
      <c r="BL1222" s="562"/>
      <c r="BM1222" s="562"/>
    </row>
    <row r="1223" spans="1:65" x14ac:dyDescent="0.2">
      <c r="A1223" s="541">
        <v>10</v>
      </c>
      <c r="B1223" s="551">
        <v>1001.1</v>
      </c>
      <c r="C1223" s="544"/>
      <c r="D1223" s="544"/>
      <c r="E1223" s="544" t="s">
        <v>3249</v>
      </c>
      <c r="F1223" s="544"/>
      <c r="G1223" s="543" t="str">
        <f t="shared" si="370"/>
        <v/>
      </c>
      <c r="H1223" s="541" t="s">
        <v>3758</v>
      </c>
      <c r="I1223" s="3"/>
      <c r="J1223" s="98"/>
      <c r="K1223" s="98"/>
      <c r="L1223" s="791"/>
      <c r="M1223" s="609"/>
      <c r="N1223" s="3"/>
      <c r="O1223" s="609"/>
      <c r="P1223" s="562"/>
      <c r="Q1223" s="562"/>
      <c r="R1223" s="562"/>
      <c r="S1223" s="562"/>
      <c r="T1223" s="562"/>
      <c r="U1223" s="562"/>
      <c r="V1223" s="562"/>
      <c r="W1223" s="562"/>
      <c r="X1223" s="787"/>
      <c r="Y1223" s="980"/>
      <c r="Z1223" s="983"/>
      <c r="AA1223" s="562"/>
      <c r="AB1223" s="562"/>
      <c r="AC1223" s="562"/>
      <c r="AD1223" s="562"/>
      <c r="AE1223" s="562"/>
      <c r="AF1223" s="562"/>
      <c r="AG1223" s="562"/>
      <c r="AH1223" s="562"/>
      <c r="AI1223" s="562"/>
      <c r="AJ1223" s="562"/>
      <c r="AK1223" s="562"/>
      <c r="AL1223" s="562"/>
      <c r="AM1223" s="562"/>
      <c r="AN1223" s="562"/>
      <c r="AO1223" s="562"/>
      <c r="AP1223" s="562"/>
      <c r="AQ1223" s="562"/>
      <c r="AR1223" s="562"/>
      <c r="AS1223" s="562"/>
      <c r="AT1223" s="562"/>
      <c r="AU1223" s="562"/>
      <c r="AV1223" s="562"/>
      <c r="AW1223" s="562"/>
      <c r="AX1223" s="594" t="str">
        <f>'Overview (Verification)'!A37</f>
        <v>Type of Cooling System (system 3):</v>
      </c>
      <c r="AY1223" s="562">
        <f>IF(LEN('Overview (Verification)'!P37)=0,0,'Overview (Verification)'!P37)</f>
        <v>0</v>
      </c>
      <c r="AZ1223" s="562"/>
      <c r="BA1223" s="562"/>
      <c r="BB1223" s="562"/>
      <c r="BC1223" s="562"/>
      <c r="BD1223" s="562"/>
      <c r="BE1223" s="562"/>
      <c r="BF1223" s="562"/>
      <c r="BG1223" s="562"/>
      <c r="BH1223" s="562"/>
      <c r="BI1223" s="562"/>
      <c r="BJ1223" s="562"/>
      <c r="BK1223" s="562"/>
      <c r="BL1223" s="562"/>
      <c r="BM1223" s="562"/>
    </row>
    <row r="1224" spans="1:65" x14ac:dyDescent="0.2">
      <c r="A1224" s="541">
        <v>10</v>
      </c>
      <c r="B1224" s="551">
        <v>1001.1</v>
      </c>
      <c r="C1224" s="544"/>
      <c r="D1224" s="544"/>
      <c r="E1224" s="544" t="s">
        <v>3249</v>
      </c>
      <c r="F1224" s="544"/>
      <c r="G1224" s="543" t="str">
        <f t="shared" si="370"/>
        <v/>
      </c>
      <c r="H1224" s="541" t="s">
        <v>3758</v>
      </c>
      <c r="I1224" s="3"/>
      <c r="J1224" s="165"/>
      <c r="K1224" s="165"/>
      <c r="L1224" s="792"/>
      <c r="M1224" s="609"/>
      <c r="N1224" s="3"/>
      <c r="O1224" s="609"/>
      <c r="P1224" s="562"/>
      <c r="Q1224" s="562"/>
      <c r="R1224" s="562"/>
      <c r="S1224" s="562"/>
      <c r="T1224" s="562"/>
      <c r="U1224" s="562"/>
      <c r="V1224" s="562"/>
      <c r="W1224" s="562"/>
      <c r="X1224" s="787"/>
      <c r="Y1224" s="980"/>
      <c r="Z1224" s="983"/>
      <c r="AA1224" s="562"/>
      <c r="AB1224" s="562"/>
      <c r="AC1224" s="562"/>
      <c r="AD1224" s="562"/>
      <c r="AE1224" s="562"/>
      <c r="AF1224" s="562"/>
      <c r="AG1224" s="562"/>
      <c r="AH1224" s="562"/>
      <c r="AI1224" s="562"/>
      <c r="AJ1224" s="562"/>
      <c r="AK1224" s="562"/>
      <c r="AL1224" s="562"/>
      <c r="AM1224" s="562"/>
      <c r="AN1224" s="562"/>
      <c r="AO1224" s="562"/>
      <c r="AP1224" s="562"/>
      <c r="AQ1224" s="562"/>
      <c r="AR1224" s="562"/>
      <c r="AS1224" s="562"/>
      <c r="AT1224" s="562"/>
      <c r="AU1224" s="562"/>
      <c r="AV1224" s="562"/>
      <c r="AW1224" s="562"/>
      <c r="AX1224" s="594" t="str">
        <f>'Overview (Verification)'!A38</f>
        <v>Cooling Ducts:</v>
      </c>
      <c r="AY1224" s="562">
        <f>IF(LEN('Overview (Verification)'!P38)=0,0,'Overview (Verification)'!P38)</f>
        <v>0</v>
      </c>
      <c r="AZ1224" s="562"/>
      <c r="BA1224" s="562"/>
      <c r="BB1224" s="562"/>
      <c r="BC1224" s="562"/>
      <c r="BD1224" s="562"/>
      <c r="BE1224" s="562"/>
      <c r="BF1224" s="562"/>
      <c r="BG1224" s="562"/>
      <c r="BH1224" s="562"/>
      <c r="BI1224" s="562"/>
      <c r="BJ1224" s="562"/>
      <c r="BK1224" s="562"/>
      <c r="BL1224" s="562"/>
      <c r="BM1224" s="562"/>
    </row>
    <row r="1225" spans="1:65" x14ac:dyDescent="0.2">
      <c r="A1225" s="541">
        <v>10</v>
      </c>
      <c r="B1225" s="551">
        <v>1001.1</v>
      </c>
      <c r="C1225" s="544"/>
      <c r="D1225" s="544"/>
      <c r="E1225" s="544" t="s">
        <v>3251</v>
      </c>
      <c r="F1225" s="544"/>
      <c r="G1225" s="543" t="str">
        <f t="shared" si="370"/>
        <v/>
      </c>
      <c r="H1225" s="541" t="s">
        <v>3758</v>
      </c>
      <c r="I1225" s="3"/>
      <c r="J1225" s="164" t="s">
        <v>3251</v>
      </c>
      <c r="K1225" s="146"/>
      <c r="L1225" s="831" t="s">
        <v>3252</v>
      </c>
      <c r="M1225" s="609"/>
      <c r="N1225" s="3"/>
      <c r="O1225" s="609"/>
      <c r="P1225" s="562" t="b">
        <v>0</v>
      </c>
      <c r="Q1225" s="562" t="b">
        <v>1</v>
      </c>
      <c r="R1225" s="562" t="b">
        <v>0</v>
      </c>
      <c r="S1225" s="562" t="b">
        <f>IF(AY1202=INDEX(ddSingleOrMulti,1),TRUE,FALSE)</f>
        <v>1</v>
      </c>
      <c r="T1225" s="64" t="b">
        <f>AND(NOT(S1225),W1225=TRUE)</f>
        <v>0</v>
      </c>
      <c r="U1225" s="562"/>
      <c r="V1225" s="562"/>
      <c r="W1225" s="18"/>
      <c r="X1225" s="787"/>
      <c r="Y1225" s="980" t="str">
        <f>IF(LEN('Ch10'!X42)=0,"None",'Ch10'!X42)</f>
        <v>None</v>
      </c>
      <c r="Z1225" s="983"/>
      <c r="AA1225" s="562"/>
      <c r="AB1225" s="562"/>
      <c r="AC1225" s="562" t="b">
        <f>OR(AD1225:AE1225)</f>
        <v>0</v>
      </c>
      <c r="AD1225" s="562" t="b">
        <f>T1225</f>
        <v>0</v>
      </c>
      <c r="AE1225" s="562"/>
      <c r="AF1225" s="562"/>
      <c r="AG1225" s="562"/>
      <c r="AH1225" s="562"/>
      <c r="AI1225" s="562"/>
      <c r="AJ1225" s="562"/>
      <c r="AK1225" s="562"/>
      <c r="AL1225" s="562"/>
      <c r="AM1225" s="562"/>
      <c r="AN1225" s="562"/>
      <c r="AO1225" s="562"/>
      <c r="AP1225" s="190" t="str">
        <f>SUBSTITUTE(SUBSTITUTE(SUBSTITUTE("vch"&amp;$B1225&amp;$C1225&amp;$D1225&amp;$E1225&amp;$F1225,".","_"),"(","_"),")","")</f>
        <v>vch1001,1_14</v>
      </c>
      <c r="AQ1225" s="190">
        <f>W1225</f>
        <v>0</v>
      </c>
      <c r="AR1225" s="190" t="str">
        <f>SUBSTITUTE(SUBSTITUTE(SUBSTITUTE("vnt"&amp;$B1225&amp;$C1225&amp;$D1225&amp;$E1225&amp;$F1225,".","_"),"(","_"),")","")</f>
        <v>vnt1001,1_14</v>
      </c>
      <c r="AS1225" s="190">
        <f>X1225</f>
        <v>0</v>
      </c>
      <c r="AT1225" s="562"/>
      <c r="AU1225" s="562"/>
      <c r="AV1225" s="562"/>
      <c r="AW1225" s="562"/>
      <c r="AX1225" s="594"/>
      <c r="AY1225" s="562"/>
      <c r="AZ1225" s="562"/>
      <c r="BA1225" s="562"/>
      <c r="BB1225" s="562"/>
      <c r="BC1225" s="562"/>
      <c r="BD1225" s="562"/>
      <c r="BE1225" s="562"/>
      <c r="BF1225" s="562"/>
      <c r="BG1225" s="562"/>
      <c r="BH1225" s="562"/>
      <c r="BI1225" s="562"/>
      <c r="BJ1225" s="562"/>
      <c r="BK1225" s="562"/>
      <c r="BL1225" s="562"/>
      <c r="BM1225" s="562"/>
    </row>
    <row r="1226" spans="1:65" x14ac:dyDescent="0.2">
      <c r="A1226" s="541">
        <v>10</v>
      </c>
      <c r="B1226" s="551">
        <v>1001.1</v>
      </c>
      <c r="C1226" s="544"/>
      <c r="D1226" s="544"/>
      <c r="E1226" s="544" t="s">
        <v>3251</v>
      </c>
      <c r="F1226" s="544"/>
      <c r="G1226" s="543" t="str">
        <f t="shared" si="370"/>
        <v/>
      </c>
      <c r="H1226" s="541" t="s">
        <v>3758</v>
      </c>
      <c r="I1226" s="3"/>
      <c r="J1226" s="165"/>
      <c r="K1226" s="165"/>
      <c r="L1226" s="792"/>
      <c r="M1226" s="609"/>
      <c r="N1226" s="3"/>
      <c r="O1226" s="609"/>
      <c r="P1226" s="562"/>
      <c r="Q1226" s="562"/>
      <c r="R1226" s="562"/>
      <c r="S1226" s="562"/>
      <c r="T1226" s="562"/>
      <c r="U1226" s="562"/>
      <c r="V1226" s="562"/>
      <c r="W1226" s="562"/>
      <c r="X1226" s="787"/>
      <c r="Y1226" s="980"/>
      <c r="Z1226" s="983"/>
      <c r="AA1226" s="562"/>
      <c r="AB1226" s="562"/>
      <c r="AC1226" s="562"/>
      <c r="AD1226" s="562"/>
      <c r="AE1226" s="562"/>
      <c r="AF1226" s="562"/>
      <c r="AG1226" s="562"/>
      <c r="AH1226" s="562"/>
      <c r="AI1226" s="562"/>
      <c r="AJ1226" s="562"/>
      <c r="AK1226" s="562"/>
      <c r="AL1226" s="562"/>
      <c r="AM1226" s="562"/>
      <c r="AN1226" s="562"/>
      <c r="AO1226" s="562"/>
      <c r="AP1226" s="562"/>
      <c r="AQ1226" s="562"/>
      <c r="AR1226" s="562"/>
      <c r="AS1226" s="562"/>
      <c r="AT1226" s="562"/>
      <c r="AU1226" s="562"/>
      <c r="AV1226" s="562"/>
      <c r="AW1226" s="562"/>
      <c r="AX1226" s="594" t="str">
        <f>'Overview (Verification)'!A40</f>
        <v>Maximum window and door SHGC:</v>
      </c>
      <c r="AY1226" s="562">
        <f>IF(LEN('Overview (Verification)'!P40)=0,0,'Overview (Verification)'!P40)</f>
        <v>0</v>
      </c>
      <c r="AZ1226" s="562"/>
      <c r="BA1226" s="562"/>
      <c r="BB1226" s="562"/>
      <c r="BC1226" s="562"/>
      <c r="BD1226" s="562"/>
      <c r="BE1226" s="562"/>
      <c r="BF1226" s="562"/>
      <c r="BG1226" s="562"/>
      <c r="BH1226" s="562"/>
      <c r="BI1226" s="562"/>
      <c r="BJ1226" s="562"/>
      <c r="BK1226" s="562"/>
      <c r="BL1226" s="562"/>
      <c r="BM1226" s="562"/>
    </row>
    <row r="1227" spans="1:65" x14ac:dyDescent="0.2">
      <c r="A1227" s="541">
        <v>10</v>
      </c>
      <c r="B1227" s="551">
        <v>1001.1</v>
      </c>
      <c r="C1227" s="544"/>
      <c r="D1227" s="544"/>
      <c r="E1227" s="544" t="s">
        <v>3253</v>
      </c>
      <c r="F1227" s="544"/>
      <c r="G1227" s="543" t="str">
        <f t="shared" si="370"/>
        <v/>
      </c>
      <c r="H1227" s="541" t="s">
        <v>3758</v>
      </c>
      <c r="I1227" s="3"/>
      <c r="J1227" s="164" t="s">
        <v>3253</v>
      </c>
      <c r="K1227" s="146"/>
      <c r="L1227" s="831" t="s">
        <v>3254</v>
      </c>
      <c r="M1227" s="609"/>
      <c r="N1227" s="3"/>
      <c r="O1227" s="609"/>
      <c r="P1227" s="562" t="b">
        <v>0</v>
      </c>
      <c r="Q1227" s="562" t="b">
        <v>1</v>
      </c>
      <c r="R1227" s="562" t="b">
        <v>0</v>
      </c>
      <c r="S1227" s="562" t="b">
        <f>IF(AY1202=INDEX(ddSingleOrMulti,1),TRUE,FALSE)</f>
        <v>1</v>
      </c>
      <c r="T1227" s="64" t="b">
        <f>AND(NOT(S1227),W1227=TRUE)</f>
        <v>0</v>
      </c>
      <c r="U1227" s="562"/>
      <c r="V1227" s="562"/>
      <c r="W1227" s="18"/>
      <c r="X1227" s="787"/>
      <c r="Y1227" s="980" t="str">
        <f>IF(LEN('Ch10'!X44)=0,"None",'Ch10'!X44)</f>
        <v>None</v>
      </c>
      <c r="Z1227" s="983"/>
      <c r="AA1227" s="562"/>
      <c r="AB1227" s="562"/>
      <c r="AC1227" s="562" t="b">
        <f>OR(AD1227:AE1227)</f>
        <v>0</v>
      </c>
      <c r="AD1227" s="562" t="b">
        <f>T1227</f>
        <v>0</v>
      </c>
      <c r="AE1227" s="562"/>
      <c r="AF1227" s="562"/>
      <c r="AG1227" s="562"/>
      <c r="AH1227" s="562"/>
      <c r="AI1227" s="562"/>
      <c r="AJ1227" s="562"/>
      <c r="AK1227" s="562"/>
      <c r="AL1227" s="562"/>
      <c r="AM1227" s="562"/>
      <c r="AN1227" s="562"/>
      <c r="AO1227" s="562"/>
      <c r="AP1227" s="190" t="str">
        <f>SUBSTITUTE(SUBSTITUTE(SUBSTITUTE("vch"&amp;$B1227&amp;$C1227&amp;$D1227&amp;$E1227&amp;$F1227,".","_"),"(","_"),")","")</f>
        <v>vch1001,1_15</v>
      </c>
      <c r="AQ1227" s="190">
        <f>W1227</f>
        <v>0</v>
      </c>
      <c r="AR1227" s="190" t="str">
        <f>SUBSTITUTE(SUBSTITUTE(SUBSTITUTE("vnt"&amp;$B1227&amp;$C1227&amp;$D1227&amp;$E1227&amp;$F1227,".","_"),"(","_"),")","")</f>
        <v>vnt1001,1_15</v>
      </c>
      <c r="AS1227" s="190">
        <f>X1227</f>
        <v>0</v>
      </c>
      <c r="AT1227" s="562"/>
      <c r="AU1227" s="562"/>
      <c r="AV1227" s="562"/>
      <c r="AW1227" s="562"/>
      <c r="AX1227" s="594" t="str">
        <f>'Overview (Verification)'!A41</f>
        <v>Maximum skylight SHGC:</v>
      </c>
      <c r="AY1227" s="562">
        <f>IF(LEN('Overview (Verification)'!P41)=0,0,'Overview (Verification)'!P41)</f>
        <v>0</v>
      </c>
      <c r="AZ1227" s="562"/>
      <c r="BA1227" s="562"/>
      <c r="BB1227" s="562"/>
      <c r="BC1227" s="562"/>
      <c r="BD1227" s="562"/>
      <c r="BE1227" s="562"/>
      <c r="BF1227" s="562"/>
      <c r="BG1227" s="562"/>
      <c r="BH1227" s="562"/>
      <c r="BI1227" s="562"/>
      <c r="BJ1227" s="562"/>
      <c r="BK1227" s="562"/>
      <c r="BL1227" s="562"/>
      <c r="BM1227" s="562"/>
    </row>
    <row r="1228" spans="1:65" x14ac:dyDescent="0.2">
      <c r="A1228" s="541">
        <v>10</v>
      </c>
      <c r="B1228" s="551">
        <v>1001.1</v>
      </c>
      <c r="C1228" s="544"/>
      <c r="D1228" s="544"/>
      <c r="E1228" s="544" t="s">
        <v>3253</v>
      </c>
      <c r="F1228" s="544"/>
      <c r="G1228" s="543" t="str">
        <f t="shared" si="370"/>
        <v/>
      </c>
      <c r="H1228" s="541" t="s">
        <v>3758</v>
      </c>
      <c r="I1228" s="3"/>
      <c r="J1228" s="165"/>
      <c r="K1228" s="165"/>
      <c r="L1228" s="792"/>
      <c r="M1228" s="609"/>
      <c r="N1228" s="3"/>
      <c r="O1228" s="609"/>
      <c r="P1228" s="562"/>
      <c r="Q1228" s="562"/>
      <c r="R1228" s="562"/>
      <c r="S1228" s="562"/>
      <c r="T1228" s="562"/>
      <c r="U1228" s="562"/>
      <c r="V1228" s="562"/>
      <c r="W1228" s="562"/>
      <c r="X1228" s="787"/>
      <c r="Y1228" s="980"/>
      <c r="Z1228" s="983"/>
      <c r="AA1228" s="562"/>
      <c r="AB1228" s="562"/>
      <c r="AC1228" s="562"/>
      <c r="AD1228" s="562"/>
      <c r="AE1228" s="562"/>
      <c r="AF1228" s="562"/>
      <c r="AG1228" s="562"/>
      <c r="AH1228" s="562"/>
      <c r="AI1228" s="562"/>
      <c r="AJ1228" s="562"/>
      <c r="AK1228" s="562"/>
      <c r="AL1228" s="562"/>
      <c r="AM1228" s="562"/>
      <c r="AN1228" s="562"/>
      <c r="AO1228" s="562"/>
      <c r="AP1228" s="562"/>
      <c r="AQ1228" s="562"/>
      <c r="AR1228" s="562"/>
      <c r="AS1228" s="562"/>
      <c r="AT1228" s="562"/>
      <c r="AU1228" s="562"/>
      <c r="AV1228" s="562"/>
      <c r="AW1228" s="562"/>
      <c r="AX1228" s="594" t="str">
        <f>'Overview (Verification)'!A42</f>
        <v>Maximum window and door U-value:</v>
      </c>
      <c r="AY1228" s="562">
        <f>IF(LEN('Overview (Verification)'!P42)=0,0,'Overview (Verification)'!P42)</f>
        <v>0</v>
      </c>
      <c r="AZ1228" s="562"/>
      <c r="BA1228" s="562"/>
      <c r="BB1228" s="562"/>
      <c r="BC1228" s="562"/>
      <c r="BD1228" s="562"/>
      <c r="BE1228" s="562"/>
      <c r="BF1228" s="562"/>
      <c r="BG1228" s="562"/>
      <c r="BH1228" s="562"/>
      <c r="BI1228" s="562"/>
      <c r="BJ1228" s="562"/>
      <c r="BK1228" s="562"/>
      <c r="BL1228" s="562"/>
      <c r="BM1228" s="562"/>
    </row>
    <row r="1229" spans="1:65" ht="16" x14ac:dyDescent="0.2">
      <c r="A1229" s="541">
        <v>10</v>
      </c>
      <c r="B1229" s="551">
        <v>1001.1</v>
      </c>
      <c r="C1229" s="544"/>
      <c r="D1229" s="544"/>
      <c r="E1229" s="544" t="s">
        <v>3255</v>
      </c>
      <c r="F1229" s="544"/>
      <c r="G1229" s="543" t="str">
        <f t="shared" si="370"/>
        <v/>
      </c>
      <c r="H1229" s="541" t="s">
        <v>3758</v>
      </c>
      <c r="I1229" s="3"/>
      <c r="J1229" s="161" t="s">
        <v>3255</v>
      </c>
      <c r="K1229" s="186"/>
      <c r="L1229" s="205" t="s">
        <v>3256</v>
      </c>
      <c r="M1229" s="609"/>
      <c r="N1229" s="3"/>
      <c r="O1229" s="609"/>
      <c r="P1229" s="562" t="b">
        <v>0</v>
      </c>
      <c r="Q1229" s="562" t="b">
        <v>1</v>
      </c>
      <c r="R1229" s="562" t="b">
        <v>0</v>
      </c>
      <c r="S1229" s="562" t="b">
        <f>IF(AY1202=INDEX(ddSingleOrMulti,1),TRUE,FALSE)</f>
        <v>1</v>
      </c>
      <c r="T1229" s="64" t="b">
        <f>AND(NOT(S1229),W1229=TRUE)</f>
        <v>0</v>
      </c>
      <c r="U1229" s="562"/>
      <c r="V1229" s="562"/>
      <c r="W1229" s="18"/>
      <c r="X1229" s="563"/>
      <c r="Y1229" s="578" t="str">
        <f>IF(LEN('Ch10'!X46)=0,"None",'Ch10'!X46)</f>
        <v>None</v>
      </c>
      <c r="Z1229" s="579"/>
      <c r="AA1229" s="562"/>
      <c r="AB1229" s="562"/>
      <c r="AC1229" s="562" t="b">
        <f>OR(AD1229:AE1229)</f>
        <v>0</v>
      </c>
      <c r="AD1229" s="562" t="b">
        <f>T1229</f>
        <v>0</v>
      </c>
      <c r="AE1229" s="562"/>
      <c r="AF1229" s="562"/>
      <c r="AG1229" s="562"/>
      <c r="AH1229" s="562"/>
      <c r="AI1229" s="562"/>
      <c r="AJ1229" s="562"/>
      <c r="AK1229" s="562"/>
      <c r="AL1229" s="562"/>
      <c r="AM1229" s="562"/>
      <c r="AN1229" s="562"/>
      <c r="AO1229" s="562"/>
      <c r="AP1229" s="190" t="str">
        <f t="shared" ref="AP1229:AP1230" si="379">SUBSTITUTE(SUBSTITUTE(SUBSTITUTE("vch"&amp;$B1229&amp;$C1229&amp;$D1229&amp;$E1229&amp;$F1229,".","_"),"(","_"),")","")</f>
        <v>vch1001,1_16</v>
      </c>
      <c r="AQ1229" s="190">
        <f>W1229</f>
        <v>0</v>
      </c>
      <c r="AR1229" s="190" t="str">
        <f t="shared" ref="AR1229:AR1230" si="380">SUBSTITUTE(SUBSTITUTE(SUBSTITUTE("vnt"&amp;$B1229&amp;$C1229&amp;$D1229&amp;$E1229&amp;$F1229,".","_"),"(","_"),")","")</f>
        <v>vnt1001,1_16</v>
      </c>
      <c r="AS1229" s="190">
        <f>X1229</f>
        <v>0</v>
      </c>
      <c r="AT1229" s="562"/>
      <c r="AU1229" s="562"/>
      <c r="AV1229" s="562"/>
      <c r="AW1229" s="562"/>
      <c r="AX1229" s="594" t="str">
        <f>'Overview (Verification)'!A43</f>
        <v>Maximum skylight U-value:</v>
      </c>
      <c r="AY1229" s="562">
        <f>IF(LEN('Overview (Verification)'!P43)=0,0,'Overview (Verification)'!P43)</f>
        <v>0</v>
      </c>
      <c r="AZ1229" s="562"/>
      <c r="BA1229" s="562"/>
      <c r="BB1229" s="562"/>
      <c r="BC1229" s="562"/>
      <c r="BD1229" s="562"/>
      <c r="BE1229" s="562"/>
      <c r="BF1229" s="562"/>
      <c r="BG1229" s="562"/>
      <c r="BH1229" s="562"/>
      <c r="BI1229" s="562"/>
      <c r="BJ1229" s="562"/>
      <c r="BK1229" s="562"/>
      <c r="BL1229" s="562"/>
      <c r="BM1229" s="562"/>
    </row>
    <row r="1230" spans="1:65" x14ac:dyDescent="0.2">
      <c r="A1230" s="541">
        <v>10</v>
      </c>
      <c r="B1230" s="551">
        <v>1001.1</v>
      </c>
      <c r="C1230" s="544"/>
      <c r="D1230" s="544"/>
      <c r="E1230" s="544" t="s">
        <v>3257</v>
      </c>
      <c r="F1230" s="544"/>
      <c r="G1230" s="543" t="str">
        <f t="shared" si="370"/>
        <v/>
      </c>
      <c r="H1230" s="541" t="s">
        <v>3758</v>
      </c>
      <c r="I1230" s="3"/>
      <c r="J1230" s="164" t="s">
        <v>3257</v>
      </c>
      <c r="K1230" s="146"/>
      <c r="L1230" s="857" t="s">
        <v>3258</v>
      </c>
      <c r="M1230" s="609"/>
      <c r="N1230" s="3"/>
      <c r="O1230" s="609"/>
      <c r="P1230" s="562" t="b">
        <v>0</v>
      </c>
      <c r="Q1230" s="562" t="b">
        <v>1</v>
      </c>
      <c r="R1230" s="562" t="b">
        <v>0</v>
      </c>
      <c r="S1230" s="562" t="b">
        <f>IF(AY1202=INDEX(ddSingleOrMulti,1),TRUE,FALSE)</f>
        <v>1</v>
      </c>
      <c r="T1230" s="64" t="b">
        <f>AND(NOT(S1230),W1230=TRUE)</f>
        <v>0</v>
      </c>
      <c r="U1230" s="562"/>
      <c r="V1230" s="562"/>
      <c r="W1230" s="18"/>
      <c r="X1230" s="787"/>
      <c r="Y1230" s="980" t="str">
        <f>IF(LEN('Ch10'!X47)=0,"None",'Ch10'!X47)</f>
        <v>None</v>
      </c>
      <c r="Z1230" s="983"/>
      <c r="AA1230" s="562"/>
      <c r="AB1230" s="562"/>
      <c r="AC1230" s="562" t="b">
        <f>OR(AD1230:AE1230)</f>
        <v>0</v>
      </c>
      <c r="AD1230" s="562" t="b">
        <f>T1230</f>
        <v>0</v>
      </c>
      <c r="AE1230" s="562"/>
      <c r="AF1230" s="562"/>
      <c r="AG1230" s="562"/>
      <c r="AH1230" s="562"/>
      <c r="AI1230" s="562"/>
      <c r="AJ1230" s="562"/>
      <c r="AK1230" s="562"/>
      <c r="AL1230" s="562"/>
      <c r="AM1230" s="562"/>
      <c r="AN1230" s="562"/>
      <c r="AO1230" s="562"/>
      <c r="AP1230" s="190" t="str">
        <f t="shared" si="379"/>
        <v>vch1001,1_17</v>
      </c>
      <c r="AQ1230" s="190">
        <f>W1230</f>
        <v>0</v>
      </c>
      <c r="AR1230" s="190" t="str">
        <f t="shared" si="380"/>
        <v>vnt1001,1_17</v>
      </c>
      <c r="AS1230" s="190">
        <f>X1230</f>
        <v>0</v>
      </c>
      <c r="AT1230" s="562"/>
      <c r="AU1230" s="562"/>
      <c r="AV1230" s="562"/>
      <c r="AW1230" s="562"/>
      <c r="AX1230" s="594" t="str">
        <f>'Overview (Verification)'!A44</f>
        <v>Renewable Energy:</v>
      </c>
      <c r="AY1230" s="562">
        <f>IF(LEN('Overview (Verification)'!P44)=0,0,'Overview (Verification)'!P44)</f>
        <v>0</v>
      </c>
      <c r="AZ1230" s="562"/>
      <c r="BA1230" s="562"/>
      <c r="BB1230" s="562"/>
      <c r="BC1230" s="562"/>
      <c r="BD1230" s="562"/>
      <c r="BE1230" s="562"/>
      <c r="BF1230" s="562"/>
      <c r="BG1230" s="562"/>
      <c r="BH1230" s="562"/>
      <c r="BI1230" s="562"/>
      <c r="BJ1230" s="562"/>
      <c r="BK1230" s="562"/>
      <c r="BL1230" s="562"/>
      <c r="BM1230" s="562"/>
    </row>
    <row r="1231" spans="1:65" x14ac:dyDescent="0.2">
      <c r="A1231" s="541">
        <v>10</v>
      </c>
      <c r="B1231" s="551">
        <v>1001.1</v>
      </c>
      <c r="C1231" s="544"/>
      <c r="D1231" s="544"/>
      <c r="E1231" s="544" t="s">
        <v>3257</v>
      </c>
      <c r="F1231" s="544"/>
      <c r="G1231" s="543" t="str">
        <f t="shared" si="370"/>
        <v/>
      </c>
      <c r="H1231" s="541" t="s">
        <v>3758</v>
      </c>
      <c r="I1231" s="3"/>
      <c r="J1231" s="159"/>
      <c r="K1231" s="165"/>
      <c r="L1231" s="777"/>
      <c r="M1231" s="609"/>
      <c r="N1231" s="3"/>
      <c r="O1231" s="609"/>
      <c r="P1231" s="562"/>
      <c r="Q1231" s="562"/>
      <c r="R1231" s="562"/>
      <c r="S1231" s="562"/>
      <c r="T1231" s="562"/>
      <c r="U1231" s="562"/>
      <c r="V1231" s="562"/>
      <c r="W1231" s="562"/>
      <c r="X1231" s="787"/>
      <c r="Y1231" s="980"/>
      <c r="Z1231" s="983"/>
      <c r="AA1231" s="562"/>
      <c r="AB1231" s="562"/>
      <c r="AC1231" s="562"/>
      <c r="AD1231" s="562"/>
      <c r="AE1231" s="562"/>
      <c r="AF1231" s="562"/>
      <c r="AG1231" s="562"/>
      <c r="AH1231" s="562"/>
      <c r="AI1231" s="562"/>
      <c r="AJ1231" s="562"/>
      <c r="AK1231" s="562"/>
      <c r="AL1231" s="562"/>
      <c r="AM1231" s="562"/>
      <c r="AN1231" s="562"/>
      <c r="AO1231" s="562"/>
      <c r="AP1231" s="562"/>
      <c r="AQ1231" s="562"/>
      <c r="AR1231" s="562"/>
      <c r="AS1231" s="562"/>
      <c r="AT1231" s="562"/>
      <c r="AU1231" s="562"/>
      <c r="AV1231" s="562"/>
      <c r="AW1231" s="562"/>
      <c r="AX1231" s="594" t="str">
        <f>'Overview (Verification)'!A45</f>
        <v>Thermal Envelope Insulation:</v>
      </c>
      <c r="AY1231" s="562">
        <f>IF(LEN('Overview (Verification)'!P45)=0,0,'Overview (Verification)'!P45)</f>
        <v>0</v>
      </c>
      <c r="AZ1231" s="562"/>
      <c r="BA1231" s="562"/>
      <c r="BB1231" s="562"/>
      <c r="BC1231" s="562"/>
      <c r="BD1231" s="562"/>
      <c r="BE1231" s="562"/>
      <c r="BF1231" s="562"/>
      <c r="BG1231" s="562"/>
      <c r="BH1231" s="562"/>
      <c r="BI1231" s="562"/>
      <c r="BJ1231" s="562"/>
      <c r="BK1231" s="562"/>
      <c r="BL1231" s="562"/>
      <c r="BM1231" s="562"/>
    </row>
    <row r="1232" spans="1:65" x14ac:dyDescent="0.2">
      <c r="A1232" s="541">
        <v>10</v>
      </c>
      <c r="B1232" s="551">
        <v>1001.1</v>
      </c>
      <c r="C1232" s="544"/>
      <c r="D1232" s="544"/>
      <c r="E1232" s="544" t="s">
        <v>3259</v>
      </c>
      <c r="F1232" s="544"/>
      <c r="G1232" s="543" t="str">
        <f t="shared" si="370"/>
        <v/>
      </c>
      <c r="H1232" s="541" t="s">
        <v>3758</v>
      </c>
      <c r="I1232" s="3"/>
      <c r="J1232" s="164" t="s">
        <v>3259</v>
      </c>
      <c r="K1232" s="146"/>
      <c r="L1232" s="831" t="s">
        <v>3260</v>
      </c>
      <c r="M1232" s="609"/>
      <c r="N1232" s="3"/>
      <c r="O1232" s="609"/>
      <c r="P1232" s="562" t="b">
        <v>0</v>
      </c>
      <c r="Q1232" s="562" t="b">
        <v>1</v>
      </c>
      <c r="R1232" s="562" t="b">
        <v>0</v>
      </c>
      <c r="S1232" s="562" t="b">
        <f>IF(AY1202=INDEX(ddSingleOrMulti,1),TRUE,FALSE)</f>
        <v>1</v>
      </c>
      <c r="T1232" s="64" t="b">
        <f>AND(NOT(S1232),W1232=TRUE)</f>
        <v>0</v>
      </c>
      <c r="U1232" s="562"/>
      <c r="V1232" s="562"/>
      <c r="W1232" s="18"/>
      <c r="X1232" s="787"/>
      <c r="Y1232" s="980" t="str">
        <f>IF(LEN('Ch10'!X49)=0,"None",'Ch10'!X49)</f>
        <v>None</v>
      </c>
      <c r="Z1232" s="983"/>
      <c r="AA1232" s="562"/>
      <c r="AB1232" s="562"/>
      <c r="AC1232" s="562" t="b">
        <f>OR(AD1232:AE1232)</f>
        <v>0</v>
      </c>
      <c r="AD1232" s="562" t="b">
        <f>T1232</f>
        <v>0</v>
      </c>
      <c r="AE1232" s="562"/>
      <c r="AF1232" s="562"/>
      <c r="AG1232" s="562"/>
      <c r="AH1232" s="562"/>
      <c r="AI1232" s="562"/>
      <c r="AJ1232" s="562"/>
      <c r="AK1232" s="562"/>
      <c r="AL1232" s="562"/>
      <c r="AM1232" s="562"/>
      <c r="AN1232" s="562"/>
      <c r="AO1232" s="562"/>
      <c r="AP1232" s="190" t="str">
        <f>SUBSTITUTE(SUBSTITUTE(SUBSTITUTE("vch"&amp;$B1232&amp;$C1232&amp;$D1232&amp;$E1232&amp;$F1232,".","_"),"(","_"),")","")</f>
        <v>vch1001,1_18</v>
      </c>
      <c r="AQ1232" s="190">
        <f>W1232</f>
        <v>0</v>
      </c>
      <c r="AR1232" s="190" t="str">
        <f>SUBSTITUTE(SUBSTITUTE(SUBSTITUTE("vnt"&amp;$B1232&amp;$C1232&amp;$D1232&amp;$E1232&amp;$F1232,".","_"),"(","_"),")","")</f>
        <v>vnt1001,1_18</v>
      </c>
      <c r="AS1232" s="190">
        <f>X1232</f>
        <v>0</v>
      </c>
      <c r="AT1232" s="562"/>
      <c r="AU1232" s="562"/>
      <c r="AV1232" s="562"/>
      <c r="AW1232" s="562"/>
      <c r="AX1232" s="594" t="str">
        <f>'Overview (Verification)'!A46</f>
        <v>Attic Type:</v>
      </c>
      <c r="AY1232" s="562">
        <f>IF(LEN('Overview (Verification)'!P46)=0,0,'Overview (Verification)'!P46)</f>
        <v>0</v>
      </c>
      <c r="AZ1232" s="562"/>
      <c r="BA1232" s="562"/>
      <c r="BB1232" s="562"/>
      <c r="BC1232" s="562"/>
      <c r="BD1232" s="562"/>
      <c r="BE1232" s="562"/>
      <c r="BF1232" s="562"/>
      <c r="BG1232" s="562"/>
      <c r="BH1232" s="562"/>
      <c r="BI1232" s="562"/>
      <c r="BJ1232" s="562"/>
      <c r="BK1232" s="562"/>
      <c r="BL1232" s="562"/>
      <c r="BM1232" s="562"/>
    </row>
    <row r="1233" spans="1:63" x14ac:dyDescent="0.2">
      <c r="A1233" s="541">
        <v>10</v>
      </c>
      <c r="B1233" s="551">
        <v>1001.1</v>
      </c>
      <c r="C1233" s="544"/>
      <c r="D1233" s="544"/>
      <c r="E1233" s="544" t="s">
        <v>3259</v>
      </c>
      <c r="F1233" s="544"/>
      <c r="G1233" s="543" t="str">
        <f t="shared" si="370"/>
        <v/>
      </c>
      <c r="H1233" s="541" t="s">
        <v>3758</v>
      </c>
      <c r="I1233" s="3"/>
      <c r="J1233" s="165"/>
      <c r="K1233" s="165"/>
      <c r="L1233" s="792"/>
      <c r="M1233" s="609"/>
      <c r="N1233" s="3"/>
      <c r="O1233" s="609"/>
      <c r="P1233" s="562"/>
      <c r="Q1233" s="562"/>
      <c r="R1233" s="562"/>
      <c r="S1233" s="562"/>
      <c r="T1233" s="562"/>
      <c r="U1233" s="562"/>
      <c r="V1233" s="562"/>
      <c r="W1233" s="562"/>
      <c r="X1233" s="787"/>
      <c r="Y1233" s="980"/>
      <c r="Z1233" s="983"/>
      <c r="AA1233" s="562"/>
      <c r="AB1233" s="562"/>
      <c r="AC1233" s="562"/>
      <c r="AD1233" s="562"/>
      <c r="AE1233" s="562"/>
      <c r="AF1233" s="562"/>
      <c r="AG1233" s="562"/>
      <c r="AH1233" s="562"/>
      <c r="AI1233" s="562"/>
      <c r="AJ1233" s="562"/>
      <c r="AK1233" s="562"/>
      <c r="AL1233" s="562"/>
      <c r="AM1233" s="562"/>
      <c r="AN1233" s="562"/>
      <c r="AO1233" s="562"/>
      <c r="AP1233" s="562"/>
      <c r="AQ1233" s="562"/>
      <c r="AR1233" s="562"/>
      <c r="AS1233" s="562"/>
      <c r="AT1233" s="562"/>
      <c r="AU1233" s="562"/>
      <c r="AV1233" s="562"/>
      <c r="AW1233" s="562"/>
      <c r="AX1233" s="594" t="str">
        <f>'Overview (Verification)'!A47</f>
        <v>Attached Garage:</v>
      </c>
      <c r="AY1233" s="562">
        <f>IF(LEN('Overview (Verification)'!P47)=0,0,'Overview (Verification)'!P47)</f>
        <v>0</v>
      </c>
      <c r="AZ1233" s="562"/>
      <c r="BA1233" s="562"/>
      <c r="BB1233" s="562"/>
      <c r="BC1233" s="562"/>
      <c r="BD1233" s="562"/>
      <c r="BE1233" s="562"/>
      <c r="BF1233" s="562"/>
      <c r="BG1233" s="562"/>
      <c r="BH1233" s="562"/>
      <c r="BI1233" s="562"/>
      <c r="BJ1233" s="562"/>
      <c r="BK1233" s="562"/>
    </row>
    <row r="1234" spans="1:63" ht="16" x14ac:dyDescent="0.2">
      <c r="A1234" s="541">
        <v>10</v>
      </c>
      <c r="B1234" s="551">
        <v>1001.1</v>
      </c>
      <c r="C1234" s="544"/>
      <c r="D1234" s="544"/>
      <c r="E1234" s="544" t="s">
        <v>3261</v>
      </c>
      <c r="F1234" s="544"/>
      <c r="G1234" s="543" t="str">
        <f t="shared" si="370"/>
        <v/>
      </c>
      <c r="H1234" s="541" t="s">
        <v>3758</v>
      </c>
      <c r="I1234" s="3"/>
      <c r="J1234" s="161" t="s">
        <v>3261</v>
      </c>
      <c r="K1234" s="186"/>
      <c r="L1234" s="205" t="s">
        <v>3262</v>
      </c>
      <c r="M1234" s="609"/>
      <c r="N1234" s="3"/>
      <c r="O1234" s="609"/>
      <c r="P1234" s="562" t="b">
        <v>0</v>
      </c>
      <c r="Q1234" s="562" t="b">
        <v>1</v>
      </c>
      <c r="R1234" s="562" t="b">
        <v>0</v>
      </c>
      <c r="S1234" s="562" t="b">
        <f>IF(AY1202=INDEX(ddSingleOrMulti,1),TRUE,FALSE)</f>
        <v>1</v>
      </c>
      <c r="T1234" s="64" t="b">
        <f>AND(NOT(S1234),W1234=TRUE)</f>
        <v>0</v>
      </c>
      <c r="U1234" s="562"/>
      <c r="V1234" s="562"/>
      <c r="W1234" s="18"/>
      <c r="X1234" s="563"/>
      <c r="Y1234" s="578" t="str">
        <f>IF(LEN('Ch10'!X51)=0,"None",'Ch10'!X51)</f>
        <v>None</v>
      </c>
      <c r="Z1234" s="579"/>
      <c r="AA1234" s="562"/>
      <c r="AB1234" s="562"/>
      <c r="AC1234" s="562" t="b">
        <f>OR(AD1234:AE1234)</f>
        <v>0</v>
      </c>
      <c r="AD1234" s="562" t="b">
        <f>T1234</f>
        <v>0</v>
      </c>
      <c r="AE1234" s="562"/>
      <c r="AF1234" s="562"/>
      <c r="AG1234" s="562"/>
      <c r="AH1234" s="562"/>
      <c r="AI1234" s="562"/>
      <c r="AJ1234" s="562"/>
      <c r="AK1234" s="562"/>
      <c r="AL1234" s="562"/>
      <c r="AM1234" s="562"/>
      <c r="AN1234" s="562"/>
      <c r="AO1234" s="562"/>
      <c r="AP1234" s="190" t="str">
        <f t="shared" ref="AP1234:AP1235" si="381">SUBSTITUTE(SUBSTITUTE(SUBSTITUTE("vch"&amp;$B1234&amp;$C1234&amp;$D1234&amp;$E1234&amp;$F1234,".","_"),"(","_"),")","")</f>
        <v>vch1001,1_19</v>
      </c>
      <c r="AQ1234" s="190">
        <f>W1234</f>
        <v>0</v>
      </c>
      <c r="AR1234" s="190" t="str">
        <f t="shared" ref="AR1234:AR1235" si="382">SUBSTITUTE(SUBSTITUTE(SUBSTITUTE("vnt"&amp;$B1234&amp;$C1234&amp;$D1234&amp;$E1234&amp;$F1234,".","_"),"(","_"),")","")</f>
        <v>vnt1001,1_19</v>
      </c>
      <c r="AS1234" s="190">
        <f>X1234</f>
        <v>0</v>
      </c>
      <c r="AT1234" s="562"/>
      <c r="AU1234" s="562"/>
      <c r="AV1234" s="562"/>
      <c r="AW1234" s="562"/>
      <c r="AX1234" s="594" t="str">
        <f>'Overview (Verification)'!A48</f>
        <v>Recessed Lighting:</v>
      </c>
      <c r="AY1234" s="562">
        <f>IF(LEN('Overview (Verification)'!P48)=0,0,'Overview (Verification)'!P48)</f>
        <v>0</v>
      </c>
      <c r="AZ1234" s="562"/>
      <c r="BA1234" s="562"/>
      <c r="BB1234" s="562"/>
      <c r="BC1234" s="562"/>
      <c r="BD1234" s="562"/>
      <c r="BE1234" s="562"/>
      <c r="BF1234" s="562"/>
      <c r="BG1234" s="562"/>
      <c r="BH1234" s="562"/>
      <c r="BI1234" s="562"/>
      <c r="BJ1234" s="562"/>
      <c r="BK1234" s="562"/>
    </row>
    <row r="1235" spans="1:63" x14ac:dyDescent="0.2">
      <c r="A1235" s="541">
        <v>10</v>
      </c>
      <c r="B1235" s="551">
        <v>1001.1</v>
      </c>
      <c r="C1235" s="544"/>
      <c r="D1235" s="544"/>
      <c r="E1235" s="544" t="s">
        <v>3263</v>
      </c>
      <c r="F1235" s="544"/>
      <c r="G1235" s="543" t="str">
        <f t="shared" si="370"/>
        <v/>
      </c>
      <c r="H1235" s="541" t="s">
        <v>3758</v>
      </c>
      <c r="I1235" s="3"/>
      <c r="J1235" s="164" t="s">
        <v>3263</v>
      </c>
      <c r="K1235" s="146"/>
      <c r="L1235" s="831" t="s">
        <v>3264</v>
      </c>
      <c r="M1235" s="609"/>
      <c r="N1235" s="3"/>
      <c r="O1235" s="609"/>
      <c r="P1235" s="562" t="b">
        <v>0</v>
      </c>
      <c r="Q1235" s="562" t="b">
        <v>1</v>
      </c>
      <c r="R1235" s="562" t="b">
        <v>0</v>
      </c>
      <c r="S1235" s="562" t="b">
        <f>IF(AY1202=INDEX(ddSingleOrMulti,1),TRUE,FALSE)</f>
        <v>1</v>
      </c>
      <c r="T1235" s="64" t="b">
        <f>AND(NOT(S1235),W1235=TRUE)</f>
        <v>0</v>
      </c>
      <c r="U1235" s="562"/>
      <c r="V1235" s="562"/>
      <c r="W1235" s="18"/>
      <c r="X1235" s="787"/>
      <c r="Y1235" s="980" t="str">
        <f>IF(LEN('Ch10'!X52)=0,"None",'Ch10'!X52)</f>
        <v>None</v>
      </c>
      <c r="Z1235" s="983"/>
      <c r="AA1235" s="562"/>
      <c r="AB1235" s="562"/>
      <c r="AC1235" s="562" t="b">
        <f>OR(AD1235:AE1235)</f>
        <v>0</v>
      </c>
      <c r="AD1235" s="562" t="b">
        <f>T1235</f>
        <v>0</v>
      </c>
      <c r="AE1235" s="562"/>
      <c r="AF1235" s="562"/>
      <c r="AG1235" s="562"/>
      <c r="AH1235" s="562"/>
      <c r="AI1235" s="562"/>
      <c r="AJ1235" s="562"/>
      <c r="AK1235" s="562"/>
      <c r="AL1235" s="562"/>
      <c r="AM1235" s="562"/>
      <c r="AN1235" s="562"/>
      <c r="AO1235" s="562"/>
      <c r="AP1235" s="190" t="str">
        <f t="shared" si="381"/>
        <v>vch1001,1_20</v>
      </c>
      <c r="AQ1235" s="190">
        <f>W1235</f>
        <v>0</v>
      </c>
      <c r="AR1235" s="190" t="str">
        <f t="shared" si="382"/>
        <v>vnt1001,1_20</v>
      </c>
      <c r="AS1235" s="190">
        <f>X1235</f>
        <v>0</v>
      </c>
      <c r="AT1235" s="562"/>
      <c r="AU1235" s="562"/>
      <c r="AV1235" s="562"/>
      <c r="AW1235" s="562"/>
      <c r="AX1235" s="594"/>
      <c r="AY1235" s="562"/>
      <c r="AZ1235" s="562"/>
      <c r="BA1235" s="562"/>
      <c r="BB1235" s="562"/>
      <c r="BC1235" s="562"/>
      <c r="BD1235" s="562"/>
      <c r="BE1235" s="562"/>
      <c r="BF1235" s="562"/>
      <c r="BG1235" s="562"/>
      <c r="BH1235" s="562"/>
      <c r="BI1235" s="562"/>
      <c r="BJ1235" s="562"/>
      <c r="BK1235" s="562"/>
    </row>
    <row r="1236" spans="1:63" x14ac:dyDescent="0.2">
      <c r="A1236" s="541">
        <v>10</v>
      </c>
      <c r="B1236" s="551">
        <v>1001.1</v>
      </c>
      <c r="C1236" s="544"/>
      <c r="D1236" s="544"/>
      <c r="E1236" s="544" t="s">
        <v>3263</v>
      </c>
      <c r="F1236" s="544"/>
      <c r="G1236" s="543" t="str">
        <f t="shared" si="370"/>
        <v/>
      </c>
      <c r="H1236" s="541" t="s">
        <v>3758</v>
      </c>
      <c r="I1236" s="3"/>
      <c r="J1236" s="165"/>
      <c r="K1236" s="165"/>
      <c r="L1236" s="792"/>
      <c r="M1236" s="609"/>
      <c r="N1236" s="3"/>
      <c r="O1236" s="609"/>
      <c r="P1236" s="562"/>
      <c r="Q1236" s="562"/>
      <c r="R1236" s="562"/>
      <c r="S1236" s="562"/>
      <c r="T1236" s="562"/>
      <c r="U1236" s="562"/>
      <c r="V1236" s="562"/>
      <c r="W1236" s="562"/>
      <c r="X1236" s="787"/>
      <c r="Y1236" s="980"/>
      <c r="Z1236" s="983"/>
      <c r="AA1236" s="562"/>
      <c r="AB1236" s="562"/>
      <c r="AC1236" s="562"/>
      <c r="AD1236" s="562"/>
      <c r="AE1236" s="562"/>
      <c r="AF1236" s="562"/>
      <c r="AG1236" s="562"/>
      <c r="AH1236" s="562"/>
      <c r="AI1236" s="562"/>
      <c r="AJ1236" s="562"/>
      <c r="AK1236" s="562"/>
      <c r="AL1236" s="562"/>
      <c r="AM1236" s="562"/>
      <c r="AN1236" s="562"/>
      <c r="AO1236" s="562"/>
      <c r="AP1236" s="562"/>
      <c r="AQ1236" s="562"/>
      <c r="AR1236" s="562"/>
      <c r="AS1236" s="562"/>
      <c r="AT1236" s="562"/>
      <c r="AU1236" s="562"/>
      <c r="AV1236" s="562"/>
      <c r="AW1236" s="562"/>
      <c r="AX1236" s="594" t="str">
        <f>'Overview (Verification)'!A50</f>
        <v>Special Design Features:</v>
      </c>
      <c r="AY1236" s="562"/>
      <c r="AZ1236" s="562"/>
      <c r="BA1236" s="562"/>
      <c r="BB1236" s="562"/>
      <c r="BC1236" s="562"/>
      <c r="BD1236" s="562"/>
      <c r="BE1236" s="562"/>
      <c r="BF1236" s="562"/>
      <c r="BG1236" s="562"/>
      <c r="BH1236" s="562"/>
      <c r="BI1236" s="562"/>
      <c r="BJ1236" s="562"/>
      <c r="BK1236" s="562"/>
    </row>
    <row r="1237" spans="1:63" x14ac:dyDescent="0.2">
      <c r="A1237" s="541">
        <v>10</v>
      </c>
      <c r="B1237" s="551">
        <v>1001.1</v>
      </c>
      <c r="C1237" s="544"/>
      <c r="D1237" s="544"/>
      <c r="E1237" s="544" t="s">
        <v>3265</v>
      </c>
      <c r="F1237" s="544"/>
      <c r="G1237" s="543" t="str">
        <f t="shared" si="370"/>
        <v/>
      </c>
      <c r="H1237" s="541" t="s">
        <v>3758</v>
      </c>
      <c r="I1237" s="3"/>
      <c r="J1237" s="164" t="s">
        <v>3265</v>
      </c>
      <c r="K1237" s="146"/>
      <c r="L1237" s="831" t="s">
        <v>3266</v>
      </c>
      <c r="M1237" s="609"/>
      <c r="N1237" s="3"/>
      <c r="O1237" s="609"/>
      <c r="P1237" s="562" t="b">
        <v>0</v>
      </c>
      <c r="Q1237" s="562" t="b">
        <v>1</v>
      </c>
      <c r="R1237" s="562" t="b">
        <v>0</v>
      </c>
      <c r="S1237" s="562" t="b">
        <f>IF(AY1202=INDEX(ddSingleOrMulti,1),TRUE,FALSE)</f>
        <v>1</v>
      </c>
      <c r="T1237" s="64" t="b">
        <f>AND(NOT(S1237),W1237=TRUE)</f>
        <v>0</v>
      </c>
      <c r="U1237" s="562"/>
      <c r="V1237" s="562"/>
      <c r="W1237" s="18"/>
      <c r="X1237" s="787"/>
      <c r="Y1237" s="980" t="str">
        <f>IF(LEN('Ch10'!X54)=0,"None",'Ch10'!X54)</f>
        <v>None</v>
      </c>
      <c r="Z1237" s="983"/>
      <c r="AA1237" s="562"/>
      <c r="AB1237" s="562"/>
      <c r="AC1237" s="562" t="b">
        <f>OR(AD1237:AE1237)</f>
        <v>0</v>
      </c>
      <c r="AD1237" s="562" t="b">
        <f>T1237</f>
        <v>0</v>
      </c>
      <c r="AE1237" s="562"/>
      <c r="AF1237" s="562"/>
      <c r="AG1237" s="562"/>
      <c r="AH1237" s="562"/>
      <c r="AI1237" s="562"/>
      <c r="AJ1237" s="562"/>
      <c r="AK1237" s="562"/>
      <c r="AL1237" s="562"/>
      <c r="AM1237" s="562"/>
      <c r="AN1237" s="562"/>
      <c r="AO1237" s="562"/>
      <c r="AP1237" s="190" t="str">
        <f>SUBSTITUTE(SUBSTITUTE(SUBSTITUTE("vch"&amp;$B1237&amp;$C1237&amp;$D1237&amp;$E1237&amp;$F1237,".","_"),"(","_"),")","")</f>
        <v>vch1001,1_21</v>
      </c>
      <c r="AQ1237" s="190">
        <f>W1237</f>
        <v>0</v>
      </c>
      <c r="AR1237" s="190" t="str">
        <f>SUBSTITUTE(SUBSTITUTE(SUBSTITUTE("vnt"&amp;$B1237&amp;$C1237&amp;$D1237&amp;$E1237&amp;$F1237,".","_"),"(","_"),")","")</f>
        <v>vnt1001,1_21</v>
      </c>
      <c r="AS1237" s="190">
        <f>X1237</f>
        <v>0</v>
      </c>
      <c r="AT1237" s="562"/>
      <c r="AU1237" s="562"/>
      <c r="AV1237" s="562"/>
      <c r="AW1237" s="562"/>
      <c r="AX1237" s="594" t="str">
        <f>'Overview (Verification)'!A51</f>
        <v>Passive Solar:</v>
      </c>
      <c r="AY1237" s="562">
        <f>IF(LEN('Overview (Verification)'!P51)=0,0,'Overview (Verification)'!P51)</f>
        <v>0</v>
      </c>
      <c r="AZ1237" s="562"/>
      <c r="BA1237" s="562"/>
      <c r="BB1237" s="562"/>
      <c r="BC1237" s="562"/>
      <c r="BD1237" s="562"/>
      <c r="BE1237" s="562"/>
      <c r="BF1237" s="562"/>
      <c r="BG1237" s="562"/>
      <c r="BH1237" s="562"/>
      <c r="BI1237" s="562"/>
      <c r="BJ1237" s="562"/>
      <c r="BK1237" s="562"/>
    </row>
    <row r="1238" spans="1:63" x14ac:dyDescent="0.2">
      <c r="A1238" s="541">
        <v>10</v>
      </c>
      <c r="B1238" s="551">
        <v>1001.1</v>
      </c>
      <c r="C1238" s="544"/>
      <c r="D1238" s="544"/>
      <c r="E1238" s="544" t="s">
        <v>3265</v>
      </c>
      <c r="F1238" s="544"/>
      <c r="G1238" s="543" t="str">
        <f t="shared" si="370"/>
        <v/>
      </c>
      <c r="H1238" s="541" t="s">
        <v>3758</v>
      </c>
      <c r="I1238" s="3"/>
      <c r="J1238" s="165"/>
      <c r="K1238" s="165"/>
      <c r="L1238" s="792"/>
      <c r="M1238" s="609"/>
      <c r="N1238" s="3"/>
      <c r="O1238" s="609"/>
      <c r="P1238" s="562"/>
      <c r="Q1238" s="562"/>
      <c r="R1238" s="562"/>
      <c r="S1238" s="562"/>
      <c r="T1238" s="562"/>
      <c r="U1238" s="562"/>
      <c r="V1238" s="562"/>
      <c r="W1238" s="562"/>
      <c r="X1238" s="787"/>
      <c r="Y1238" s="980"/>
      <c r="Z1238" s="983"/>
      <c r="AA1238" s="562"/>
      <c r="AB1238" s="562"/>
      <c r="AC1238" s="562"/>
      <c r="AD1238" s="562"/>
      <c r="AE1238" s="562"/>
      <c r="AF1238" s="562"/>
      <c r="AG1238" s="562"/>
      <c r="AH1238" s="562"/>
      <c r="AI1238" s="562"/>
      <c r="AJ1238" s="562"/>
      <c r="AK1238" s="562"/>
      <c r="AL1238" s="562"/>
      <c r="AM1238" s="562"/>
      <c r="AN1238" s="562"/>
      <c r="AO1238" s="562"/>
      <c r="AP1238" s="562"/>
      <c r="AQ1238" s="562"/>
      <c r="AR1238" s="562"/>
      <c r="AS1238" s="562"/>
      <c r="AT1238" s="562"/>
      <c r="AU1238" s="562"/>
      <c r="AV1238" s="562"/>
      <c r="AW1238" s="562"/>
      <c r="AX1238" s="594" t="str">
        <f>'Overview (Verification)'!A52</f>
        <v>Mass Walls:</v>
      </c>
      <c r="AY1238" s="562">
        <f>IF(LEN('Overview (Verification)'!P52)=0,0,'Overview (Verification)'!P52)</f>
        <v>0</v>
      </c>
      <c r="AZ1238" s="562"/>
      <c r="BA1238" s="562"/>
      <c r="BB1238" s="562"/>
      <c r="BC1238" s="562"/>
      <c r="BD1238" s="562"/>
      <c r="BE1238" s="562"/>
      <c r="BF1238" s="562"/>
      <c r="BG1238" s="562"/>
      <c r="BH1238" s="562"/>
      <c r="BI1238" s="562"/>
      <c r="BJ1238" s="562"/>
      <c r="BK1238" s="562"/>
    </row>
    <row r="1239" spans="1:63" x14ac:dyDescent="0.2">
      <c r="A1239" s="541">
        <v>10</v>
      </c>
      <c r="B1239" s="551">
        <v>1001.1</v>
      </c>
      <c r="C1239" s="544"/>
      <c r="D1239" s="544"/>
      <c r="E1239" s="544" t="s">
        <v>3267</v>
      </c>
      <c r="F1239" s="544"/>
      <c r="G1239" s="543" t="str">
        <f t="shared" si="370"/>
        <v/>
      </c>
      <c r="H1239" s="541" t="s">
        <v>3758</v>
      </c>
      <c r="I1239" s="3"/>
      <c r="J1239" s="164" t="s">
        <v>3267</v>
      </c>
      <c r="K1239" s="146"/>
      <c r="L1239" s="831" t="s">
        <v>3268</v>
      </c>
      <c r="M1239" s="609"/>
      <c r="N1239" s="3"/>
      <c r="O1239" s="609"/>
      <c r="P1239" s="562" t="b">
        <v>0</v>
      </c>
      <c r="Q1239" s="562" t="b">
        <v>1</v>
      </c>
      <c r="R1239" s="562" t="b">
        <v>0</v>
      </c>
      <c r="S1239" s="562" t="b">
        <f>IF(AY1202=INDEX(ddSingleOrMulti,1),TRUE,FALSE)</f>
        <v>1</v>
      </c>
      <c r="T1239" s="64" t="b">
        <f>AND(NOT(S1239),W1239=TRUE)</f>
        <v>0</v>
      </c>
      <c r="U1239" s="562"/>
      <c r="V1239" s="562"/>
      <c r="W1239" s="18"/>
      <c r="X1239" s="787"/>
      <c r="Y1239" s="980" t="str">
        <f>IF(LEN('Ch10'!X56)=0,"None",'Ch10'!X56)</f>
        <v>None</v>
      </c>
      <c r="Z1239" s="983"/>
      <c r="AA1239" s="562"/>
      <c r="AB1239" s="562"/>
      <c r="AC1239" s="562" t="b">
        <f>OR(AD1239:AE1239)</f>
        <v>0</v>
      </c>
      <c r="AD1239" s="562" t="b">
        <f>T1239</f>
        <v>0</v>
      </c>
      <c r="AE1239" s="562"/>
      <c r="AF1239" s="562"/>
      <c r="AG1239" s="562"/>
      <c r="AH1239" s="562"/>
      <c r="AI1239" s="562"/>
      <c r="AJ1239" s="562"/>
      <c r="AK1239" s="562"/>
      <c r="AL1239" s="562"/>
      <c r="AM1239" s="562"/>
      <c r="AN1239" s="562"/>
      <c r="AO1239" s="562"/>
      <c r="AP1239" s="190" t="str">
        <f>SUBSTITUTE(SUBSTITUTE(SUBSTITUTE("vch"&amp;$B1239&amp;$C1239&amp;$D1239&amp;$E1239&amp;$F1239,".","_"),"(","_"),")","")</f>
        <v>vch1001,1_22</v>
      </c>
      <c r="AQ1239" s="190">
        <f>W1239</f>
        <v>0</v>
      </c>
      <c r="AR1239" s="190" t="str">
        <f>SUBSTITUTE(SUBSTITUTE(SUBSTITUTE("vnt"&amp;$B1239&amp;$C1239&amp;$D1239&amp;$E1239&amp;$F1239,".","_"),"(","_"),")","")</f>
        <v>vnt1001,1_22</v>
      </c>
      <c r="AS1239" s="190">
        <f>X1239</f>
        <v>0</v>
      </c>
      <c r="AT1239" s="562"/>
      <c r="AU1239" s="562"/>
      <c r="AV1239" s="562"/>
      <c r="AW1239" s="562"/>
      <c r="AX1239" s="594" t="str">
        <f>'Overview (Verification)'!A53</f>
        <v>Ductless:</v>
      </c>
      <c r="AY1239" s="562">
        <f>IF(LEN('Overview (Verification)'!P53)=0,0,'Overview (Verification)'!P53)</f>
        <v>0</v>
      </c>
      <c r="AZ1239" s="562"/>
      <c r="BA1239" s="562"/>
      <c r="BB1239" s="562"/>
      <c r="BC1239" s="562"/>
      <c r="BD1239" s="562"/>
      <c r="BE1239" s="562"/>
      <c r="BF1239" s="562"/>
      <c r="BG1239" s="562"/>
      <c r="BH1239" s="562"/>
      <c r="BI1239" s="562"/>
      <c r="BJ1239" s="562"/>
      <c r="BK1239" s="562"/>
    </row>
    <row r="1240" spans="1:63" x14ac:dyDescent="0.2">
      <c r="A1240" s="541">
        <v>10</v>
      </c>
      <c r="B1240" s="551">
        <v>1001.1</v>
      </c>
      <c r="C1240" s="544"/>
      <c r="D1240" s="544"/>
      <c r="E1240" s="544" t="s">
        <v>3267</v>
      </c>
      <c r="F1240" s="544"/>
      <c r="G1240" s="543" t="str">
        <f t="shared" si="370"/>
        <v/>
      </c>
      <c r="H1240" s="541" t="s">
        <v>3758</v>
      </c>
      <c r="I1240" s="3"/>
      <c r="J1240" s="165"/>
      <c r="K1240" s="165"/>
      <c r="L1240" s="792"/>
      <c r="M1240" s="609"/>
      <c r="N1240" s="3"/>
      <c r="O1240" s="609"/>
      <c r="P1240" s="562"/>
      <c r="Q1240" s="562"/>
      <c r="R1240" s="562"/>
      <c r="S1240" s="562"/>
      <c r="T1240" s="562"/>
      <c r="U1240" s="562"/>
      <c r="V1240" s="562"/>
      <c r="W1240" s="562"/>
      <c r="X1240" s="787"/>
      <c r="Y1240" s="980"/>
      <c r="Z1240" s="983"/>
      <c r="AA1240" s="562"/>
      <c r="AB1240" s="562"/>
      <c r="AC1240" s="562"/>
      <c r="AD1240" s="562"/>
      <c r="AE1240" s="562"/>
      <c r="AF1240" s="562"/>
      <c r="AG1240" s="562"/>
      <c r="AH1240" s="562"/>
      <c r="AI1240" s="562"/>
      <c r="AJ1240" s="562"/>
      <c r="AK1240" s="562"/>
      <c r="AL1240" s="562"/>
      <c r="AM1240" s="562"/>
      <c r="AN1240" s="562"/>
      <c r="AO1240" s="562"/>
      <c r="AP1240" s="562"/>
      <c r="AQ1240" s="562"/>
      <c r="AR1240" s="562"/>
      <c r="AS1240" s="562"/>
      <c r="AT1240" s="562"/>
      <c r="AU1240" s="562"/>
      <c r="AV1240" s="562"/>
      <c r="AW1240" s="562"/>
      <c r="AX1240" s="594" t="str">
        <f>'Overview (Verification)'!A54</f>
        <v>Radiant/Hydronic:</v>
      </c>
      <c r="AY1240" s="562">
        <f>IF(LEN('Overview (Verification)'!P54)=0,0,'Overview (Verification)'!P54)</f>
        <v>0</v>
      </c>
      <c r="AZ1240" s="562"/>
      <c r="BA1240" s="562"/>
      <c r="BB1240" s="562"/>
      <c r="BC1240" s="562"/>
      <c r="BD1240" s="562"/>
      <c r="BE1240" s="562"/>
      <c r="BF1240" s="562"/>
      <c r="BG1240" s="562"/>
      <c r="BH1240" s="562"/>
      <c r="BI1240" s="562"/>
      <c r="BJ1240" s="562"/>
      <c r="BK1240" s="562"/>
    </row>
    <row r="1241" spans="1:63" s="497" customFormat="1" x14ac:dyDescent="0.2">
      <c r="A1241" s="541">
        <v>10</v>
      </c>
      <c r="B1241" s="551">
        <v>1001.1</v>
      </c>
      <c r="C1241" s="544"/>
      <c r="D1241" s="544"/>
      <c r="E1241" s="544" t="s">
        <v>3269</v>
      </c>
      <c r="F1241" s="544"/>
      <c r="G1241" s="543" t="str">
        <f t="shared" si="370"/>
        <v/>
      </c>
      <c r="H1241" s="541" t="s">
        <v>3758</v>
      </c>
      <c r="I1241" s="3"/>
      <c r="J1241" s="164" t="s">
        <v>3269</v>
      </c>
      <c r="K1241" s="146"/>
      <c r="L1241" s="831" t="s">
        <v>3270</v>
      </c>
      <c r="M1241" s="609"/>
      <c r="N1241" s="3"/>
      <c r="O1241" s="609"/>
      <c r="P1241" s="562" t="b">
        <v>0</v>
      </c>
      <c r="Q1241" s="562" t="b">
        <v>1</v>
      </c>
      <c r="R1241" s="562" t="b">
        <v>0</v>
      </c>
      <c r="S1241" s="1" t="b">
        <f>IF(AND(AY1202=INDEX(ddSingleOrMulti,1),AY1206&lt;1978),TRUE,FALSE)</f>
        <v>0</v>
      </c>
      <c r="T1241" s="64" t="b">
        <f>AND(NOT(S1241),W1241=TRUE)</f>
        <v>0</v>
      </c>
      <c r="U1241" s="562"/>
      <c r="V1241" s="562"/>
      <c r="W1241" s="18"/>
      <c r="X1241" s="787"/>
      <c r="Y1241" s="980" t="str">
        <f>IF(LEN('Ch10'!X58)=0,"None",'Ch10'!X58)</f>
        <v>None</v>
      </c>
      <c r="Z1241" s="983"/>
      <c r="AA1241" s="562"/>
      <c r="AB1241" s="562"/>
      <c r="AC1241" s="492" t="b">
        <f>OR(AD1241:AE1241)</f>
        <v>0</v>
      </c>
      <c r="AD1241" s="492" t="b">
        <f>T1241</f>
        <v>0</v>
      </c>
      <c r="AE1241" s="562"/>
      <c r="AF1241" s="562"/>
      <c r="AG1241" s="562"/>
      <c r="AH1241" s="562"/>
      <c r="AI1241" s="562"/>
      <c r="AJ1241" s="562"/>
      <c r="AK1241" s="562"/>
      <c r="AL1241" s="562"/>
      <c r="AM1241" s="562"/>
      <c r="AN1241" s="562"/>
      <c r="AO1241" s="562"/>
      <c r="AP1241" s="493" t="str">
        <f>SUBSTITUTE(SUBSTITUTE(SUBSTITUTE("vch"&amp;$B1241&amp;$C1241&amp;$D1241&amp;$E1241&amp;$F1241,".","_"),"(","_"),")","")</f>
        <v>vch1001,1_23</v>
      </c>
      <c r="AQ1241" s="493">
        <f>W1241</f>
        <v>0</v>
      </c>
      <c r="AR1241" s="493" t="str">
        <f>SUBSTITUTE(SUBSTITUTE(SUBSTITUTE("vnt"&amp;$B1241&amp;$C1241&amp;$D1241&amp;$E1241&amp;$F1241,".","_"),"(","_"),")","")</f>
        <v>vnt1001,1_23</v>
      </c>
      <c r="AS1241" s="493">
        <f>X1241</f>
        <v>0</v>
      </c>
      <c r="AT1241" s="562"/>
      <c r="AU1241" s="562"/>
      <c r="AV1241" s="562"/>
      <c r="AW1241" s="562"/>
      <c r="AX1241" s="594" t="str">
        <f>'Overview (Verification)'!A55</f>
        <v>Tankless Water Heater:</v>
      </c>
      <c r="AY1241" s="562">
        <f>IF(LEN('Overview (Verification)'!P55)=0,0,'Overview (Verification)'!P55)</f>
        <v>0</v>
      </c>
      <c r="AZ1241" s="562"/>
      <c r="BA1241" s="562"/>
      <c r="BB1241" s="562"/>
      <c r="BC1241" s="562"/>
      <c r="BD1241" s="562"/>
      <c r="BE1241" s="562"/>
      <c r="BF1241" s="562"/>
      <c r="BG1241" s="562"/>
      <c r="BH1241" s="562"/>
      <c r="BI1241" s="562"/>
      <c r="BJ1241" s="562"/>
      <c r="BK1241" s="562"/>
    </row>
    <row r="1242" spans="1:63" s="497" customFormat="1" x14ac:dyDescent="0.2">
      <c r="A1242" s="541">
        <v>10</v>
      </c>
      <c r="B1242" s="551">
        <v>1001.1</v>
      </c>
      <c r="C1242" s="544"/>
      <c r="D1242" s="544"/>
      <c r="E1242" s="544" t="s">
        <v>3269</v>
      </c>
      <c r="F1242" s="544"/>
      <c r="G1242" s="543" t="str">
        <f t="shared" si="370"/>
        <v/>
      </c>
      <c r="H1242" s="541" t="s">
        <v>3758</v>
      </c>
      <c r="I1242" s="3"/>
      <c r="J1242" s="165"/>
      <c r="K1242" s="165"/>
      <c r="L1242" s="792"/>
      <c r="M1242" s="609"/>
      <c r="N1242" s="3"/>
      <c r="O1242" s="609"/>
      <c r="P1242" s="562"/>
      <c r="Q1242" s="562"/>
      <c r="R1242" s="562"/>
      <c r="S1242" s="562"/>
      <c r="T1242" s="562"/>
      <c r="U1242" s="562"/>
      <c r="V1242" s="562"/>
      <c r="W1242" s="562"/>
      <c r="X1242" s="787"/>
      <c r="Y1242" s="980"/>
      <c r="Z1242" s="983"/>
      <c r="AA1242" s="562"/>
      <c r="AB1242" s="562"/>
      <c r="AC1242" s="562"/>
      <c r="AD1242" s="562"/>
      <c r="AE1242" s="562"/>
      <c r="AF1242" s="562"/>
      <c r="AG1242" s="562"/>
      <c r="AH1242" s="562"/>
      <c r="AI1242" s="562"/>
      <c r="AJ1242" s="562"/>
      <c r="AK1242" s="562"/>
      <c r="AL1242" s="562"/>
      <c r="AM1242" s="562"/>
      <c r="AN1242" s="562"/>
      <c r="AO1242" s="562"/>
      <c r="AP1242" s="562"/>
      <c r="AQ1242" s="562"/>
      <c r="AR1242" s="562"/>
      <c r="AS1242" s="562"/>
      <c r="AT1242" s="562"/>
      <c r="AU1242" s="562"/>
      <c r="AV1242" s="562"/>
      <c r="AW1242" s="562"/>
      <c r="AX1242" s="594"/>
      <c r="AY1242" s="562"/>
      <c r="AZ1242" s="562"/>
      <c r="BA1242" s="562"/>
      <c r="BB1242" s="562"/>
      <c r="BC1242" s="562"/>
      <c r="BD1242" s="562"/>
      <c r="BE1242" s="562"/>
      <c r="BF1242" s="562"/>
      <c r="BG1242" s="562"/>
      <c r="BH1242" s="562"/>
      <c r="BI1242" s="562"/>
      <c r="BJ1242" s="562"/>
      <c r="BK1242" s="562"/>
    </row>
    <row r="1243" spans="1:63" s="467" customFormat="1" ht="16" x14ac:dyDescent="0.2">
      <c r="A1243" s="541">
        <v>10</v>
      </c>
      <c r="B1243" s="551">
        <v>1001.1</v>
      </c>
      <c r="C1243" s="544"/>
      <c r="D1243" s="544"/>
      <c r="E1243" s="544" t="s">
        <v>3271</v>
      </c>
      <c r="F1243" s="544"/>
      <c r="G1243" s="543" t="str">
        <f>G1240</f>
        <v/>
      </c>
      <c r="H1243" s="541" t="s">
        <v>3758</v>
      </c>
      <c r="I1243" s="3"/>
      <c r="J1243" s="161" t="s">
        <v>3271</v>
      </c>
      <c r="K1243" s="186"/>
      <c r="L1243" s="205" t="s">
        <v>3272</v>
      </c>
      <c r="M1243" s="609"/>
      <c r="N1243" s="3"/>
      <c r="O1243" s="609"/>
      <c r="P1243" s="562" t="b">
        <v>0</v>
      </c>
      <c r="Q1243" s="562" t="b">
        <v>1</v>
      </c>
      <c r="R1243" s="562" t="b">
        <v>0</v>
      </c>
      <c r="S1243" s="562" t="b">
        <f>IF(AY1202=INDEX(ddSingleOrMulti,1),TRUE,FALSE)</f>
        <v>1</v>
      </c>
      <c r="T1243" s="64" t="b">
        <f>AND(NOT(S1243),W1243=TRUE)</f>
        <v>0</v>
      </c>
      <c r="U1243" s="562"/>
      <c r="V1243" s="562"/>
      <c r="W1243" s="18"/>
      <c r="X1243" s="563"/>
      <c r="Y1243" s="578" t="str">
        <f>IF(LEN('Ch10'!X60)=0,"None",'Ch10'!X60)</f>
        <v>None</v>
      </c>
      <c r="Z1243" s="579"/>
      <c r="AA1243" s="562"/>
      <c r="AB1243" s="562"/>
      <c r="AC1243" s="562" t="b">
        <f>OR(AD1243:AE1243)</f>
        <v>0</v>
      </c>
      <c r="AD1243" s="562" t="b">
        <f>T1243</f>
        <v>0</v>
      </c>
      <c r="AE1243" s="562"/>
      <c r="AF1243" s="562"/>
      <c r="AG1243" s="562"/>
      <c r="AH1243" s="562"/>
      <c r="AI1243" s="562"/>
      <c r="AJ1243" s="562"/>
      <c r="AK1243" s="562"/>
      <c r="AL1243" s="562"/>
      <c r="AM1243" s="562"/>
      <c r="AN1243" s="562"/>
      <c r="AO1243" s="562"/>
      <c r="AP1243" s="190" t="str">
        <f t="shared" ref="AP1243:AP1244" si="383">SUBSTITUTE(SUBSTITUTE(SUBSTITUTE("vch"&amp;$B1243&amp;$C1243&amp;$D1243&amp;$E1243&amp;$F1243,".","_"),"(","_"),")","")</f>
        <v>vch1001,1_24</v>
      </c>
      <c r="AQ1243" s="190">
        <f>W1243</f>
        <v>0</v>
      </c>
      <c r="AR1243" s="190" t="str">
        <f t="shared" ref="AR1243:AR1244" si="384">SUBSTITUTE(SUBSTITUTE(SUBSTITUTE("vnt"&amp;$B1243&amp;$C1243&amp;$D1243&amp;$E1243&amp;$F1243,".","_"),"(","_"),")","")</f>
        <v>vnt1001,1_24</v>
      </c>
      <c r="AS1243" s="190">
        <f>X1243</f>
        <v>0</v>
      </c>
      <c r="AT1243" s="562"/>
      <c r="AU1243" s="562"/>
      <c r="AV1243" s="562"/>
      <c r="AW1243" s="562"/>
      <c r="AX1243" s="594"/>
      <c r="AY1243" s="562"/>
      <c r="AZ1243" s="562"/>
      <c r="BA1243" s="562"/>
      <c r="BB1243" s="562"/>
      <c r="BC1243" s="562"/>
      <c r="BD1243" s="562"/>
      <c r="BE1243" s="562"/>
      <c r="BF1243" s="562"/>
      <c r="BG1243" s="562"/>
      <c r="BH1243" s="562"/>
      <c r="BI1243" s="562"/>
      <c r="BJ1243" s="562"/>
      <c r="BK1243" s="562"/>
    </row>
    <row r="1244" spans="1:63" s="467" customFormat="1" ht="17" thickBot="1" x14ac:dyDescent="0.25">
      <c r="A1244" s="541">
        <v>10</v>
      </c>
      <c r="B1244" s="551">
        <v>1001.1</v>
      </c>
      <c r="C1244" s="544"/>
      <c r="D1244" s="544"/>
      <c r="E1244" s="544" t="s">
        <v>3273</v>
      </c>
      <c r="F1244" s="544"/>
      <c r="G1244" s="543" t="str">
        <f t="shared" si="370"/>
        <v/>
      </c>
      <c r="H1244" s="541" t="s">
        <v>3758</v>
      </c>
      <c r="I1244" s="185"/>
      <c r="J1244" s="143" t="s">
        <v>3273</v>
      </c>
      <c r="K1244" s="185"/>
      <c r="L1244" s="469" t="s">
        <v>3274</v>
      </c>
      <c r="M1244" s="622"/>
      <c r="N1244" s="185"/>
      <c r="O1244" s="622"/>
      <c r="P1244" s="562" t="b">
        <v>0</v>
      </c>
      <c r="Q1244" s="562" t="b">
        <v>1</v>
      </c>
      <c r="R1244" s="68" t="b">
        <v>0</v>
      </c>
      <c r="S1244" s="68" t="b">
        <f>IF(AY1202=INDEX(ddSingleOrMulti,1),TRUE,FALSE)</f>
        <v>1</v>
      </c>
      <c r="T1244" s="68" t="b">
        <f>AND(NOT(S1244),W1244=TRUE)</f>
        <v>0</v>
      </c>
      <c r="U1244" s="68"/>
      <c r="V1244" s="68"/>
      <c r="W1244" s="69"/>
      <c r="X1244" s="565"/>
      <c r="Y1244" s="578" t="str">
        <f>IF(LEN('Ch10'!X61)=0,"None",'Ch10'!X61)</f>
        <v>None</v>
      </c>
      <c r="Z1244" s="582"/>
      <c r="AA1244" s="562"/>
      <c r="AB1244" s="562"/>
      <c r="AC1244" s="562" t="b">
        <f>OR(AD1244:AE1244)</f>
        <v>0</v>
      </c>
      <c r="AD1244" s="562" t="b">
        <f>T1244</f>
        <v>0</v>
      </c>
      <c r="AE1244" s="562"/>
      <c r="AF1244" s="562"/>
      <c r="AG1244" s="562"/>
      <c r="AH1244" s="562"/>
      <c r="AI1244" s="562"/>
      <c r="AJ1244" s="562"/>
      <c r="AK1244" s="562"/>
      <c r="AL1244" s="562"/>
      <c r="AM1244" s="562"/>
      <c r="AN1244" s="562"/>
      <c r="AO1244" s="562"/>
      <c r="AP1244" s="190" t="str">
        <f t="shared" si="383"/>
        <v>vch1001,1_25</v>
      </c>
      <c r="AQ1244" s="190">
        <f>W1244</f>
        <v>0</v>
      </c>
      <c r="AR1244" s="190" t="str">
        <f t="shared" si="384"/>
        <v>vnt1001,1_25</v>
      </c>
      <c r="AS1244" s="190">
        <f>X1244</f>
        <v>0</v>
      </c>
      <c r="AT1244" s="562"/>
      <c r="AU1244" s="562"/>
      <c r="AV1244" s="562"/>
      <c r="AW1244" s="562"/>
      <c r="AX1244" s="594" t="str">
        <f>'Overview (Verification)'!A56</f>
        <v>Composting Toilet:</v>
      </c>
      <c r="AY1244" s="562">
        <f>IF(LEN('Overview (Verification)'!P56)=0,0,'Overview (Verification)'!P56)</f>
        <v>0</v>
      </c>
      <c r="AZ1244" s="562"/>
      <c r="BA1244" s="562"/>
      <c r="BB1244" s="562"/>
      <c r="BC1244" s="562"/>
      <c r="BD1244" s="562"/>
      <c r="BE1244" s="562"/>
      <c r="BF1244" s="562"/>
      <c r="BG1244" s="562"/>
      <c r="BH1244" s="562"/>
      <c r="BI1244" s="562"/>
      <c r="BJ1244" s="562"/>
      <c r="BK1244" s="562"/>
    </row>
    <row r="1245" spans="1:63" ht="16" thickTop="1" x14ac:dyDescent="0.2">
      <c r="A1245" s="541">
        <v>10</v>
      </c>
      <c r="B1245" s="551">
        <v>1001.2</v>
      </c>
      <c r="C1245" s="544"/>
      <c r="D1245" s="544"/>
      <c r="E1245" s="544"/>
      <c r="F1245" s="544"/>
      <c r="G1245" s="543" t="str">
        <f>IF(M1245="Mandatory","P","")</f>
        <v>P</v>
      </c>
      <c r="H1245" s="541" t="s">
        <v>3758</v>
      </c>
      <c r="I1245" s="40" t="s">
        <v>3275</v>
      </c>
      <c r="J1245" s="3"/>
      <c r="K1245" s="3"/>
      <c r="L1245" s="775" t="s">
        <v>3276</v>
      </c>
      <c r="M1245" s="843" t="str">
        <f>IF(R1245,"Mandatory","N/A")</f>
        <v>Mandatory</v>
      </c>
      <c r="N1245" s="823">
        <f>'Ch10'!O62</f>
        <v>0</v>
      </c>
      <c r="O1245" s="823">
        <f>M1247*W1245*S1245</f>
        <v>0</v>
      </c>
      <c r="P1245" s="562" t="b">
        <v>0</v>
      </c>
      <c r="Q1245" s="562" t="b">
        <v>1</v>
      </c>
      <c r="R1245" s="562" t="b">
        <f>S1245</f>
        <v>1</v>
      </c>
      <c r="S1245" s="562" t="b">
        <f>IF(AY1202=INDEX(ddSingleOrMulti,1),TRUE,FALSE)</f>
        <v>1</v>
      </c>
      <c r="T1245" s="64" t="b">
        <f>AND(NOT(S1245),W1245=TRUE)</f>
        <v>0</v>
      </c>
      <c r="U1245" s="562"/>
      <c r="V1245" s="562"/>
      <c r="W1245" s="91"/>
      <c r="X1245" s="786"/>
      <c r="Y1245" s="975" t="str">
        <f>IF(LEN('Ch10'!X62)=0,"None",'Ch10'!X62)</f>
        <v>None</v>
      </c>
      <c r="Z1245" s="976"/>
      <c r="AA1245" s="562"/>
      <c r="AB1245" s="562"/>
      <c r="AC1245" s="562" t="b">
        <f>OR(AD1245:AE1245)</f>
        <v>1</v>
      </c>
      <c r="AD1245" s="562" t="b">
        <f>T1245</f>
        <v>0</v>
      </c>
      <c r="AE1245" s="562" t="b">
        <f>AND(R1245,NOT(W1245=TRUE))</f>
        <v>1</v>
      </c>
      <c r="AF1245" s="562" t="b">
        <f>AND(AE1245,NOT(Q1245))</f>
        <v>0</v>
      </c>
      <c r="AG1245" s="562"/>
      <c r="AH1245" s="562"/>
      <c r="AI1245" s="562"/>
      <c r="AJ1245" s="562"/>
      <c r="AK1245" s="562"/>
      <c r="AL1245" s="190" t="str">
        <f t="shared" ref="AL1245" si="385">SUBSTITUTE(SUBSTITUTE(SUBSTITUTE("vpa"&amp;$B1245&amp;$C1245&amp;$D1245&amp;$E1245&amp;$F1245,".","_"),"(","_"),")","")</f>
        <v>vpa1001,2</v>
      </c>
      <c r="AM1245" s="190" t="str">
        <f>M1245</f>
        <v>Mandatory</v>
      </c>
      <c r="AN1245" s="562"/>
      <c r="AO1245" s="562"/>
      <c r="AP1245" s="190" t="str">
        <f t="shared" ref="AP1245" si="386">SUBSTITUTE(SUBSTITUTE(SUBSTITUTE("vch"&amp;$B1245&amp;$C1245&amp;$D1245&amp;$E1245&amp;$F1245,".","_"),"(","_"),")","")</f>
        <v>vch1001,2</v>
      </c>
      <c r="AQ1245" s="190">
        <f>W1245</f>
        <v>0</v>
      </c>
      <c r="AR1245" s="190" t="str">
        <f t="shared" ref="AR1245" si="387">SUBSTITUTE(SUBSTITUTE(SUBSTITUTE("vnt"&amp;$B1245&amp;$C1245&amp;$D1245&amp;$E1245&amp;$F1245,".","_"),"(","_"),")","")</f>
        <v>vnt1001,2</v>
      </c>
      <c r="AS1245" s="190">
        <f>X1245</f>
        <v>0</v>
      </c>
      <c r="AT1245" s="562"/>
      <c r="AU1245" s="562"/>
      <c r="AV1245" s="562"/>
      <c r="AW1245" s="562"/>
      <c r="AX1245" s="594"/>
      <c r="AY1245" s="562"/>
      <c r="AZ1245" s="562"/>
      <c r="BA1245" s="562"/>
      <c r="BB1245" s="562"/>
      <c r="BC1245" s="562"/>
      <c r="BD1245" s="562"/>
      <c r="BE1245" s="562"/>
      <c r="BF1245" s="562"/>
      <c r="BG1245" s="562"/>
      <c r="BH1245" s="562"/>
      <c r="BI1245" s="562"/>
      <c r="BJ1245" s="562"/>
      <c r="BK1245" s="562"/>
    </row>
    <row r="1246" spans="1:63" x14ac:dyDescent="0.2">
      <c r="A1246" s="541">
        <v>10</v>
      </c>
      <c r="B1246" s="551">
        <v>1001.2</v>
      </c>
      <c r="C1246" s="544"/>
      <c r="D1246" s="544"/>
      <c r="E1246" s="544"/>
      <c r="F1246" s="544"/>
      <c r="G1246" s="543" t="str">
        <f t="shared" ref="G1246:G1255" si="388">G1245</f>
        <v>P</v>
      </c>
      <c r="H1246" s="541" t="s">
        <v>3758</v>
      </c>
      <c r="I1246" s="3"/>
      <c r="J1246" s="3"/>
      <c r="K1246" s="3"/>
      <c r="L1246" s="775"/>
      <c r="M1246" s="837"/>
      <c r="N1246" s="795"/>
      <c r="O1246" s="795"/>
      <c r="P1246" s="562"/>
      <c r="Q1246" s="562"/>
      <c r="R1246" s="562"/>
      <c r="S1246" s="562"/>
      <c r="T1246" s="562"/>
      <c r="U1246" s="562"/>
      <c r="V1246" s="562"/>
      <c r="W1246" s="562"/>
      <c r="X1246" s="787"/>
      <c r="Y1246" s="980"/>
      <c r="Z1246" s="983"/>
      <c r="AA1246" s="562"/>
      <c r="AB1246" s="562"/>
      <c r="AC1246" s="562"/>
      <c r="AD1246" s="562"/>
      <c r="AE1246" s="562"/>
      <c r="AF1246" s="562"/>
      <c r="AG1246" s="562"/>
      <c r="AH1246" s="562"/>
      <c r="AI1246" s="562"/>
      <c r="AJ1246" s="562"/>
      <c r="AK1246" s="562"/>
      <c r="AL1246" s="562"/>
      <c r="AM1246" s="562"/>
      <c r="AN1246" s="562"/>
      <c r="AO1246" s="562"/>
      <c r="AP1246" s="562"/>
      <c r="AQ1246" s="562"/>
      <c r="AR1246" s="562"/>
      <c r="AS1246" s="562"/>
      <c r="AT1246" s="562"/>
      <c r="AU1246" s="562"/>
      <c r="AV1246" s="562"/>
      <c r="AW1246" s="562"/>
      <c r="AX1246" s="594" t="str">
        <f>'Overview (Verification)'!A58</f>
        <v>Local Energy Code:</v>
      </c>
      <c r="AY1246" s="562">
        <f>IF(LEN('Overview (Verification)'!P58)=0,0,'Overview (Verification)'!P58)</f>
        <v>0</v>
      </c>
      <c r="AZ1246" s="562"/>
      <c r="BA1246" s="562"/>
      <c r="BB1246" s="562"/>
      <c r="BC1246" s="562"/>
      <c r="BD1246" s="562"/>
      <c r="BE1246" s="562"/>
      <c r="BF1246" s="562"/>
      <c r="BG1246" s="562"/>
      <c r="BH1246" s="562"/>
      <c r="BI1246" s="562"/>
      <c r="BJ1246" s="562"/>
      <c r="BK1246" s="562"/>
    </row>
    <row r="1247" spans="1:63" x14ac:dyDescent="0.2">
      <c r="A1247" s="541">
        <v>10</v>
      </c>
      <c r="B1247" s="551">
        <v>1001.2</v>
      </c>
      <c r="C1247" s="544"/>
      <c r="D1247" s="544"/>
      <c r="E1247" s="544"/>
      <c r="F1247" s="544"/>
      <c r="G1247" s="543" t="str">
        <f t="shared" si="388"/>
        <v>P</v>
      </c>
      <c r="H1247" s="541" t="s">
        <v>3758</v>
      </c>
      <c r="I1247" s="3"/>
      <c r="J1247" s="3"/>
      <c r="K1247" s="3"/>
      <c r="L1247" s="775"/>
      <c r="M1247" s="887">
        <v>8</v>
      </c>
      <c r="N1247" s="795"/>
      <c r="O1247" s="795"/>
      <c r="P1247" s="562"/>
      <c r="Q1247" s="562"/>
      <c r="R1247" s="562"/>
      <c r="S1247" s="562"/>
      <c r="T1247" s="562"/>
      <c r="U1247" s="562"/>
      <c r="V1247" s="562"/>
      <c r="W1247" s="562"/>
      <c r="X1247" s="787"/>
      <c r="Y1247" s="980"/>
      <c r="Z1247" s="983"/>
      <c r="AA1247" s="562"/>
      <c r="AB1247" s="562"/>
      <c r="AC1247" s="562"/>
      <c r="AD1247" s="562"/>
      <c r="AE1247" s="562"/>
      <c r="AF1247" s="562"/>
      <c r="AG1247" s="562"/>
      <c r="AH1247" s="562"/>
      <c r="AI1247" s="562"/>
      <c r="AJ1247" s="562"/>
      <c r="AK1247" s="562"/>
      <c r="AL1247" s="562"/>
      <c r="AM1247" s="562"/>
      <c r="AN1247" s="562"/>
      <c r="AO1247" s="562"/>
      <c r="AP1247" s="562"/>
      <c r="AQ1247" s="562"/>
      <c r="AR1247" s="562"/>
      <c r="AS1247" s="562"/>
      <c r="AT1247" s="562"/>
      <c r="AU1247" s="562"/>
      <c r="AV1247" s="562"/>
      <c r="AW1247" s="562"/>
      <c r="AX1247" s="594" t="str">
        <f>'Overview (Verification)'!A59</f>
        <v>Local Building Code:</v>
      </c>
      <c r="AY1247" s="562">
        <f>IF(LEN('Overview (Verification)'!P59)=0,0,'Overview (Verification)'!P59)</f>
        <v>0</v>
      </c>
      <c r="AZ1247" s="562"/>
      <c r="BA1247" s="562"/>
      <c r="BB1247" s="562"/>
      <c r="BC1247" s="562"/>
      <c r="BD1247" s="562"/>
      <c r="BE1247" s="562"/>
      <c r="BF1247" s="562"/>
      <c r="BG1247" s="562"/>
      <c r="BH1247" s="562"/>
      <c r="BI1247" s="562"/>
      <c r="BJ1247" s="562"/>
      <c r="BK1247" s="562"/>
    </row>
    <row r="1248" spans="1:63" x14ac:dyDescent="0.2">
      <c r="A1248" s="541">
        <v>10</v>
      </c>
      <c r="B1248" s="551">
        <v>1001.2</v>
      </c>
      <c r="C1248" s="544"/>
      <c r="D1248" s="544"/>
      <c r="E1248" s="544"/>
      <c r="F1248" s="544"/>
      <c r="G1248" s="543" t="str">
        <f t="shared" si="388"/>
        <v>P</v>
      </c>
      <c r="H1248" s="541" t="s">
        <v>3758</v>
      </c>
      <c r="I1248" s="3"/>
      <c r="J1248" s="3"/>
      <c r="K1248" s="3"/>
      <c r="L1248" s="775"/>
      <c r="M1248" s="887"/>
      <c r="N1248" s="795"/>
      <c r="O1248" s="795"/>
      <c r="P1248" s="562"/>
      <c r="Q1248" s="562"/>
      <c r="R1248" s="562"/>
      <c r="S1248" s="562"/>
      <c r="T1248" s="562"/>
      <c r="U1248" s="562"/>
      <c r="V1248" s="562"/>
      <c r="W1248" s="562"/>
      <c r="X1248" s="787"/>
      <c r="Y1248" s="980"/>
      <c r="Z1248" s="983"/>
      <c r="AA1248" s="562"/>
      <c r="AB1248" s="562"/>
      <c r="AC1248" s="562"/>
      <c r="AD1248" s="562"/>
      <c r="AE1248" s="562"/>
      <c r="AF1248" s="562"/>
      <c r="AG1248" s="562"/>
      <c r="AH1248" s="562"/>
      <c r="AI1248" s="562"/>
      <c r="AJ1248" s="562"/>
      <c r="AK1248" s="562"/>
      <c r="AL1248" s="562"/>
      <c r="AM1248" s="562"/>
      <c r="AN1248" s="562"/>
      <c r="AO1248" s="562"/>
      <c r="AP1248" s="562"/>
      <c r="AQ1248" s="562"/>
      <c r="AR1248" s="562"/>
      <c r="AS1248" s="562"/>
      <c r="AT1248" s="562"/>
      <c r="AU1248" s="562"/>
      <c r="AV1248" s="562"/>
      <c r="AW1248" s="562"/>
      <c r="AX1248" s="562"/>
      <c r="AY1248" s="562"/>
      <c r="AZ1248" s="562"/>
      <c r="BA1248" s="562"/>
      <c r="BB1248" s="562"/>
      <c r="BC1248" s="562"/>
      <c r="BD1248" s="562"/>
      <c r="BE1248" s="562"/>
      <c r="BF1248" s="562"/>
      <c r="BG1248" s="562"/>
      <c r="BH1248" s="562"/>
      <c r="BI1248" s="562"/>
      <c r="BJ1248" s="562"/>
      <c r="BK1248" s="562"/>
    </row>
    <row r="1249" spans="1:49" x14ac:dyDescent="0.2">
      <c r="A1249" s="541">
        <v>10</v>
      </c>
      <c r="B1249" s="551">
        <v>1001.2</v>
      </c>
      <c r="C1249" s="544"/>
      <c r="D1249" s="544"/>
      <c r="E1249" s="544" t="s">
        <v>2181</v>
      </c>
      <c r="F1249" s="544"/>
      <c r="G1249" s="543" t="str">
        <f t="shared" si="388"/>
        <v>P</v>
      </c>
      <c r="H1249" s="541" t="s">
        <v>3758</v>
      </c>
      <c r="I1249" s="3"/>
      <c r="J1249" s="134" t="s">
        <v>2181</v>
      </c>
      <c r="K1249" s="98"/>
      <c r="L1249" s="659" t="s">
        <v>3277</v>
      </c>
      <c r="M1249" s="609"/>
      <c r="N1249" s="3"/>
      <c r="O1249" s="609"/>
      <c r="P1249" s="562"/>
      <c r="Q1249" s="562"/>
      <c r="R1249" s="562"/>
      <c r="S1249" s="562"/>
      <c r="T1249" s="562"/>
      <c r="U1249" s="562"/>
      <c r="V1249" s="562"/>
      <c r="W1249" s="562"/>
      <c r="X1249" s="787"/>
      <c r="Y1249" s="980"/>
      <c r="Z1249" s="983"/>
      <c r="AA1249" s="562"/>
      <c r="AB1249" s="562"/>
      <c r="AC1249" s="562"/>
      <c r="AD1249" s="562"/>
      <c r="AE1249" s="562"/>
      <c r="AF1249" s="562"/>
      <c r="AG1249" s="562"/>
      <c r="AH1249" s="562"/>
      <c r="AI1249" s="562"/>
      <c r="AJ1249" s="562"/>
      <c r="AK1249" s="562"/>
      <c r="AL1249" s="562"/>
      <c r="AM1249" s="562"/>
      <c r="AN1249" s="562"/>
      <c r="AO1249" s="562"/>
      <c r="AP1249" s="562"/>
      <c r="AQ1249" s="562"/>
      <c r="AR1249" s="562"/>
      <c r="AS1249" s="562"/>
      <c r="AT1249" s="562"/>
      <c r="AU1249" s="562"/>
      <c r="AV1249" s="562"/>
      <c r="AW1249" s="562"/>
    </row>
    <row r="1250" spans="1:49" x14ac:dyDescent="0.2">
      <c r="A1250" s="541">
        <v>10</v>
      </c>
      <c r="B1250" s="551">
        <v>1001.2</v>
      </c>
      <c r="C1250" s="544"/>
      <c r="D1250" s="544"/>
      <c r="E1250" s="544" t="s">
        <v>2183</v>
      </c>
      <c r="F1250" s="544"/>
      <c r="G1250" s="543" t="str">
        <f t="shared" si="388"/>
        <v>P</v>
      </c>
      <c r="H1250" s="541" t="s">
        <v>3758</v>
      </c>
      <c r="I1250" s="3"/>
      <c r="J1250" s="134" t="s">
        <v>2183</v>
      </c>
      <c r="K1250" s="98"/>
      <c r="L1250" s="659" t="s">
        <v>3278</v>
      </c>
      <c r="M1250" s="609"/>
      <c r="N1250" s="3"/>
      <c r="O1250" s="609"/>
      <c r="P1250" s="562"/>
      <c r="Q1250" s="562"/>
      <c r="R1250" s="562"/>
      <c r="S1250" s="562"/>
      <c r="T1250" s="562"/>
      <c r="U1250" s="562"/>
      <c r="V1250" s="562"/>
      <c r="W1250" s="562"/>
      <c r="X1250" s="787"/>
      <c r="Y1250" s="980"/>
      <c r="Z1250" s="983"/>
      <c r="AA1250" s="562"/>
      <c r="AB1250" s="562"/>
      <c r="AC1250" s="562"/>
      <c r="AD1250" s="562"/>
      <c r="AE1250" s="562"/>
      <c r="AF1250" s="562"/>
      <c r="AG1250" s="562"/>
      <c r="AH1250" s="562"/>
      <c r="AI1250" s="562"/>
      <c r="AJ1250" s="562"/>
      <c r="AK1250" s="562"/>
      <c r="AL1250" s="562"/>
      <c r="AM1250" s="562"/>
      <c r="AN1250" s="562"/>
      <c r="AO1250" s="562"/>
      <c r="AP1250" s="562"/>
      <c r="AQ1250" s="562"/>
      <c r="AR1250" s="562"/>
      <c r="AS1250" s="562"/>
      <c r="AT1250" s="562"/>
      <c r="AU1250" s="562"/>
      <c r="AV1250" s="562"/>
      <c r="AW1250" s="562"/>
    </row>
    <row r="1251" spans="1:49" x14ac:dyDescent="0.2">
      <c r="A1251" s="541">
        <v>10</v>
      </c>
      <c r="B1251" s="551">
        <v>1001.2</v>
      </c>
      <c r="C1251" s="544"/>
      <c r="D1251" s="544"/>
      <c r="E1251" s="544" t="s">
        <v>2185</v>
      </c>
      <c r="F1251" s="544"/>
      <c r="G1251" s="543" t="str">
        <f t="shared" si="388"/>
        <v>P</v>
      </c>
      <c r="H1251" s="541" t="s">
        <v>3758</v>
      </c>
      <c r="I1251" s="3"/>
      <c r="J1251" s="134" t="s">
        <v>2185</v>
      </c>
      <c r="K1251" s="98"/>
      <c r="L1251" s="659" t="s">
        <v>3279</v>
      </c>
      <c r="M1251" s="609"/>
      <c r="N1251" s="3"/>
      <c r="O1251" s="609"/>
      <c r="P1251" s="562"/>
      <c r="Q1251" s="562"/>
      <c r="R1251" s="562"/>
      <c r="S1251" s="562"/>
      <c r="T1251" s="562"/>
      <c r="U1251" s="562"/>
      <c r="V1251" s="562"/>
      <c r="W1251" s="562"/>
      <c r="X1251" s="787"/>
      <c r="Y1251" s="980"/>
      <c r="Z1251" s="983"/>
      <c r="AA1251" s="562"/>
      <c r="AB1251" s="562"/>
      <c r="AC1251" s="562"/>
      <c r="AD1251" s="562"/>
      <c r="AE1251" s="562"/>
      <c r="AF1251" s="562"/>
      <c r="AG1251" s="562"/>
      <c r="AH1251" s="562"/>
      <c r="AI1251" s="562"/>
      <c r="AJ1251" s="562"/>
      <c r="AK1251" s="562"/>
      <c r="AL1251" s="562"/>
      <c r="AM1251" s="562"/>
      <c r="AN1251" s="562"/>
      <c r="AO1251" s="562"/>
      <c r="AP1251" s="562"/>
      <c r="AQ1251" s="562"/>
      <c r="AR1251" s="562"/>
      <c r="AS1251" s="562"/>
      <c r="AT1251" s="562"/>
      <c r="AU1251" s="562"/>
      <c r="AV1251" s="562"/>
      <c r="AW1251" s="562"/>
    </row>
    <row r="1252" spans="1:49" x14ac:dyDescent="0.2">
      <c r="A1252" s="541">
        <v>10</v>
      </c>
      <c r="B1252" s="551">
        <v>1001.2</v>
      </c>
      <c r="C1252" s="544"/>
      <c r="D1252" s="544"/>
      <c r="E1252" s="544" t="s">
        <v>2192</v>
      </c>
      <c r="F1252" s="544"/>
      <c r="G1252" s="543" t="str">
        <f t="shared" si="388"/>
        <v>P</v>
      </c>
      <c r="H1252" s="541" t="s">
        <v>3758</v>
      </c>
      <c r="I1252" s="3"/>
      <c r="J1252" s="134" t="s">
        <v>2192</v>
      </c>
      <c r="K1252" s="98"/>
      <c r="L1252" s="659" t="s">
        <v>3280</v>
      </c>
      <c r="M1252" s="609"/>
      <c r="N1252" s="3"/>
      <c r="O1252" s="609"/>
      <c r="P1252" s="562"/>
      <c r="Q1252" s="562"/>
      <c r="R1252" s="562"/>
      <c r="S1252" s="562"/>
      <c r="T1252" s="562"/>
      <c r="U1252" s="562"/>
      <c r="V1252" s="562"/>
      <c r="W1252" s="562"/>
      <c r="X1252" s="787"/>
      <c r="Y1252" s="980"/>
      <c r="Z1252" s="983"/>
      <c r="AA1252" s="562"/>
      <c r="AB1252" s="562"/>
      <c r="AC1252" s="562"/>
      <c r="AD1252" s="562"/>
      <c r="AE1252" s="562"/>
      <c r="AF1252" s="562"/>
      <c r="AG1252" s="562"/>
      <c r="AH1252" s="562"/>
      <c r="AI1252" s="562"/>
      <c r="AJ1252" s="562"/>
      <c r="AK1252" s="562"/>
      <c r="AL1252" s="562"/>
      <c r="AM1252" s="562"/>
      <c r="AN1252" s="562"/>
      <c r="AO1252" s="562"/>
      <c r="AP1252" s="562"/>
      <c r="AQ1252" s="562"/>
      <c r="AR1252" s="562"/>
      <c r="AS1252" s="562"/>
      <c r="AT1252" s="562"/>
      <c r="AU1252" s="562"/>
      <c r="AV1252" s="562"/>
      <c r="AW1252" s="562"/>
    </row>
    <row r="1253" spans="1:49" x14ac:dyDescent="0.2">
      <c r="A1253" s="541">
        <v>10</v>
      </c>
      <c r="B1253" s="551">
        <v>1001.2</v>
      </c>
      <c r="C1253" s="544"/>
      <c r="D1253" s="544"/>
      <c r="E1253" s="544" t="s">
        <v>2194</v>
      </c>
      <c r="F1253" s="544"/>
      <c r="G1253" s="543" t="str">
        <f t="shared" si="388"/>
        <v>P</v>
      </c>
      <c r="H1253" s="541" t="s">
        <v>3758</v>
      </c>
      <c r="I1253" s="3"/>
      <c r="J1253" s="134" t="s">
        <v>2194</v>
      </c>
      <c r="K1253" s="98"/>
      <c r="L1253" s="659" t="s">
        <v>3281</v>
      </c>
      <c r="M1253" s="609"/>
      <c r="N1253" s="3"/>
      <c r="O1253" s="609"/>
      <c r="P1253" s="562"/>
      <c r="Q1253" s="562"/>
      <c r="R1253" s="562"/>
      <c r="S1253" s="562"/>
      <c r="T1253" s="562"/>
      <c r="U1253" s="562"/>
      <c r="V1253" s="562"/>
      <c r="W1253" s="562"/>
      <c r="X1253" s="787"/>
      <c r="Y1253" s="980"/>
      <c r="Z1253" s="983"/>
      <c r="AA1253" s="562"/>
      <c r="AB1253" s="562"/>
      <c r="AC1253" s="562"/>
      <c r="AD1253" s="562"/>
      <c r="AE1253" s="562"/>
      <c r="AF1253" s="562"/>
      <c r="AG1253" s="562"/>
      <c r="AH1253" s="562"/>
      <c r="AI1253" s="562"/>
      <c r="AJ1253" s="562"/>
      <c r="AK1253" s="562"/>
      <c r="AL1253" s="562"/>
      <c r="AM1253" s="562"/>
      <c r="AN1253" s="562"/>
      <c r="AO1253" s="562"/>
      <c r="AP1253" s="562"/>
      <c r="AQ1253" s="562"/>
      <c r="AR1253" s="562"/>
      <c r="AS1253" s="562"/>
      <c r="AT1253" s="562"/>
      <c r="AU1253" s="562"/>
      <c r="AV1253" s="562"/>
      <c r="AW1253" s="562"/>
    </row>
    <row r="1254" spans="1:49" x14ac:dyDescent="0.2">
      <c r="A1254" s="541">
        <v>10</v>
      </c>
      <c r="B1254" s="551">
        <v>1001.2</v>
      </c>
      <c r="C1254" s="544"/>
      <c r="D1254" s="544"/>
      <c r="E1254" s="544" t="s">
        <v>2221</v>
      </c>
      <c r="F1254" s="544"/>
      <c r="G1254" s="543" t="str">
        <f t="shared" si="388"/>
        <v>P</v>
      </c>
      <c r="H1254" s="541" t="s">
        <v>3758</v>
      </c>
      <c r="I1254" s="3"/>
      <c r="J1254" s="134" t="s">
        <v>2221</v>
      </c>
      <c r="K1254" s="98"/>
      <c r="L1254" s="659" t="s">
        <v>3282</v>
      </c>
      <c r="M1254" s="609"/>
      <c r="N1254" s="3"/>
      <c r="O1254" s="609"/>
      <c r="P1254" s="562"/>
      <c r="Q1254" s="562"/>
      <c r="R1254" s="562"/>
      <c r="S1254" s="562"/>
      <c r="T1254" s="562"/>
      <c r="U1254" s="562"/>
      <c r="V1254" s="562"/>
      <c r="W1254" s="562"/>
      <c r="X1254" s="787"/>
      <c r="Y1254" s="980"/>
      <c r="Z1254" s="983"/>
      <c r="AA1254" s="562"/>
      <c r="AB1254" s="562"/>
      <c r="AC1254" s="562"/>
      <c r="AD1254" s="562"/>
      <c r="AE1254" s="562"/>
      <c r="AF1254" s="562"/>
      <c r="AG1254" s="562"/>
      <c r="AH1254" s="562"/>
      <c r="AI1254" s="562"/>
      <c r="AJ1254" s="562"/>
      <c r="AK1254" s="562"/>
      <c r="AL1254" s="562"/>
      <c r="AM1254" s="562"/>
      <c r="AN1254" s="562"/>
      <c r="AO1254" s="562"/>
      <c r="AP1254" s="562"/>
      <c r="AQ1254" s="562"/>
      <c r="AR1254" s="562"/>
      <c r="AS1254" s="562"/>
      <c r="AT1254" s="562"/>
      <c r="AU1254" s="562"/>
      <c r="AV1254" s="562"/>
      <c r="AW1254" s="562"/>
    </row>
    <row r="1255" spans="1:49" x14ac:dyDescent="0.2">
      <c r="A1255" s="541">
        <v>10</v>
      </c>
      <c r="B1255" s="551">
        <v>1001.2</v>
      </c>
      <c r="C1255" s="544"/>
      <c r="D1255" s="544"/>
      <c r="E1255" s="544" t="s">
        <v>2223</v>
      </c>
      <c r="F1255" s="544"/>
      <c r="G1255" s="543" t="str">
        <f t="shared" si="388"/>
        <v>P</v>
      </c>
      <c r="H1255" s="541" t="s">
        <v>3758</v>
      </c>
      <c r="I1255" s="3"/>
      <c r="J1255" s="20" t="s">
        <v>2223</v>
      </c>
      <c r="K1255" s="3"/>
      <c r="L1255" s="661" t="s">
        <v>3283</v>
      </c>
      <c r="M1255" s="609"/>
      <c r="N1255" s="3"/>
      <c r="O1255" s="609"/>
      <c r="P1255" s="562"/>
      <c r="Q1255" s="562"/>
      <c r="R1255" s="562"/>
      <c r="S1255" s="562"/>
      <c r="T1255" s="562"/>
      <c r="U1255" s="562"/>
      <c r="V1255" s="562"/>
      <c r="W1255" s="562"/>
      <c r="X1255" s="787"/>
      <c r="Y1255" s="980"/>
      <c r="Z1255" s="983"/>
      <c r="AA1255" s="562"/>
      <c r="AB1255" s="562"/>
      <c r="AC1255" s="562"/>
      <c r="AD1255" s="562"/>
      <c r="AE1255" s="562"/>
      <c r="AF1255" s="562"/>
      <c r="AG1255" s="562"/>
      <c r="AH1255" s="562"/>
      <c r="AI1255" s="562"/>
      <c r="AJ1255" s="562"/>
      <c r="AK1255" s="562"/>
      <c r="AL1255" s="562"/>
      <c r="AM1255" s="562"/>
      <c r="AN1255" s="562"/>
      <c r="AO1255" s="562"/>
      <c r="AP1255" s="562"/>
      <c r="AQ1255" s="562"/>
      <c r="AR1255" s="562"/>
      <c r="AS1255" s="562"/>
      <c r="AT1255" s="562"/>
      <c r="AU1255" s="562"/>
      <c r="AV1255" s="562"/>
      <c r="AW1255" s="562"/>
    </row>
    <row r="1256" spans="1:49" ht="19" x14ac:dyDescent="0.25">
      <c r="A1256" s="541">
        <v>10</v>
      </c>
      <c r="B1256" s="551">
        <v>1002</v>
      </c>
      <c r="C1256" s="544"/>
      <c r="D1256" s="544"/>
      <c r="E1256" s="544"/>
      <c r="F1256" s="544"/>
      <c r="G1256" s="543" t="s">
        <v>3343</v>
      </c>
      <c r="H1256" s="541" t="s">
        <v>3751</v>
      </c>
      <c r="I1256" s="8" t="s">
        <v>3284</v>
      </c>
      <c r="J1256" s="16"/>
      <c r="K1256" s="16"/>
      <c r="L1256" s="179"/>
      <c r="M1256" s="264"/>
      <c r="N1256" s="266"/>
      <c r="O1256" s="264"/>
      <c r="P1256" s="16"/>
      <c r="Q1256" s="16"/>
      <c r="R1256" s="16"/>
      <c r="S1256" s="16"/>
      <c r="T1256" s="16"/>
      <c r="U1256" s="16"/>
      <c r="V1256" s="16"/>
      <c r="W1256" s="16"/>
      <c r="X1256" s="16"/>
      <c r="Y1256" s="16"/>
      <c r="Z1256" s="453"/>
      <c r="AA1256" s="562"/>
      <c r="AB1256" s="562"/>
      <c r="AC1256" s="562"/>
      <c r="AD1256" s="562"/>
      <c r="AE1256" s="562"/>
      <c r="AF1256" s="562"/>
      <c r="AG1256" s="562"/>
      <c r="AH1256" s="562"/>
      <c r="AI1256" s="562"/>
      <c r="AJ1256" s="562"/>
      <c r="AK1256" s="562"/>
      <c r="AL1256" s="562"/>
      <c r="AM1256" s="562"/>
      <c r="AN1256" s="562"/>
      <c r="AO1256" s="562"/>
      <c r="AP1256" s="562"/>
      <c r="AQ1256" s="562"/>
      <c r="AR1256" s="562"/>
      <c r="AS1256" s="562"/>
      <c r="AT1256" s="562"/>
      <c r="AU1256" s="562"/>
      <c r="AV1256" s="562"/>
      <c r="AW1256" s="562"/>
    </row>
    <row r="1257" spans="1:49" x14ac:dyDescent="0.2">
      <c r="A1257" s="541">
        <v>10</v>
      </c>
      <c r="B1257" s="551" t="s">
        <v>3285</v>
      </c>
      <c r="C1257" s="544"/>
      <c r="D1257" s="544"/>
      <c r="E1257" s="544"/>
      <c r="F1257" s="544"/>
      <c r="G1257" s="541"/>
      <c r="H1257" s="541"/>
      <c r="I1257" s="184" t="s">
        <v>3286</v>
      </c>
      <c r="J1257" s="98"/>
      <c r="K1257" s="98"/>
      <c r="L1257" s="820" t="s">
        <v>3287</v>
      </c>
      <c r="M1257" s="607"/>
      <c r="N1257" s="98"/>
      <c r="O1257" s="607"/>
      <c r="P1257" s="64"/>
      <c r="Q1257" s="64"/>
      <c r="R1257" s="64"/>
      <c r="S1257" s="64"/>
      <c r="T1257" s="64"/>
      <c r="U1257" s="64"/>
      <c r="V1257" s="64"/>
      <c r="W1257" s="64"/>
      <c r="X1257" s="64"/>
      <c r="Y1257" s="562"/>
      <c r="Z1257" s="430"/>
      <c r="AA1257" s="562"/>
      <c r="AB1257" s="562"/>
      <c r="AC1257" s="562"/>
      <c r="AD1257" s="562"/>
      <c r="AE1257" s="562"/>
      <c r="AF1257" s="562"/>
      <c r="AG1257" s="562"/>
      <c r="AH1257" s="562"/>
      <c r="AI1257" s="562"/>
      <c r="AJ1257" s="562"/>
      <c r="AK1257" s="562"/>
      <c r="AL1257" s="562"/>
      <c r="AM1257" s="562"/>
      <c r="AN1257" s="562"/>
      <c r="AO1257" s="562"/>
      <c r="AP1257" s="562"/>
      <c r="AQ1257" s="562"/>
      <c r="AR1257" s="562"/>
      <c r="AS1257" s="562"/>
      <c r="AT1257" s="562"/>
      <c r="AU1257" s="562"/>
      <c r="AV1257" s="562"/>
      <c r="AW1257" s="562"/>
    </row>
    <row r="1258" spans="1:49" x14ac:dyDescent="0.2">
      <c r="A1258" s="541">
        <v>10</v>
      </c>
      <c r="B1258" s="551" t="s">
        <v>3285</v>
      </c>
      <c r="C1258" s="544"/>
      <c r="D1258" s="544"/>
      <c r="E1258" s="544"/>
      <c r="F1258" s="544"/>
      <c r="G1258" s="541"/>
      <c r="H1258" s="541"/>
      <c r="I1258" s="98"/>
      <c r="J1258" s="98"/>
      <c r="K1258" s="98"/>
      <c r="L1258" s="820"/>
      <c r="M1258" s="607"/>
      <c r="N1258" s="98"/>
      <c r="O1258" s="607"/>
      <c r="P1258" s="64"/>
      <c r="Q1258" s="64"/>
      <c r="R1258" s="64"/>
      <c r="S1258" s="64"/>
      <c r="T1258" s="64"/>
      <c r="U1258" s="64"/>
      <c r="V1258" s="64"/>
      <c r="W1258" s="64"/>
      <c r="X1258" s="64"/>
      <c r="Y1258" s="562"/>
      <c r="Z1258" s="430"/>
      <c r="AA1258" s="562"/>
      <c r="AB1258" s="562"/>
      <c r="AC1258" s="562"/>
      <c r="AD1258" s="562"/>
      <c r="AE1258" s="562"/>
      <c r="AF1258" s="562"/>
      <c r="AG1258" s="562"/>
      <c r="AH1258" s="562"/>
      <c r="AI1258" s="562"/>
      <c r="AJ1258" s="562"/>
      <c r="AK1258" s="562"/>
      <c r="AL1258" s="562"/>
      <c r="AM1258" s="562"/>
      <c r="AN1258" s="562"/>
      <c r="AO1258" s="562"/>
      <c r="AP1258" s="562"/>
      <c r="AQ1258" s="562"/>
      <c r="AR1258" s="562"/>
      <c r="AS1258" s="562"/>
      <c r="AT1258" s="562"/>
      <c r="AU1258" s="562"/>
      <c r="AV1258" s="562"/>
      <c r="AW1258" s="562"/>
    </row>
    <row r="1259" spans="1:49" x14ac:dyDescent="0.2">
      <c r="A1259" s="541">
        <v>10</v>
      </c>
      <c r="B1259" s="551" t="s">
        <v>3285</v>
      </c>
      <c r="C1259" s="544"/>
      <c r="D1259" s="544"/>
      <c r="E1259" s="544"/>
      <c r="F1259" s="544"/>
      <c r="G1259" s="541"/>
      <c r="H1259" s="541"/>
      <c r="I1259" s="98"/>
      <c r="J1259" s="98"/>
      <c r="K1259" s="98"/>
      <c r="L1259" s="820"/>
      <c r="M1259" s="607"/>
      <c r="N1259" s="98"/>
      <c r="O1259" s="607"/>
      <c r="P1259" s="64"/>
      <c r="Q1259" s="64"/>
      <c r="R1259" s="64"/>
      <c r="S1259" s="64"/>
      <c r="T1259" s="64"/>
      <c r="U1259" s="64"/>
      <c r="V1259" s="64"/>
      <c r="W1259" s="64"/>
      <c r="X1259" s="64"/>
      <c r="Y1259" s="562"/>
      <c r="Z1259" s="430"/>
      <c r="AA1259" s="562"/>
      <c r="AB1259" s="562"/>
      <c r="AC1259" s="562"/>
      <c r="AD1259" s="562"/>
      <c r="AE1259" s="562"/>
      <c r="AF1259" s="562"/>
      <c r="AG1259" s="562"/>
      <c r="AH1259" s="562"/>
      <c r="AI1259" s="562"/>
      <c r="AJ1259" s="562"/>
      <c r="AK1259" s="562"/>
      <c r="AL1259" s="562"/>
      <c r="AM1259" s="562"/>
      <c r="AN1259" s="562"/>
      <c r="AO1259" s="562"/>
      <c r="AP1259" s="562"/>
      <c r="AQ1259" s="562"/>
      <c r="AR1259" s="562"/>
      <c r="AS1259" s="562"/>
      <c r="AT1259" s="562"/>
      <c r="AU1259" s="562"/>
      <c r="AV1259" s="562"/>
      <c r="AW1259" s="562"/>
    </row>
    <row r="1260" spans="1:49" x14ac:dyDescent="0.2">
      <c r="A1260" s="541">
        <v>10</v>
      </c>
      <c r="B1260" s="551" t="s">
        <v>3285</v>
      </c>
      <c r="C1260" s="544"/>
      <c r="D1260" s="544"/>
      <c r="E1260" s="544"/>
      <c r="F1260" s="544"/>
      <c r="G1260" s="541"/>
      <c r="H1260" s="541"/>
      <c r="I1260" s="98"/>
      <c r="J1260" s="98"/>
      <c r="K1260" s="98"/>
      <c r="L1260" s="820"/>
      <c r="M1260" s="607"/>
      <c r="N1260" s="98"/>
      <c r="O1260" s="607"/>
      <c r="P1260" s="64"/>
      <c r="Q1260" s="64"/>
      <c r="R1260" s="64"/>
      <c r="S1260" s="64"/>
      <c r="T1260" s="64"/>
      <c r="U1260" s="64"/>
      <c r="V1260" s="64"/>
      <c r="W1260" s="64"/>
      <c r="X1260" s="64"/>
      <c r="Y1260" s="562"/>
      <c r="Z1260" s="430"/>
      <c r="AA1260" s="562"/>
      <c r="AB1260" s="562"/>
      <c r="AC1260" s="562"/>
      <c r="AD1260" s="562"/>
      <c r="AE1260" s="562"/>
      <c r="AF1260" s="562"/>
      <c r="AG1260" s="562"/>
      <c r="AH1260" s="562"/>
      <c r="AI1260" s="562"/>
      <c r="AJ1260" s="562"/>
      <c r="AK1260" s="562"/>
      <c r="AL1260" s="562"/>
      <c r="AM1260" s="562"/>
      <c r="AN1260" s="562"/>
      <c r="AO1260" s="562"/>
      <c r="AP1260" s="562"/>
      <c r="AQ1260" s="562"/>
      <c r="AR1260" s="562"/>
      <c r="AS1260" s="562"/>
      <c r="AT1260" s="562"/>
      <c r="AU1260" s="562"/>
      <c r="AV1260" s="562"/>
      <c r="AW1260" s="562"/>
    </row>
    <row r="1261" spans="1:49" x14ac:dyDescent="0.2">
      <c r="A1261" s="541">
        <v>10</v>
      </c>
      <c r="B1261" s="551" t="s">
        <v>3285</v>
      </c>
      <c r="C1261" s="544"/>
      <c r="D1261" s="544"/>
      <c r="E1261" s="544"/>
      <c r="F1261" s="544"/>
      <c r="G1261" s="541"/>
      <c r="H1261" s="541"/>
      <c r="I1261" s="98"/>
      <c r="J1261" s="98"/>
      <c r="K1261" s="98"/>
      <c r="L1261" s="820"/>
      <c r="M1261" s="607"/>
      <c r="N1261" s="98"/>
      <c r="O1261" s="607"/>
      <c r="P1261" s="64"/>
      <c r="Q1261" s="64"/>
      <c r="R1261" s="64"/>
      <c r="S1261" s="64"/>
      <c r="T1261" s="64"/>
      <c r="U1261" s="64"/>
      <c r="V1261" s="64"/>
      <c r="W1261" s="64"/>
      <c r="X1261" s="64"/>
      <c r="Y1261" s="562"/>
      <c r="Z1261" s="430"/>
      <c r="AA1261" s="562"/>
      <c r="AB1261" s="562"/>
      <c r="AC1261" s="562"/>
      <c r="AD1261" s="562"/>
      <c r="AE1261" s="562"/>
      <c r="AF1261" s="562"/>
      <c r="AG1261" s="562"/>
      <c r="AH1261" s="562"/>
      <c r="AI1261" s="562"/>
      <c r="AJ1261" s="562"/>
      <c r="AK1261" s="562"/>
      <c r="AL1261" s="562"/>
      <c r="AM1261" s="562"/>
      <c r="AN1261" s="562"/>
      <c r="AO1261" s="562"/>
      <c r="AP1261" s="562"/>
      <c r="AQ1261" s="562"/>
      <c r="AR1261" s="562"/>
      <c r="AS1261" s="562"/>
      <c r="AT1261" s="562"/>
      <c r="AU1261" s="562"/>
      <c r="AV1261" s="562"/>
      <c r="AW1261" s="562"/>
    </row>
    <row r="1262" spans="1:49" ht="16" thickBot="1" x14ac:dyDescent="0.25">
      <c r="A1262" s="541">
        <v>10</v>
      </c>
      <c r="B1262" s="551" t="s">
        <v>3285</v>
      </c>
      <c r="C1262" s="544"/>
      <c r="D1262" s="544"/>
      <c r="E1262" s="544"/>
      <c r="F1262" s="544"/>
      <c r="G1262" s="541"/>
      <c r="H1262" s="541"/>
      <c r="I1262" s="185"/>
      <c r="J1262" s="185"/>
      <c r="K1262" s="185"/>
      <c r="L1262" s="822"/>
      <c r="M1262" s="622"/>
      <c r="N1262" s="185"/>
      <c r="O1262" s="622"/>
      <c r="P1262" s="68"/>
      <c r="Q1262" s="68"/>
      <c r="R1262" s="68"/>
      <c r="S1262" s="68"/>
      <c r="T1262" s="68"/>
      <c r="U1262" s="68"/>
      <c r="V1262" s="68"/>
      <c r="W1262" s="68"/>
      <c r="X1262" s="68"/>
      <c r="Y1262" s="68"/>
      <c r="Z1262" s="455"/>
      <c r="AA1262" s="562"/>
      <c r="AB1262" s="562"/>
      <c r="AC1262" s="562"/>
      <c r="AD1262" s="562"/>
      <c r="AE1262" s="562"/>
      <c r="AF1262" s="562"/>
      <c r="AG1262" s="562"/>
      <c r="AH1262" s="562"/>
      <c r="AI1262" s="562"/>
      <c r="AJ1262" s="562"/>
      <c r="AK1262" s="562"/>
      <c r="AL1262" s="562"/>
      <c r="AM1262" s="562"/>
      <c r="AN1262" s="562"/>
      <c r="AO1262" s="562"/>
      <c r="AP1262" s="562"/>
      <c r="AQ1262" s="562"/>
      <c r="AR1262" s="562"/>
      <c r="AS1262" s="562"/>
      <c r="AT1262" s="562"/>
      <c r="AU1262" s="562"/>
      <c r="AV1262" s="562"/>
      <c r="AW1262" s="562"/>
    </row>
    <row r="1263" spans="1:49" ht="16" thickTop="1" x14ac:dyDescent="0.2">
      <c r="A1263" s="541">
        <v>10</v>
      </c>
      <c r="B1263" s="551">
        <v>1002.1</v>
      </c>
      <c r="C1263" s="544"/>
      <c r="D1263" s="544"/>
      <c r="E1263" s="544"/>
      <c r="F1263" s="544"/>
      <c r="G1263" s="543" t="str">
        <f>IF(N1263&gt;0,"P","")</f>
        <v/>
      </c>
      <c r="H1263" s="541" t="s">
        <v>3758</v>
      </c>
      <c r="I1263" s="40" t="s">
        <v>3288</v>
      </c>
      <c r="J1263" s="3"/>
      <c r="K1263" s="3"/>
      <c r="L1263" s="775" t="s">
        <v>3289</v>
      </c>
      <c r="M1263" s="814">
        <v>1</v>
      </c>
      <c r="N1263" s="823">
        <f>'Ch10'!O80</f>
        <v>0</v>
      </c>
      <c r="O1263" s="885">
        <f>IF(AND(COUNTIF(W1266:W1272,TRUE)=3,COUNTIF(W1274:W1279,TRUE)&gt;1,S1266),ROUNDDOWN(COUNTIF(W1274:W1279,TRUE)/2,0),0)</f>
        <v>0</v>
      </c>
      <c r="P1263" s="562"/>
      <c r="Q1263" s="562"/>
      <c r="R1263" s="562"/>
      <c r="S1263" s="562"/>
      <c r="T1263" s="562"/>
      <c r="U1263" s="562"/>
      <c r="V1263" s="562"/>
      <c r="W1263" s="562"/>
      <c r="X1263" s="562"/>
      <c r="Y1263" s="562"/>
      <c r="Z1263" s="430"/>
      <c r="AA1263" s="562"/>
      <c r="AB1263" s="562"/>
      <c r="AC1263" s="562"/>
      <c r="AD1263" s="562"/>
      <c r="AE1263" s="562"/>
      <c r="AF1263" s="562"/>
      <c r="AG1263" s="562"/>
      <c r="AH1263" s="562"/>
      <c r="AI1263" s="562"/>
      <c r="AJ1263" s="562"/>
      <c r="AK1263" s="562"/>
      <c r="AL1263" s="190" t="str">
        <f t="shared" ref="AL1263" si="389">SUBSTITUTE(SUBSTITUTE(SUBSTITUTE("vpa"&amp;$B1263&amp;$C1263&amp;$D1263&amp;$E1263&amp;$F1263,".","_"),"(","_"),")","")</f>
        <v>vpa1002,1</v>
      </c>
      <c r="AM1263" s="190">
        <f>M1263</f>
        <v>1</v>
      </c>
      <c r="AN1263" s="190" t="str">
        <f>SUBSTITUTE(SUBSTITUTE(SUBSTITUTE("vpc"&amp;$B1263&amp;$C1263&amp;$D1263&amp;$E1263&amp;$F1263,".","_"),"(","_"),")","")</f>
        <v>vpc1002,1</v>
      </c>
      <c r="AO1263" s="190">
        <f>O1263</f>
        <v>0</v>
      </c>
      <c r="AP1263" s="562"/>
      <c r="AQ1263" s="562"/>
      <c r="AR1263" s="562"/>
      <c r="AS1263" s="562"/>
      <c r="AT1263" s="562"/>
      <c r="AU1263" s="562"/>
      <c r="AV1263" s="562"/>
      <c r="AW1263" s="562"/>
    </row>
    <row r="1264" spans="1:49" x14ac:dyDescent="0.2">
      <c r="A1264" s="541">
        <v>10</v>
      </c>
      <c r="B1264" s="551">
        <v>1002.1</v>
      </c>
      <c r="C1264" s="544"/>
      <c r="D1264" s="544"/>
      <c r="E1264" s="544"/>
      <c r="F1264" s="544"/>
      <c r="G1264" s="543" t="str">
        <f t="shared" ref="G1264:G1280" si="390">G1263</f>
        <v/>
      </c>
      <c r="H1264" s="541" t="s">
        <v>3758</v>
      </c>
      <c r="I1264" s="3"/>
      <c r="J1264" s="3"/>
      <c r="K1264" s="3"/>
      <c r="L1264" s="775"/>
      <c r="M1264" s="814"/>
      <c r="N1264" s="795"/>
      <c r="O1264" s="885"/>
      <c r="P1264" s="562"/>
      <c r="Q1264" s="562"/>
      <c r="R1264" s="562"/>
      <c r="S1264" s="562"/>
      <c r="T1264" s="562"/>
      <c r="U1264" s="562"/>
      <c r="V1264" s="562"/>
      <c r="W1264" s="562"/>
      <c r="X1264" s="562"/>
      <c r="Y1264" s="562"/>
      <c r="Z1264" s="430"/>
      <c r="AA1264" s="562"/>
      <c r="AB1264" s="562"/>
      <c r="AC1264" s="562"/>
      <c r="AD1264" s="562"/>
      <c r="AE1264" s="562"/>
      <c r="AF1264" s="562"/>
      <c r="AG1264" s="562"/>
      <c r="AH1264" s="562"/>
      <c r="AI1264" s="562"/>
      <c r="AJ1264" s="562"/>
      <c r="AK1264" s="562"/>
      <c r="AL1264" s="562"/>
      <c r="AM1264" s="562"/>
      <c r="AN1264" s="562"/>
      <c r="AO1264" s="562"/>
      <c r="AP1264" s="562"/>
      <c r="AQ1264" s="562"/>
      <c r="AR1264" s="562"/>
      <c r="AS1264" s="562"/>
      <c r="AT1264" s="562"/>
      <c r="AU1264" s="562"/>
      <c r="AV1264" s="562"/>
      <c r="AW1264" s="562"/>
    </row>
    <row r="1265" spans="1:60" x14ac:dyDescent="0.2">
      <c r="A1265" s="541">
        <v>10</v>
      </c>
      <c r="B1265" s="551">
        <v>1002.1</v>
      </c>
      <c r="C1265" s="544"/>
      <c r="D1265" s="544"/>
      <c r="E1265" s="544"/>
      <c r="F1265" s="544"/>
      <c r="G1265" s="543" t="str">
        <f t="shared" si="390"/>
        <v/>
      </c>
      <c r="H1265" s="541" t="s">
        <v>3758</v>
      </c>
      <c r="I1265" s="3"/>
      <c r="J1265" s="3"/>
      <c r="K1265" s="3"/>
      <c r="L1265" s="176" t="s">
        <v>3290</v>
      </c>
      <c r="M1265" s="814"/>
      <c r="N1265" s="795"/>
      <c r="O1265" s="885"/>
      <c r="P1265" s="562"/>
      <c r="Q1265" s="562"/>
      <c r="R1265" s="562"/>
      <c r="S1265" s="562"/>
      <c r="T1265" s="562"/>
      <c r="U1265" s="562"/>
      <c r="V1265" s="562"/>
      <c r="W1265" s="562"/>
      <c r="X1265" s="562"/>
      <c r="Y1265" s="562"/>
      <c r="Z1265" s="430"/>
      <c r="AA1265" s="562"/>
      <c r="AB1265" s="562"/>
      <c r="AC1265" s="562"/>
      <c r="AD1265" s="562"/>
      <c r="AE1265" s="562"/>
      <c r="AF1265" s="562"/>
      <c r="AG1265" s="562"/>
      <c r="AH1265" s="562"/>
      <c r="AI1265" s="562"/>
      <c r="AJ1265" s="562"/>
      <c r="AK1265" s="562"/>
      <c r="AL1265" s="562"/>
      <c r="AM1265" s="562"/>
      <c r="AN1265" s="562"/>
      <c r="AO1265" s="562"/>
      <c r="AP1265" s="562"/>
      <c r="AQ1265" s="562"/>
      <c r="AR1265" s="562"/>
      <c r="AS1265" s="562"/>
      <c r="AT1265" s="562"/>
      <c r="AU1265" s="562"/>
      <c r="AV1265" s="562"/>
      <c r="AW1265" s="562"/>
      <c r="AX1265" s="562"/>
      <c r="AY1265" s="562"/>
      <c r="AZ1265" s="562"/>
      <c r="BA1265" s="562"/>
      <c r="BB1265" s="562"/>
      <c r="BC1265" s="562"/>
      <c r="BD1265" s="562"/>
      <c r="BE1265" s="562"/>
      <c r="BF1265" s="562"/>
      <c r="BG1265" s="562"/>
      <c r="BH1265" s="562"/>
    </row>
    <row r="1266" spans="1:60" x14ac:dyDescent="0.2">
      <c r="A1266" s="541">
        <v>10</v>
      </c>
      <c r="B1266" s="551">
        <v>1002.1</v>
      </c>
      <c r="C1266" s="544"/>
      <c r="D1266" s="544"/>
      <c r="E1266" s="544" t="s">
        <v>2181</v>
      </c>
      <c r="F1266" s="544"/>
      <c r="G1266" s="543" t="str">
        <f t="shared" si="390"/>
        <v/>
      </c>
      <c r="H1266" s="541" t="s">
        <v>3758</v>
      </c>
      <c r="I1266" s="3"/>
      <c r="J1266" s="20" t="s">
        <v>2181</v>
      </c>
      <c r="K1266" s="3"/>
      <c r="L1266" s="817" t="s">
        <v>3291</v>
      </c>
      <c r="M1266" s="837" t="str">
        <f t="shared" ref="M1266:M1273" si="391">IF(R1266,"Mandatory","N/A")</f>
        <v>N/A</v>
      </c>
      <c r="N1266" s="3"/>
      <c r="O1266" s="609"/>
      <c r="P1266" s="562" t="b">
        <v>0</v>
      </c>
      <c r="Q1266" s="562" t="b">
        <v>1</v>
      </c>
      <c r="R1266" s="562" t="b">
        <f>S1266</f>
        <v>0</v>
      </c>
      <c r="S1266" s="562" t="b">
        <f>IF(AY1202=INDEX(ddSingleOrMulti,2),TRUE,FALSE)</f>
        <v>0</v>
      </c>
      <c r="T1266" s="64" t="b">
        <f>AND(NOT(S1266),W1266=TRUE)</f>
        <v>0</v>
      </c>
      <c r="U1266" s="562"/>
      <c r="V1266" s="562"/>
      <c r="W1266" s="18"/>
      <c r="X1266" s="787"/>
      <c r="Y1266" s="980" t="str">
        <f>IF(LEN('Ch10'!X83)=0,"None",'Ch10'!X83)</f>
        <v>None</v>
      </c>
      <c r="Z1266" s="983"/>
      <c r="AA1266" s="562"/>
      <c r="AB1266" s="562"/>
      <c r="AC1266" s="562" t="b">
        <f>OR(AD1266:AE1266)</f>
        <v>0</v>
      </c>
      <c r="AD1266" s="562" t="b">
        <f>T1266</f>
        <v>0</v>
      </c>
      <c r="AE1266" s="562" t="b">
        <f>AND(R1266,O1263&lt;1)</f>
        <v>0</v>
      </c>
      <c r="AF1266" s="562" t="b">
        <f>AND(AE1266,NOT(Q1266))</f>
        <v>0</v>
      </c>
      <c r="AG1266" s="562"/>
      <c r="AH1266" s="562"/>
      <c r="AI1266" s="562"/>
      <c r="AJ1266" s="562"/>
      <c r="AK1266" s="562"/>
      <c r="AL1266" s="190" t="str">
        <f t="shared" ref="AL1266" si="392">SUBSTITUTE(SUBSTITUTE(SUBSTITUTE("vpa"&amp;$B1266&amp;$C1266&amp;$D1266&amp;$E1266&amp;$F1266,".","_"),"(","_"),")","")</f>
        <v>vpa1002,1_1</v>
      </c>
      <c r="AM1266" s="190" t="str">
        <f>M1266</f>
        <v>N/A</v>
      </c>
      <c r="AN1266" s="562"/>
      <c r="AO1266" s="562"/>
      <c r="AP1266" s="190" t="str">
        <f>SUBSTITUTE(SUBSTITUTE(SUBSTITUTE("vch"&amp;$B1266&amp;$C1266&amp;$D1266&amp;$E1266&amp;$F1266,".","_"),"(","_"),")","")</f>
        <v>vch1002,1_1</v>
      </c>
      <c r="AQ1266" s="190">
        <f>W1266</f>
        <v>0</v>
      </c>
      <c r="AR1266" s="190" t="str">
        <f>SUBSTITUTE(SUBSTITUTE(SUBSTITUTE("vnt"&amp;$B1266&amp;$C1266&amp;$D1266&amp;$E1266&amp;$F1266,".","_"),"(","_"),")","")</f>
        <v>vnt1002,1_1</v>
      </c>
      <c r="AS1266" s="190">
        <f>X1266</f>
        <v>0</v>
      </c>
      <c r="AT1266" s="562"/>
      <c r="AU1266" s="562"/>
      <c r="AV1266" s="562"/>
      <c r="AW1266" s="562"/>
      <c r="AX1266" s="562"/>
      <c r="AY1266" s="562"/>
      <c r="AZ1266" s="562"/>
      <c r="BA1266" s="562"/>
      <c r="BB1266" s="562"/>
      <c r="BC1266" s="562"/>
      <c r="BD1266" s="562"/>
      <c r="BE1266" s="562"/>
      <c r="BF1266" s="562"/>
      <c r="BG1266" s="562"/>
      <c r="BH1266" s="562"/>
    </row>
    <row r="1267" spans="1:60" x14ac:dyDescent="0.2">
      <c r="A1267" s="541">
        <v>10</v>
      </c>
      <c r="B1267" s="551">
        <v>1002.1</v>
      </c>
      <c r="C1267" s="544"/>
      <c r="D1267" s="544"/>
      <c r="E1267" s="544" t="s">
        <v>2181</v>
      </c>
      <c r="F1267" s="544"/>
      <c r="G1267" s="543" t="str">
        <f t="shared" si="390"/>
        <v/>
      </c>
      <c r="H1267" s="541" t="s">
        <v>3758</v>
      </c>
      <c r="I1267" s="3"/>
      <c r="J1267" s="20"/>
      <c r="K1267" s="3"/>
      <c r="L1267" s="817"/>
      <c r="M1267" s="837" t="str">
        <f t="shared" si="391"/>
        <v>N/A</v>
      </c>
      <c r="N1267" s="3"/>
      <c r="O1267" s="609"/>
      <c r="P1267" s="562"/>
      <c r="Q1267" s="562"/>
      <c r="R1267" s="562"/>
      <c r="S1267" s="562"/>
      <c r="T1267" s="562"/>
      <c r="U1267" s="562"/>
      <c r="V1267" s="562"/>
      <c r="W1267" s="562"/>
      <c r="X1267" s="787"/>
      <c r="Y1267" s="980"/>
      <c r="Z1267" s="983"/>
      <c r="AA1267" s="562"/>
      <c r="AB1267" s="562"/>
      <c r="AC1267" s="562"/>
      <c r="AD1267" s="562"/>
      <c r="AE1267" s="562"/>
      <c r="AF1267" s="562"/>
      <c r="AG1267" s="562"/>
      <c r="AH1267" s="562"/>
      <c r="AI1267" s="562"/>
      <c r="AJ1267" s="562"/>
      <c r="AK1267" s="562"/>
      <c r="AL1267" s="562"/>
      <c r="AM1267" s="562"/>
      <c r="AN1267" s="562"/>
      <c r="AO1267" s="562"/>
      <c r="AP1267" s="562"/>
      <c r="AQ1267" s="562"/>
      <c r="AR1267" s="562"/>
      <c r="AS1267" s="562"/>
      <c r="AT1267" s="562"/>
      <c r="AU1267" s="562"/>
      <c r="AV1267" s="562"/>
      <c r="AW1267" s="562"/>
      <c r="AX1267" s="562"/>
      <c r="AY1267" s="562"/>
      <c r="AZ1267" s="562"/>
      <c r="BA1267" s="562"/>
      <c r="BB1267" s="562"/>
      <c r="BC1267" s="562"/>
      <c r="BD1267" s="562"/>
      <c r="BE1267" s="562"/>
      <c r="BF1267" s="562"/>
      <c r="BG1267" s="562"/>
      <c r="BH1267" s="562"/>
    </row>
    <row r="1268" spans="1:60" x14ac:dyDescent="0.2">
      <c r="A1268" s="541">
        <v>10</v>
      </c>
      <c r="B1268" s="551">
        <v>1002.1</v>
      </c>
      <c r="C1268" s="544"/>
      <c r="D1268" s="544"/>
      <c r="E1268" s="544" t="s">
        <v>2181</v>
      </c>
      <c r="F1268" s="544"/>
      <c r="G1268" s="543" t="str">
        <f t="shared" si="390"/>
        <v/>
      </c>
      <c r="H1268" s="541" t="s">
        <v>3758</v>
      </c>
      <c r="I1268" s="3"/>
      <c r="J1268" s="20"/>
      <c r="K1268" s="3"/>
      <c r="L1268" s="817"/>
      <c r="M1268" s="837" t="str">
        <f t="shared" si="391"/>
        <v>N/A</v>
      </c>
      <c r="N1268" s="3"/>
      <c r="O1268" s="609"/>
      <c r="P1268" s="562"/>
      <c r="Q1268" s="562"/>
      <c r="R1268" s="562"/>
      <c r="S1268" s="562"/>
      <c r="T1268" s="562"/>
      <c r="U1268" s="562"/>
      <c r="V1268" s="562"/>
      <c r="W1268" s="562"/>
      <c r="X1268" s="787"/>
      <c r="Y1268" s="980"/>
      <c r="Z1268" s="983"/>
      <c r="AA1268" s="562"/>
      <c r="AB1268" s="562"/>
      <c r="AC1268" s="562"/>
      <c r="AD1268" s="562"/>
      <c r="AE1268" s="562"/>
      <c r="AF1268" s="562"/>
      <c r="AG1268" s="562"/>
      <c r="AH1268" s="562"/>
      <c r="AI1268" s="562"/>
      <c r="AJ1268" s="562"/>
      <c r="AK1268" s="562"/>
      <c r="AL1268" s="562"/>
      <c r="AM1268" s="562"/>
      <c r="AN1268" s="562"/>
      <c r="AO1268" s="562"/>
      <c r="AP1268" s="562"/>
      <c r="AQ1268" s="562"/>
      <c r="AR1268" s="562"/>
      <c r="AS1268" s="562"/>
      <c r="AT1268" s="562"/>
      <c r="AU1268" s="562"/>
      <c r="AV1268" s="562"/>
      <c r="AW1268" s="562"/>
      <c r="AX1268" s="562"/>
      <c r="AY1268" s="562"/>
      <c r="AZ1268" s="562"/>
      <c r="BA1268" s="562"/>
      <c r="BB1268" s="562"/>
      <c r="BC1268" s="562"/>
      <c r="BD1268" s="562"/>
      <c r="BE1268" s="562"/>
      <c r="BF1268" s="562"/>
      <c r="BG1268" s="562"/>
      <c r="BH1268" s="562"/>
    </row>
    <row r="1269" spans="1:60" x14ac:dyDescent="0.2">
      <c r="A1269" s="541">
        <v>10</v>
      </c>
      <c r="B1269" s="551">
        <v>1002.1</v>
      </c>
      <c r="C1269" s="544"/>
      <c r="D1269" s="544"/>
      <c r="E1269" s="544" t="s">
        <v>2183</v>
      </c>
      <c r="F1269" s="544"/>
      <c r="G1269" s="543" t="str">
        <f t="shared" si="390"/>
        <v/>
      </c>
      <c r="H1269" s="541" t="s">
        <v>3758</v>
      </c>
      <c r="I1269" s="3"/>
      <c r="J1269" s="164" t="s">
        <v>2183</v>
      </c>
      <c r="K1269" s="146"/>
      <c r="L1269" s="831" t="s">
        <v>3292</v>
      </c>
      <c r="M1269" s="867" t="str">
        <f t="shared" si="391"/>
        <v>N/A</v>
      </c>
      <c r="N1269" s="3"/>
      <c r="O1269" s="609"/>
      <c r="P1269" s="562" t="b">
        <v>0</v>
      </c>
      <c r="Q1269" s="562" t="b">
        <v>1</v>
      </c>
      <c r="R1269" s="562" t="b">
        <f>S1269</f>
        <v>0</v>
      </c>
      <c r="S1269" s="562" t="b">
        <f>IF(AY1202=INDEX(ddSingleOrMulti,2),TRUE,FALSE)</f>
        <v>0</v>
      </c>
      <c r="T1269" s="64" t="b">
        <f>AND(NOT(S1269),W1269=TRUE)</f>
        <v>0</v>
      </c>
      <c r="U1269" s="562"/>
      <c r="V1269" s="562"/>
      <c r="W1269" s="18"/>
      <c r="X1269" s="787"/>
      <c r="Y1269" s="980" t="str">
        <f>IF(LEN('Ch10'!X86)=0,"None",'Ch10'!X86)</f>
        <v>None</v>
      </c>
      <c r="Z1269" s="983"/>
      <c r="AA1269" s="562"/>
      <c r="AB1269" s="562"/>
      <c r="AC1269" s="562" t="b">
        <f>OR(AD1269:AE1269)</f>
        <v>0</v>
      </c>
      <c r="AD1269" s="562" t="b">
        <f>T1269</f>
        <v>0</v>
      </c>
      <c r="AE1269" s="562" t="b">
        <f>AND(R1269,NOT(W1269=TRUE))</f>
        <v>0</v>
      </c>
      <c r="AF1269" s="562" t="b">
        <f>AND(AE1269,NOT(Q1269))</f>
        <v>0</v>
      </c>
      <c r="AG1269" s="562"/>
      <c r="AH1269" s="562"/>
      <c r="AI1269" s="562"/>
      <c r="AJ1269" s="562"/>
      <c r="AK1269" s="562"/>
      <c r="AL1269" s="190" t="str">
        <f t="shared" ref="AL1269" si="393">SUBSTITUTE(SUBSTITUTE(SUBSTITUTE("vpa"&amp;$B1269&amp;$C1269&amp;$D1269&amp;$E1269&amp;$F1269,".","_"),"(","_"),")","")</f>
        <v>vpa1002,1_2</v>
      </c>
      <c r="AM1269" s="190" t="str">
        <f>M1269</f>
        <v>N/A</v>
      </c>
      <c r="AN1269" s="562"/>
      <c r="AO1269" s="562"/>
      <c r="AP1269" s="190" t="str">
        <f>SUBSTITUTE(SUBSTITUTE(SUBSTITUTE("vch"&amp;$B1269&amp;$C1269&amp;$D1269&amp;$E1269&amp;$F1269,".","_"),"(","_"),")","")</f>
        <v>vch1002,1_2</v>
      </c>
      <c r="AQ1269" s="190">
        <f>W1269</f>
        <v>0</v>
      </c>
      <c r="AR1269" s="190" t="str">
        <f>SUBSTITUTE(SUBSTITUTE(SUBSTITUTE("vnt"&amp;$B1269&amp;$C1269&amp;$D1269&amp;$E1269&amp;$F1269,".","_"),"(","_"),")","")</f>
        <v>vnt1002,1_2</v>
      </c>
      <c r="AS1269" s="190">
        <f>X1269</f>
        <v>0</v>
      </c>
      <c r="AT1269" s="562"/>
      <c r="AU1269" s="562"/>
      <c r="AV1269" s="562"/>
      <c r="AW1269" s="562"/>
      <c r="AX1269" s="562"/>
      <c r="AY1269" s="562"/>
      <c r="AZ1269" s="562"/>
      <c r="BA1269" s="562"/>
      <c r="BB1269" s="562"/>
      <c r="BC1269" s="562"/>
      <c r="BD1269" s="562"/>
      <c r="BE1269" s="562"/>
      <c r="BF1269" s="562"/>
      <c r="BG1269" s="562"/>
      <c r="BH1269" s="562"/>
    </row>
    <row r="1270" spans="1:60" x14ac:dyDescent="0.2">
      <c r="A1270" s="541">
        <v>10</v>
      </c>
      <c r="B1270" s="551">
        <v>1002.1</v>
      </c>
      <c r="C1270" s="544"/>
      <c r="D1270" s="544"/>
      <c r="E1270" s="544" t="s">
        <v>2183</v>
      </c>
      <c r="F1270" s="544"/>
      <c r="G1270" s="543" t="str">
        <f t="shared" si="390"/>
        <v/>
      </c>
      <c r="H1270" s="541" t="s">
        <v>3758</v>
      </c>
      <c r="I1270" s="3"/>
      <c r="J1270" s="134"/>
      <c r="K1270" s="98"/>
      <c r="L1270" s="791"/>
      <c r="M1270" s="838" t="str">
        <f t="shared" si="391"/>
        <v>N/A</v>
      </c>
      <c r="N1270" s="3"/>
      <c r="O1270" s="609"/>
      <c r="P1270" s="562"/>
      <c r="Q1270" s="562"/>
      <c r="R1270" s="562"/>
      <c r="S1270" s="562"/>
      <c r="T1270" s="562"/>
      <c r="U1270" s="562"/>
      <c r="V1270" s="562"/>
      <c r="W1270" s="562"/>
      <c r="X1270" s="787"/>
      <c r="Y1270" s="980"/>
      <c r="Z1270" s="983"/>
      <c r="AA1270" s="562"/>
      <c r="AB1270" s="562"/>
      <c r="AC1270" s="562"/>
      <c r="AD1270" s="562"/>
      <c r="AE1270" s="562"/>
      <c r="AF1270" s="562"/>
      <c r="AG1270" s="562"/>
      <c r="AH1270" s="562"/>
      <c r="AI1270" s="562"/>
      <c r="AJ1270" s="562"/>
      <c r="AK1270" s="562"/>
      <c r="AL1270" s="562"/>
      <c r="AM1270" s="562"/>
      <c r="AN1270" s="562"/>
      <c r="AO1270" s="562"/>
      <c r="AP1270" s="562"/>
      <c r="AQ1270" s="562"/>
      <c r="AR1270" s="562"/>
      <c r="AS1270" s="562"/>
      <c r="AT1270" s="562"/>
      <c r="AU1270" s="562"/>
      <c r="AV1270" s="562"/>
      <c r="AW1270" s="562"/>
      <c r="AX1270" s="562"/>
      <c r="AY1270" s="562"/>
      <c r="AZ1270" s="562"/>
      <c r="BA1270" s="562"/>
      <c r="BB1270" s="562"/>
      <c r="BC1270" s="562"/>
      <c r="BD1270" s="562"/>
      <c r="BE1270" s="562"/>
      <c r="BF1270" s="562"/>
      <c r="BG1270" s="562"/>
      <c r="BH1270" s="562"/>
    </row>
    <row r="1271" spans="1:60" x14ac:dyDescent="0.2">
      <c r="A1271" s="541">
        <v>10</v>
      </c>
      <c r="B1271" s="551">
        <v>1002.1</v>
      </c>
      <c r="C1271" s="544"/>
      <c r="D1271" s="544"/>
      <c r="E1271" s="544" t="s">
        <v>2183</v>
      </c>
      <c r="F1271" s="544"/>
      <c r="G1271" s="543" t="str">
        <f t="shared" si="390"/>
        <v/>
      </c>
      <c r="H1271" s="541" t="s">
        <v>3758</v>
      </c>
      <c r="I1271" s="3"/>
      <c r="J1271" s="159"/>
      <c r="K1271" s="165"/>
      <c r="L1271" s="792"/>
      <c r="M1271" s="854" t="str">
        <f t="shared" si="391"/>
        <v>N/A</v>
      </c>
      <c r="N1271" s="3"/>
      <c r="O1271" s="609"/>
      <c r="P1271" s="562"/>
      <c r="Q1271" s="562"/>
      <c r="R1271" s="562"/>
      <c r="S1271" s="562"/>
      <c r="T1271" s="562"/>
      <c r="U1271" s="562"/>
      <c r="V1271" s="562"/>
      <c r="W1271" s="562"/>
      <c r="X1271" s="787"/>
      <c r="Y1271" s="980"/>
      <c r="Z1271" s="983"/>
      <c r="AA1271" s="562"/>
      <c r="AB1271" s="562"/>
      <c r="AC1271" s="562"/>
      <c r="AD1271" s="562"/>
      <c r="AE1271" s="562"/>
      <c r="AF1271" s="562"/>
      <c r="AG1271" s="562"/>
      <c r="AH1271" s="562"/>
      <c r="AI1271" s="562"/>
      <c r="AJ1271" s="562"/>
      <c r="AK1271" s="562"/>
      <c r="AL1271" s="562"/>
      <c r="AM1271" s="562"/>
      <c r="AN1271" s="562"/>
      <c r="AO1271" s="562"/>
      <c r="AP1271" s="562"/>
      <c r="AQ1271" s="562"/>
      <c r="AR1271" s="562"/>
      <c r="AS1271" s="562"/>
      <c r="AT1271" s="562"/>
      <c r="AU1271" s="562"/>
      <c r="AV1271" s="562"/>
      <c r="AW1271" s="562"/>
      <c r="AX1271" s="562"/>
      <c r="AY1271" s="562"/>
      <c r="AZ1271" s="562"/>
      <c r="BA1271" s="562"/>
      <c r="BB1271" s="562"/>
      <c r="BC1271" s="562"/>
      <c r="BD1271" s="562"/>
      <c r="BE1271" s="562"/>
      <c r="BF1271" s="562"/>
      <c r="BG1271" s="562"/>
      <c r="BH1271" s="562"/>
    </row>
    <row r="1272" spans="1:60" x14ac:dyDescent="0.2">
      <c r="A1272" s="541">
        <v>10</v>
      </c>
      <c r="B1272" s="551">
        <v>1002.1</v>
      </c>
      <c r="C1272" s="544"/>
      <c r="D1272" s="544"/>
      <c r="E1272" s="544" t="s">
        <v>2185</v>
      </c>
      <c r="F1272" s="544"/>
      <c r="G1272" s="543" t="str">
        <f t="shared" si="390"/>
        <v/>
      </c>
      <c r="H1272" s="541" t="s">
        <v>3758</v>
      </c>
      <c r="I1272" s="3"/>
      <c r="J1272" s="20" t="s">
        <v>2185</v>
      </c>
      <c r="K1272" s="3"/>
      <c r="L1272" s="817" t="s">
        <v>3293</v>
      </c>
      <c r="M1272" s="837" t="str">
        <f t="shared" si="391"/>
        <v>N/A</v>
      </c>
      <c r="N1272" s="3"/>
      <c r="O1272" s="609"/>
      <c r="P1272" s="562" t="b">
        <v>0</v>
      </c>
      <c r="Q1272" s="562" t="b">
        <v>1</v>
      </c>
      <c r="R1272" s="562" t="b">
        <f>S1272</f>
        <v>0</v>
      </c>
      <c r="S1272" s="562" t="b">
        <f>IF(AY1202=INDEX(ddSingleOrMulti,2),TRUE,FALSE)</f>
        <v>0</v>
      </c>
      <c r="T1272" s="64" t="b">
        <f>AND(NOT(S1272),W1272=TRUE)</f>
        <v>0</v>
      </c>
      <c r="U1272" s="562"/>
      <c r="V1272" s="562"/>
      <c r="W1272" s="18"/>
      <c r="X1272" s="787"/>
      <c r="Y1272" s="980" t="str">
        <f>IF(LEN('Ch10'!X89)=0,"None",'Ch10'!X89)</f>
        <v>None</v>
      </c>
      <c r="Z1272" s="983"/>
      <c r="AA1272" s="562"/>
      <c r="AB1272" s="562"/>
      <c r="AC1272" s="562" t="b">
        <f>OR(AD1272:AE1272)</f>
        <v>0</v>
      </c>
      <c r="AD1272" s="562" t="b">
        <f>T1272</f>
        <v>0</v>
      </c>
      <c r="AE1272" s="562" t="b">
        <f>AND(R1272,NOT(W1272=TRUE))</f>
        <v>0</v>
      </c>
      <c r="AF1272" s="562" t="b">
        <f>AND(AE1272,NOT(Q1272))</f>
        <v>0</v>
      </c>
      <c r="AG1272" s="562"/>
      <c r="AH1272" s="562"/>
      <c r="AI1272" s="562"/>
      <c r="AJ1272" s="562"/>
      <c r="AK1272" s="562"/>
      <c r="AL1272" s="190" t="str">
        <f t="shared" ref="AL1272" si="394">SUBSTITUTE(SUBSTITUTE(SUBSTITUTE("vpa"&amp;$B1272&amp;$C1272&amp;$D1272&amp;$E1272&amp;$F1272,".","_"),"(","_"),")","")</f>
        <v>vpa1002,1_3</v>
      </c>
      <c r="AM1272" s="190" t="str">
        <f>M1272</f>
        <v>N/A</v>
      </c>
      <c r="AN1272" s="562"/>
      <c r="AO1272" s="562"/>
      <c r="AP1272" s="190" t="str">
        <f>SUBSTITUTE(SUBSTITUTE(SUBSTITUTE("vch"&amp;$B1272&amp;$C1272&amp;$D1272&amp;$E1272&amp;$F1272,".","_"),"(","_"),")","")</f>
        <v>vch1002,1_3</v>
      </c>
      <c r="AQ1272" s="190">
        <f>W1272</f>
        <v>0</v>
      </c>
      <c r="AR1272" s="190" t="str">
        <f>SUBSTITUTE(SUBSTITUTE(SUBSTITUTE("vnt"&amp;$B1272&amp;$C1272&amp;$D1272&amp;$E1272&amp;$F1272,".","_"),"(","_"),")","")</f>
        <v>vnt1002,1_3</v>
      </c>
      <c r="AS1272" s="190">
        <f>X1272</f>
        <v>0</v>
      </c>
      <c r="AT1272" s="562"/>
      <c r="AU1272" s="562"/>
      <c r="AV1272" s="562"/>
      <c r="AW1272" s="562"/>
      <c r="AX1272" s="562"/>
      <c r="AY1272" s="562"/>
      <c r="AZ1272" s="562"/>
      <c r="BA1272" s="562"/>
      <c r="BB1272" s="562"/>
      <c r="BC1272" s="562"/>
      <c r="BD1272" s="562"/>
      <c r="BE1272" s="562"/>
      <c r="BF1272" s="562"/>
      <c r="BG1272" s="562"/>
      <c r="BH1272" s="562"/>
    </row>
    <row r="1273" spans="1:60" x14ac:dyDescent="0.2">
      <c r="A1273" s="541">
        <v>10</v>
      </c>
      <c r="B1273" s="551">
        <v>1002.1</v>
      </c>
      <c r="C1273" s="544"/>
      <c r="D1273" s="544"/>
      <c r="E1273" s="544" t="s">
        <v>2185</v>
      </c>
      <c r="F1273" s="544"/>
      <c r="G1273" s="543" t="str">
        <f t="shared" si="390"/>
        <v/>
      </c>
      <c r="H1273" s="541" t="s">
        <v>3758</v>
      </c>
      <c r="I1273" s="3"/>
      <c r="J1273" s="20"/>
      <c r="K1273" s="3"/>
      <c r="L1273" s="817"/>
      <c r="M1273" s="837" t="str">
        <f t="shared" si="391"/>
        <v>N/A</v>
      </c>
      <c r="N1273" s="3"/>
      <c r="O1273" s="609"/>
      <c r="P1273" s="562"/>
      <c r="Q1273" s="562"/>
      <c r="R1273" s="562"/>
      <c r="S1273" s="562"/>
      <c r="T1273" s="562"/>
      <c r="U1273" s="562"/>
      <c r="V1273" s="562"/>
      <c r="W1273" s="562"/>
      <c r="X1273" s="787"/>
      <c r="Y1273" s="980"/>
      <c r="Z1273" s="983"/>
      <c r="AA1273" s="562"/>
      <c r="AB1273" s="562"/>
      <c r="AC1273" s="562"/>
      <c r="AD1273" s="562"/>
      <c r="AE1273" s="562"/>
      <c r="AF1273" s="562"/>
      <c r="AG1273" s="562"/>
      <c r="AH1273" s="562"/>
      <c r="AI1273" s="562"/>
      <c r="AJ1273" s="562"/>
      <c r="AK1273" s="562"/>
      <c r="AL1273" s="562"/>
      <c r="AM1273" s="562"/>
      <c r="AN1273" s="562"/>
      <c r="AO1273" s="562"/>
      <c r="AP1273" s="562"/>
      <c r="AQ1273" s="562"/>
      <c r="AR1273" s="562"/>
      <c r="AS1273" s="562"/>
      <c r="AT1273" s="562"/>
      <c r="AU1273" s="562"/>
      <c r="AV1273" s="562"/>
      <c r="AW1273" s="562"/>
      <c r="AX1273" s="562"/>
      <c r="AY1273" s="562"/>
      <c r="AZ1273" s="562"/>
      <c r="BA1273" s="562"/>
      <c r="BB1273" s="562"/>
      <c r="BC1273" s="562"/>
      <c r="BD1273" s="562"/>
      <c r="BE1273" s="562"/>
      <c r="BF1273" s="562"/>
      <c r="BG1273" s="562"/>
      <c r="BH1273" s="562"/>
    </row>
    <row r="1274" spans="1:60" ht="16" x14ac:dyDescent="0.2">
      <c r="A1274" s="541">
        <v>10</v>
      </c>
      <c r="B1274" s="551">
        <v>1002.1</v>
      </c>
      <c r="C1274" s="544"/>
      <c r="D1274" s="544"/>
      <c r="E1274" s="544" t="s">
        <v>2192</v>
      </c>
      <c r="F1274" s="544"/>
      <c r="G1274" s="543" t="str">
        <f t="shared" si="390"/>
        <v/>
      </c>
      <c r="H1274" s="541" t="s">
        <v>3758</v>
      </c>
      <c r="I1274" s="3"/>
      <c r="J1274" s="161" t="s">
        <v>2192</v>
      </c>
      <c r="K1274" s="186"/>
      <c r="L1274" s="205" t="s">
        <v>3294</v>
      </c>
      <c r="M1274" s="617"/>
      <c r="N1274" s="3"/>
      <c r="O1274" s="609"/>
      <c r="P1274" s="562" t="b">
        <v>0</v>
      </c>
      <c r="Q1274" s="562" t="b">
        <v>1</v>
      </c>
      <c r="R1274" s="562" t="b">
        <v>0</v>
      </c>
      <c r="S1274" s="562" t="b">
        <f>IF(AY1202=INDEX(ddSingleOrMulti,2),TRUE,FALSE)</f>
        <v>0</v>
      </c>
      <c r="T1274" s="64" t="b">
        <f>AND(NOT(S1274),W1274=TRUE)</f>
        <v>0</v>
      </c>
      <c r="U1274" s="562"/>
      <c r="V1274" s="562"/>
      <c r="W1274" s="18"/>
      <c r="X1274" s="563"/>
      <c r="Y1274" s="578" t="str">
        <f>IF(LEN('Ch10'!X91)=0,"None",'Ch10'!X91)</f>
        <v>None</v>
      </c>
      <c r="Z1274" s="579"/>
      <c r="AA1274" s="562"/>
      <c r="AB1274" s="562"/>
      <c r="AC1274" s="562" t="b">
        <f>OR(AD1274:AE1274)</f>
        <v>0</v>
      </c>
      <c r="AD1274" s="562" t="b">
        <f>T1274</f>
        <v>0</v>
      </c>
      <c r="AE1274" s="562"/>
      <c r="AF1274" s="562"/>
      <c r="AG1274" s="562"/>
      <c r="AH1274" s="562"/>
      <c r="AI1274" s="562"/>
      <c r="AJ1274" s="562"/>
      <c r="AK1274" s="562"/>
      <c r="AL1274" s="562"/>
      <c r="AM1274" s="562"/>
      <c r="AN1274" s="562"/>
      <c r="AO1274" s="562"/>
      <c r="AP1274" s="190" t="str">
        <f t="shared" ref="AP1274:AP1275" si="395">SUBSTITUTE(SUBSTITUTE(SUBSTITUTE("vch"&amp;$B1274&amp;$C1274&amp;$D1274&amp;$E1274&amp;$F1274,".","_"),"(","_"),")","")</f>
        <v>vch1002,1_4</v>
      </c>
      <c r="AQ1274" s="190">
        <f>W1274</f>
        <v>0</v>
      </c>
      <c r="AR1274" s="190" t="str">
        <f t="shared" ref="AR1274:AR1275" si="396">SUBSTITUTE(SUBSTITUTE(SUBSTITUTE("vnt"&amp;$B1274&amp;$C1274&amp;$D1274&amp;$E1274&amp;$F1274,".","_"),"(","_"),")","")</f>
        <v>vnt1002,1_4</v>
      </c>
      <c r="AS1274" s="190">
        <f>X1274</f>
        <v>0</v>
      </c>
      <c r="AT1274" s="562"/>
      <c r="AU1274" s="562"/>
      <c r="AV1274" s="562"/>
      <c r="AW1274" s="562"/>
      <c r="AX1274" s="562"/>
      <c r="AY1274" s="562"/>
      <c r="AZ1274" s="562"/>
      <c r="BA1274" s="562"/>
      <c r="BB1274" s="562"/>
      <c r="BC1274" s="562"/>
      <c r="BD1274" s="562"/>
      <c r="BE1274" s="562"/>
      <c r="BF1274" s="562"/>
      <c r="BG1274" s="562"/>
      <c r="BH1274" s="562"/>
    </row>
    <row r="1275" spans="1:60" x14ac:dyDescent="0.2">
      <c r="A1275" s="541">
        <v>10</v>
      </c>
      <c r="B1275" s="551">
        <v>1002.1</v>
      </c>
      <c r="C1275" s="544"/>
      <c r="D1275" s="544"/>
      <c r="E1275" s="544" t="s">
        <v>2194</v>
      </c>
      <c r="F1275" s="544"/>
      <c r="G1275" s="543" t="str">
        <f t="shared" si="390"/>
        <v/>
      </c>
      <c r="H1275" s="541" t="s">
        <v>3758</v>
      </c>
      <c r="I1275" s="3"/>
      <c r="J1275" s="20" t="s">
        <v>2194</v>
      </c>
      <c r="K1275" s="3"/>
      <c r="L1275" s="817" t="s">
        <v>3295</v>
      </c>
      <c r="M1275" s="607"/>
      <c r="N1275" s="3"/>
      <c r="O1275" s="609"/>
      <c r="P1275" s="562" t="b">
        <v>0</v>
      </c>
      <c r="Q1275" s="562" t="b">
        <v>1</v>
      </c>
      <c r="R1275" s="562" t="b">
        <v>0</v>
      </c>
      <c r="S1275" s="562" t="b">
        <f>IF(AY1202=INDEX(ddSingleOrMulti,2),TRUE,FALSE)</f>
        <v>0</v>
      </c>
      <c r="T1275" s="64" t="b">
        <f>AND(NOT(S1275),W1275=TRUE)</f>
        <v>0</v>
      </c>
      <c r="U1275" s="562"/>
      <c r="V1275" s="562"/>
      <c r="W1275" s="18"/>
      <c r="X1275" s="787"/>
      <c r="Y1275" s="980" t="str">
        <f>IF(LEN('Ch10'!X92)=0,"None",'Ch10'!X92)</f>
        <v>None</v>
      </c>
      <c r="Z1275" s="983"/>
      <c r="AA1275" s="562"/>
      <c r="AB1275" s="562"/>
      <c r="AC1275" s="562" t="b">
        <f>OR(AD1275:AE1275)</f>
        <v>0</v>
      </c>
      <c r="AD1275" s="562" t="b">
        <f>T1275</f>
        <v>0</v>
      </c>
      <c r="AE1275" s="562"/>
      <c r="AF1275" s="562"/>
      <c r="AG1275" s="562"/>
      <c r="AH1275" s="562"/>
      <c r="AI1275" s="562"/>
      <c r="AJ1275" s="562"/>
      <c r="AK1275" s="562"/>
      <c r="AL1275" s="562"/>
      <c r="AM1275" s="562"/>
      <c r="AN1275" s="562"/>
      <c r="AO1275" s="562"/>
      <c r="AP1275" s="190" t="str">
        <f t="shared" si="395"/>
        <v>vch1002,1_5</v>
      </c>
      <c r="AQ1275" s="190">
        <f>W1275</f>
        <v>0</v>
      </c>
      <c r="AR1275" s="190" t="str">
        <f t="shared" si="396"/>
        <v>vnt1002,1_5</v>
      </c>
      <c r="AS1275" s="190">
        <f>X1275</f>
        <v>0</v>
      </c>
      <c r="AT1275" s="562"/>
      <c r="AU1275" s="562"/>
      <c r="AV1275" s="562"/>
      <c r="AW1275" s="562"/>
      <c r="AX1275" s="562"/>
      <c r="AY1275" s="562"/>
      <c r="AZ1275" s="562"/>
      <c r="BA1275" s="562"/>
      <c r="BB1275" s="562"/>
      <c r="BC1275" s="562"/>
      <c r="BD1275" s="562"/>
      <c r="BE1275" s="562"/>
      <c r="BF1275" s="562"/>
      <c r="BG1275" s="562"/>
      <c r="BH1275" s="562"/>
    </row>
    <row r="1276" spans="1:60" x14ac:dyDescent="0.2">
      <c r="A1276" s="541">
        <v>10</v>
      </c>
      <c r="B1276" s="551">
        <v>1002.1</v>
      </c>
      <c r="C1276" s="544"/>
      <c r="D1276" s="544"/>
      <c r="E1276" s="544" t="s">
        <v>2194</v>
      </c>
      <c r="F1276" s="544"/>
      <c r="G1276" s="543" t="str">
        <f t="shared" si="390"/>
        <v/>
      </c>
      <c r="H1276" s="541" t="s">
        <v>3758</v>
      </c>
      <c r="I1276" s="3"/>
      <c r="J1276" s="20"/>
      <c r="K1276" s="3"/>
      <c r="L1276" s="817"/>
      <c r="M1276" s="607"/>
      <c r="N1276" s="3"/>
      <c r="O1276" s="609"/>
      <c r="P1276" s="562"/>
      <c r="Q1276" s="562"/>
      <c r="R1276" s="562"/>
      <c r="S1276" s="562"/>
      <c r="T1276" s="562"/>
      <c r="U1276" s="562"/>
      <c r="V1276" s="562"/>
      <c r="W1276" s="562"/>
      <c r="X1276" s="787"/>
      <c r="Y1276" s="980"/>
      <c r="Z1276" s="983"/>
      <c r="AA1276" s="562"/>
      <c r="AB1276" s="562"/>
      <c r="AC1276" s="562"/>
      <c r="AD1276" s="562"/>
      <c r="AE1276" s="562"/>
      <c r="AF1276" s="562"/>
      <c r="AG1276" s="562"/>
      <c r="AH1276" s="562"/>
      <c r="AI1276" s="562"/>
      <c r="AJ1276" s="562"/>
      <c r="AK1276" s="562"/>
      <c r="AL1276" s="562"/>
      <c r="AM1276" s="562"/>
      <c r="AN1276" s="562"/>
      <c r="AO1276" s="562"/>
      <c r="AP1276" s="562"/>
      <c r="AQ1276" s="562"/>
      <c r="AR1276" s="562"/>
      <c r="AS1276" s="562"/>
      <c r="AT1276" s="562"/>
      <c r="AU1276" s="562"/>
      <c r="AV1276" s="562"/>
      <c r="AW1276" s="562"/>
      <c r="AX1276" s="562"/>
      <c r="AY1276" s="562"/>
      <c r="AZ1276" s="562"/>
      <c r="BA1276" s="562"/>
      <c r="BB1276" s="562"/>
      <c r="BC1276" s="562"/>
      <c r="BD1276" s="562"/>
      <c r="BE1276" s="562"/>
      <c r="BF1276" s="562"/>
      <c r="BG1276" s="562"/>
      <c r="BH1276" s="562"/>
    </row>
    <row r="1277" spans="1:60" ht="15" customHeight="1" x14ac:dyDescent="0.2">
      <c r="A1277" s="541">
        <v>10</v>
      </c>
      <c r="B1277" s="551">
        <v>1002.1</v>
      </c>
      <c r="C1277" s="544"/>
      <c r="D1277" s="544"/>
      <c r="E1277" s="544" t="s">
        <v>2221</v>
      </c>
      <c r="F1277" s="544"/>
      <c r="G1277" s="543" t="str">
        <f t="shared" si="390"/>
        <v/>
      </c>
      <c r="H1277" s="541" t="s">
        <v>3758</v>
      </c>
      <c r="I1277" s="3"/>
      <c r="J1277" s="161" t="s">
        <v>2221</v>
      </c>
      <c r="K1277" s="186"/>
      <c r="L1277" s="205" t="s">
        <v>3244</v>
      </c>
      <c r="M1277" s="607"/>
      <c r="N1277" s="3"/>
      <c r="O1277" s="609"/>
      <c r="P1277" s="562" t="b">
        <v>0</v>
      </c>
      <c r="Q1277" s="562" t="b">
        <v>1</v>
      </c>
      <c r="R1277" s="562" t="b">
        <v>0</v>
      </c>
      <c r="S1277" s="562" t="b">
        <f>IF(AY1202=INDEX(ddSingleOrMulti,2),TRUE,FALSE)</f>
        <v>0</v>
      </c>
      <c r="T1277" s="64" t="b">
        <f>AND(NOT(S1277),W1277=TRUE)</f>
        <v>0</v>
      </c>
      <c r="U1277" s="562"/>
      <c r="V1277" s="562"/>
      <c r="W1277" s="18"/>
      <c r="X1277" s="563"/>
      <c r="Y1277" s="578" t="str">
        <f>IF(LEN('Ch10'!X94)=0,"None",'Ch10'!X94)</f>
        <v>None</v>
      </c>
      <c r="Z1277" s="579"/>
      <c r="AA1277" s="562"/>
      <c r="AB1277" s="562"/>
      <c r="AC1277" s="562" t="b">
        <f>OR(AD1277:AE1277)</f>
        <v>0</v>
      </c>
      <c r="AD1277" s="562" t="b">
        <f>T1277</f>
        <v>0</v>
      </c>
      <c r="AE1277" s="562"/>
      <c r="AF1277" s="562"/>
      <c r="AG1277" s="562"/>
      <c r="AH1277" s="562"/>
      <c r="AI1277" s="562"/>
      <c r="AJ1277" s="562"/>
      <c r="AK1277" s="562"/>
      <c r="AL1277" s="562"/>
      <c r="AM1277" s="562"/>
      <c r="AN1277" s="562"/>
      <c r="AO1277" s="562"/>
      <c r="AP1277" s="190" t="str">
        <f t="shared" ref="AP1277:AP1279" si="397">SUBSTITUTE(SUBSTITUTE(SUBSTITUTE("vch"&amp;$B1277&amp;$C1277&amp;$D1277&amp;$E1277&amp;$F1277,".","_"),"(","_"),")","")</f>
        <v>vch1002,1_6</v>
      </c>
      <c r="AQ1277" s="190">
        <f>W1277</f>
        <v>0</v>
      </c>
      <c r="AR1277" s="190" t="str">
        <f t="shared" ref="AR1277:AR1279" si="398">SUBSTITUTE(SUBSTITUTE(SUBSTITUTE("vnt"&amp;$B1277&amp;$C1277&amp;$D1277&amp;$E1277&amp;$F1277,".","_"),"(","_"),")","")</f>
        <v>vnt1002,1_6</v>
      </c>
      <c r="AS1277" s="190">
        <f>X1277</f>
        <v>0</v>
      </c>
      <c r="AT1277" s="562"/>
      <c r="AU1277" s="562"/>
      <c r="AV1277" s="562"/>
      <c r="AW1277" s="562"/>
      <c r="AX1277" s="562"/>
      <c r="AY1277" s="562"/>
      <c r="AZ1277" s="562"/>
      <c r="BA1277" s="562"/>
      <c r="BB1277" s="562"/>
      <c r="BC1277" s="562"/>
      <c r="BD1277" s="562"/>
      <c r="BE1277" s="562"/>
      <c r="BF1277" s="562"/>
      <c r="BG1277" s="562"/>
      <c r="BH1277" s="562"/>
    </row>
    <row r="1278" spans="1:60" ht="16" x14ac:dyDescent="0.2">
      <c r="A1278" s="541">
        <v>10</v>
      </c>
      <c r="B1278" s="551">
        <v>1002.1</v>
      </c>
      <c r="C1278" s="544"/>
      <c r="D1278" s="544"/>
      <c r="E1278" s="544" t="s">
        <v>2223</v>
      </c>
      <c r="F1278" s="544"/>
      <c r="G1278" s="543" t="str">
        <f t="shared" si="390"/>
        <v/>
      </c>
      <c r="H1278" s="541" t="s">
        <v>3758</v>
      </c>
      <c r="I1278" s="3"/>
      <c r="J1278" s="161" t="s">
        <v>2223</v>
      </c>
      <c r="K1278" s="186"/>
      <c r="L1278" s="205" t="s">
        <v>3296</v>
      </c>
      <c r="M1278" s="607"/>
      <c r="N1278" s="3"/>
      <c r="O1278" s="609"/>
      <c r="P1278" s="562" t="b">
        <v>0</v>
      </c>
      <c r="Q1278" s="562" t="b">
        <v>1</v>
      </c>
      <c r="R1278" s="562" t="b">
        <v>0</v>
      </c>
      <c r="S1278" s="562" t="b">
        <f>IF(AY1202=INDEX(ddSingleOrMulti,2),TRUE,FALSE)</f>
        <v>0</v>
      </c>
      <c r="T1278" s="64" t="b">
        <f>AND(NOT(S1278),W1278=TRUE)</f>
        <v>0</v>
      </c>
      <c r="U1278" s="562"/>
      <c r="V1278" s="562"/>
      <c r="W1278" s="18"/>
      <c r="X1278" s="563"/>
      <c r="Y1278" s="578" t="str">
        <f>IF(LEN('Ch10'!X95)=0,"None",'Ch10'!X95)</f>
        <v>None</v>
      </c>
      <c r="Z1278" s="579"/>
      <c r="AA1278" s="562"/>
      <c r="AB1278" s="562"/>
      <c r="AC1278" s="562" t="b">
        <f>OR(AD1278:AE1278)</f>
        <v>0</v>
      </c>
      <c r="AD1278" s="562" t="b">
        <f>T1278</f>
        <v>0</v>
      </c>
      <c r="AE1278" s="562"/>
      <c r="AF1278" s="562"/>
      <c r="AG1278" s="562"/>
      <c r="AH1278" s="562"/>
      <c r="AI1278" s="562"/>
      <c r="AJ1278" s="562"/>
      <c r="AK1278" s="562"/>
      <c r="AL1278" s="562"/>
      <c r="AM1278" s="562"/>
      <c r="AN1278" s="562"/>
      <c r="AO1278" s="562"/>
      <c r="AP1278" s="190" t="str">
        <f t="shared" si="397"/>
        <v>vch1002,1_7</v>
      </c>
      <c r="AQ1278" s="190">
        <f>W1278</f>
        <v>0</v>
      </c>
      <c r="AR1278" s="190" t="str">
        <f t="shared" si="398"/>
        <v>vnt1002,1_7</v>
      </c>
      <c r="AS1278" s="190">
        <f>X1278</f>
        <v>0</v>
      </c>
      <c r="AT1278" s="562"/>
      <c r="AU1278" s="562"/>
      <c r="AV1278" s="562"/>
      <c r="AW1278" s="562"/>
      <c r="AX1278" s="562"/>
      <c r="AY1278" s="562"/>
      <c r="AZ1278" s="562"/>
      <c r="BA1278" s="562"/>
      <c r="BB1278" s="562"/>
      <c r="BC1278" s="562"/>
      <c r="BD1278" s="562"/>
      <c r="BE1278" s="562"/>
      <c r="BF1278" s="562"/>
      <c r="BG1278" s="562"/>
      <c r="BH1278" s="562"/>
    </row>
    <row r="1279" spans="1:60" x14ac:dyDescent="0.2">
      <c r="A1279" s="541">
        <v>10</v>
      </c>
      <c r="B1279" s="551">
        <v>1002.1</v>
      </c>
      <c r="C1279" s="544"/>
      <c r="D1279" s="544"/>
      <c r="E1279" s="544" t="s">
        <v>2282</v>
      </c>
      <c r="F1279" s="544"/>
      <c r="G1279" s="543" t="str">
        <f t="shared" si="390"/>
        <v/>
      </c>
      <c r="H1279" s="541" t="s">
        <v>3758</v>
      </c>
      <c r="I1279" s="98"/>
      <c r="J1279" s="134" t="s">
        <v>2282</v>
      </c>
      <c r="K1279" s="98"/>
      <c r="L1279" s="791" t="s">
        <v>3297</v>
      </c>
      <c r="M1279" s="607"/>
      <c r="N1279" s="98"/>
      <c r="O1279" s="607"/>
      <c r="P1279" s="562" t="b">
        <v>0</v>
      </c>
      <c r="Q1279" s="562" t="b">
        <v>1</v>
      </c>
      <c r="R1279" s="64" t="b">
        <v>0</v>
      </c>
      <c r="S1279" s="64" t="b">
        <f>IF(AY1202=INDEX(ddSingleOrMulti,2),TRUE,FALSE)</f>
        <v>0</v>
      </c>
      <c r="T1279" s="64" t="b">
        <f>AND(NOT(S1279),W1279=TRUE)</f>
        <v>0</v>
      </c>
      <c r="U1279" s="64"/>
      <c r="V1279" s="64"/>
      <c r="W1279" s="18"/>
      <c r="X1279" s="798"/>
      <c r="Y1279" s="977" t="str">
        <f>IF(LEN('Ch10'!X96)=0,"None",'Ch10'!X96)</f>
        <v>None</v>
      </c>
      <c r="Z1279" s="978"/>
      <c r="AA1279" s="562"/>
      <c r="AB1279" s="562"/>
      <c r="AC1279" s="562" t="b">
        <f>OR(AD1279:AE1279)</f>
        <v>0</v>
      </c>
      <c r="AD1279" s="562" t="b">
        <f>T1279</f>
        <v>0</v>
      </c>
      <c r="AE1279" s="562"/>
      <c r="AF1279" s="562"/>
      <c r="AG1279" s="562"/>
      <c r="AH1279" s="562"/>
      <c r="AI1279" s="562"/>
      <c r="AJ1279" s="562"/>
      <c r="AK1279" s="562"/>
      <c r="AL1279" s="562"/>
      <c r="AM1279" s="562"/>
      <c r="AN1279" s="562"/>
      <c r="AO1279" s="562"/>
      <c r="AP1279" s="190" t="str">
        <f t="shared" si="397"/>
        <v>vch1002,1_8</v>
      </c>
      <c r="AQ1279" s="190">
        <f>W1279</f>
        <v>0</v>
      </c>
      <c r="AR1279" s="190" t="str">
        <f t="shared" si="398"/>
        <v>vnt1002,1_8</v>
      </c>
      <c r="AS1279" s="190">
        <f>X1279</f>
        <v>0</v>
      </c>
      <c r="AT1279" s="562"/>
      <c r="AU1279" s="562"/>
      <c r="AV1279" s="562"/>
      <c r="AW1279" s="562"/>
      <c r="AX1279" s="562"/>
      <c r="AY1279" s="562"/>
      <c r="AZ1279" s="562"/>
      <c r="BA1279" s="562"/>
      <c r="BB1279" s="562"/>
      <c r="BC1279" s="562"/>
      <c r="BD1279" s="562"/>
      <c r="BE1279" s="562"/>
      <c r="BF1279" s="562"/>
      <c r="BG1279" s="562"/>
      <c r="BH1279" s="562"/>
    </row>
    <row r="1280" spans="1:60" ht="16" thickBot="1" x14ac:dyDescent="0.25">
      <c r="A1280" s="541">
        <v>10</v>
      </c>
      <c r="B1280" s="551">
        <v>1002.1</v>
      </c>
      <c r="C1280" s="544"/>
      <c r="D1280" s="544"/>
      <c r="E1280" s="544" t="s">
        <v>2282</v>
      </c>
      <c r="F1280" s="544"/>
      <c r="G1280" s="543" t="str">
        <f t="shared" si="390"/>
        <v/>
      </c>
      <c r="H1280" s="541" t="s">
        <v>3758</v>
      </c>
      <c r="I1280" s="185"/>
      <c r="J1280" s="185"/>
      <c r="K1280" s="185"/>
      <c r="L1280" s="818"/>
      <c r="M1280" s="622"/>
      <c r="N1280" s="185"/>
      <c r="O1280" s="622"/>
      <c r="P1280" s="68"/>
      <c r="Q1280" s="68"/>
      <c r="R1280" s="68"/>
      <c r="S1280" s="68"/>
      <c r="T1280" s="68"/>
      <c r="U1280" s="68"/>
      <c r="V1280" s="68"/>
      <c r="W1280" s="68"/>
      <c r="X1280" s="799"/>
      <c r="Y1280" s="979"/>
      <c r="Z1280" s="1007"/>
      <c r="AA1280" s="562"/>
      <c r="AB1280" s="562"/>
      <c r="AC1280" s="562"/>
      <c r="AD1280" s="562"/>
      <c r="AE1280" s="562"/>
      <c r="AF1280" s="562"/>
      <c r="AG1280" s="562"/>
      <c r="AH1280" s="562"/>
      <c r="AI1280" s="562"/>
      <c r="AJ1280" s="562"/>
      <c r="AK1280" s="562"/>
      <c r="AL1280" s="562"/>
      <c r="AM1280" s="562"/>
      <c r="AN1280" s="562"/>
      <c r="AO1280" s="562"/>
      <c r="AP1280" s="562"/>
      <c r="AQ1280" s="562"/>
      <c r="AR1280" s="562"/>
      <c r="AS1280" s="562"/>
      <c r="AT1280" s="562"/>
      <c r="AU1280" s="562"/>
      <c r="AV1280" s="562"/>
      <c r="AW1280" s="562"/>
      <c r="AX1280" s="562"/>
      <c r="AY1280" s="562"/>
      <c r="AZ1280" s="562"/>
      <c r="BA1280" s="562"/>
      <c r="BB1280" s="562"/>
      <c r="BC1280" s="562"/>
      <c r="BD1280" s="562"/>
      <c r="BE1280" s="562"/>
      <c r="BF1280" s="562"/>
      <c r="BG1280" s="562"/>
      <c r="BH1280" s="562"/>
    </row>
    <row r="1281" spans="1:60" ht="16" thickTop="1" x14ac:dyDescent="0.2">
      <c r="A1281" s="541">
        <v>10</v>
      </c>
      <c r="B1281" s="551">
        <v>1002.2</v>
      </c>
      <c r="C1281" s="544"/>
      <c r="D1281" s="544"/>
      <c r="E1281" s="544"/>
      <c r="F1281" s="544"/>
      <c r="G1281" s="543" t="str">
        <f>IF(N1281&gt;0,"P","")</f>
        <v/>
      </c>
      <c r="H1281" s="541" t="s">
        <v>3758</v>
      </c>
      <c r="I1281" s="107" t="s">
        <v>3298</v>
      </c>
      <c r="J1281" s="3"/>
      <c r="K1281" s="3"/>
      <c r="L1281" s="775" t="s">
        <v>3299</v>
      </c>
      <c r="M1281" s="814">
        <v>1</v>
      </c>
      <c r="N1281" s="823">
        <f>'Ch10'!O98</f>
        <v>0</v>
      </c>
      <c r="O1281" s="885">
        <f>IF(AND(COUNTIF(W1285:W1287,TRUE)=2,COUNTIF(W1290:W1306,TRUE)&gt;2,S1285),ROUNDDOWN(COUNTIF(W1290:W1306,TRUE)/2,0),0)</f>
        <v>0</v>
      </c>
      <c r="P1281" s="562"/>
      <c r="Q1281" s="562"/>
      <c r="R1281" s="562"/>
      <c r="S1281" s="562"/>
      <c r="T1281" s="562"/>
      <c r="U1281" s="562"/>
      <c r="V1281" s="562"/>
      <c r="W1281" s="562"/>
      <c r="X1281" s="562"/>
      <c r="Y1281" s="562"/>
      <c r="Z1281" s="430"/>
      <c r="AA1281" s="562"/>
      <c r="AB1281" s="562"/>
      <c r="AC1281" s="562"/>
      <c r="AD1281" s="562"/>
      <c r="AE1281" s="562"/>
      <c r="AF1281" s="562"/>
      <c r="AG1281" s="562"/>
      <c r="AH1281" s="562"/>
      <c r="AI1281" s="562"/>
      <c r="AJ1281" s="562"/>
      <c r="AK1281" s="562"/>
      <c r="AL1281" s="190" t="str">
        <f t="shared" ref="AL1281" si="399">SUBSTITUTE(SUBSTITUTE(SUBSTITUTE("vpa"&amp;$B1281&amp;$C1281&amp;$D1281&amp;$E1281&amp;$F1281,".","_"),"(","_"),")","")</f>
        <v>vpa1002,2</v>
      </c>
      <c r="AM1281" s="190">
        <f>M1281</f>
        <v>1</v>
      </c>
      <c r="AN1281" s="190" t="str">
        <f>SUBSTITUTE(SUBSTITUTE(SUBSTITUTE("vpc"&amp;$B1281&amp;$C1281&amp;$D1281&amp;$E1281&amp;$F1281,".","_"),"(","_"),")","")</f>
        <v>vpc1002,2</v>
      </c>
      <c r="AO1281" s="190">
        <f>O1281</f>
        <v>0</v>
      </c>
      <c r="AP1281" s="562"/>
      <c r="AQ1281" s="562"/>
      <c r="AR1281" s="562"/>
      <c r="AS1281" s="562"/>
      <c r="AT1281" s="562"/>
      <c r="AU1281" s="562"/>
      <c r="AV1281" s="562"/>
      <c r="AW1281" s="562"/>
      <c r="AX1281" s="562"/>
      <c r="AY1281" s="562"/>
      <c r="AZ1281" s="562"/>
      <c r="BA1281" s="562"/>
      <c r="BB1281" s="562"/>
      <c r="BC1281" s="562"/>
      <c r="BD1281" s="562"/>
      <c r="BE1281" s="562"/>
      <c r="BF1281" s="562"/>
      <c r="BG1281" s="562"/>
      <c r="BH1281" s="562"/>
    </row>
    <row r="1282" spans="1:60" x14ac:dyDescent="0.2">
      <c r="A1282" s="541">
        <v>10</v>
      </c>
      <c r="B1282" s="551">
        <v>1002.2</v>
      </c>
      <c r="C1282" s="544"/>
      <c r="D1282" s="544"/>
      <c r="E1282" s="544"/>
      <c r="F1282" s="544"/>
      <c r="G1282" s="543" t="str">
        <f t="shared" ref="G1282:G1307" si="400">G1281</f>
        <v/>
      </c>
      <c r="H1282" s="541" t="s">
        <v>3758</v>
      </c>
      <c r="I1282" s="3"/>
      <c r="J1282" s="3"/>
      <c r="K1282" s="3"/>
      <c r="L1282" s="775"/>
      <c r="M1282" s="814"/>
      <c r="N1282" s="795"/>
      <c r="O1282" s="885"/>
      <c r="P1282" s="562"/>
      <c r="Q1282" s="562"/>
      <c r="R1282" s="562"/>
      <c r="S1282" s="562"/>
      <c r="T1282" s="562"/>
      <c r="U1282" s="562"/>
      <c r="V1282" s="562"/>
      <c r="W1282" s="562"/>
      <c r="X1282" s="562"/>
      <c r="Y1282" s="562"/>
      <c r="Z1282" s="430"/>
      <c r="AA1282" s="562"/>
      <c r="AB1282" s="562"/>
      <c r="AC1282" s="562"/>
      <c r="AD1282" s="562"/>
      <c r="AE1282" s="562"/>
      <c r="AF1282" s="562"/>
      <c r="AG1282" s="562"/>
      <c r="AH1282" s="562"/>
      <c r="AI1282" s="562"/>
      <c r="AJ1282" s="562"/>
      <c r="AK1282" s="562"/>
      <c r="AL1282" s="562"/>
      <c r="AM1282" s="562"/>
      <c r="AN1282" s="562"/>
      <c r="AO1282" s="562"/>
      <c r="AP1282" s="562"/>
      <c r="AQ1282" s="562"/>
      <c r="AR1282" s="562"/>
      <c r="AS1282" s="562"/>
      <c r="AT1282" s="562"/>
      <c r="AU1282" s="562"/>
      <c r="AV1282" s="562"/>
      <c r="AW1282" s="562"/>
      <c r="AX1282" s="562"/>
      <c r="AY1282" s="562"/>
      <c r="AZ1282" s="562"/>
      <c r="BA1282" s="562"/>
      <c r="BB1282" s="562"/>
      <c r="BC1282" s="562"/>
      <c r="BD1282" s="562"/>
      <c r="BE1282" s="562"/>
      <c r="BF1282" s="562"/>
      <c r="BG1282" s="562"/>
      <c r="BH1282" s="562"/>
    </row>
    <row r="1283" spans="1:60" x14ac:dyDescent="0.2">
      <c r="A1283" s="541">
        <v>10</v>
      </c>
      <c r="B1283" s="551">
        <v>1002.2</v>
      </c>
      <c r="C1283" s="544"/>
      <c r="D1283" s="544"/>
      <c r="E1283" s="544"/>
      <c r="F1283" s="544"/>
      <c r="G1283" s="543" t="str">
        <f t="shared" si="400"/>
        <v/>
      </c>
      <c r="H1283" s="541" t="s">
        <v>3758</v>
      </c>
      <c r="I1283" s="3"/>
      <c r="J1283" s="3"/>
      <c r="K1283" s="3"/>
      <c r="L1283" s="775"/>
      <c r="M1283" s="814"/>
      <c r="N1283" s="795"/>
      <c r="O1283" s="885"/>
      <c r="P1283" s="562"/>
      <c r="Q1283" s="562"/>
      <c r="R1283" s="562"/>
      <c r="S1283" s="562"/>
      <c r="T1283" s="562"/>
      <c r="U1283" s="562"/>
      <c r="V1283" s="562"/>
      <c r="W1283" s="562"/>
      <c r="X1283" s="562"/>
      <c r="Y1283" s="562"/>
      <c r="Z1283" s="430"/>
      <c r="AA1283" s="562"/>
      <c r="AB1283" s="562"/>
      <c r="AC1283" s="562"/>
      <c r="AD1283" s="562"/>
      <c r="AE1283" s="562"/>
      <c r="AF1283" s="562"/>
      <c r="AG1283" s="562"/>
      <c r="AH1283" s="562"/>
      <c r="AI1283" s="562"/>
      <c r="AJ1283" s="562"/>
      <c r="AK1283" s="562"/>
      <c r="AL1283" s="562"/>
      <c r="AM1283" s="562"/>
      <c r="AN1283" s="562"/>
      <c r="AO1283" s="562"/>
      <c r="AP1283" s="562"/>
      <c r="AQ1283" s="562"/>
      <c r="AR1283" s="562"/>
      <c r="AS1283" s="562"/>
      <c r="AT1283" s="562"/>
      <c r="AU1283" s="562"/>
      <c r="AV1283" s="562"/>
      <c r="AW1283" s="562"/>
      <c r="AX1283" s="562"/>
      <c r="AY1283" s="562"/>
      <c r="AZ1283" s="562"/>
      <c r="BA1283" s="562"/>
      <c r="BB1283" s="562"/>
      <c r="BC1283" s="562"/>
      <c r="BD1283" s="562"/>
      <c r="BE1283" s="562"/>
      <c r="BF1283" s="562"/>
      <c r="BG1283" s="562"/>
      <c r="BH1283" s="562"/>
    </row>
    <row r="1284" spans="1:60" ht="15" customHeight="1" x14ac:dyDescent="0.2">
      <c r="A1284" s="541">
        <v>10</v>
      </c>
      <c r="B1284" s="551">
        <v>1002.2</v>
      </c>
      <c r="C1284" s="544"/>
      <c r="D1284" s="544"/>
      <c r="E1284" s="544"/>
      <c r="F1284" s="544"/>
      <c r="G1284" s="543" t="str">
        <f t="shared" si="400"/>
        <v/>
      </c>
      <c r="H1284" s="541" t="s">
        <v>3758</v>
      </c>
      <c r="I1284" s="3"/>
      <c r="J1284" s="3"/>
      <c r="K1284" s="3"/>
      <c r="L1284" s="177" t="s">
        <v>3290</v>
      </c>
      <c r="M1284" s="814"/>
      <c r="N1284" s="795"/>
      <c r="O1284" s="885"/>
      <c r="P1284" s="562"/>
      <c r="Q1284" s="562"/>
      <c r="R1284" s="562"/>
      <c r="S1284" s="562"/>
      <c r="T1284" s="562"/>
      <c r="U1284" s="562"/>
      <c r="V1284" s="562"/>
      <c r="W1284" s="562"/>
      <c r="X1284" s="562"/>
      <c r="Y1284" s="562"/>
      <c r="Z1284" s="430"/>
      <c r="AA1284" s="562"/>
      <c r="AB1284" s="562"/>
      <c r="AC1284" s="562"/>
      <c r="AD1284" s="562"/>
      <c r="AE1284" s="562"/>
      <c r="AF1284" s="562"/>
      <c r="AG1284" s="562"/>
      <c r="AH1284" s="562"/>
      <c r="AI1284" s="562"/>
      <c r="AJ1284" s="562"/>
      <c r="AK1284" s="562"/>
      <c r="AL1284" s="562"/>
      <c r="AM1284" s="562"/>
      <c r="AN1284" s="562"/>
      <c r="AO1284" s="562"/>
      <c r="AP1284" s="562"/>
      <c r="AQ1284" s="562"/>
      <c r="AR1284" s="562"/>
      <c r="AS1284" s="562"/>
      <c r="AT1284" s="562"/>
      <c r="AU1284" s="562"/>
      <c r="AV1284" s="562"/>
      <c r="AW1284" s="562"/>
      <c r="AX1284" s="562"/>
      <c r="AY1284" s="562"/>
      <c r="AZ1284" s="562"/>
      <c r="BA1284" s="562"/>
      <c r="BB1284" s="562"/>
      <c r="BC1284" s="562"/>
      <c r="BD1284" s="562"/>
      <c r="BE1284" s="562"/>
      <c r="BF1284" s="562"/>
      <c r="BG1284" s="562"/>
      <c r="BH1284" s="562"/>
    </row>
    <row r="1285" spans="1:60" x14ac:dyDescent="0.2">
      <c r="A1285" s="541">
        <v>10</v>
      </c>
      <c r="B1285" s="551">
        <v>1002.2</v>
      </c>
      <c r="C1285" s="544"/>
      <c r="D1285" s="544"/>
      <c r="E1285" s="544" t="s">
        <v>2181</v>
      </c>
      <c r="F1285" s="544"/>
      <c r="G1285" s="543" t="str">
        <f t="shared" si="400"/>
        <v/>
      </c>
      <c r="H1285" s="541" t="s">
        <v>3758</v>
      </c>
      <c r="I1285" s="3"/>
      <c r="J1285" s="134" t="s">
        <v>2181</v>
      </c>
      <c r="K1285" s="98"/>
      <c r="L1285" s="791" t="s">
        <v>3300</v>
      </c>
      <c r="M1285" s="838" t="str">
        <f>IF(R1285,"Mandatory","N/A")</f>
        <v>N/A</v>
      </c>
      <c r="N1285" s="3"/>
      <c r="O1285" s="609"/>
      <c r="P1285" s="562" t="b">
        <v>0</v>
      </c>
      <c r="Q1285" s="562" t="b">
        <v>1</v>
      </c>
      <c r="R1285" s="562" t="b">
        <f>S1285</f>
        <v>0</v>
      </c>
      <c r="S1285" s="562" t="b">
        <f>IF(AY1202=INDEX(ddSingleOrMulti,2),TRUE,FALSE)</f>
        <v>0</v>
      </c>
      <c r="T1285" s="64" t="b">
        <f>AND(NOT(S1285),W1285=TRUE)</f>
        <v>0</v>
      </c>
      <c r="U1285" s="562"/>
      <c r="V1285" s="562"/>
      <c r="W1285" s="18"/>
      <c r="X1285" s="787"/>
      <c r="Y1285" s="980" t="str">
        <f>IF(LEN('Ch10'!X102)=0,"None",'Ch10'!X102)</f>
        <v>None</v>
      </c>
      <c r="Z1285" s="983"/>
      <c r="AA1285" s="562"/>
      <c r="AB1285" s="562"/>
      <c r="AC1285" s="562" t="b">
        <f>OR(AD1285:AE1285)</f>
        <v>0</v>
      </c>
      <c r="AD1285" s="562" t="b">
        <f>T1285</f>
        <v>0</v>
      </c>
      <c r="AE1285" s="562" t="b">
        <f>AND(R1285,NOT(W1285=TRUE))</f>
        <v>0</v>
      </c>
      <c r="AF1285" s="562" t="b">
        <f>AND(AE1285,NOT(Q1285))</f>
        <v>0</v>
      </c>
      <c r="AG1285" s="562"/>
      <c r="AH1285" s="562"/>
      <c r="AI1285" s="562"/>
      <c r="AJ1285" s="562"/>
      <c r="AK1285" s="562"/>
      <c r="AL1285" s="190" t="str">
        <f t="shared" ref="AL1285" si="401">SUBSTITUTE(SUBSTITUTE(SUBSTITUTE("vpa"&amp;$B1285&amp;$C1285&amp;$D1285&amp;$E1285&amp;$F1285,".","_"),"(","_"),")","")</f>
        <v>vpa1002,2_1</v>
      </c>
      <c r="AM1285" s="190" t="str">
        <f>M1285</f>
        <v>N/A</v>
      </c>
      <c r="AN1285" s="562"/>
      <c r="AO1285" s="562"/>
      <c r="AP1285" s="190" t="str">
        <f>SUBSTITUTE(SUBSTITUTE(SUBSTITUTE("vch"&amp;$B1285&amp;$C1285&amp;$D1285&amp;$E1285&amp;$F1285,".","_"),"(","_"),")","")</f>
        <v>vch1002,2_1</v>
      </c>
      <c r="AQ1285" s="190">
        <f>W1285</f>
        <v>0</v>
      </c>
      <c r="AR1285" s="190" t="str">
        <f>SUBSTITUTE(SUBSTITUTE(SUBSTITUTE("vnt"&amp;$B1285&amp;$C1285&amp;$D1285&amp;$E1285&amp;$F1285,".","_"),"(","_"),")","")</f>
        <v>vnt1002,2_1</v>
      </c>
      <c r="AS1285" s="190">
        <f>X1285</f>
        <v>0</v>
      </c>
      <c r="AT1285" s="562"/>
      <c r="AU1285" s="562"/>
      <c r="AV1285" s="562"/>
      <c r="AW1285" s="562"/>
      <c r="AX1285" s="562"/>
      <c r="AY1285" s="562"/>
      <c r="AZ1285" s="562"/>
      <c r="BA1285" s="562"/>
      <c r="BB1285" s="562"/>
      <c r="BC1285" s="562"/>
      <c r="BD1285" s="562"/>
      <c r="BE1285" s="562"/>
      <c r="BF1285" s="562"/>
      <c r="BG1285" s="562"/>
      <c r="BH1285" s="562"/>
    </row>
    <row r="1286" spans="1:60" x14ac:dyDescent="0.2">
      <c r="A1286" s="541">
        <v>10</v>
      </c>
      <c r="B1286" s="551">
        <v>1002.2</v>
      </c>
      <c r="C1286" s="544"/>
      <c r="D1286" s="544"/>
      <c r="E1286" s="544" t="s">
        <v>2181</v>
      </c>
      <c r="F1286" s="544"/>
      <c r="G1286" s="543" t="str">
        <f t="shared" si="400"/>
        <v/>
      </c>
      <c r="H1286" s="541" t="s">
        <v>3758</v>
      </c>
      <c r="I1286" s="3"/>
      <c r="J1286" s="159"/>
      <c r="K1286" s="165"/>
      <c r="L1286" s="792"/>
      <c r="M1286" s="854" t="str">
        <f>IF(R1286,"Mandatory","N/A")</f>
        <v>N/A</v>
      </c>
      <c r="N1286" s="3"/>
      <c r="O1286" s="609"/>
      <c r="P1286" s="562"/>
      <c r="Q1286" s="562"/>
      <c r="R1286" s="562"/>
      <c r="S1286" s="562"/>
      <c r="T1286" s="562"/>
      <c r="U1286" s="562"/>
      <c r="V1286" s="562"/>
      <c r="W1286" s="562"/>
      <c r="X1286" s="787"/>
      <c r="Y1286" s="980"/>
      <c r="Z1286" s="983"/>
      <c r="AA1286" s="562"/>
      <c r="AB1286" s="562"/>
      <c r="AC1286" s="562"/>
      <c r="AD1286" s="562"/>
      <c r="AE1286" s="562"/>
      <c r="AF1286" s="562"/>
      <c r="AG1286" s="562"/>
      <c r="AH1286" s="562"/>
      <c r="AI1286" s="562"/>
      <c r="AJ1286" s="562"/>
      <c r="AK1286" s="562"/>
      <c r="AL1286" s="562"/>
      <c r="AM1286" s="562"/>
      <c r="AN1286" s="562"/>
      <c r="AO1286" s="562"/>
      <c r="AP1286" s="562"/>
      <c r="AQ1286" s="562"/>
      <c r="AR1286" s="562"/>
      <c r="AS1286" s="562"/>
      <c r="AT1286" s="562"/>
      <c r="AU1286" s="562"/>
      <c r="AV1286" s="562"/>
      <c r="AW1286" s="562"/>
      <c r="AX1286" s="562"/>
      <c r="AY1286" s="562"/>
      <c r="AZ1286" s="562"/>
      <c r="BA1286" s="562"/>
      <c r="BB1286" s="562"/>
      <c r="BC1286" s="562"/>
      <c r="BD1286" s="562"/>
      <c r="BE1286" s="562"/>
      <c r="BF1286" s="562"/>
      <c r="BG1286" s="562"/>
      <c r="BH1286" s="562"/>
    </row>
    <row r="1287" spans="1:60" x14ac:dyDescent="0.2">
      <c r="A1287" s="541">
        <v>10</v>
      </c>
      <c r="B1287" s="551">
        <v>1002.2</v>
      </c>
      <c r="C1287" s="544"/>
      <c r="D1287" s="544"/>
      <c r="E1287" s="544" t="s">
        <v>2183</v>
      </c>
      <c r="F1287" s="544"/>
      <c r="G1287" s="543" t="str">
        <f t="shared" si="400"/>
        <v/>
      </c>
      <c r="H1287" s="541" t="s">
        <v>3758</v>
      </c>
      <c r="I1287" s="3"/>
      <c r="J1287" s="164" t="s">
        <v>2183</v>
      </c>
      <c r="K1287" s="146"/>
      <c r="L1287" s="831" t="s">
        <v>3301</v>
      </c>
      <c r="M1287" s="867" t="str">
        <f>IF(R1287,"Mandatory","N/A")</f>
        <v>N/A</v>
      </c>
      <c r="N1287" s="3"/>
      <c r="O1287" s="609"/>
      <c r="P1287" s="562" t="b">
        <v>0</v>
      </c>
      <c r="Q1287" s="562" t="b">
        <v>1</v>
      </c>
      <c r="R1287" s="562" t="b">
        <f>S1287</f>
        <v>0</v>
      </c>
      <c r="S1287" s="562" t="b">
        <f>IF(AY1202=INDEX(ddSingleOrMulti,2),TRUE,FALSE)</f>
        <v>0</v>
      </c>
      <c r="T1287" s="64" t="b">
        <f>AND(NOT(S1287),W1287=TRUE)</f>
        <v>0</v>
      </c>
      <c r="U1287" s="562"/>
      <c r="V1287" s="562"/>
      <c r="W1287" s="18"/>
      <c r="X1287" s="787"/>
      <c r="Y1287" s="980" t="str">
        <f>IF(LEN('Ch10'!X104)=0,"None",'Ch10'!X104)</f>
        <v>None</v>
      </c>
      <c r="Z1287" s="983"/>
      <c r="AA1287" s="562"/>
      <c r="AB1287" s="562"/>
      <c r="AC1287" s="562" t="b">
        <f>OR(AD1287:AE1287)</f>
        <v>0</v>
      </c>
      <c r="AD1287" s="562" t="b">
        <f>T1287</f>
        <v>0</v>
      </c>
      <c r="AE1287" s="562" t="b">
        <f>AND(R1287,NOT(W1287=TRUE))</f>
        <v>0</v>
      </c>
      <c r="AF1287" s="562" t="b">
        <f>AND(AE1287,NOT(Q1287))</f>
        <v>0</v>
      </c>
      <c r="AG1287" s="562"/>
      <c r="AH1287" s="562"/>
      <c r="AI1287" s="562"/>
      <c r="AJ1287" s="562"/>
      <c r="AK1287" s="562"/>
      <c r="AL1287" s="190" t="str">
        <f t="shared" ref="AL1287" si="402">SUBSTITUTE(SUBSTITUTE(SUBSTITUTE("vpa"&amp;$B1287&amp;$C1287&amp;$D1287&amp;$E1287&amp;$F1287,".","_"),"(","_"),")","")</f>
        <v>vpa1002,2_2</v>
      </c>
      <c r="AM1287" s="190" t="str">
        <f>M1287</f>
        <v>N/A</v>
      </c>
      <c r="AN1287" s="562"/>
      <c r="AO1287" s="562"/>
      <c r="AP1287" s="190" t="str">
        <f>SUBSTITUTE(SUBSTITUTE(SUBSTITUTE("vch"&amp;$B1287&amp;$C1287&amp;$D1287&amp;$E1287&amp;$F1287,".","_"),"(","_"),")","")</f>
        <v>vch1002,2_2</v>
      </c>
      <c r="AQ1287" s="190">
        <f>W1287</f>
        <v>0</v>
      </c>
      <c r="AR1287" s="190" t="str">
        <f>SUBSTITUTE(SUBSTITUTE(SUBSTITUTE("vnt"&amp;$B1287&amp;$C1287&amp;$D1287&amp;$E1287&amp;$F1287,".","_"),"(","_"),")","")</f>
        <v>vnt1002,2_2</v>
      </c>
      <c r="AS1287" s="190">
        <f>X1287</f>
        <v>0</v>
      </c>
      <c r="AT1287" s="562"/>
      <c r="AU1287" s="562"/>
      <c r="AV1287" s="562"/>
      <c r="AW1287" s="562"/>
      <c r="AX1287" s="562"/>
      <c r="AY1287" s="562"/>
      <c r="AZ1287" s="562"/>
      <c r="BA1287" s="562"/>
      <c r="BB1287" s="562"/>
      <c r="BC1287" s="562"/>
      <c r="BD1287" s="562"/>
      <c r="BE1287" s="562"/>
      <c r="BF1287" s="562"/>
      <c r="BG1287" s="562"/>
      <c r="BH1287" s="562"/>
    </row>
    <row r="1288" spans="1:60" x14ac:dyDescent="0.2">
      <c r="A1288" s="541">
        <v>10</v>
      </c>
      <c r="B1288" s="551">
        <v>1002.2</v>
      </c>
      <c r="C1288" s="544"/>
      <c r="D1288" s="544"/>
      <c r="E1288" s="544" t="s">
        <v>2183</v>
      </c>
      <c r="F1288" s="544"/>
      <c r="G1288" s="543" t="str">
        <f t="shared" si="400"/>
        <v/>
      </c>
      <c r="H1288" s="541" t="s">
        <v>3758</v>
      </c>
      <c r="I1288" s="3"/>
      <c r="J1288" s="134"/>
      <c r="K1288" s="98"/>
      <c r="L1288" s="791"/>
      <c r="M1288" s="838" t="str">
        <f>IF(R1288,"Mandatory","N/A")</f>
        <v>N/A</v>
      </c>
      <c r="N1288" s="3"/>
      <c r="O1288" s="609"/>
      <c r="P1288" s="562"/>
      <c r="Q1288" s="562"/>
      <c r="R1288" s="562"/>
      <c r="S1288" s="562"/>
      <c r="T1288" s="562"/>
      <c r="U1288" s="562"/>
      <c r="V1288" s="562"/>
      <c r="W1288" s="562"/>
      <c r="X1288" s="787"/>
      <c r="Y1288" s="980"/>
      <c r="Z1288" s="983"/>
      <c r="AA1288" s="562"/>
      <c r="AB1288" s="562"/>
      <c r="AC1288" s="562"/>
      <c r="AD1288" s="562"/>
      <c r="AE1288" s="562"/>
      <c r="AF1288" s="562"/>
      <c r="AG1288" s="562"/>
      <c r="AH1288" s="562"/>
      <c r="AI1288" s="562"/>
      <c r="AJ1288" s="562"/>
      <c r="AK1288" s="562"/>
      <c r="AL1288" s="562"/>
      <c r="AM1288" s="562"/>
      <c r="AN1288" s="562"/>
      <c r="AO1288" s="562"/>
      <c r="AP1288" s="562"/>
      <c r="AQ1288" s="562"/>
      <c r="AR1288" s="562"/>
      <c r="AS1288" s="562"/>
      <c r="AT1288" s="562"/>
      <c r="AU1288" s="562"/>
      <c r="AV1288" s="562"/>
      <c r="AW1288" s="562"/>
      <c r="AX1288" s="562"/>
      <c r="AY1288" s="562"/>
      <c r="AZ1288" s="562"/>
      <c r="BA1288" s="562"/>
      <c r="BB1288" s="562"/>
      <c r="BC1288" s="562"/>
      <c r="BD1288" s="562"/>
      <c r="BE1288" s="562"/>
      <c r="BF1288" s="562"/>
      <c r="BG1288" s="562"/>
      <c r="BH1288" s="562"/>
    </row>
    <row r="1289" spans="1:60" x14ac:dyDescent="0.2">
      <c r="A1289" s="541">
        <v>10</v>
      </c>
      <c r="B1289" s="551">
        <v>1002.2</v>
      </c>
      <c r="C1289" s="544"/>
      <c r="D1289" s="544"/>
      <c r="E1289" s="544" t="s">
        <v>2183</v>
      </c>
      <c r="F1289" s="544"/>
      <c r="G1289" s="543" t="str">
        <f t="shared" si="400"/>
        <v/>
      </c>
      <c r="H1289" s="541" t="s">
        <v>3758</v>
      </c>
      <c r="I1289" s="3"/>
      <c r="J1289" s="159"/>
      <c r="K1289" s="165"/>
      <c r="L1289" s="792"/>
      <c r="M1289" s="854" t="str">
        <f>IF(R1289,"Mandatory","N/A")</f>
        <v>N/A</v>
      </c>
      <c r="N1289" s="3"/>
      <c r="O1289" s="609"/>
      <c r="P1289" s="562"/>
      <c r="Q1289" s="562"/>
      <c r="R1289" s="562"/>
      <c r="S1289" s="562"/>
      <c r="T1289" s="562"/>
      <c r="U1289" s="562"/>
      <c r="V1289" s="562"/>
      <c r="W1289" s="562"/>
      <c r="X1289" s="787"/>
      <c r="Y1289" s="980"/>
      <c r="Z1289" s="983"/>
      <c r="AA1289" s="562"/>
      <c r="AB1289" s="562"/>
      <c r="AC1289" s="562"/>
      <c r="AD1289" s="562"/>
      <c r="AE1289" s="562"/>
      <c r="AF1289" s="562"/>
      <c r="AG1289" s="562"/>
      <c r="AH1289" s="562"/>
      <c r="AI1289" s="562"/>
      <c r="AJ1289" s="562"/>
      <c r="AK1289" s="562"/>
      <c r="AL1289" s="562"/>
      <c r="AM1289" s="562"/>
      <c r="AN1289" s="562"/>
      <c r="AO1289" s="562"/>
      <c r="AP1289" s="562"/>
      <c r="AQ1289" s="562"/>
      <c r="AR1289" s="562"/>
      <c r="AS1289" s="562"/>
      <c r="AT1289" s="562"/>
      <c r="AU1289" s="562"/>
      <c r="AV1289" s="562"/>
      <c r="AW1289" s="562"/>
      <c r="AX1289" s="562"/>
      <c r="AY1289" s="562"/>
      <c r="AZ1289" s="562"/>
      <c r="BA1289" s="562"/>
      <c r="BB1289" s="562"/>
      <c r="BC1289" s="562"/>
      <c r="BD1289" s="562"/>
      <c r="BE1289" s="562"/>
      <c r="BF1289" s="562"/>
      <c r="BG1289" s="562"/>
      <c r="BH1289" s="562"/>
    </row>
    <row r="1290" spans="1:60" x14ac:dyDescent="0.2">
      <c r="A1290" s="541">
        <v>10</v>
      </c>
      <c r="B1290" s="551">
        <v>1002.2</v>
      </c>
      <c r="C1290" s="544"/>
      <c r="D1290" s="544"/>
      <c r="E1290" s="544" t="s">
        <v>2185</v>
      </c>
      <c r="F1290" s="544"/>
      <c r="G1290" s="543" t="str">
        <f t="shared" si="400"/>
        <v/>
      </c>
      <c r="H1290" s="541" t="s">
        <v>3758</v>
      </c>
      <c r="I1290" s="3"/>
      <c r="J1290" s="164" t="s">
        <v>2185</v>
      </c>
      <c r="K1290" s="146"/>
      <c r="L1290" s="831" t="s">
        <v>3260</v>
      </c>
      <c r="M1290" s="609"/>
      <c r="N1290" s="3"/>
      <c r="O1290" s="609"/>
      <c r="P1290" s="562" t="b">
        <v>0</v>
      </c>
      <c r="Q1290" s="562" t="b">
        <v>1</v>
      </c>
      <c r="R1290" s="562" t="b">
        <v>0</v>
      </c>
      <c r="S1290" s="562" t="b">
        <f>IF(AY1202=INDEX(ddSingleOrMulti,2),TRUE,FALSE)</f>
        <v>0</v>
      </c>
      <c r="T1290" s="64" t="b">
        <f>AND(NOT(S1290),W1290=TRUE)</f>
        <v>0</v>
      </c>
      <c r="U1290" s="562"/>
      <c r="V1290" s="562"/>
      <c r="W1290" s="18"/>
      <c r="X1290" s="787"/>
      <c r="Y1290" s="980" t="str">
        <f>IF(LEN('Ch10'!X107)=0,"None",'Ch10'!X107)</f>
        <v>None</v>
      </c>
      <c r="Z1290" s="983"/>
      <c r="AA1290" s="562"/>
      <c r="AB1290" s="562"/>
      <c r="AC1290" s="562" t="b">
        <f>OR(AD1290:AE1290)</f>
        <v>0</v>
      </c>
      <c r="AD1290" s="562" t="b">
        <f>T1290</f>
        <v>0</v>
      </c>
      <c r="AE1290" s="562"/>
      <c r="AF1290" s="562"/>
      <c r="AG1290" s="562"/>
      <c r="AH1290" s="562"/>
      <c r="AI1290" s="562"/>
      <c r="AJ1290" s="562"/>
      <c r="AK1290" s="562"/>
      <c r="AL1290" s="562"/>
      <c r="AM1290" s="562"/>
      <c r="AN1290" s="562"/>
      <c r="AO1290" s="562"/>
      <c r="AP1290" s="190" t="str">
        <f>SUBSTITUTE(SUBSTITUTE(SUBSTITUTE("vch"&amp;$B1290&amp;$C1290&amp;$D1290&amp;$E1290&amp;$F1290,".","_"),"(","_"),")","")</f>
        <v>vch1002,2_3</v>
      </c>
      <c r="AQ1290" s="190">
        <f>W1290</f>
        <v>0</v>
      </c>
      <c r="AR1290" s="190" t="str">
        <f>SUBSTITUTE(SUBSTITUTE(SUBSTITUTE("vnt"&amp;$B1290&amp;$C1290&amp;$D1290&amp;$E1290&amp;$F1290,".","_"),"(","_"),")","")</f>
        <v>vnt1002,2_3</v>
      </c>
      <c r="AS1290" s="190">
        <f>X1290</f>
        <v>0</v>
      </c>
      <c r="AT1290" s="562"/>
      <c r="AU1290" s="562"/>
      <c r="AV1290" s="562"/>
      <c r="AW1290" s="562"/>
      <c r="AX1290" s="562"/>
      <c r="AY1290" s="562"/>
      <c r="AZ1290" s="562"/>
      <c r="BA1290" s="562"/>
      <c r="BB1290" s="562"/>
      <c r="BC1290" s="562"/>
      <c r="BD1290" s="562"/>
      <c r="BE1290" s="562"/>
      <c r="BF1290" s="562"/>
      <c r="BG1290" s="562"/>
      <c r="BH1290" s="562"/>
    </row>
    <row r="1291" spans="1:60" x14ac:dyDescent="0.2">
      <c r="A1291" s="541">
        <v>10</v>
      </c>
      <c r="B1291" s="551">
        <v>1002.2</v>
      </c>
      <c r="C1291" s="544"/>
      <c r="D1291" s="544"/>
      <c r="E1291" s="544" t="s">
        <v>2185</v>
      </c>
      <c r="F1291" s="544"/>
      <c r="G1291" s="543" t="str">
        <f t="shared" si="400"/>
        <v/>
      </c>
      <c r="H1291" s="541" t="s">
        <v>3758</v>
      </c>
      <c r="I1291" s="3"/>
      <c r="J1291" s="165"/>
      <c r="K1291" s="165"/>
      <c r="L1291" s="792"/>
      <c r="M1291" s="609"/>
      <c r="N1291" s="3"/>
      <c r="O1291" s="609"/>
      <c r="P1291" s="562"/>
      <c r="Q1291" s="562"/>
      <c r="R1291" s="562"/>
      <c r="S1291" s="562"/>
      <c r="T1291" s="562"/>
      <c r="U1291" s="562"/>
      <c r="V1291" s="562"/>
      <c r="W1291" s="562"/>
      <c r="X1291" s="787"/>
      <c r="Y1291" s="980"/>
      <c r="Z1291" s="983"/>
      <c r="AA1291" s="562"/>
      <c r="AB1291" s="562"/>
      <c r="AC1291" s="562"/>
      <c r="AD1291" s="562"/>
      <c r="AE1291" s="562"/>
      <c r="AF1291" s="562"/>
      <c r="AG1291" s="562"/>
      <c r="AH1291" s="562"/>
      <c r="AI1291" s="562"/>
      <c r="AJ1291" s="562"/>
      <c r="AK1291" s="562"/>
      <c r="AL1291" s="562"/>
      <c r="AM1291" s="562"/>
      <c r="AN1291" s="562"/>
      <c r="AO1291" s="562"/>
      <c r="AP1291" s="562"/>
      <c r="AQ1291" s="562"/>
      <c r="AR1291" s="562"/>
      <c r="AS1291" s="562"/>
      <c r="AT1291" s="562"/>
      <c r="AU1291" s="562"/>
      <c r="AV1291" s="562"/>
      <c r="AW1291" s="562"/>
      <c r="AX1291" s="562"/>
      <c r="AY1291" s="562"/>
      <c r="AZ1291" s="562"/>
      <c r="BA1291" s="562"/>
      <c r="BB1291" s="562"/>
      <c r="BC1291" s="562"/>
      <c r="BD1291" s="562"/>
      <c r="BE1291" s="562"/>
      <c r="BF1291" s="562"/>
      <c r="BG1291" s="562"/>
      <c r="BH1291" s="562"/>
    </row>
    <row r="1292" spans="1:60" x14ac:dyDescent="0.2">
      <c r="A1292" s="541">
        <v>10</v>
      </c>
      <c r="B1292" s="551">
        <v>1002.2</v>
      </c>
      <c r="C1292" s="544"/>
      <c r="D1292" s="544"/>
      <c r="E1292" s="544" t="s">
        <v>2192</v>
      </c>
      <c r="F1292" s="544"/>
      <c r="G1292" s="543" t="str">
        <f t="shared" si="400"/>
        <v/>
      </c>
      <c r="H1292" s="541" t="s">
        <v>3758</v>
      </c>
      <c r="I1292" s="3"/>
      <c r="J1292" s="20" t="s">
        <v>2192</v>
      </c>
      <c r="K1292" s="3"/>
      <c r="L1292" s="817" t="s">
        <v>3302</v>
      </c>
      <c r="M1292" s="609"/>
      <c r="N1292" s="3"/>
      <c r="O1292" s="609"/>
      <c r="P1292" s="562" t="b">
        <v>0</v>
      </c>
      <c r="Q1292" s="562" t="b">
        <v>1</v>
      </c>
      <c r="R1292" s="562" t="b">
        <v>0</v>
      </c>
      <c r="S1292" s="562" t="b">
        <f>IF(AY1202=INDEX(ddSingleOrMulti,2),TRUE,FALSE)</f>
        <v>0</v>
      </c>
      <c r="T1292" s="64" t="b">
        <f>AND(NOT(S1292),W1292=TRUE)</f>
        <v>0</v>
      </c>
      <c r="U1292" s="562"/>
      <c r="V1292" s="562"/>
      <c r="W1292" s="18"/>
      <c r="X1292" s="787"/>
      <c r="Y1292" s="980" t="str">
        <f>IF(LEN('Ch10'!X109)=0,"None",'Ch10'!X109)</f>
        <v>None</v>
      </c>
      <c r="Z1292" s="983"/>
      <c r="AA1292" s="562"/>
      <c r="AB1292" s="562"/>
      <c r="AC1292" s="562" t="b">
        <f>OR(AD1292:AE1292)</f>
        <v>0</v>
      </c>
      <c r="AD1292" s="562" t="b">
        <f>T1292</f>
        <v>0</v>
      </c>
      <c r="AE1292" s="562"/>
      <c r="AF1292" s="562"/>
      <c r="AG1292" s="562"/>
      <c r="AH1292" s="562"/>
      <c r="AI1292" s="562"/>
      <c r="AJ1292" s="562"/>
      <c r="AK1292" s="562"/>
      <c r="AL1292" s="562"/>
      <c r="AM1292" s="562"/>
      <c r="AN1292" s="562"/>
      <c r="AO1292" s="562"/>
      <c r="AP1292" s="190" t="str">
        <f>SUBSTITUTE(SUBSTITUTE(SUBSTITUTE("vch"&amp;$B1292&amp;$C1292&amp;$D1292&amp;$E1292&amp;$F1292,".","_"),"(","_"),")","")</f>
        <v>vch1002,2_4</v>
      </c>
      <c r="AQ1292" s="190">
        <f>W1292</f>
        <v>0</v>
      </c>
      <c r="AR1292" s="190" t="str">
        <f>SUBSTITUTE(SUBSTITUTE(SUBSTITUTE("vnt"&amp;$B1292&amp;$C1292&amp;$D1292&amp;$E1292&amp;$F1292,".","_"),"(","_"),")","")</f>
        <v>vnt1002,2_4</v>
      </c>
      <c r="AS1292" s="190">
        <f>X1292</f>
        <v>0</v>
      </c>
      <c r="AT1292" s="562"/>
      <c r="AU1292" s="562"/>
      <c r="AV1292" s="562"/>
      <c r="AW1292" s="562"/>
      <c r="AX1292" s="562"/>
      <c r="AY1292" s="562"/>
      <c r="AZ1292" s="562"/>
      <c r="BA1292" s="562"/>
      <c r="BB1292" s="562"/>
      <c r="BC1292" s="562"/>
      <c r="BD1292" s="562"/>
      <c r="BE1292" s="562"/>
      <c r="BF1292" s="562"/>
      <c r="BG1292" s="562"/>
      <c r="BH1292" s="562"/>
    </row>
    <row r="1293" spans="1:60" x14ac:dyDescent="0.2">
      <c r="A1293" s="541">
        <v>10</v>
      </c>
      <c r="B1293" s="551">
        <v>1002.2</v>
      </c>
      <c r="C1293" s="544"/>
      <c r="D1293" s="544"/>
      <c r="E1293" s="544" t="s">
        <v>2192</v>
      </c>
      <c r="F1293" s="544"/>
      <c r="G1293" s="543" t="str">
        <f t="shared" si="400"/>
        <v/>
      </c>
      <c r="H1293" s="541" t="s">
        <v>3758</v>
      </c>
      <c r="I1293" s="3"/>
      <c r="J1293" s="3"/>
      <c r="K1293" s="3"/>
      <c r="L1293" s="817"/>
      <c r="M1293" s="609"/>
      <c r="N1293" s="3"/>
      <c r="O1293" s="609"/>
      <c r="P1293" s="562"/>
      <c r="Q1293" s="562"/>
      <c r="R1293" s="562"/>
      <c r="S1293" s="562"/>
      <c r="T1293" s="562"/>
      <c r="U1293" s="562"/>
      <c r="V1293" s="562"/>
      <c r="W1293" s="562"/>
      <c r="X1293" s="787"/>
      <c r="Y1293" s="980"/>
      <c r="Z1293" s="983"/>
      <c r="AA1293" s="562"/>
      <c r="AB1293" s="562"/>
      <c r="AC1293" s="562"/>
      <c r="AD1293" s="562"/>
      <c r="AE1293" s="562"/>
      <c r="AF1293" s="562"/>
      <c r="AG1293" s="562"/>
      <c r="AH1293" s="562"/>
      <c r="AI1293" s="562"/>
      <c r="AJ1293" s="562"/>
      <c r="AK1293" s="562"/>
      <c r="AL1293" s="562"/>
      <c r="AM1293" s="562"/>
      <c r="AN1293" s="562"/>
      <c r="AO1293" s="562"/>
      <c r="AP1293" s="562"/>
      <c r="AQ1293" s="562"/>
      <c r="AR1293" s="562"/>
      <c r="AS1293" s="562"/>
      <c r="AT1293" s="562"/>
      <c r="AU1293" s="562"/>
      <c r="AV1293" s="562"/>
      <c r="AW1293" s="562"/>
      <c r="AX1293" s="562"/>
      <c r="AY1293" s="562"/>
      <c r="AZ1293" s="562"/>
      <c r="BA1293" s="562"/>
      <c r="BB1293" s="562"/>
      <c r="BC1293" s="562"/>
      <c r="BD1293" s="562"/>
      <c r="BE1293" s="562"/>
      <c r="BF1293" s="562"/>
      <c r="BG1293" s="562"/>
      <c r="BH1293" s="562"/>
    </row>
    <row r="1294" spans="1:60" x14ac:dyDescent="0.2">
      <c r="A1294" s="541">
        <v>10</v>
      </c>
      <c r="B1294" s="551">
        <v>1002.2</v>
      </c>
      <c r="C1294" s="544"/>
      <c r="D1294" s="544"/>
      <c r="E1294" s="544" t="s">
        <v>2192</v>
      </c>
      <c r="F1294" s="544"/>
      <c r="G1294" s="543" t="str">
        <f t="shared" si="400"/>
        <v/>
      </c>
      <c r="H1294" s="541" t="s">
        <v>3758</v>
      </c>
      <c r="I1294" s="3"/>
      <c r="J1294" s="3"/>
      <c r="K1294" s="3"/>
      <c r="L1294" s="817"/>
      <c r="M1294" s="609"/>
      <c r="N1294" s="3"/>
      <c r="O1294" s="609"/>
      <c r="P1294" s="562"/>
      <c r="Q1294" s="562"/>
      <c r="R1294" s="562"/>
      <c r="S1294" s="562"/>
      <c r="T1294" s="562"/>
      <c r="U1294" s="562"/>
      <c r="V1294" s="562"/>
      <c r="W1294" s="562"/>
      <c r="X1294" s="787"/>
      <c r="Y1294" s="980"/>
      <c r="Z1294" s="983"/>
      <c r="AA1294" s="562"/>
      <c r="AB1294" s="562"/>
      <c r="AC1294" s="562"/>
      <c r="AD1294" s="562"/>
      <c r="AE1294" s="562"/>
      <c r="AF1294" s="562"/>
      <c r="AG1294" s="562"/>
      <c r="AH1294" s="562"/>
      <c r="AI1294" s="562"/>
      <c r="AJ1294" s="562"/>
      <c r="AK1294" s="562"/>
      <c r="AL1294" s="562"/>
      <c r="AM1294" s="562"/>
      <c r="AN1294" s="562"/>
      <c r="AO1294" s="562"/>
      <c r="AP1294" s="562"/>
      <c r="AQ1294" s="562"/>
      <c r="AR1294" s="562"/>
      <c r="AS1294" s="562"/>
      <c r="AT1294" s="562"/>
      <c r="AU1294" s="562"/>
      <c r="AV1294" s="562"/>
      <c r="AW1294" s="562"/>
      <c r="AX1294" s="562"/>
      <c r="AY1294" s="562"/>
      <c r="AZ1294" s="562"/>
      <c r="BA1294" s="562"/>
      <c r="BB1294" s="562"/>
      <c r="BC1294" s="562"/>
      <c r="BD1294" s="562"/>
      <c r="BE1294" s="562"/>
      <c r="BF1294" s="562"/>
      <c r="BG1294" s="562"/>
      <c r="BH1294" s="562"/>
    </row>
    <row r="1295" spans="1:60" x14ac:dyDescent="0.2">
      <c r="A1295" s="541">
        <v>10</v>
      </c>
      <c r="B1295" s="551">
        <v>1002.2</v>
      </c>
      <c r="C1295" s="544"/>
      <c r="D1295" s="544"/>
      <c r="E1295" s="544" t="s">
        <v>2194</v>
      </c>
      <c r="F1295" s="544"/>
      <c r="G1295" s="543" t="str">
        <f t="shared" si="400"/>
        <v/>
      </c>
      <c r="H1295" s="541" t="s">
        <v>3758</v>
      </c>
      <c r="I1295" s="3"/>
      <c r="J1295" s="164" t="s">
        <v>2194</v>
      </c>
      <c r="K1295" s="146"/>
      <c r="L1295" s="831" t="s">
        <v>3303</v>
      </c>
      <c r="M1295" s="609"/>
      <c r="N1295" s="3"/>
      <c r="O1295" s="609"/>
      <c r="P1295" s="562" t="b">
        <v>0</v>
      </c>
      <c r="Q1295" s="562" t="b">
        <v>1</v>
      </c>
      <c r="R1295" s="562" t="b">
        <v>0</v>
      </c>
      <c r="S1295" s="562" t="b">
        <f>IF(AY1202=INDEX(ddSingleOrMulti,2),TRUE,FALSE)</f>
        <v>0</v>
      </c>
      <c r="T1295" s="64" t="b">
        <f>AND(NOT(S1295),W1295=TRUE)</f>
        <v>0</v>
      </c>
      <c r="U1295" s="562"/>
      <c r="V1295" s="562"/>
      <c r="W1295" s="18"/>
      <c r="X1295" s="787"/>
      <c r="Y1295" s="980" t="str">
        <f>IF(LEN('Ch10'!X112)=0,"None",'Ch10'!X112)</f>
        <v>None</v>
      </c>
      <c r="Z1295" s="983"/>
      <c r="AA1295" s="562"/>
      <c r="AB1295" s="562"/>
      <c r="AC1295" s="562" t="b">
        <f>OR(AD1295:AE1295)</f>
        <v>0</v>
      </c>
      <c r="AD1295" s="562" t="b">
        <f>T1295</f>
        <v>0</v>
      </c>
      <c r="AE1295" s="562"/>
      <c r="AF1295" s="562"/>
      <c r="AG1295" s="562"/>
      <c r="AH1295" s="562"/>
      <c r="AI1295" s="562"/>
      <c r="AJ1295" s="562"/>
      <c r="AK1295" s="562"/>
      <c r="AL1295" s="562"/>
      <c r="AM1295" s="562"/>
      <c r="AN1295" s="562"/>
      <c r="AO1295" s="562"/>
      <c r="AP1295" s="190" t="str">
        <f>SUBSTITUTE(SUBSTITUTE(SUBSTITUTE("vch"&amp;$B1295&amp;$C1295&amp;$D1295&amp;$E1295&amp;$F1295,".","_"),"(","_"),")","")</f>
        <v>vch1002,2_5</v>
      </c>
      <c r="AQ1295" s="190">
        <f>W1295</f>
        <v>0</v>
      </c>
      <c r="AR1295" s="190" t="str">
        <f>SUBSTITUTE(SUBSTITUTE(SUBSTITUTE("vnt"&amp;$B1295&amp;$C1295&amp;$D1295&amp;$E1295&amp;$F1295,".","_"),"(","_"),")","")</f>
        <v>vnt1002,2_5</v>
      </c>
      <c r="AS1295" s="190">
        <f>X1295</f>
        <v>0</v>
      </c>
      <c r="AT1295" s="562"/>
      <c r="AU1295" s="562"/>
      <c r="AV1295" s="562"/>
      <c r="AW1295" s="562"/>
      <c r="AX1295" s="562"/>
      <c r="AY1295" s="562"/>
      <c r="AZ1295" s="562"/>
      <c r="BA1295" s="562"/>
      <c r="BB1295" s="562"/>
      <c r="BC1295" s="562"/>
      <c r="BD1295" s="562"/>
      <c r="BE1295" s="562"/>
      <c r="BF1295" s="562"/>
      <c r="BG1295" s="562"/>
      <c r="BH1295" s="562"/>
    </row>
    <row r="1296" spans="1:60" x14ac:dyDescent="0.2">
      <c r="A1296" s="541">
        <v>10</v>
      </c>
      <c r="B1296" s="551">
        <v>1002.2</v>
      </c>
      <c r="C1296" s="544"/>
      <c r="D1296" s="544"/>
      <c r="E1296" s="544" t="s">
        <v>2194</v>
      </c>
      <c r="F1296" s="544"/>
      <c r="G1296" s="543" t="str">
        <f t="shared" si="400"/>
        <v/>
      </c>
      <c r="H1296" s="541" t="s">
        <v>3758</v>
      </c>
      <c r="I1296" s="3"/>
      <c r="J1296" s="159"/>
      <c r="K1296" s="165"/>
      <c r="L1296" s="792"/>
      <c r="M1296" s="609"/>
      <c r="N1296" s="3"/>
      <c r="O1296" s="609"/>
      <c r="P1296" s="562"/>
      <c r="Q1296" s="562"/>
      <c r="R1296" s="562"/>
      <c r="S1296" s="562"/>
      <c r="T1296" s="562"/>
      <c r="U1296" s="562"/>
      <c r="V1296" s="562"/>
      <c r="W1296" s="562"/>
      <c r="X1296" s="787"/>
      <c r="Y1296" s="980"/>
      <c r="Z1296" s="983"/>
      <c r="AA1296" s="562"/>
      <c r="AB1296" s="562"/>
      <c r="AC1296" s="562"/>
      <c r="AD1296" s="562"/>
      <c r="AE1296" s="562"/>
      <c r="AF1296" s="562"/>
      <c r="AG1296" s="562"/>
      <c r="AH1296" s="562"/>
      <c r="AI1296" s="562"/>
      <c r="AJ1296" s="562"/>
      <c r="AK1296" s="562"/>
      <c r="AL1296" s="562"/>
      <c r="AM1296" s="562"/>
      <c r="AN1296" s="562"/>
      <c r="AO1296" s="562"/>
      <c r="AP1296" s="562"/>
      <c r="AQ1296" s="562"/>
      <c r="AR1296" s="562"/>
      <c r="AS1296" s="562"/>
      <c r="AT1296" s="562"/>
      <c r="AU1296" s="562"/>
      <c r="AV1296" s="562"/>
      <c r="AW1296" s="562"/>
      <c r="AX1296" s="562"/>
      <c r="AY1296" s="562"/>
      <c r="AZ1296" s="562"/>
      <c r="BA1296" s="562"/>
      <c r="BB1296" s="562"/>
      <c r="BC1296" s="562"/>
      <c r="BD1296" s="562"/>
      <c r="BE1296" s="562"/>
      <c r="BF1296" s="562"/>
      <c r="BG1296" s="562"/>
      <c r="BH1296" s="562"/>
    </row>
    <row r="1297" spans="1:60" ht="16" x14ac:dyDescent="0.2">
      <c r="A1297" s="541">
        <v>10</v>
      </c>
      <c r="B1297" s="551">
        <v>1002.2</v>
      </c>
      <c r="C1297" s="544"/>
      <c r="D1297" s="544"/>
      <c r="E1297" s="544" t="s">
        <v>2221</v>
      </c>
      <c r="F1297" s="544"/>
      <c r="G1297" s="543" t="str">
        <f t="shared" si="400"/>
        <v/>
      </c>
      <c r="H1297" s="541" t="s">
        <v>3758</v>
      </c>
      <c r="I1297" s="3"/>
      <c r="J1297" s="20" t="s">
        <v>2221</v>
      </c>
      <c r="K1297" s="3"/>
      <c r="L1297" s="632" t="s">
        <v>3243</v>
      </c>
      <c r="M1297" s="609"/>
      <c r="N1297" s="3"/>
      <c r="O1297" s="609"/>
      <c r="P1297" s="562" t="b">
        <v>0</v>
      </c>
      <c r="Q1297" s="562" t="b">
        <v>1</v>
      </c>
      <c r="R1297" s="562" t="b">
        <v>0</v>
      </c>
      <c r="S1297" s="562" t="b">
        <f>IF(AY1202=INDEX(ddSingleOrMulti,2),TRUE,FALSE)</f>
        <v>0</v>
      </c>
      <c r="T1297" s="64" t="b">
        <f>AND(NOT(S1297),W1297=TRUE)</f>
        <v>0</v>
      </c>
      <c r="U1297" s="562"/>
      <c r="V1297" s="562"/>
      <c r="W1297" s="18"/>
      <c r="X1297" s="563"/>
      <c r="Y1297" s="578" t="str">
        <f>IF(LEN('Ch10'!X114)=0,"None",'Ch10'!X114)</f>
        <v>None</v>
      </c>
      <c r="Z1297" s="579"/>
      <c r="AA1297" s="562"/>
      <c r="AB1297" s="562"/>
      <c r="AC1297" s="562" t="b">
        <f>OR(AD1297:AE1297)</f>
        <v>0</v>
      </c>
      <c r="AD1297" s="562" t="b">
        <f>T1297</f>
        <v>0</v>
      </c>
      <c r="AE1297" s="562"/>
      <c r="AF1297" s="562"/>
      <c r="AG1297" s="562"/>
      <c r="AH1297" s="562"/>
      <c r="AI1297" s="562"/>
      <c r="AJ1297" s="562"/>
      <c r="AK1297" s="562"/>
      <c r="AL1297" s="562"/>
      <c r="AM1297" s="562"/>
      <c r="AN1297" s="562"/>
      <c r="AO1297" s="562"/>
      <c r="AP1297" s="190" t="str">
        <f>SUBSTITUTE(SUBSTITUTE(SUBSTITUTE("vch"&amp;$B1297&amp;$C1297&amp;$D1297&amp;$E1297&amp;$F1297,".","_"),"(","_"),")","")</f>
        <v>vch1002,2_6</v>
      </c>
      <c r="AQ1297" s="190">
        <f>W1297</f>
        <v>0</v>
      </c>
      <c r="AR1297" s="190" t="str">
        <f t="shared" ref="AR1297:AR1298" si="403">SUBSTITUTE(SUBSTITUTE(SUBSTITUTE("vnt"&amp;$B1297&amp;$C1297&amp;$D1297&amp;$E1297&amp;$F1297,".","_"),"(","_"),")","")</f>
        <v>vnt1002,2_6</v>
      </c>
      <c r="AS1297" s="190">
        <f>X1297</f>
        <v>0</v>
      </c>
      <c r="AT1297" s="562"/>
      <c r="AU1297" s="562"/>
      <c r="AV1297" s="562"/>
      <c r="AW1297" s="562"/>
      <c r="AX1297" s="562"/>
      <c r="AY1297" s="562"/>
      <c r="AZ1297" s="562"/>
      <c r="BA1297" s="562"/>
      <c r="BB1297" s="562"/>
      <c r="BC1297" s="562"/>
      <c r="BD1297" s="562"/>
      <c r="BE1297" s="562"/>
      <c r="BF1297" s="562"/>
      <c r="BG1297" s="562"/>
      <c r="BH1297" s="562"/>
    </row>
    <row r="1298" spans="1:60" x14ac:dyDescent="0.2">
      <c r="A1298" s="541">
        <v>10</v>
      </c>
      <c r="B1298" s="551">
        <v>1002.2</v>
      </c>
      <c r="C1298" s="544"/>
      <c r="D1298" s="544"/>
      <c r="E1298" s="544" t="s">
        <v>2223</v>
      </c>
      <c r="F1298" s="544"/>
      <c r="G1298" s="543" t="str">
        <f t="shared" si="400"/>
        <v/>
      </c>
      <c r="H1298" s="541" t="s">
        <v>3758</v>
      </c>
      <c r="I1298" s="3"/>
      <c r="J1298" s="164" t="s">
        <v>2223</v>
      </c>
      <c r="K1298" s="146"/>
      <c r="L1298" s="831" t="s">
        <v>3304</v>
      </c>
      <c r="M1298" s="609"/>
      <c r="N1298" s="3"/>
      <c r="O1298" s="609"/>
      <c r="P1298" s="562" t="b">
        <v>0</v>
      </c>
      <c r="Q1298" s="562" t="b">
        <v>1</v>
      </c>
      <c r="R1298" s="562" t="b">
        <v>0</v>
      </c>
      <c r="S1298" s="562" t="b">
        <f>IF(AY1202=INDEX(ddSingleOrMulti,2),TRUE,FALSE)</f>
        <v>0</v>
      </c>
      <c r="T1298" s="64" t="b">
        <f>AND(NOT(S1298),W1298=TRUE)</f>
        <v>0</v>
      </c>
      <c r="U1298" s="562"/>
      <c r="V1298" s="562"/>
      <c r="W1298" s="18"/>
      <c r="X1298" s="787"/>
      <c r="Y1298" s="980" t="str">
        <f>IF(LEN('Ch10'!X115)=0,"None",'Ch10'!X115)</f>
        <v>None</v>
      </c>
      <c r="Z1298" s="983"/>
      <c r="AA1298" s="562"/>
      <c r="AB1298" s="562"/>
      <c r="AC1298" s="562" t="b">
        <f>OR(AD1298:AE1298)</f>
        <v>0</v>
      </c>
      <c r="AD1298" s="562" t="b">
        <f>T1298</f>
        <v>0</v>
      </c>
      <c r="AE1298" s="562"/>
      <c r="AF1298" s="562"/>
      <c r="AG1298" s="562"/>
      <c r="AH1298" s="562"/>
      <c r="AI1298" s="562"/>
      <c r="AJ1298" s="562"/>
      <c r="AK1298" s="562"/>
      <c r="AL1298" s="562"/>
      <c r="AM1298" s="562"/>
      <c r="AN1298" s="562"/>
      <c r="AO1298" s="562"/>
      <c r="AP1298" s="190" t="str">
        <f>SUBSTITUTE(SUBSTITUTE(SUBSTITUTE("vch"&amp;$B1298&amp;$C1298&amp;$D1298&amp;$E1298&amp;$F1298,".","_"),"(","_"),")","")</f>
        <v>vch1002,2_7</v>
      </c>
      <c r="AQ1298" s="190">
        <f>W1298</f>
        <v>0</v>
      </c>
      <c r="AR1298" s="190" t="str">
        <f t="shared" si="403"/>
        <v>vnt1002,2_7</v>
      </c>
      <c r="AS1298" s="190">
        <f>X1298</f>
        <v>0</v>
      </c>
      <c r="AT1298" s="562"/>
      <c r="AU1298" s="562"/>
      <c r="AV1298" s="562"/>
      <c r="AW1298" s="562"/>
      <c r="AX1298" s="562"/>
      <c r="AY1298" s="562"/>
      <c r="AZ1298" s="562"/>
      <c r="BA1298" s="562"/>
      <c r="BB1298" s="562"/>
      <c r="BC1298" s="562"/>
      <c r="BD1298" s="562"/>
      <c r="BE1298" s="562"/>
      <c r="BF1298" s="562"/>
      <c r="BG1298" s="562"/>
      <c r="BH1298" s="562"/>
    </row>
    <row r="1299" spans="1:60" x14ac:dyDescent="0.2">
      <c r="A1299" s="541">
        <v>10</v>
      </c>
      <c r="B1299" s="551">
        <v>1002.2</v>
      </c>
      <c r="C1299" s="544"/>
      <c r="D1299" s="544"/>
      <c r="E1299" s="544" t="s">
        <v>2223</v>
      </c>
      <c r="F1299" s="544"/>
      <c r="G1299" s="543" t="str">
        <f t="shared" si="400"/>
        <v/>
      </c>
      <c r="H1299" s="541" t="s">
        <v>3758</v>
      </c>
      <c r="I1299" s="3"/>
      <c r="J1299" s="165"/>
      <c r="K1299" s="165"/>
      <c r="L1299" s="792"/>
      <c r="M1299" s="609"/>
      <c r="N1299" s="3"/>
      <c r="O1299" s="609"/>
      <c r="P1299" s="562"/>
      <c r="Q1299" s="562"/>
      <c r="R1299" s="562"/>
      <c r="S1299" s="562"/>
      <c r="T1299" s="562"/>
      <c r="U1299" s="562"/>
      <c r="V1299" s="562"/>
      <c r="W1299" s="562"/>
      <c r="X1299" s="787"/>
      <c r="Y1299" s="980"/>
      <c r="Z1299" s="983"/>
      <c r="AA1299" s="562"/>
      <c r="AB1299" s="562"/>
      <c r="AC1299" s="562"/>
      <c r="AD1299" s="562"/>
      <c r="AE1299" s="562"/>
      <c r="AF1299" s="562"/>
      <c r="AG1299" s="562"/>
      <c r="AH1299" s="562"/>
      <c r="AI1299" s="562"/>
      <c r="AJ1299" s="562"/>
      <c r="AK1299" s="562"/>
      <c r="AL1299" s="562"/>
      <c r="AM1299" s="562"/>
      <c r="AN1299" s="562"/>
      <c r="AO1299" s="562"/>
      <c r="AP1299" s="562"/>
      <c r="AQ1299" s="562"/>
      <c r="AR1299" s="562"/>
      <c r="AS1299" s="562"/>
      <c r="AT1299" s="562"/>
      <c r="AU1299" s="562"/>
      <c r="AV1299" s="562"/>
      <c r="AW1299" s="562"/>
      <c r="AX1299" s="562"/>
      <c r="AY1299" s="562"/>
      <c r="AZ1299" s="562"/>
      <c r="BA1299" s="562"/>
      <c r="BB1299" s="562"/>
      <c r="BC1299" s="562"/>
      <c r="BD1299" s="562"/>
      <c r="BE1299" s="562"/>
      <c r="BF1299" s="562"/>
      <c r="BG1299" s="562"/>
      <c r="BH1299" s="562"/>
    </row>
    <row r="1300" spans="1:60" x14ac:dyDescent="0.2">
      <c r="A1300" s="541">
        <v>10</v>
      </c>
      <c r="B1300" s="551">
        <v>1002.2</v>
      </c>
      <c r="C1300" s="544"/>
      <c r="D1300" s="544"/>
      <c r="E1300" s="544" t="s">
        <v>2282</v>
      </c>
      <c r="F1300" s="544"/>
      <c r="G1300" s="543" t="str">
        <f t="shared" si="400"/>
        <v/>
      </c>
      <c r="H1300" s="541" t="s">
        <v>3758</v>
      </c>
      <c r="I1300" s="3"/>
      <c r="J1300" s="20" t="s">
        <v>2282</v>
      </c>
      <c r="K1300" s="3"/>
      <c r="L1300" s="848" t="s">
        <v>3258</v>
      </c>
      <c r="M1300" s="609"/>
      <c r="N1300" s="3"/>
      <c r="O1300" s="609"/>
      <c r="P1300" s="562" t="b">
        <v>0</v>
      </c>
      <c r="Q1300" s="562" t="b">
        <v>1</v>
      </c>
      <c r="R1300" s="562" t="b">
        <v>0</v>
      </c>
      <c r="S1300" s="562" t="b">
        <f>IF(AY1202=INDEX(ddSingleOrMulti,2),TRUE,FALSE)</f>
        <v>0</v>
      </c>
      <c r="T1300" s="64" t="b">
        <f>AND(NOT(S1300),W1300=TRUE)</f>
        <v>0</v>
      </c>
      <c r="U1300" s="562"/>
      <c r="V1300" s="562"/>
      <c r="W1300" s="18"/>
      <c r="X1300" s="787"/>
      <c r="Y1300" s="980" t="str">
        <f>IF(LEN('Ch10'!X117)=0,"None",'Ch10'!X117)</f>
        <v>None</v>
      </c>
      <c r="Z1300" s="983"/>
      <c r="AA1300" s="562"/>
      <c r="AB1300" s="562"/>
      <c r="AC1300" s="562" t="b">
        <f>OR(AD1300:AE1300)</f>
        <v>0</v>
      </c>
      <c r="AD1300" s="562" t="b">
        <f>T1300</f>
        <v>0</v>
      </c>
      <c r="AE1300" s="562"/>
      <c r="AF1300" s="562"/>
      <c r="AG1300" s="562"/>
      <c r="AH1300" s="562"/>
      <c r="AI1300" s="562"/>
      <c r="AJ1300" s="562"/>
      <c r="AK1300" s="562"/>
      <c r="AL1300" s="562"/>
      <c r="AM1300" s="562"/>
      <c r="AN1300" s="562"/>
      <c r="AO1300" s="562"/>
      <c r="AP1300" s="190" t="str">
        <f>SUBSTITUTE(SUBSTITUTE(SUBSTITUTE("vch"&amp;$B1300&amp;$C1300&amp;$D1300&amp;$E1300&amp;$F1300,".","_"),"(","_"),")","")</f>
        <v>vch1002,2_8</v>
      </c>
      <c r="AQ1300" s="190">
        <f>W1300</f>
        <v>0</v>
      </c>
      <c r="AR1300" s="190" t="str">
        <f>SUBSTITUTE(SUBSTITUTE(SUBSTITUTE("vnt"&amp;$B1300&amp;$C1300&amp;$D1300&amp;$E1300&amp;$F1300,".","_"),"(","_"),")","")</f>
        <v>vnt1002,2_8</v>
      </c>
      <c r="AS1300" s="190">
        <f>X1300</f>
        <v>0</v>
      </c>
      <c r="AT1300" s="562"/>
      <c r="AU1300" s="562"/>
      <c r="AV1300" s="562"/>
      <c r="AW1300" s="562"/>
      <c r="AX1300" s="562"/>
      <c r="AY1300" s="562"/>
      <c r="AZ1300" s="562"/>
      <c r="BA1300" s="562"/>
      <c r="BB1300" s="562"/>
      <c r="BC1300" s="562"/>
      <c r="BD1300" s="562"/>
      <c r="BE1300" s="562"/>
      <c r="BF1300" s="562"/>
      <c r="BG1300" s="562"/>
      <c r="BH1300" s="562"/>
    </row>
    <row r="1301" spans="1:60" x14ac:dyDescent="0.2">
      <c r="A1301" s="541">
        <v>10</v>
      </c>
      <c r="B1301" s="551">
        <v>1002.2</v>
      </c>
      <c r="C1301" s="544"/>
      <c r="D1301" s="544"/>
      <c r="E1301" s="544" t="s">
        <v>2282</v>
      </c>
      <c r="F1301" s="544"/>
      <c r="G1301" s="543" t="str">
        <f t="shared" si="400"/>
        <v/>
      </c>
      <c r="H1301" s="541" t="s">
        <v>3758</v>
      </c>
      <c r="I1301" s="3"/>
      <c r="J1301" s="20"/>
      <c r="K1301" s="3"/>
      <c r="L1301" s="848"/>
      <c r="M1301" s="609"/>
      <c r="N1301" s="3"/>
      <c r="O1301" s="609"/>
      <c r="P1301" s="562"/>
      <c r="Q1301" s="562"/>
      <c r="R1301" s="562"/>
      <c r="S1301" s="562"/>
      <c r="T1301" s="562"/>
      <c r="U1301" s="562"/>
      <c r="V1301" s="562"/>
      <c r="W1301" s="562"/>
      <c r="X1301" s="787"/>
      <c r="Y1301" s="980"/>
      <c r="Z1301" s="983"/>
      <c r="AA1301" s="562"/>
      <c r="AB1301" s="562"/>
      <c r="AC1301" s="562"/>
      <c r="AD1301" s="562"/>
      <c r="AE1301" s="562"/>
      <c r="AF1301" s="562"/>
      <c r="AG1301" s="562"/>
      <c r="AH1301" s="562"/>
      <c r="AI1301" s="562"/>
      <c r="AJ1301" s="562"/>
      <c r="AK1301" s="562"/>
      <c r="AL1301" s="562"/>
      <c r="AM1301" s="562"/>
      <c r="AN1301" s="562"/>
      <c r="AO1301" s="562"/>
      <c r="AP1301" s="562"/>
      <c r="AQ1301" s="562"/>
      <c r="AR1301" s="562"/>
      <c r="AS1301" s="562"/>
      <c r="AT1301" s="562"/>
      <c r="AU1301" s="562"/>
      <c r="AV1301" s="562"/>
      <c r="AW1301" s="562"/>
      <c r="AX1301" s="562"/>
      <c r="AY1301" s="562"/>
      <c r="AZ1301" s="562"/>
      <c r="BA1301" s="562"/>
      <c r="BB1301" s="562"/>
      <c r="BC1301" s="562"/>
      <c r="BD1301" s="562"/>
      <c r="BE1301" s="562"/>
      <c r="BF1301" s="562"/>
      <c r="BG1301" s="562"/>
      <c r="BH1301" s="562"/>
    </row>
    <row r="1302" spans="1:60" ht="16" x14ac:dyDescent="0.2">
      <c r="A1302" s="541">
        <v>10</v>
      </c>
      <c r="B1302" s="551">
        <v>1002.2</v>
      </c>
      <c r="C1302" s="544"/>
      <c r="D1302" s="544"/>
      <c r="E1302" s="544" t="s">
        <v>2284</v>
      </c>
      <c r="F1302" s="544"/>
      <c r="G1302" s="543" t="str">
        <f t="shared" si="400"/>
        <v/>
      </c>
      <c r="H1302" s="541" t="s">
        <v>3758</v>
      </c>
      <c r="I1302" s="3"/>
      <c r="J1302" s="164" t="s">
        <v>2284</v>
      </c>
      <c r="K1302" s="146"/>
      <c r="L1302" s="638" t="s">
        <v>3305</v>
      </c>
      <c r="M1302" s="609"/>
      <c r="N1302" s="3"/>
      <c r="O1302" s="609"/>
      <c r="P1302" s="562" t="b">
        <v>0</v>
      </c>
      <c r="Q1302" s="562" t="b">
        <v>1</v>
      </c>
      <c r="R1302" s="562" t="b">
        <v>0</v>
      </c>
      <c r="S1302" s="562" t="b">
        <f>IF(AY1202=INDEX(ddSingleOrMulti,2),TRUE,FALSE)</f>
        <v>0</v>
      </c>
      <c r="T1302" s="64" t="b">
        <f>AND(NOT(S1302),W1302=TRUE)</f>
        <v>0</v>
      </c>
      <c r="U1302" s="562"/>
      <c r="V1302" s="562"/>
      <c r="W1302" s="18"/>
      <c r="X1302" s="563"/>
      <c r="Y1302" s="578" t="str">
        <f>IF(LEN('Ch10'!X119)=0,"None",'Ch10'!X119)</f>
        <v>None</v>
      </c>
      <c r="Z1302" s="579"/>
      <c r="AA1302" s="562"/>
      <c r="AB1302" s="562"/>
      <c r="AC1302" s="562" t="b">
        <f>OR(AD1302:AE1302)</f>
        <v>0</v>
      </c>
      <c r="AD1302" s="562" t="b">
        <f>T1302</f>
        <v>0</v>
      </c>
      <c r="AE1302" s="562"/>
      <c r="AF1302" s="562"/>
      <c r="AG1302" s="562"/>
      <c r="AH1302" s="562"/>
      <c r="AI1302" s="562"/>
      <c r="AJ1302" s="562"/>
      <c r="AK1302" s="562"/>
      <c r="AL1302" s="562"/>
      <c r="AM1302" s="562"/>
      <c r="AN1302" s="562"/>
      <c r="AO1302" s="562"/>
      <c r="AP1302" s="190" t="str">
        <f>SUBSTITUTE(SUBSTITUTE(SUBSTITUTE("vch"&amp;$B1302&amp;$C1302&amp;$D1302&amp;$E1302&amp;$F1302,".","_"),"(","_"),")","")</f>
        <v>vch1002,2_9</v>
      </c>
      <c r="AQ1302" s="190">
        <f>W1302</f>
        <v>0</v>
      </c>
      <c r="AR1302" s="190" t="str">
        <f t="shared" ref="AR1302:AR1303" si="404">SUBSTITUTE(SUBSTITUTE(SUBSTITUTE("vnt"&amp;$B1302&amp;$C1302&amp;$D1302&amp;$E1302&amp;$F1302,".","_"),"(","_"),")","")</f>
        <v>vnt1002,2_9</v>
      </c>
      <c r="AS1302" s="190">
        <f>X1302</f>
        <v>0</v>
      </c>
      <c r="AT1302" s="562"/>
      <c r="AU1302" s="562"/>
      <c r="AV1302" s="562"/>
      <c r="AW1302" s="562"/>
      <c r="AX1302" s="562"/>
      <c r="AY1302" s="562"/>
      <c r="AZ1302" s="562"/>
      <c r="BA1302" s="562"/>
      <c r="BB1302" s="562"/>
      <c r="BC1302" s="562"/>
      <c r="BD1302" s="562"/>
      <c r="BE1302" s="562"/>
      <c r="BF1302" s="562"/>
      <c r="BG1302" s="562"/>
      <c r="BH1302" s="562"/>
    </row>
    <row r="1303" spans="1:60" x14ac:dyDescent="0.2">
      <c r="A1303" s="541">
        <v>10</v>
      </c>
      <c r="B1303" s="551">
        <v>1002.2</v>
      </c>
      <c r="C1303" s="544"/>
      <c r="D1303" s="544"/>
      <c r="E1303" s="544" t="s">
        <v>2286</v>
      </c>
      <c r="F1303" s="544"/>
      <c r="G1303" s="543" t="str">
        <f t="shared" si="400"/>
        <v/>
      </c>
      <c r="H1303" s="541" t="s">
        <v>3758</v>
      </c>
      <c r="I1303" s="3"/>
      <c r="J1303" s="164" t="s">
        <v>2286</v>
      </c>
      <c r="K1303" s="146"/>
      <c r="L1303" s="831" t="s">
        <v>3306</v>
      </c>
      <c r="M1303" s="609"/>
      <c r="N1303" s="3"/>
      <c r="O1303" s="609"/>
      <c r="P1303" s="562" t="b">
        <v>0</v>
      </c>
      <c r="Q1303" s="562" t="b">
        <v>1</v>
      </c>
      <c r="R1303" s="562" t="b">
        <v>0</v>
      </c>
      <c r="S1303" s="562" t="b">
        <f>IF(AY1202=INDEX(ddSingleOrMulti,2),TRUE,FALSE)</f>
        <v>0</v>
      </c>
      <c r="T1303" s="64" t="b">
        <f>AND(NOT(S1303),W1303=TRUE)</f>
        <v>0</v>
      </c>
      <c r="U1303" s="562"/>
      <c r="V1303" s="562"/>
      <c r="W1303" s="18"/>
      <c r="X1303" s="787"/>
      <c r="Y1303" s="980" t="str">
        <f>IF(LEN('Ch10'!X120)=0,"None",'Ch10'!X120)</f>
        <v>None</v>
      </c>
      <c r="Z1303" s="983"/>
      <c r="AA1303" s="562"/>
      <c r="AB1303" s="562"/>
      <c r="AC1303" s="562" t="b">
        <f>OR(AD1303:AE1303)</f>
        <v>0</v>
      </c>
      <c r="AD1303" s="562" t="b">
        <f>T1303</f>
        <v>0</v>
      </c>
      <c r="AE1303" s="562"/>
      <c r="AF1303" s="562"/>
      <c r="AG1303" s="562"/>
      <c r="AH1303" s="562"/>
      <c r="AI1303" s="562"/>
      <c r="AJ1303" s="562"/>
      <c r="AK1303" s="562"/>
      <c r="AL1303" s="562"/>
      <c r="AM1303" s="562"/>
      <c r="AN1303" s="562"/>
      <c r="AO1303" s="562"/>
      <c r="AP1303" s="190" t="str">
        <f>SUBSTITUTE(SUBSTITUTE(SUBSTITUTE("vch"&amp;$B1303&amp;$C1303&amp;$D1303&amp;$E1303&amp;$F1303,".","_"),"(","_"),")","")</f>
        <v>vch1002,2_10</v>
      </c>
      <c r="AQ1303" s="190">
        <f>W1303</f>
        <v>0</v>
      </c>
      <c r="AR1303" s="190" t="str">
        <f t="shared" si="404"/>
        <v>vnt1002,2_10</v>
      </c>
      <c r="AS1303" s="190">
        <f>X1303</f>
        <v>0</v>
      </c>
      <c r="AT1303" s="562"/>
      <c r="AU1303" s="562"/>
      <c r="AV1303" s="562"/>
      <c r="AW1303" s="562"/>
      <c r="AX1303" s="562"/>
      <c r="AY1303" s="562"/>
      <c r="AZ1303" s="562"/>
      <c r="BA1303" s="562"/>
      <c r="BB1303" s="562"/>
      <c r="BC1303" s="562"/>
      <c r="BD1303" s="562"/>
      <c r="BE1303" s="562"/>
      <c r="BF1303" s="562"/>
      <c r="BG1303" s="562"/>
      <c r="BH1303" s="562"/>
    </row>
    <row r="1304" spans="1:60" x14ac:dyDescent="0.2">
      <c r="A1304" s="541">
        <v>10</v>
      </c>
      <c r="B1304" s="551">
        <v>1002.2</v>
      </c>
      <c r="C1304" s="544"/>
      <c r="D1304" s="544"/>
      <c r="E1304" s="544" t="s">
        <v>2286</v>
      </c>
      <c r="F1304" s="544"/>
      <c r="G1304" s="543" t="str">
        <f t="shared" si="400"/>
        <v/>
      </c>
      <c r="H1304" s="541" t="s">
        <v>3758</v>
      </c>
      <c r="I1304" s="3"/>
      <c r="J1304" s="134"/>
      <c r="K1304" s="98"/>
      <c r="L1304" s="791"/>
      <c r="M1304" s="609"/>
      <c r="N1304" s="3"/>
      <c r="O1304" s="609"/>
      <c r="P1304" s="562"/>
      <c r="Q1304" s="562"/>
      <c r="R1304" s="562"/>
      <c r="S1304" s="562"/>
      <c r="T1304" s="562"/>
      <c r="U1304" s="562"/>
      <c r="V1304" s="562"/>
      <c r="W1304" s="562"/>
      <c r="X1304" s="787"/>
      <c r="Y1304" s="980"/>
      <c r="Z1304" s="983"/>
      <c r="AA1304" s="562"/>
      <c r="AB1304" s="562"/>
      <c r="AC1304" s="562"/>
      <c r="AD1304" s="562"/>
      <c r="AE1304" s="562"/>
      <c r="AF1304" s="562"/>
      <c r="AG1304" s="562"/>
      <c r="AH1304" s="562"/>
      <c r="AI1304" s="562"/>
      <c r="AJ1304" s="562"/>
      <c r="AK1304" s="562"/>
      <c r="AL1304" s="562"/>
      <c r="AM1304" s="562"/>
      <c r="AN1304" s="562"/>
      <c r="AO1304" s="562"/>
      <c r="AP1304" s="562"/>
      <c r="AQ1304" s="562"/>
      <c r="AR1304" s="562"/>
      <c r="AS1304" s="562"/>
      <c r="AT1304" s="562"/>
      <c r="AU1304" s="562"/>
      <c r="AV1304" s="562"/>
      <c r="AW1304" s="562"/>
      <c r="AX1304" s="562"/>
      <c r="AY1304" s="562"/>
      <c r="AZ1304" s="562"/>
      <c r="BA1304" s="562"/>
      <c r="BB1304" s="562"/>
      <c r="BC1304" s="562"/>
      <c r="BD1304" s="562"/>
      <c r="BE1304" s="562"/>
      <c r="BF1304" s="562"/>
      <c r="BG1304" s="562"/>
      <c r="BH1304" s="562"/>
    </row>
    <row r="1305" spans="1:60" x14ac:dyDescent="0.2">
      <c r="A1305" s="541">
        <v>10</v>
      </c>
      <c r="B1305" s="551">
        <v>1002.2</v>
      </c>
      <c r="C1305" s="544"/>
      <c r="D1305" s="544"/>
      <c r="E1305" s="544" t="s">
        <v>2286</v>
      </c>
      <c r="F1305" s="544"/>
      <c r="G1305" s="543" t="str">
        <f t="shared" si="400"/>
        <v/>
      </c>
      <c r="H1305" s="541" t="s">
        <v>3758</v>
      </c>
      <c r="I1305" s="3"/>
      <c r="J1305" s="159"/>
      <c r="K1305" s="165"/>
      <c r="L1305" s="792"/>
      <c r="M1305" s="609"/>
      <c r="N1305" s="3"/>
      <c r="O1305" s="609"/>
      <c r="P1305" s="562"/>
      <c r="Q1305" s="562"/>
      <c r="R1305" s="562"/>
      <c r="S1305" s="562"/>
      <c r="T1305" s="562"/>
      <c r="U1305" s="562"/>
      <c r="V1305" s="562"/>
      <c r="W1305" s="562"/>
      <c r="X1305" s="787"/>
      <c r="Y1305" s="980"/>
      <c r="Z1305" s="983"/>
      <c r="AA1305" s="562"/>
      <c r="AB1305" s="562"/>
      <c r="AC1305" s="562"/>
      <c r="AD1305" s="562"/>
      <c r="AE1305" s="562"/>
      <c r="AF1305" s="562"/>
      <c r="AG1305" s="562"/>
      <c r="AH1305" s="562"/>
      <c r="AI1305" s="562"/>
      <c r="AJ1305" s="562"/>
      <c r="AK1305" s="562"/>
      <c r="AL1305" s="562"/>
      <c r="AM1305" s="562"/>
      <c r="AN1305" s="562"/>
      <c r="AO1305" s="562"/>
      <c r="AP1305" s="562"/>
      <c r="AQ1305" s="562"/>
      <c r="AR1305" s="562"/>
      <c r="AS1305" s="562"/>
      <c r="AT1305" s="562"/>
      <c r="AU1305" s="562"/>
      <c r="AV1305" s="562"/>
      <c r="AW1305" s="562"/>
      <c r="AX1305" s="562"/>
      <c r="AY1305" s="562"/>
      <c r="AZ1305" s="562"/>
      <c r="BA1305" s="562"/>
      <c r="BB1305" s="562"/>
      <c r="BC1305" s="562"/>
      <c r="BD1305" s="562"/>
      <c r="BE1305" s="562"/>
      <c r="BF1305" s="562"/>
      <c r="BG1305" s="562"/>
      <c r="BH1305" s="562"/>
    </row>
    <row r="1306" spans="1:60" x14ac:dyDescent="0.2">
      <c r="A1306" s="541">
        <v>10</v>
      </c>
      <c r="B1306" s="551">
        <v>1002.2</v>
      </c>
      <c r="C1306" s="544"/>
      <c r="D1306" s="544"/>
      <c r="E1306" s="544" t="s">
        <v>2288</v>
      </c>
      <c r="F1306" s="544"/>
      <c r="G1306" s="543" t="str">
        <f t="shared" si="400"/>
        <v/>
      </c>
      <c r="H1306" s="541" t="s">
        <v>3758</v>
      </c>
      <c r="I1306" s="98"/>
      <c r="J1306" s="134" t="s">
        <v>2288</v>
      </c>
      <c r="K1306" s="98"/>
      <c r="L1306" s="776" t="s">
        <v>3307</v>
      </c>
      <c r="M1306" s="829" t="str">
        <f ca="1">IF(R1306,"Mandatory per 902.2.1","N/A")</f>
        <v>N/A</v>
      </c>
      <c r="N1306" s="98"/>
      <c r="O1306" s="607"/>
      <c r="P1306" s="562" t="b">
        <v>0</v>
      </c>
      <c r="Q1306" s="562" t="b">
        <v>1</v>
      </c>
      <c r="R1306" s="1" t="b">
        <f ca="1">AND(S1306,OR($O$1121&gt;0,$R$1121))</f>
        <v>0</v>
      </c>
      <c r="S1306" s="64" t="b">
        <f>IF(AY1202=INDEX(ddSingleOrMulti,2),TRUE,FALSE)</f>
        <v>0</v>
      </c>
      <c r="T1306" s="64" t="b">
        <f>AND(NOT(S1306),W1306=TRUE)</f>
        <v>0</v>
      </c>
      <c r="U1306" s="64"/>
      <c r="V1306" s="64"/>
      <c r="W1306" s="18"/>
      <c r="X1306" s="798"/>
      <c r="Y1306" s="977" t="str">
        <f>IF(LEN('Ch10'!X123)=0,"None",'Ch10'!X123)</f>
        <v>None</v>
      </c>
      <c r="Z1306" s="978"/>
      <c r="AA1306" s="562"/>
      <c r="AB1306" s="562"/>
      <c r="AC1306" s="562" t="b">
        <f ca="1">OR(AD1306:AE1306)</f>
        <v>0</v>
      </c>
      <c r="AD1306" s="562" t="b">
        <f>T1306</f>
        <v>0</v>
      </c>
      <c r="AE1306" s="562" t="b">
        <f ca="1">AND(R1306,NOT(W1306=TRUE))</f>
        <v>0</v>
      </c>
      <c r="AF1306" s="562" t="b">
        <f ca="1">AND(AE1306,NOT(Q1306))</f>
        <v>0</v>
      </c>
      <c r="AG1306" s="562"/>
      <c r="AH1306" s="562"/>
      <c r="AI1306" s="562"/>
      <c r="AJ1306" s="562"/>
      <c r="AK1306" s="562"/>
      <c r="AL1306" s="562"/>
      <c r="AM1306" s="562"/>
      <c r="AN1306" s="562"/>
      <c r="AO1306" s="562"/>
      <c r="AP1306" s="190" t="str">
        <f>SUBSTITUTE(SUBSTITUTE(SUBSTITUTE("vch"&amp;$B1306&amp;$C1306&amp;$D1306&amp;$E1306&amp;$F1306,".","_"),"(","_"),")","")</f>
        <v>vch1002,2_11</v>
      </c>
      <c r="AQ1306" s="190">
        <f>W1306</f>
        <v>0</v>
      </c>
      <c r="AR1306" s="190" t="str">
        <f>SUBSTITUTE(SUBSTITUTE(SUBSTITUTE("vnt"&amp;$B1306&amp;$C1306&amp;$D1306&amp;$E1306&amp;$F1306,".","_"),"(","_"),")","")</f>
        <v>vnt1002,2_11</v>
      </c>
      <c r="AS1306" s="190">
        <f>X1306</f>
        <v>0</v>
      </c>
      <c r="AT1306" s="562"/>
      <c r="AU1306" s="562"/>
      <c r="AV1306" s="562"/>
      <c r="AW1306" s="562"/>
      <c r="AX1306" s="562"/>
      <c r="AY1306" s="562"/>
      <c r="AZ1306" s="562"/>
      <c r="BA1306" s="562"/>
      <c r="BB1306" s="562"/>
      <c r="BC1306" s="562"/>
      <c r="BD1306" s="562"/>
      <c r="BE1306" s="562"/>
      <c r="BF1306" s="562"/>
      <c r="BG1306" s="562"/>
      <c r="BH1306" s="562"/>
    </row>
    <row r="1307" spans="1:60" ht="16" thickBot="1" x14ac:dyDescent="0.25">
      <c r="A1307" s="541">
        <v>10</v>
      </c>
      <c r="B1307" s="551">
        <v>1002.2</v>
      </c>
      <c r="C1307" s="544"/>
      <c r="D1307" s="544"/>
      <c r="E1307" s="544" t="s">
        <v>2288</v>
      </c>
      <c r="F1307" s="544"/>
      <c r="G1307" s="543" t="str">
        <f t="shared" si="400"/>
        <v/>
      </c>
      <c r="H1307" s="541" t="s">
        <v>3758</v>
      </c>
      <c r="I1307" s="185"/>
      <c r="J1307" s="143"/>
      <c r="K1307" s="185"/>
      <c r="L1307" s="828"/>
      <c r="M1307" s="886"/>
      <c r="N1307" s="185"/>
      <c r="O1307" s="622"/>
      <c r="P1307" s="68"/>
      <c r="Q1307" s="68"/>
      <c r="R1307" s="68"/>
      <c r="S1307" s="68"/>
      <c r="T1307" s="68"/>
      <c r="U1307" s="68"/>
      <c r="V1307" s="68"/>
      <c r="W1307" s="68"/>
      <c r="X1307" s="799"/>
      <c r="Y1307" s="979"/>
      <c r="Z1307" s="1007"/>
      <c r="AA1307" s="562"/>
      <c r="AB1307" s="562"/>
      <c r="AC1307" s="562"/>
      <c r="AD1307" s="562"/>
      <c r="AE1307" s="562"/>
      <c r="AF1307" s="562"/>
      <c r="AG1307" s="562"/>
      <c r="AH1307" s="562"/>
      <c r="AI1307" s="562"/>
      <c r="AJ1307" s="562"/>
      <c r="AK1307" s="562"/>
      <c r="AL1307" s="562"/>
      <c r="AM1307" s="562"/>
      <c r="AN1307" s="562"/>
      <c r="AO1307" s="562"/>
      <c r="AP1307" s="562"/>
      <c r="AQ1307" s="562"/>
      <c r="AR1307" s="562"/>
      <c r="AS1307" s="562"/>
      <c r="AT1307" s="562"/>
      <c r="AU1307" s="562"/>
      <c r="AV1307" s="562"/>
      <c r="AW1307" s="562"/>
      <c r="AX1307" s="562"/>
      <c r="AY1307" s="562"/>
      <c r="AZ1307" s="562"/>
      <c r="BA1307" s="562"/>
      <c r="BB1307" s="562"/>
      <c r="BC1307" s="562"/>
      <c r="BD1307" s="562"/>
      <c r="BE1307" s="562"/>
      <c r="BF1307" s="562"/>
      <c r="BG1307" s="562"/>
      <c r="BH1307" s="562"/>
    </row>
    <row r="1308" spans="1:60" ht="16" thickTop="1" x14ac:dyDescent="0.2">
      <c r="A1308" s="541">
        <v>10</v>
      </c>
      <c r="B1308" s="551">
        <v>1002.3</v>
      </c>
      <c r="C1308" s="544"/>
      <c r="D1308" s="544"/>
      <c r="E1308" s="544"/>
      <c r="F1308" s="544"/>
      <c r="G1308" s="543" t="str">
        <f>IF(N1308&gt;0,"P","")</f>
        <v/>
      </c>
      <c r="H1308" s="541" t="s">
        <v>3758</v>
      </c>
      <c r="I1308" s="107" t="s">
        <v>3308</v>
      </c>
      <c r="J1308" s="3"/>
      <c r="K1308" s="3"/>
      <c r="L1308" s="775" t="s">
        <v>3309</v>
      </c>
      <c r="M1308" s="814">
        <v>1</v>
      </c>
      <c r="N1308" s="823">
        <f>'Ch10'!O125</f>
        <v>0</v>
      </c>
      <c r="O1308" s="885">
        <f>IF(AND(W1312=TRUE,COUNTIF(W1314:W1333,TRUE)&gt;3,S1312),ROUNDDOWN(COUNTIF(W1314:W1333,TRUE)/2,0),0)</f>
        <v>0</v>
      </c>
      <c r="P1308" s="562"/>
      <c r="Q1308" s="562"/>
      <c r="R1308" s="562"/>
      <c r="S1308" s="562"/>
      <c r="T1308" s="562"/>
      <c r="U1308" s="562"/>
      <c r="V1308" s="562"/>
      <c r="W1308" s="562"/>
      <c r="X1308" s="562"/>
      <c r="Y1308" s="562"/>
      <c r="Z1308" s="430"/>
      <c r="AA1308" s="562"/>
      <c r="AB1308" s="562"/>
      <c r="AC1308" s="562"/>
      <c r="AD1308" s="562"/>
      <c r="AE1308" s="562"/>
      <c r="AF1308" s="562"/>
      <c r="AG1308" s="562"/>
      <c r="AH1308" s="562"/>
      <c r="AI1308" s="562"/>
      <c r="AJ1308" s="562"/>
      <c r="AK1308" s="562"/>
      <c r="AL1308" s="190" t="str">
        <f t="shared" ref="AL1308" si="405">SUBSTITUTE(SUBSTITUTE(SUBSTITUTE("vpa"&amp;$B1308&amp;$C1308&amp;$D1308&amp;$E1308&amp;$F1308,".","_"),"(","_"),")","")</f>
        <v>vpa1002,3</v>
      </c>
      <c r="AM1308" s="190">
        <f>M1308</f>
        <v>1</v>
      </c>
      <c r="AN1308" s="190" t="str">
        <f>SUBSTITUTE(SUBSTITUTE(SUBSTITUTE("vpc"&amp;$B1308&amp;$C1308&amp;$D1308&amp;$E1308&amp;$F1308,".","_"),"(","_"),")","")</f>
        <v>vpc1002,3</v>
      </c>
      <c r="AO1308" s="190">
        <f>O1308</f>
        <v>0</v>
      </c>
      <c r="AP1308" s="562"/>
      <c r="AQ1308" s="562"/>
      <c r="AR1308" s="562"/>
      <c r="AS1308" s="562"/>
      <c r="AT1308" s="562"/>
      <c r="AU1308" s="562"/>
      <c r="AV1308" s="562"/>
      <c r="AW1308" s="562"/>
      <c r="AX1308" s="562"/>
      <c r="AY1308" s="562"/>
      <c r="AZ1308" s="562"/>
      <c r="BA1308" s="562"/>
      <c r="BB1308" s="562"/>
      <c r="BC1308" s="562"/>
      <c r="BD1308" s="562"/>
      <c r="BE1308" s="562"/>
      <c r="BF1308" s="562"/>
      <c r="BG1308" s="562"/>
      <c r="BH1308" s="562"/>
    </row>
    <row r="1309" spans="1:60" x14ac:dyDescent="0.2">
      <c r="A1309" s="541">
        <v>10</v>
      </c>
      <c r="B1309" s="551">
        <v>1002.3</v>
      </c>
      <c r="C1309" s="544"/>
      <c r="D1309" s="544"/>
      <c r="E1309" s="544"/>
      <c r="F1309" s="544"/>
      <c r="G1309" s="543" t="str">
        <f t="shared" ref="G1309:G1333" si="406">G1308</f>
        <v/>
      </c>
      <c r="H1309" s="541" t="s">
        <v>3758</v>
      </c>
      <c r="I1309" s="3"/>
      <c r="J1309" s="3"/>
      <c r="K1309" s="3"/>
      <c r="L1309" s="775"/>
      <c r="M1309" s="814"/>
      <c r="N1309" s="795"/>
      <c r="O1309" s="885"/>
      <c r="P1309" s="562"/>
      <c r="Q1309" s="562"/>
      <c r="R1309" s="562"/>
      <c r="S1309" s="562"/>
      <c r="T1309" s="562"/>
      <c r="U1309" s="562"/>
      <c r="V1309" s="562"/>
      <c r="W1309" s="562"/>
      <c r="X1309" s="562"/>
      <c r="Y1309" s="562"/>
      <c r="Z1309" s="430"/>
      <c r="AA1309" s="562"/>
      <c r="AB1309" s="562"/>
      <c r="AC1309" s="562"/>
      <c r="AD1309" s="562"/>
      <c r="AE1309" s="562"/>
      <c r="AF1309" s="562"/>
      <c r="AG1309" s="562"/>
      <c r="AH1309" s="562"/>
      <c r="AI1309" s="562"/>
      <c r="AJ1309" s="562"/>
      <c r="AK1309" s="562"/>
      <c r="AL1309" s="562"/>
      <c r="AM1309" s="562"/>
      <c r="AN1309" s="562"/>
      <c r="AO1309" s="562"/>
      <c r="AP1309" s="562"/>
      <c r="AQ1309" s="562"/>
      <c r="AR1309" s="562"/>
      <c r="AS1309" s="562"/>
      <c r="AT1309" s="562"/>
      <c r="AU1309" s="562"/>
      <c r="AV1309" s="562"/>
      <c r="AW1309" s="562"/>
      <c r="AX1309" s="562"/>
      <c r="AY1309" s="562"/>
      <c r="AZ1309" s="562"/>
      <c r="BA1309" s="562"/>
      <c r="BB1309" s="562"/>
      <c r="BC1309" s="562"/>
      <c r="BD1309" s="562"/>
      <c r="BE1309" s="562"/>
      <c r="BF1309" s="562"/>
      <c r="BG1309" s="562"/>
      <c r="BH1309" s="562"/>
    </row>
    <row r="1310" spans="1:60" x14ac:dyDescent="0.2">
      <c r="A1310" s="541">
        <v>10</v>
      </c>
      <c r="B1310" s="551">
        <v>1002.3</v>
      </c>
      <c r="C1310" s="544"/>
      <c r="D1310" s="544"/>
      <c r="E1310" s="544"/>
      <c r="F1310" s="544"/>
      <c r="G1310" s="543" t="str">
        <f t="shared" si="406"/>
        <v/>
      </c>
      <c r="H1310" s="541" t="s">
        <v>3758</v>
      </c>
      <c r="I1310" s="3"/>
      <c r="J1310" s="3"/>
      <c r="K1310" s="3"/>
      <c r="L1310" s="775"/>
      <c r="M1310" s="814"/>
      <c r="N1310" s="795"/>
      <c r="O1310" s="885"/>
      <c r="P1310" s="562"/>
      <c r="Q1310" s="562"/>
      <c r="R1310" s="562"/>
      <c r="S1310" s="562"/>
      <c r="T1310" s="562"/>
      <c r="U1310" s="562"/>
      <c r="V1310" s="562"/>
      <c r="W1310" s="562"/>
      <c r="X1310" s="562"/>
      <c r="Y1310" s="562"/>
      <c r="Z1310" s="430"/>
      <c r="AA1310" s="562"/>
      <c r="AB1310" s="562"/>
      <c r="AC1310" s="562"/>
      <c r="AD1310" s="562"/>
      <c r="AE1310" s="562"/>
      <c r="AF1310" s="562"/>
      <c r="AG1310" s="562"/>
      <c r="AH1310" s="562"/>
      <c r="AI1310" s="562"/>
      <c r="AJ1310" s="562"/>
      <c r="AK1310" s="562"/>
      <c r="AL1310" s="562"/>
      <c r="AM1310" s="562"/>
      <c r="AN1310" s="562"/>
      <c r="AO1310" s="562"/>
      <c r="AP1310" s="562"/>
      <c r="AQ1310" s="562"/>
      <c r="AR1310" s="562"/>
      <c r="AS1310" s="562"/>
      <c r="AT1310" s="562"/>
      <c r="AU1310" s="562"/>
      <c r="AV1310" s="562"/>
      <c r="AW1310" s="562"/>
      <c r="AX1310" s="562"/>
      <c r="AY1310" s="562"/>
      <c r="AZ1310" s="562"/>
      <c r="BA1310" s="562"/>
      <c r="BB1310" s="562"/>
      <c r="BC1310" s="562"/>
      <c r="BD1310" s="562"/>
      <c r="BE1310" s="562"/>
      <c r="BF1310" s="562"/>
      <c r="BG1310" s="562"/>
      <c r="BH1310" s="562"/>
    </row>
    <row r="1311" spans="1:60" x14ac:dyDescent="0.2">
      <c r="A1311" s="541">
        <v>10</v>
      </c>
      <c r="B1311" s="551">
        <v>1002.3</v>
      </c>
      <c r="C1311" s="544"/>
      <c r="D1311" s="544"/>
      <c r="E1311" s="544"/>
      <c r="F1311" s="544"/>
      <c r="G1311" s="543" t="str">
        <f t="shared" si="406"/>
        <v/>
      </c>
      <c r="H1311" s="541" t="s">
        <v>3758</v>
      </c>
      <c r="I1311" s="3"/>
      <c r="J1311" s="3"/>
      <c r="K1311" s="3"/>
      <c r="L1311" s="177" t="s">
        <v>3290</v>
      </c>
      <c r="M1311" s="814"/>
      <c r="N1311" s="795"/>
      <c r="O1311" s="885"/>
      <c r="P1311" s="562"/>
      <c r="Q1311" s="562"/>
      <c r="R1311" s="562"/>
      <c r="S1311" s="562"/>
      <c r="T1311" s="562"/>
      <c r="U1311" s="562"/>
      <c r="V1311" s="562"/>
      <c r="W1311" s="562"/>
      <c r="X1311" s="562"/>
      <c r="Y1311" s="562"/>
      <c r="Z1311" s="430"/>
      <c r="AA1311" s="562"/>
      <c r="AB1311" s="562"/>
      <c r="AC1311" s="562"/>
      <c r="AD1311" s="562"/>
      <c r="AE1311" s="562"/>
      <c r="AF1311" s="562"/>
      <c r="AG1311" s="562"/>
      <c r="AH1311" s="562"/>
      <c r="AI1311" s="562"/>
      <c r="AJ1311" s="562"/>
      <c r="AK1311" s="562"/>
      <c r="AL1311" s="562"/>
      <c r="AM1311" s="562"/>
      <c r="AN1311" s="562"/>
      <c r="AO1311" s="562"/>
      <c r="AP1311" s="562"/>
      <c r="AQ1311" s="562"/>
      <c r="AR1311" s="562"/>
      <c r="AS1311" s="562"/>
      <c r="AT1311" s="562"/>
      <c r="AU1311" s="562"/>
      <c r="AV1311" s="562"/>
      <c r="AW1311" s="562"/>
      <c r="AX1311" s="562"/>
      <c r="AY1311" s="562"/>
      <c r="AZ1311" s="562"/>
      <c r="BA1311" s="562"/>
      <c r="BB1311" s="562"/>
      <c r="BC1311" s="562"/>
      <c r="BD1311" s="562"/>
      <c r="BE1311" s="562"/>
      <c r="BF1311" s="562"/>
      <c r="BG1311" s="562"/>
      <c r="BH1311" s="562"/>
    </row>
    <row r="1312" spans="1:60" x14ac:dyDescent="0.2">
      <c r="A1312" s="541">
        <v>10</v>
      </c>
      <c r="B1312" s="551">
        <v>1002.3</v>
      </c>
      <c r="C1312" s="544"/>
      <c r="D1312" s="544"/>
      <c r="E1312" s="544" t="s">
        <v>2181</v>
      </c>
      <c r="F1312" s="544"/>
      <c r="G1312" s="543" t="str">
        <f t="shared" si="406"/>
        <v/>
      </c>
      <c r="H1312" s="541" t="s">
        <v>3758</v>
      </c>
      <c r="I1312" s="3"/>
      <c r="J1312" s="134" t="s">
        <v>2181</v>
      </c>
      <c r="K1312" s="98"/>
      <c r="L1312" s="791" t="s">
        <v>3310</v>
      </c>
      <c r="M1312" s="838" t="str">
        <f>IF(R1312,"Mandatory","N/A")</f>
        <v>N/A</v>
      </c>
      <c r="N1312" s="3"/>
      <c r="O1312" s="609"/>
      <c r="P1312" s="562" t="b">
        <v>0</v>
      </c>
      <c r="Q1312" s="562" t="b">
        <v>1</v>
      </c>
      <c r="R1312" s="562" t="b">
        <f>S1312</f>
        <v>0</v>
      </c>
      <c r="S1312" s="562" t="b">
        <f>IF(AY1202=INDEX(ddSingleOrMulti,2),TRUE,FALSE)</f>
        <v>0</v>
      </c>
      <c r="T1312" s="64" t="b">
        <f>AND(NOT(S1312),W1312=TRUE)</f>
        <v>0</v>
      </c>
      <c r="U1312" s="562"/>
      <c r="V1312" s="562"/>
      <c r="W1312" s="18"/>
      <c r="X1312" s="787"/>
      <c r="Y1312" s="980" t="str">
        <f>IF(LEN('Ch10'!X129)=0,"None",'Ch10'!X129)</f>
        <v>None</v>
      </c>
      <c r="Z1312" s="983"/>
      <c r="AA1312" s="562"/>
      <c r="AB1312" s="562"/>
      <c r="AC1312" s="562" t="b">
        <f>OR(AD1312:AE1312)</f>
        <v>0</v>
      </c>
      <c r="AD1312" s="562" t="b">
        <f>T1312</f>
        <v>0</v>
      </c>
      <c r="AE1312" s="562" t="b">
        <f>AND(R1312,O1308&lt;1)</f>
        <v>0</v>
      </c>
      <c r="AF1312" s="562" t="b">
        <f>AND(AE1312,NOT(Q1312))</f>
        <v>0</v>
      </c>
      <c r="AG1312" s="562"/>
      <c r="AH1312" s="562"/>
      <c r="AI1312" s="562"/>
      <c r="AJ1312" s="562"/>
      <c r="AK1312" s="562"/>
      <c r="AL1312" s="190" t="str">
        <f t="shared" ref="AL1312" si="407">SUBSTITUTE(SUBSTITUTE(SUBSTITUTE("vpa"&amp;$B1312&amp;$C1312&amp;$D1312&amp;$E1312&amp;$F1312,".","_"),"(","_"),")","")</f>
        <v>vpa1002,3_1</v>
      </c>
      <c r="AM1312" s="190" t="str">
        <f>M1312</f>
        <v>N/A</v>
      </c>
      <c r="AN1312" s="562"/>
      <c r="AO1312" s="562"/>
      <c r="AP1312" s="190" t="str">
        <f>SUBSTITUTE(SUBSTITUTE(SUBSTITUTE("vch"&amp;$B1312&amp;$C1312&amp;$D1312&amp;$E1312&amp;$F1312,".","_"),"(","_"),")","")</f>
        <v>vch1002,3_1</v>
      </c>
      <c r="AQ1312" s="190">
        <f>W1312</f>
        <v>0</v>
      </c>
      <c r="AR1312" s="190" t="str">
        <f>SUBSTITUTE(SUBSTITUTE(SUBSTITUTE("vnt"&amp;$B1312&amp;$C1312&amp;$D1312&amp;$E1312&amp;$F1312,".","_"),"(","_"),")","")</f>
        <v>vnt1002,3_1</v>
      </c>
      <c r="AS1312" s="190">
        <f>X1312</f>
        <v>0</v>
      </c>
      <c r="AT1312" s="562"/>
      <c r="AU1312" s="562"/>
      <c r="AV1312" s="562"/>
      <c r="AW1312" s="562"/>
      <c r="AX1312" s="562"/>
      <c r="AY1312" s="562"/>
      <c r="AZ1312" s="562"/>
      <c r="BA1312" s="562"/>
      <c r="BB1312" s="562"/>
      <c r="BC1312" s="562"/>
      <c r="BD1312" s="562"/>
      <c r="BE1312" s="562"/>
      <c r="BF1312" s="562"/>
      <c r="BG1312" s="562"/>
      <c r="BH1312" s="562"/>
    </row>
    <row r="1313" spans="1:60" x14ac:dyDescent="0.2">
      <c r="A1313" s="541">
        <v>10</v>
      </c>
      <c r="B1313" s="551">
        <v>1002.3</v>
      </c>
      <c r="C1313" s="544"/>
      <c r="D1313" s="544"/>
      <c r="E1313" s="544" t="s">
        <v>2181</v>
      </c>
      <c r="F1313" s="544"/>
      <c r="G1313" s="543" t="str">
        <f t="shared" si="406"/>
        <v/>
      </c>
      <c r="H1313" s="541" t="s">
        <v>3758</v>
      </c>
      <c r="I1313" s="3"/>
      <c r="J1313" s="159"/>
      <c r="K1313" s="165"/>
      <c r="L1313" s="792"/>
      <c r="M1313" s="854" t="str">
        <f>IF(R1313,"Mandatory","N/A")</f>
        <v>N/A</v>
      </c>
      <c r="N1313" s="3"/>
      <c r="O1313" s="609"/>
      <c r="P1313" s="562"/>
      <c r="Q1313" s="562"/>
      <c r="R1313" s="562"/>
      <c r="S1313" s="562"/>
      <c r="T1313" s="562"/>
      <c r="U1313" s="562"/>
      <c r="V1313" s="562"/>
      <c r="W1313" s="562"/>
      <c r="X1313" s="787"/>
      <c r="Y1313" s="980"/>
      <c r="Z1313" s="983"/>
      <c r="AA1313" s="562"/>
      <c r="AB1313" s="562"/>
      <c r="AC1313" s="562"/>
      <c r="AD1313" s="562"/>
      <c r="AE1313" s="562"/>
      <c r="AF1313" s="562"/>
      <c r="AG1313" s="562"/>
      <c r="AH1313" s="562"/>
      <c r="AI1313" s="562"/>
      <c r="AJ1313" s="562"/>
      <c r="AK1313" s="562"/>
      <c r="AL1313" s="562"/>
      <c r="AM1313" s="562"/>
      <c r="AN1313" s="562"/>
      <c r="AO1313" s="562"/>
      <c r="AP1313" s="562"/>
      <c r="AQ1313" s="562"/>
      <c r="AR1313" s="562"/>
      <c r="AS1313" s="562"/>
      <c r="AT1313" s="562"/>
      <c r="AU1313" s="562"/>
      <c r="AV1313" s="562"/>
      <c r="AW1313" s="562"/>
      <c r="AX1313" s="562"/>
      <c r="AY1313" s="562"/>
      <c r="AZ1313" s="562"/>
      <c r="BA1313" s="562"/>
      <c r="BB1313" s="562"/>
      <c r="BC1313" s="562"/>
      <c r="BD1313" s="562"/>
      <c r="BE1313" s="562"/>
      <c r="BF1313" s="562"/>
      <c r="BG1313" s="562"/>
      <c r="BH1313" s="562"/>
    </row>
    <row r="1314" spans="1:60" x14ac:dyDescent="0.2">
      <c r="A1314" s="541">
        <v>10</v>
      </c>
      <c r="B1314" s="551">
        <v>1002.3</v>
      </c>
      <c r="C1314" s="544"/>
      <c r="D1314" s="544"/>
      <c r="E1314" s="544" t="s">
        <v>2183</v>
      </c>
      <c r="F1314" s="544"/>
      <c r="G1314" s="543" t="str">
        <f t="shared" si="406"/>
        <v/>
      </c>
      <c r="H1314" s="541" t="s">
        <v>3758</v>
      </c>
      <c r="I1314" s="3"/>
      <c r="J1314" s="164" t="s">
        <v>2183</v>
      </c>
      <c r="K1314" s="146"/>
      <c r="L1314" s="831" t="s">
        <v>3250</v>
      </c>
      <c r="M1314" s="609"/>
      <c r="N1314" s="3"/>
      <c r="O1314" s="609"/>
      <c r="P1314" s="562" t="b">
        <v>0</v>
      </c>
      <c r="Q1314" s="562" t="b">
        <v>1</v>
      </c>
      <c r="R1314" s="562" t="b">
        <v>0</v>
      </c>
      <c r="S1314" s="562" t="b">
        <f>IF(AY1202=INDEX(ddSingleOrMulti,2),TRUE,FALSE)</f>
        <v>0</v>
      </c>
      <c r="T1314" s="64" t="b">
        <f>AND(NOT(S1314),W1314=TRUE)</f>
        <v>0</v>
      </c>
      <c r="U1314" s="562"/>
      <c r="V1314" s="562"/>
      <c r="W1314" s="18"/>
      <c r="X1314" s="787"/>
      <c r="Y1314" s="980" t="str">
        <f>IF(LEN('Ch10'!X131)=0,"None",'Ch10'!X131)</f>
        <v>None</v>
      </c>
      <c r="Z1314" s="983"/>
      <c r="AA1314" s="562"/>
      <c r="AB1314" s="562"/>
      <c r="AC1314" s="562" t="b">
        <f>OR(AD1314:AE1314)</f>
        <v>0</v>
      </c>
      <c r="AD1314" s="562" t="b">
        <f>T1314</f>
        <v>0</v>
      </c>
      <c r="AE1314" s="562"/>
      <c r="AF1314" s="562"/>
      <c r="AG1314" s="562"/>
      <c r="AH1314" s="562"/>
      <c r="AI1314" s="562"/>
      <c r="AJ1314" s="562"/>
      <c r="AK1314" s="562"/>
      <c r="AL1314" s="562"/>
      <c r="AM1314" s="562"/>
      <c r="AN1314" s="562"/>
      <c r="AO1314" s="562"/>
      <c r="AP1314" s="190" t="str">
        <f>SUBSTITUTE(SUBSTITUTE(SUBSTITUTE("vch"&amp;$B1314&amp;$C1314&amp;$D1314&amp;$E1314&amp;$F1314,".","_"),"(","_"),")","")</f>
        <v>vch1002,3_2</v>
      </c>
      <c r="AQ1314" s="190">
        <f>W1314</f>
        <v>0</v>
      </c>
      <c r="AR1314" s="190" t="str">
        <f>SUBSTITUTE(SUBSTITUTE(SUBSTITUTE("vnt"&amp;$B1314&amp;$C1314&amp;$D1314&amp;$E1314&amp;$F1314,".","_"),"(","_"),")","")</f>
        <v>vnt1002,3_2</v>
      </c>
      <c r="AS1314" s="190">
        <f>X1314</f>
        <v>0</v>
      </c>
      <c r="AT1314" s="562"/>
      <c r="AU1314" s="562"/>
      <c r="AV1314" s="562"/>
      <c r="AW1314" s="562"/>
      <c r="AX1314" s="562"/>
      <c r="AY1314" s="562"/>
      <c r="AZ1314" s="562"/>
      <c r="BA1314" s="562"/>
      <c r="BB1314" s="562"/>
      <c r="BC1314" s="562"/>
      <c r="BD1314" s="562"/>
      <c r="BE1314" s="562"/>
      <c r="BF1314" s="562"/>
      <c r="BG1314" s="562"/>
      <c r="BH1314" s="562"/>
    </row>
    <row r="1315" spans="1:60" x14ac:dyDescent="0.2">
      <c r="A1315" s="541">
        <v>10</v>
      </c>
      <c r="B1315" s="551">
        <v>1002.3</v>
      </c>
      <c r="C1315" s="544"/>
      <c r="D1315" s="544"/>
      <c r="E1315" s="544" t="s">
        <v>2183</v>
      </c>
      <c r="F1315" s="544"/>
      <c r="G1315" s="543" t="str">
        <f t="shared" si="406"/>
        <v/>
      </c>
      <c r="H1315" s="541" t="s">
        <v>3758</v>
      </c>
      <c r="I1315" s="3"/>
      <c r="J1315" s="98"/>
      <c r="K1315" s="98"/>
      <c r="L1315" s="791"/>
      <c r="M1315" s="609"/>
      <c r="N1315" s="3"/>
      <c r="O1315" s="609"/>
      <c r="P1315" s="562"/>
      <c r="Q1315" s="562"/>
      <c r="R1315" s="562"/>
      <c r="S1315" s="562"/>
      <c r="T1315" s="562"/>
      <c r="U1315" s="562"/>
      <c r="V1315" s="562"/>
      <c r="W1315" s="562"/>
      <c r="X1315" s="787"/>
      <c r="Y1315" s="980"/>
      <c r="Z1315" s="983"/>
      <c r="AA1315" s="562"/>
      <c r="AB1315" s="562"/>
      <c r="AC1315" s="562"/>
      <c r="AD1315" s="562"/>
      <c r="AE1315" s="562"/>
      <c r="AF1315" s="562"/>
      <c r="AG1315" s="562"/>
      <c r="AH1315" s="562"/>
      <c r="AI1315" s="562"/>
      <c r="AJ1315" s="562"/>
      <c r="AK1315" s="562"/>
      <c r="AL1315" s="562"/>
      <c r="AM1315" s="562"/>
      <c r="AN1315" s="562"/>
      <c r="AO1315" s="562"/>
      <c r="AP1315" s="562"/>
      <c r="AQ1315" s="562"/>
      <c r="AR1315" s="562"/>
      <c r="AS1315" s="562"/>
      <c r="AT1315" s="562"/>
      <c r="AU1315" s="562"/>
      <c r="AV1315" s="562"/>
      <c r="AW1315" s="562"/>
      <c r="AX1315" s="562"/>
      <c r="AY1315" s="562"/>
      <c r="AZ1315" s="562"/>
      <c r="BA1315" s="562"/>
      <c r="BB1315" s="562"/>
      <c r="BC1315" s="562"/>
      <c r="BD1315" s="562"/>
      <c r="BE1315" s="562"/>
      <c r="BF1315" s="562"/>
      <c r="BG1315" s="562"/>
      <c r="BH1315" s="562"/>
    </row>
    <row r="1316" spans="1:60" x14ac:dyDescent="0.2">
      <c r="A1316" s="541">
        <v>10</v>
      </c>
      <c r="B1316" s="551">
        <v>1002.3</v>
      </c>
      <c r="C1316" s="544"/>
      <c r="D1316" s="544"/>
      <c r="E1316" s="544" t="s">
        <v>2183</v>
      </c>
      <c r="F1316" s="544"/>
      <c r="G1316" s="543" t="str">
        <f t="shared" si="406"/>
        <v/>
      </c>
      <c r="H1316" s="541" t="s">
        <v>3758</v>
      </c>
      <c r="I1316" s="3"/>
      <c r="J1316" s="98"/>
      <c r="K1316" s="98"/>
      <c r="L1316" s="791"/>
      <c r="M1316" s="609"/>
      <c r="N1316" s="3"/>
      <c r="O1316" s="609"/>
      <c r="P1316" s="562"/>
      <c r="Q1316" s="562"/>
      <c r="R1316" s="562"/>
      <c r="S1316" s="562"/>
      <c r="T1316" s="562"/>
      <c r="U1316" s="562"/>
      <c r="V1316" s="562"/>
      <c r="W1316" s="562"/>
      <c r="X1316" s="787"/>
      <c r="Y1316" s="980"/>
      <c r="Z1316" s="983"/>
      <c r="AA1316" s="562"/>
      <c r="AB1316" s="562"/>
      <c r="AC1316" s="562"/>
      <c r="AD1316" s="562"/>
      <c r="AE1316" s="562"/>
      <c r="AF1316" s="562"/>
      <c r="AG1316" s="562"/>
      <c r="AH1316" s="562"/>
      <c r="AI1316" s="562"/>
      <c r="AJ1316" s="562"/>
      <c r="AK1316" s="562"/>
      <c r="AL1316" s="562"/>
      <c r="AM1316" s="562"/>
      <c r="AN1316" s="562"/>
      <c r="AO1316" s="562"/>
      <c r="AP1316" s="562"/>
      <c r="AQ1316" s="562"/>
      <c r="AR1316" s="562"/>
      <c r="AS1316" s="562"/>
      <c r="AT1316" s="562"/>
      <c r="AU1316" s="562"/>
      <c r="AV1316" s="562"/>
      <c r="AW1316" s="562"/>
      <c r="AX1316" s="562"/>
      <c r="AY1316" s="562"/>
      <c r="AZ1316" s="562"/>
      <c r="BA1316" s="562"/>
      <c r="BB1316" s="562"/>
      <c r="BC1316" s="562"/>
      <c r="BD1316" s="562"/>
      <c r="BE1316" s="562"/>
      <c r="BF1316" s="562"/>
      <c r="BG1316" s="562"/>
      <c r="BH1316" s="562"/>
    </row>
    <row r="1317" spans="1:60" x14ac:dyDescent="0.2">
      <c r="A1317" s="541">
        <v>10</v>
      </c>
      <c r="B1317" s="551">
        <v>1002.3</v>
      </c>
      <c r="C1317" s="544"/>
      <c r="D1317" s="544"/>
      <c r="E1317" s="544" t="s">
        <v>2183</v>
      </c>
      <c r="F1317" s="544"/>
      <c r="G1317" s="543" t="str">
        <f t="shared" si="406"/>
        <v/>
      </c>
      <c r="H1317" s="541" t="s">
        <v>3758</v>
      </c>
      <c r="I1317" s="3"/>
      <c r="J1317" s="165"/>
      <c r="K1317" s="165"/>
      <c r="L1317" s="792"/>
      <c r="M1317" s="609"/>
      <c r="N1317" s="3"/>
      <c r="O1317" s="609"/>
      <c r="P1317" s="562"/>
      <c r="Q1317" s="562"/>
      <c r="R1317" s="562"/>
      <c r="S1317" s="562"/>
      <c r="T1317" s="562"/>
      <c r="U1317" s="562"/>
      <c r="V1317" s="562"/>
      <c r="W1317" s="562"/>
      <c r="X1317" s="787"/>
      <c r="Y1317" s="980"/>
      <c r="Z1317" s="983"/>
      <c r="AA1317" s="562"/>
      <c r="AB1317" s="562"/>
      <c r="AC1317" s="562"/>
      <c r="AD1317" s="562"/>
      <c r="AE1317" s="562"/>
      <c r="AF1317" s="562"/>
      <c r="AG1317" s="562"/>
      <c r="AH1317" s="562"/>
      <c r="AI1317" s="562"/>
      <c r="AJ1317" s="562"/>
      <c r="AK1317" s="562"/>
      <c r="AL1317" s="562"/>
      <c r="AM1317" s="562"/>
      <c r="AN1317" s="562"/>
      <c r="AO1317" s="562"/>
      <c r="AP1317" s="562"/>
      <c r="AQ1317" s="562"/>
      <c r="AR1317" s="562"/>
      <c r="AS1317" s="562"/>
      <c r="AT1317" s="562"/>
      <c r="AU1317" s="562"/>
      <c r="AV1317" s="562"/>
      <c r="AW1317" s="562"/>
      <c r="AX1317" s="562"/>
      <c r="AY1317" s="562"/>
      <c r="AZ1317" s="562"/>
      <c r="BA1317" s="562"/>
      <c r="BB1317" s="562"/>
      <c r="BC1317" s="562"/>
      <c r="BD1317" s="562"/>
      <c r="BE1317" s="562"/>
      <c r="BF1317" s="562"/>
      <c r="BG1317" s="562"/>
      <c r="BH1317" s="562"/>
    </row>
    <row r="1318" spans="1:60" x14ac:dyDescent="0.2">
      <c r="A1318" s="541">
        <v>10</v>
      </c>
      <c r="B1318" s="551">
        <v>1002.3</v>
      </c>
      <c r="C1318" s="544"/>
      <c r="D1318" s="544"/>
      <c r="E1318" s="544" t="s">
        <v>2185</v>
      </c>
      <c r="F1318" s="544"/>
      <c r="G1318" s="543" t="str">
        <f t="shared" si="406"/>
        <v/>
      </c>
      <c r="H1318" s="541" t="s">
        <v>3758</v>
      </c>
      <c r="I1318" s="3"/>
      <c r="J1318" s="164" t="s">
        <v>2185</v>
      </c>
      <c r="K1318" s="146"/>
      <c r="L1318" s="657" t="s">
        <v>3311</v>
      </c>
      <c r="M1318" s="609"/>
      <c r="N1318" s="3"/>
      <c r="O1318" s="609"/>
      <c r="P1318" s="562" t="b">
        <v>0</v>
      </c>
      <c r="Q1318" s="562" t="b">
        <v>1</v>
      </c>
      <c r="R1318" s="562" t="b">
        <v>0</v>
      </c>
      <c r="S1318" s="562" t="b">
        <f>IF(AY1202=INDEX(ddSingleOrMulti,2),TRUE,FALSE)</f>
        <v>0</v>
      </c>
      <c r="T1318" s="64" t="b">
        <f>AND(NOT(S1318),W1318=TRUE)</f>
        <v>0</v>
      </c>
      <c r="U1318" s="562"/>
      <c r="V1318" s="562"/>
      <c r="W1318" s="18"/>
      <c r="X1318" s="787"/>
      <c r="Y1318" s="980" t="str">
        <f>IF(LEN('Ch10'!X135)=0,"None",'Ch10'!X135)</f>
        <v>None</v>
      </c>
      <c r="Z1318" s="983"/>
      <c r="AA1318" s="562"/>
      <c r="AB1318" s="562"/>
      <c r="AC1318" s="562" t="b">
        <f>OR(AD1318:AE1318)</f>
        <v>0</v>
      </c>
      <c r="AD1318" s="562" t="b">
        <f>T1318</f>
        <v>0</v>
      </c>
      <c r="AE1318" s="562"/>
      <c r="AF1318" s="562"/>
      <c r="AG1318" s="562"/>
      <c r="AH1318" s="562"/>
      <c r="AI1318" s="562"/>
      <c r="AJ1318" s="562"/>
      <c r="AK1318" s="562"/>
      <c r="AL1318" s="562"/>
      <c r="AM1318" s="562"/>
      <c r="AN1318" s="562"/>
      <c r="AO1318" s="562"/>
      <c r="AP1318" s="190" t="str">
        <f>SUBSTITUTE(SUBSTITUTE(SUBSTITUTE("vch"&amp;$B1318&amp;$C1318&amp;$D1318&amp;$E1318&amp;$F1318,".","_"),"(","_"),")","")</f>
        <v>vch1002,3_3</v>
      </c>
      <c r="AQ1318" s="190">
        <f>W1318</f>
        <v>0</v>
      </c>
      <c r="AR1318" s="190" t="str">
        <f>SUBSTITUTE(SUBSTITUTE(SUBSTITUTE("vnt"&amp;$B1318&amp;$C1318&amp;$D1318&amp;$E1318&amp;$F1318,".","_"),"(","_"),")","")</f>
        <v>vnt1002,3_3</v>
      </c>
      <c r="AS1318" s="190">
        <f>X1318</f>
        <v>0</v>
      </c>
      <c r="AT1318" s="562"/>
      <c r="AU1318" s="562"/>
      <c r="AV1318" s="562"/>
      <c r="AW1318" s="562"/>
      <c r="AX1318" s="562"/>
      <c r="AY1318" s="562"/>
      <c r="AZ1318" s="562"/>
      <c r="BA1318" s="562"/>
      <c r="BB1318" s="562"/>
      <c r="BC1318" s="562"/>
      <c r="BD1318" s="562"/>
      <c r="BE1318" s="562"/>
      <c r="BF1318" s="562"/>
      <c r="BG1318" s="562"/>
      <c r="BH1318" s="562"/>
    </row>
    <row r="1319" spans="1:60" x14ac:dyDescent="0.2">
      <c r="A1319" s="541">
        <v>10</v>
      </c>
      <c r="B1319" s="551">
        <v>1002.3</v>
      </c>
      <c r="C1319" s="544"/>
      <c r="D1319" s="544"/>
      <c r="E1319" s="544" t="s">
        <v>2185</v>
      </c>
      <c r="F1319" s="544" t="s">
        <v>2196</v>
      </c>
      <c r="G1319" s="543" t="str">
        <f t="shared" si="406"/>
        <v/>
      </c>
      <c r="H1319" s="545" t="s">
        <v>3758</v>
      </c>
      <c r="I1319" s="3"/>
      <c r="J1319" s="98"/>
      <c r="K1319" s="134" t="s">
        <v>2196</v>
      </c>
      <c r="L1319" s="659" t="s">
        <v>3312</v>
      </c>
      <c r="M1319" s="609"/>
      <c r="N1319" s="3"/>
      <c r="O1319" s="609"/>
      <c r="P1319" s="562"/>
      <c r="Q1319" s="562"/>
      <c r="R1319" s="562"/>
      <c r="S1319" s="562"/>
      <c r="T1319" s="562"/>
      <c r="U1319" s="562"/>
      <c r="V1319" s="562"/>
      <c r="W1319" s="562"/>
      <c r="X1319" s="787"/>
      <c r="Y1319" s="980"/>
      <c r="Z1319" s="983"/>
      <c r="AA1319" s="562"/>
      <c r="AB1319" s="562"/>
      <c r="AC1319" s="562"/>
      <c r="AD1319" s="562"/>
      <c r="AE1319" s="562"/>
      <c r="AF1319" s="562"/>
      <c r="AG1319" s="562"/>
      <c r="AH1319" s="562"/>
      <c r="AI1319" s="562"/>
      <c r="AJ1319" s="562"/>
      <c r="AK1319" s="562"/>
      <c r="AL1319" s="562"/>
      <c r="AM1319" s="562"/>
      <c r="AN1319" s="562"/>
      <c r="AO1319" s="562"/>
      <c r="AP1319" s="562"/>
      <c r="AQ1319" s="562"/>
      <c r="AR1319" s="562"/>
      <c r="AS1319" s="562"/>
      <c r="AT1319" s="562"/>
      <c r="AU1319" s="562"/>
      <c r="AV1319" s="562"/>
      <c r="AW1319" s="562"/>
      <c r="AX1319" s="562"/>
      <c r="AY1319" s="562"/>
      <c r="AZ1319" s="562"/>
      <c r="BA1319" s="562"/>
      <c r="BB1319" s="562"/>
      <c r="BC1319" s="562"/>
      <c r="BD1319" s="562"/>
      <c r="BE1319" s="562"/>
      <c r="BF1319" s="562"/>
      <c r="BG1319" s="562"/>
      <c r="BH1319" s="562"/>
    </row>
    <row r="1320" spans="1:60" x14ac:dyDescent="0.2">
      <c r="A1320" s="541">
        <v>10</v>
      </c>
      <c r="B1320" s="551">
        <v>1002.3</v>
      </c>
      <c r="C1320" s="544"/>
      <c r="D1320" s="544"/>
      <c r="E1320" s="544" t="s">
        <v>2185</v>
      </c>
      <c r="F1320" s="544" t="s">
        <v>2198</v>
      </c>
      <c r="G1320" s="543" t="str">
        <f t="shared" si="406"/>
        <v/>
      </c>
      <c r="H1320" s="545" t="s">
        <v>3758</v>
      </c>
      <c r="I1320" s="3"/>
      <c r="J1320" s="98"/>
      <c r="K1320" s="134" t="s">
        <v>2198</v>
      </c>
      <c r="L1320" s="659" t="s">
        <v>3313</v>
      </c>
      <c r="M1320" s="609"/>
      <c r="N1320" s="3"/>
      <c r="O1320" s="609"/>
      <c r="P1320" s="562"/>
      <c r="Q1320" s="562"/>
      <c r="R1320" s="562"/>
      <c r="S1320" s="562"/>
      <c r="T1320" s="562"/>
      <c r="U1320" s="562"/>
      <c r="V1320" s="562"/>
      <c r="W1320" s="562"/>
      <c r="X1320" s="787"/>
      <c r="Y1320" s="980"/>
      <c r="Z1320" s="983"/>
      <c r="AA1320" s="562"/>
      <c r="AB1320" s="562"/>
      <c r="AC1320" s="562"/>
      <c r="AD1320" s="562"/>
      <c r="AE1320" s="562"/>
      <c r="AF1320" s="562"/>
      <c r="AG1320" s="562"/>
      <c r="AH1320" s="562"/>
      <c r="AI1320" s="562"/>
      <c r="AJ1320" s="562"/>
      <c r="AK1320" s="562"/>
      <c r="AL1320" s="562"/>
      <c r="AM1320" s="562"/>
      <c r="AN1320" s="562"/>
      <c r="AO1320" s="562"/>
      <c r="AP1320" s="562"/>
      <c r="AQ1320" s="562"/>
      <c r="AR1320" s="562"/>
      <c r="AS1320" s="562"/>
      <c r="AT1320" s="562"/>
      <c r="AU1320" s="562"/>
      <c r="AV1320" s="562"/>
      <c r="AW1320" s="562"/>
      <c r="AX1320" s="562"/>
      <c r="AY1320" s="562"/>
      <c r="AZ1320" s="562"/>
      <c r="BA1320" s="562"/>
      <c r="BB1320" s="562"/>
      <c r="BC1320" s="562"/>
      <c r="BD1320" s="562"/>
      <c r="BE1320" s="562"/>
      <c r="BF1320" s="562"/>
      <c r="BG1320" s="562"/>
      <c r="BH1320" s="562"/>
    </row>
    <row r="1321" spans="1:60" x14ac:dyDescent="0.2">
      <c r="A1321" s="541">
        <v>10</v>
      </c>
      <c r="B1321" s="551">
        <v>1002.3</v>
      </c>
      <c r="C1321" s="544"/>
      <c r="D1321" s="544"/>
      <c r="E1321" s="544" t="s">
        <v>2185</v>
      </c>
      <c r="F1321" s="544" t="s">
        <v>2200</v>
      </c>
      <c r="G1321" s="543" t="str">
        <f t="shared" si="406"/>
        <v/>
      </c>
      <c r="H1321" s="545" t="s">
        <v>3758</v>
      </c>
      <c r="I1321" s="3"/>
      <c r="J1321" s="98"/>
      <c r="K1321" s="134" t="s">
        <v>2200</v>
      </c>
      <c r="L1321" s="659" t="s">
        <v>3314</v>
      </c>
      <c r="M1321" s="609"/>
      <c r="N1321" s="3"/>
      <c r="O1321" s="609"/>
      <c r="P1321" s="562"/>
      <c r="Q1321" s="562"/>
      <c r="R1321" s="562"/>
      <c r="S1321" s="562"/>
      <c r="T1321" s="562"/>
      <c r="U1321" s="562"/>
      <c r="V1321" s="562"/>
      <c r="W1321" s="562"/>
      <c r="X1321" s="787"/>
      <c r="Y1321" s="980"/>
      <c r="Z1321" s="983"/>
      <c r="AA1321" s="562"/>
      <c r="AB1321" s="562"/>
      <c r="AC1321" s="562"/>
      <c r="AD1321" s="562"/>
      <c r="AE1321" s="562"/>
      <c r="AF1321" s="562"/>
      <c r="AG1321" s="562"/>
      <c r="AH1321" s="562"/>
      <c r="AI1321" s="562"/>
      <c r="AJ1321" s="562"/>
      <c r="AK1321" s="562"/>
      <c r="AL1321" s="562"/>
      <c r="AM1321" s="562"/>
      <c r="AN1321" s="562"/>
      <c r="AO1321" s="562"/>
      <c r="AP1321" s="562"/>
      <c r="AQ1321" s="562"/>
      <c r="AR1321" s="562"/>
      <c r="AS1321" s="562"/>
      <c r="AT1321" s="562"/>
      <c r="AU1321" s="562"/>
      <c r="AV1321" s="562"/>
      <c r="AW1321" s="562"/>
      <c r="AX1321" s="562"/>
      <c r="AY1321" s="562"/>
      <c r="AZ1321" s="562"/>
      <c r="BA1321" s="562"/>
      <c r="BB1321" s="562"/>
      <c r="BC1321" s="562"/>
      <c r="BD1321" s="562"/>
      <c r="BE1321" s="562"/>
      <c r="BF1321" s="562"/>
      <c r="BG1321" s="562"/>
      <c r="BH1321" s="562"/>
    </row>
    <row r="1322" spans="1:60" x14ac:dyDescent="0.2">
      <c r="A1322" s="541">
        <v>10</v>
      </c>
      <c r="B1322" s="551">
        <v>1002.3</v>
      </c>
      <c r="C1322" s="544"/>
      <c r="D1322" s="544"/>
      <c r="E1322" s="544" t="s">
        <v>2185</v>
      </c>
      <c r="F1322" s="544" t="s">
        <v>2247</v>
      </c>
      <c r="G1322" s="543" t="str">
        <f t="shared" si="406"/>
        <v/>
      </c>
      <c r="H1322" s="545" t="s">
        <v>3758</v>
      </c>
      <c r="I1322" s="3"/>
      <c r="J1322" s="98"/>
      <c r="K1322" s="134" t="s">
        <v>2247</v>
      </c>
      <c r="L1322" s="659" t="s">
        <v>3315</v>
      </c>
      <c r="M1322" s="609"/>
      <c r="N1322" s="3"/>
      <c r="O1322" s="609"/>
      <c r="P1322" s="562"/>
      <c r="Q1322" s="562"/>
      <c r="R1322" s="562"/>
      <c r="S1322" s="562"/>
      <c r="T1322" s="562"/>
      <c r="U1322" s="562"/>
      <c r="V1322" s="562"/>
      <c r="W1322" s="562"/>
      <c r="X1322" s="787"/>
      <c r="Y1322" s="980"/>
      <c r="Z1322" s="983"/>
      <c r="AA1322" s="562"/>
      <c r="AB1322" s="562"/>
      <c r="AC1322" s="562"/>
      <c r="AD1322" s="562"/>
      <c r="AE1322" s="562"/>
      <c r="AF1322" s="562"/>
      <c r="AG1322" s="562"/>
      <c r="AH1322" s="562"/>
      <c r="AI1322" s="562"/>
      <c r="AJ1322" s="562"/>
      <c r="AK1322" s="562"/>
      <c r="AL1322" s="562"/>
      <c r="AM1322" s="562"/>
      <c r="AN1322" s="562"/>
      <c r="AO1322" s="562"/>
      <c r="AP1322" s="562"/>
      <c r="AQ1322" s="562"/>
      <c r="AR1322" s="562"/>
      <c r="AS1322" s="562"/>
      <c r="AT1322" s="562"/>
      <c r="AU1322" s="562"/>
      <c r="AV1322" s="562"/>
      <c r="AW1322" s="562"/>
      <c r="AX1322" s="562"/>
      <c r="AY1322" s="562"/>
      <c r="AZ1322" s="562"/>
      <c r="BA1322" s="562"/>
      <c r="BB1322" s="562"/>
      <c r="BC1322" s="562"/>
      <c r="BD1322" s="562"/>
      <c r="BE1322" s="562"/>
      <c r="BF1322" s="562"/>
      <c r="BG1322" s="562"/>
      <c r="BH1322" s="562"/>
    </row>
    <row r="1323" spans="1:60" x14ac:dyDescent="0.2">
      <c r="A1323" s="541">
        <v>10</v>
      </c>
      <c r="B1323" s="551">
        <v>1002.3</v>
      </c>
      <c r="C1323" s="544"/>
      <c r="D1323" s="544"/>
      <c r="E1323" s="544" t="s">
        <v>2185</v>
      </c>
      <c r="F1323" s="544" t="s">
        <v>2444</v>
      </c>
      <c r="G1323" s="543" t="str">
        <f t="shared" si="406"/>
        <v/>
      </c>
      <c r="H1323" s="545" t="s">
        <v>3758</v>
      </c>
      <c r="I1323" s="3"/>
      <c r="J1323" s="98"/>
      <c r="K1323" s="134" t="s">
        <v>2444</v>
      </c>
      <c r="L1323" s="659" t="s">
        <v>3316</v>
      </c>
      <c r="M1323" s="609"/>
      <c r="N1323" s="3"/>
      <c r="O1323" s="609"/>
      <c r="P1323" s="562"/>
      <c r="Q1323" s="562"/>
      <c r="R1323" s="562"/>
      <c r="S1323" s="562"/>
      <c r="T1323" s="562"/>
      <c r="U1323" s="562"/>
      <c r="V1323" s="562"/>
      <c r="W1323" s="562"/>
      <c r="X1323" s="787"/>
      <c r="Y1323" s="980"/>
      <c r="Z1323" s="983"/>
      <c r="AA1323" s="562"/>
      <c r="AB1323" s="562"/>
      <c r="AC1323" s="562"/>
      <c r="AD1323" s="562"/>
      <c r="AE1323" s="562"/>
      <c r="AF1323" s="562"/>
      <c r="AG1323" s="562"/>
      <c r="AH1323" s="562"/>
      <c r="AI1323" s="562"/>
      <c r="AJ1323" s="562"/>
      <c r="AK1323" s="562"/>
      <c r="AL1323" s="562"/>
      <c r="AM1323" s="562"/>
      <c r="AN1323" s="562"/>
      <c r="AO1323" s="562"/>
      <c r="AP1323" s="562"/>
      <c r="AQ1323" s="562"/>
      <c r="AR1323" s="562"/>
      <c r="AS1323" s="562"/>
      <c r="AT1323" s="562"/>
      <c r="AU1323" s="562"/>
      <c r="AV1323" s="562"/>
      <c r="AW1323" s="562"/>
      <c r="AX1323" s="562"/>
      <c r="AY1323" s="562"/>
      <c r="AZ1323" s="562"/>
      <c r="BA1323" s="562"/>
      <c r="BB1323" s="562"/>
      <c r="BC1323" s="562"/>
      <c r="BD1323" s="562"/>
      <c r="BE1323" s="562"/>
      <c r="BF1323" s="562"/>
      <c r="BG1323" s="562"/>
      <c r="BH1323" s="562"/>
    </row>
    <row r="1324" spans="1:60" x14ac:dyDescent="0.2">
      <c r="A1324" s="541">
        <v>10</v>
      </c>
      <c r="B1324" s="551">
        <v>1002.3</v>
      </c>
      <c r="C1324" s="544"/>
      <c r="D1324" s="544"/>
      <c r="E1324" s="544" t="s">
        <v>2185</v>
      </c>
      <c r="F1324" s="544" t="s">
        <v>2540</v>
      </c>
      <c r="G1324" s="543" t="str">
        <f t="shared" si="406"/>
        <v/>
      </c>
      <c r="H1324" s="545" t="s">
        <v>3758</v>
      </c>
      <c r="I1324" s="3"/>
      <c r="J1324" s="165"/>
      <c r="K1324" s="159" t="s">
        <v>2540</v>
      </c>
      <c r="L1324" s="658" t="s">
        <v>3317</v>
      </c>
      <c r="M1324" s="609"/>
      <c r="N1324" s="3"/>
      <c r="O1324" s="609"/>
      <c r="P1324" s="562"/>
      <c r="Q1324" s="562"/>
      <c r="R1324" s="562"/>
      <c r="S1324" s="562"/>
      <c r="T1324" s="562"/>
      <c r="U1324" s="562"/>
      <c r="V1324" s="562"/>
      <c r="W1324" s="562"/>
      <c r="X1324" s="787"/>
      <c r="Y1324" s="980"/>
      <c r="Z1324" s="983"/>
      <c r="AA1324" s="562"/>
      <c r="AB1324" s="562"/>
      <c r="AC1324" s="562"/>
      <c r="AD1324" s="562"/>
      <c r="AE1324" s="562"/>
      <c r="AF1324" s="562"/>
      <c r="AG1324" s="562"/>
      <c r="AH1324" s="562"/>
      <c r="AI1324" s="562"/>
      <c r="AJ1324" s="562"/>
      <c r="AK1324" s="562"/>
      <c r="AL1324" s="562"/>
      <c r="AM1324" s="562"/>
      <c r="AN1324" s="562"/>
      <c r="AO1324" s="562"/>
      <c r="AP1324" s="562"/>
      <c r="AQ1324" s="562"/>
      <c r="AR1324" s="562"/>
      <c r="AS1324" s="562"/>
      <c r="AT1324" s="562"/>
      <c r="AU1324" s="562"/>
      <c r="AV1324" s="562"/>
      <c r="AW1324" s="562"/>
      <c r="AX1324" s="562"/>
      <c r="AY1324" s="562"/>
      <c r="AZ1324" s="562"/>
      <c r="BA1324" s="562"/>
      <c r="BB1324" s="562"/>
      <c r="BC1324" s="562"/>
      <c r="BD1324" s="562"/>
      <c r="BE1324" s="562"/>
      <c r="BF1324" s="562"/>
      <c r="BG1324" s="562"/>
      <c r="BH1324" s="562"/>
    </row>
    <row r="1325" spans="1:60" x14ac:dyDescent="0.2">
      <c r="A1325" s="541">
        <v>10</v>
      </c>
      <c r="B1325" s="551">
        <v>1002.3</v>
      </c>
      <c r="C1325" s="544"/>
      <c r="D1325" s="544"/>
      <c r="E1325" s="544" t="s">
        <v>2192</v>
      </c>
      <c r="F1325" s="544"/>
      <c r="G1325" s="543" t="str">
        <f t="shared" si="406"/>
        <v/>
      </c>
      <c r="H1325" s="541" t="s">
        <v>3758</v>
      </c>
      <c r="I1325" s="3"/>
      <c r="J1325" s="20" t="s">
        <v>2192</v>
      </c>
      <c r="K1325" s="3"/>
      <c r="L1325" s="817" t="s">
        <v>3254</v>
      </c>
      <c r="M1325" s="609"/>
      <c r="N1325" s="3"/>
      <c r="O1325" s="609"/>
      <c r="P1325" s="562" t="b">
        <v>0</v>
      </c>
      <c r="Q1325" s="562" t="b">
        <v>1</v>
      </c>
      <c r="R1325" s="562" t="b">
        <v>0</v>
      </c>
      <c r="S1325" s="562" t="b">
        <f>IF(AY1202=INDEX(ddSingleOrMulti,2),TRUE,FALSE)</f>
        <v>0</v>
      </c>
      <c r="T1325" s="64" t="b">
        <f>AND(NOT(S1325),W1325=TRUE)</f>
        <v>0</v>
      </c>
      <c r="U1325" s="562"/>
      <c r="V1325" s="562"/>
      <c r="W1325" s="18"/>
      <c r="X1325" s="787"/>
      <c r="Y1325" s="980" t="str">
        <f>IF(LEN('Ch10'!X142)=0,"None",'Ch10'!X142)</f>
        <v>None</v>
      </c>
      <c r="Z1325" s="983"/>
      <c r="AA1325" s="562"/>
      <c r="AB1325" s="562"/>
      <c r="AC1325" s="562" t="b">
        <f>OR(AD1325:AE1325)</f>
        <v>0</v>
      </c>
      <c r="AD1325" s="562" t="b">
        <f>T1325</f>
        <v>0</v>
      </c>
      <c r="AE1325" s="562"/>
      <c r="AF1325" s="562"/>
      <c r="AG1325" s="562"/>
      <c r="AH1325" s="562"/>
      <c r="AI1325" s="562"/>
      <c r="AJ1325" s="562"/>
      <c r="AK1325" s="562"/>
      <c r="AL1325" s="562"/>
      <c r="AM1325" s="562"/>
      <c r="AN1325" s="562"/>
      <c r="AO1325" s="562"/>
      <c r="AP1325" s="190" t="str">
        <f>SUBSTITUTE(SUBSTITUTE(SUBSTITUTE("vch"&amp;$B1325&amp;$C1325&amp;$D1325&amp;$E1325&amp;$F1325,".","_"),"(","_"),")","")</f>
        <v>vch1002,3_4</v>
      </c>
      <c r="AQ1325" s="190">
        <f>W1325</f>
        <v>0</v>
      </c>
      <c r="AR1325" s="190" t="str">
        <f>SUBSTITUTE(SUBSTITUTE(SUBSTITUTE("vnt"&amp;$B1325&amp;$C1325&amp;$D1325&amp;$E1325&amp;$F1325,".","_"),"(","_"),")","")</f>
        <v>vnt1002,3_4</v>
      </c>
      <c r="AS1325" s="190">
        <f>X1325</f>
        <v>0</v>
      </c>
      <c r="AT1325" s="562"/>
      <c r="AU1325" s="562"/>
      <c r="AV1325" s="562"/>
      <c r="AW1325" s="562"/>
      <c r="AX1325" s="562"/>
      <c r="AY1325" s="562"/>
      <c r="AZ1325" s="562"/>
      <c r="BA1325" s="562"/>
      <c r="BB1325" s="562"/>
      <c r="BC1325" s="562"/>
      <c r="BD1325" s="562"/>
      <c r="BE1325" s="562"/>
      <c r="BF1325" s="562"/>
      <c r="BG1325" s="562"/>
      <c r="BH1325" s="562"/>
    </row>
    <row r="1326" spans="1:60" x14ac:dyDescent="0.2">
      <c r="A1326" s="541">
        <v>10</v>
      </c>
      <c r="B1326" s="551">
        <v>1002.3</v>
      </c>
      <c r="C1326" s="544"/>
      <c r="D1326" s="544"/>
      <c r="E1326" s="544" t="s">
        <v>2192</v>
      </c>
      <c r="F1326" s="544"/>
      <c r="G1326" s="543" t="str">
        <f t="shared" si="406"/>
        <v/>
      </c>
      <c r="H1326" s="541" t="s">
        <v>3758</v>
      </c>
      <c r="I1326" s="3"/>
      <c r="J1326" s="3"/>
      <c r="K1326" s="3"/>
      <c r="L1326" s="817"/>
      <c r="M1326" s="609"/>
      <c r="N1326" s="3"/>
      <c r="O1326" s="609"/>
      <c r="P1326" s="562"/>
      <c r="Q1326" s="562"/>
      <c r="R1326" s="562"/>
      <c r="S1326" s="562"/>
      <c r="T1326" s="562"/>
      <c r="U1326" s="562"/>
      <c r="V1326" s="562"/>
      <c r="W1326" s="562"/>
      <c r="X1326" s="787"/>
      <c r="Y1326" s="980"/>
      <c r="Z1326" s="983"/>
      <c r="AA1326" s="562"/>
      <c r="AB1326" s="562"/>
      <c r="AC1326" s="562"/>
      <c r="AD1326" s="562"/>
      <c r="AE1326" s="562"/>
      <c r="AF1326" s="562"/>
      <c r="AG1326" s="562"/>
      <c r="AH1326" s="562"/>
      <c r="AI1326" s="562"/>
      <c r="AJ1326" s="562"/>
      <c r="AK1326" s="562"/>
      <c r="AL1326" s="562"/>
      <c r="AM1326" s="562"/>
      <c r="AN1326" s="562"/>
      <c r="AO1326" s="562"/>
      <c r="AP1326" s="562"/>
      <c r="AQ1326" s="562"/>
      <c r="AR1326" s="562"/>
      <c r="AS1326" s="562"/>
      <c r="AT1326" s="562"/>
      <c r="AU1326" s="562"/>
      <c r="AV1326" s="562"/>
      <c r="AW1326" s="562"/>
      <c r="AX1326" s="562"/>
      <c r="AY1326" s="562"/>
      <c r="AZ1326" s="562"/>
      <c r="BA1326" s="562"/>
      <c r="BB1326" s="562"/>
      <c r="BC1326" s="562"/>
      <c r="BD1326" s="562"/>
      <c r="BE1326" s="562"/>
      <c r="BF1326" s="562"/>
      <c r="BG1326" s="562"/>
      <c r="BH1326" s="562"/>
    </row>
    <row r="1327" spans="1:60" ht="16" x14ac:dyDescent="0.2">
      <c r="A1327" s="541">
        <v>10</v>
      </c>
      <c r="B1327" s="551">
        <v>1002.3</v>
      </c>
      <c r="C1327" s="544"/>
      <c r="D1327" s="544"/>
      <c r="E1327" s="544" t="s">
        <v>2194</v>
      </c>
      <c r="F1327" s="544"/>
      <c r="G1327" s="543" t="str">
        <f t="shared" si="406"/>
        <v/>
      </c>
      <c r="H1327" s="541" t="s">
        <v>3758</v>
      </c>
      <c r="I1327" s="3"/>
      <c r="J1327" s="161" t="s">
        <v>2194</v>
      </c>
      <c r="K1327" s="186"/>
      <c r="L1327" s="187" t="s">
        <v>3256</v>
      </c>
      <c r="M1327" s="609"/>
      <c r="N1327" s="3"/>
      <c r="O1327" s="609"/>
      <c r="P1327" s="562" t="b">
        <v>0</v>
      </c>
      <c r="Q1327" s="562" t="b">
        <v>1</v>
      </c>
      <c r="R1327" s="562" t="b">
        <v>0</v>
      </c>
      <c r="S1327" s="562" t="b">
        <f>IF(AY1202=INDEX(ddSingleOrMulti,2),TRUE,FALSE)</f>
        <v>0</v>
      </c>
      <c r="T1327" s="64" t="b">
        <f>AND(NOT(S1327),W1327=TRUE)</f>
        <v>0</v>
      </c>
      <c r="U1327" s="562"/>
      <c r="V1327" s="562"/>
      <c r="W1327" s="18"/>
      <c r="X1327" s="563"/>
      <c r="Y1327" s="578" t="str">
        <f>IF(LEN('Ch10'!X144)=0,"None",'Ch10'!X144)</f>
        <v>None</v>
      </c>
      <c r="Z1327" s="579"/>
      <c r="AA1327" s="562"/>
      <c r="AB1327" s="562"/>
      <c r="AC1327" s="562" t="b">
        <f>OR(AD1327:AE1327)</f>
        <v>0</v>
      </c>
      <c r="AD1327" s="562" t="b">
        <f>T1327</f>
        <v>0</v>
      </c>
      <c r="AE1327" s="562"/>
      <c r="AF1327" s="562"/>
      <c r="AG1327" s="562"/>
      <c r="AH1327" s="562"/>
      <c r="AI1327" s="562"/>
      <c r="AJ1327" s="562"/>
      <c r="AK1327" s="562"/>
      <c r="AL1327" s="562"/>
      <c r="AM1327" s="562"/>
      <c r="AN1327" s="562"/>
      <c r="AO1327" s="562"/>
      <c r="AP1327" s="190" t="str">
        <f t="shared" ref="AP1327:AP1328" si="408">SUBSTITUTE(SUBSTITUTE(SUBSTITUTE("vch"&amp;$B1327&amp;$C1327&amp;$D1327&amp;$E1327&amp;$F1327,".","_"),"(","_"),")","")</f>
        <v>vch1002,3_5</v>
      </c>
      <c r="AQ1327" s="190">
        <f>W1327</f>
        <v>0</v>
      </c>
      <c r="AR1327" s="190" t="str">
        <f t="shared" ref="AR1327:AR1328" si="409">SUBSTITUTE(SUBSTITUTE(SUBSTITUTE("vnt"&amp;$B1327&amp;$C1327&amp;$D1327&amp;$E1327&amp;$F1327,".","_"),"(","_"),")","")</f>
        <v>vnt1002,3_5</v>
      </c>
      <c r="AS1327" s="190">
        <f>X1327</f>
        <v>0</v>
      </c>
      <c r="AT1327" s="562"/>
      <c r="AU1327" s="562"/>
      <c r="AV1327" s="562"/>
      <c r="AW1327" s="562"/>
      <c r="AX1327" s="562"/>
      <c r="AY1327" s="562"/>
      <c r="AZ1327" s="562"/>
      <c r="BA1327" s="562"/>
      <c r="BB1327" s="562"/>
      <c r="BC1327" s="562"/>
      <c r="BD1327" s="562"/>
      <c r="BE1327" s="562"/>
      <c r="BF1327" s="562"/>
      <c r="BG1327" s="562"/>
      <c r="BH1327" s="562"/>
    </row>
    <row r="1328" spans="1:60" x14ac:dyDescent="0.2">
      <c r="A1328" s="541">
        <v>10</v>
      </c>
      <c r="B1328" s="551">
        <v>1002.3</v>
      </c>
      <c r="C1328" s="544"/>
      <c r="D1328" s="544"/>
      <c r="E1328" s="544" t="s">
        <v>2221</v>
      </c>
      <c r="F1328" s="544"/>
      <c r="G1328" s="543" t="str">
        <f t="shared" si="406"/>
        <v/>
      </c>
      <c r="H1328" s="541" t="s">
        <v>3758</v>
      </c>
      <c r="I1328" s="3"/>
      <c r="J1328" s="20" t="s">
        <v>2221</v>
      </c>
      <c r="K1328" s="3"/>
      <c r="L1328" s="817" t="s">
        <v>3318</v>
      </c>
      <c r="M1328" s="609"/>
      <c r="N1328" s="3"/>
      <c r="O1328" s="609"/>
      <c r="P1328" s="562" t="b">
        <v>0</v>
      </c>
      <c r="Q1328" s="562" t="b">
        <v>1</v>
      </c>
      <c r="R1328" s="562" t="b">
        <v>0</v>
      </c>
      <c r="S1328" s="562" t="b">
        <f>IF(AY1202=INDEX(ddSingleOrMulti,2),TRUE,FALSE)</f>
        <v>0</v>
      </c>
      <c r="T1328" s="64" t="b">
        <f>AND(NOT(S1328),W1328=TRUE)</f>
        <v>0</v>
      </c>
      <c r="U1328" s="562"/>
      <c r="V1328" s="562"/>
      <c r="W1328" s="18"/>
      <c r="X1328" s="787"/>
      <c r="Y1328" s="980" t="str">
        <f>IF(LEN('Ch10'!X145)=0,"None",'Ch10'!X145)</f>
        <v>None</v>
      </c>
      <c r="Z1328" s="983"/>
      <c r="AA1328" s="562"/>
      <c r="AB1328" s="562"/>
      <c r="AC1328" s="562" t="b">
        <f>OR(AD1328:AE1328)</f>
        <v>0</v>
      </c>
      <c r="AD1328" s="562" t="b">
        <f>T1328</f>
        <v>0</v>
      </c>
      <c r="AE1328" s="562"/>
      <c r="AF1328" s="562"/>
      <c r="AG1328" s="562"/>
      <c r="AH1328" s="562"/>
      <c r="AI1328" s="562"/>
      <c r="AJ1328" s="562"/>
      <c r="AK1328" s="562"/>
      <c r="AL1328" s="562"/>
      <c r="AM1328" s="562"/>
      <c r="AN1328" s="562"/>
      <c r="AO1328" s="562"/>
      <c r="AP1328" s="190" t="str">
        <f t="shared" si="408"/>
        <v>vch1002,3_6</v>
      </c>
      <c r="AQ1328" s="190">
        <f>W1328</f>
        <v>0</v>
      </c>
      <c r="AR1328" s="190" t="str">
        <f t="shared" si="409"/>
        <v>vnt1002,3_6</v>
      </c>
      <c r="AS1328" s="190">
        <f>X1328</f>
        <v>0</v>
      </c>
      <c r="AT1328" s="562"/>
      <c r="AU1328" s="562"/>
      <c r="AV1328" s="562"/>
      <c r="AW1328" s="562"/>
      <c r="AX1328" s="562"/>
      <c r="AY1328" s="562"/>
      <c r="AZ1328" s="562"/>
      <c r="BA1328" s="562"/>
      <c r="BB1328" s="562"/>
      <c r="BC1328" s="562"/>
      <c r="BD1328" s="562"/>
      <c r="BE1328" s="562"/>
      <c r="BF1328" s="562"/>
      <c r="BG1328" s="562"/>
      <c r="BH1328" s="562"/>
    </row>
    <row r="1329" spans="1:60" x14ac:dyDescent="0.2">
      <c r="A1329" s="541">
        <v>10</v>
      </c>
      <c r="B1329" s="551">
        <v>1002.3</v>
      </c>
      <c r="C1329" s="544"/>
      <c r="D1329" s="544"/>
      <c r="E1329" s="544" t="s">
        <v>2221</v>
      </c>
      <c r="F1329" s="544"/>
      <c r="G1329" s="543" t="str">
        <f t="shared" si="406"/>
        <v/>
      </c>
      <c r="H1329" s="541" t="s">
        <v>3758</v>
      </c>
      <c r="I1329" s="3"/>
      <c r="J1329" s="20"/>
      <c r="K1329" s="3"/>
      <c r="L1329" s="817"/>
      <c r="M1329" s="609"/>
      <c r="N1329" s="3"/>
      <c r="O1329" s="609"/>
      <c r="P1329" s="562"/>
      <c r="Q1329" s="562"/>
      <c r="R1329" s="562"/>
      <c r="S1329" s="562"/>
      <c r="T1329" s="562"/>
      <c r="U1329" s="562"/>
      <c r="V1329" s="562"/>
      <c r="W1329" s="562"/>
      <c r="X1329" s="787"/>
      <c r="Y1329" s="980"/>
      <c r="Z1329" s="983"/>
      <c r="AA1329" s="562"/>
      <c r="AB1329" s="562"/>
      <c r="AC1329" s="562"/>
      <c r="AD1329" s="562"/>
      <c r="AE1329" s="562"/>
      <c r="AF1329" s="562"/>
      <c r="AG1329" s="562"/>
      <c r="AH1329" s="562"/>
      <c r="AI1329" s="562"/>
      <c r="AJ1329" s="562"/>
      <c r="AK1329" s="562"/>
      <c r="AL1329" s="562"/>
      <c r="AM1329" s="562"/>
      <c r="AN1329" s="562"/>
      <c r="AO1329" s="562"/>
      <c r="AP1329" s="562"/>
      <c r="AQ1329" s="562"/>
      <c r="AR1329" s="562"/>
      <c r="AS1329" s="562"/>
      <c r="AT1329" s="562"/>
      <c r="AU1329" s="562"/>
      <c r="AV1329" s="562"/>
      <c r="AW1329" s="562"/>
      <c r="AX1329" s="562"/>
      <c r="AY1329" s="562"/>
      <c r="AZ1329" s="562"/>
      <c r="BA1329" s="562"/>
      <c r="BB1329" s="562"/>
      <c r="BC1329" s="562"/>
      <c r="BD1329" s="562"/>
      <c r="BE1329" s="562"/>
      <c r="BF1329" s="562"/>
      <c r="BG1329" s="562"/>
      <c r="BH1329" s="562"/>
    </row>
    <row r="1330" spans="1:60" ht="16" x14ac:dyDescent="0.2">
      <c r="A1330" s="541">
        <v>10</v>
      </c>
      <c r="B1330" s="551">
        <v>1002.3</v>
      </c>
      <c r="C1330" s="544"/>
      <c r="D1330" s="544"/>
      <c r="E1330" s="544" t="s">
        <v>2223</v>
      </c>
      <c r="F1330" s="544"/>
      <c r="G1330" s="543" t="str">
        <f t="shared" si="406"/>
        <v/>
      </c>
      <c r="H1330" s="541" t="s">
        <v>3758</v>
      </c>
      <c r="I1330" s="3"/>
      <c r="J1330" s="161" t="s">
        <v>2223</v>
      </c>
      <c r="K1330" s="186"/>
      <c r="L1330" s="187" t="s">
        <v>3262</v>
      </c>
      <c r="M1330" s="609"/>
      <c r="N1330" s="3"/>
      <c r="O1330" s="609"/>
      <c r="P1330" s="562" t="b">
        <v>0</v>
      </c>
      <c r="Q1330" s="562" t="b">
        <v>1</v>
      </c>
      <c r="R1330" s="562" t="b">
        <v>0</v>
      </c>
      <c r="S1330" s="562" t="b">
        <f>IF(AY1202=INDEX(ddSingleOrMulti,2),TRUE,FALSE)</f>
        <v>0</v>
      </c>
      <c r="T1330" s="64" t="b">
        <f>AND(NOT(S1330),W1330=TRUE)</f>
        <v>0</v>
      </c>
      <c r="U1330" s="562"/>
      <c r="V1330" s="562"/>
      <c r="W1330" s="18"/>
      <c r="X1330" s="563"/>
      <c r="Y1330" s="578" t="str">
        <f>IF(LEN('Ch10'!X147)=0,"None",'Ch10'!X147)</f>
        <v>None</v>
      </c>
      <c r="Z1330" s="579"/>
      <c r="AA1330" s="562"/>
      <c r="AB1330" s="562"/>
      <c r="AC1330" s="562" t="b">
        <f>OR(AD1330:AE1330)</f>
        <v>0</v>
      </c>
      <c r="AD1330" s="562" t="b">
        <f>T1330</f>
        <v>0</v>
      </c>
      <c r="AE1330" s="562"/>
      <c r="AF1330" s="562"/>
      <c r="AG1330" s="562"/>
      <c r="AH1330" s="562"/>
      <c r="AI1330" s="562"/>
      <c r="AJ1330" s="562"/>
      <c r="AK1330" s="562"/>
      <c r="AL1330" s="562"/>
      <c r="AM1330" s="562"/>
      <c r="AN1330" s="562"/>
      <c r="AO1330" s="562"/>
      <c r="AP1330" s="190" t="str">
        <f t="shared" ref="AP1330:AP1334" si="410">SUBSTITUTE(SUBSTITUTE(SUBSTITUTE("vch"&amp;$B1330&amp;$C1330&amp;$D1330&amp;$E1330&amp;$F1330,".","_"),"(","_"),")","")</f>
        <v>vch1002,3_7</v>
      </c>
      <c r="AQ1330" s="190">
        <f>W1330</f>
        <v>0</v>
      </c>
      <c r="AR1330" s="190" t="str">
        <f t="shared" ref="AR1330:AR1334" si="411">SUBSTITUTE(SUBSTITUTE(SUBSTITUTE("vnt"&amp;$B1330&amp;$C1330&amp;$D1330&amp;$E1330&amp;$F1330,".","_"),"(","_"),")","")</f>
        <v>vnt1002,3_7</v>
      </c>
      <c r="AS1330" s="190">
        <f>X1330</f>
        <v>0</v>
      </c>
      <c r="AT1330" s="562"/>
      <c r="AU1330" s="562"/>
      <c r="AV1330" s="562"/>
      <c r="AW1330" s="562"/>
      <c r="AX1330" s="562"/>
      <c r="AY1330" s="562"/>
      <c r="AZ1330" s="562"/>
      <c r="BA1330" s="562"/>
      <c r="BB1330" s="562"/>
      <c r="BC1330" s="562"/>
      <c r="BD1330" s="562"/>
      <c r="BE1330" s="562"/>
      <c r="BF1330" s="562"/>
      <c r="BG1330" s="562"/>
      <c r="BH1330" s="562"/>
    </row>
    <row r="1331" spans="1:60" ht="16" x14ac:dyDescent="0.2">
      <c r="A1331" s="541">
        <v>10</v>
      </c>
      <c r="B1331" s="551">
        <v>1002.3</v>
      </c>
      <c r="C1331" s="544"/>
      <c r="D1331" s="544"/>
      <c r="E1331" s="544" t="s">
        <v>2282</v>
      </c>
      <c r="F1331" s="544"/>
      <c r="G1331" s="543" t="str">
        <f t="shared" si="406"/>
        <v/>
      </c>
      <c r="H1331" s="541" t="s">
        <v>3758</v>
      </c>
      <c r="I1331" s="3"/>
      <c r="J1331" s="20" t="s">
        <v>2282</v>
      </c>
      <c r="K1331" s="3"/>
      <c r="L1331" s="661" t="s">
        <v>3319</v>
      </c>
      <c r="M1331" s="609"/>
      <c r="N1331" s="3"/>
      <c r="O1331" s="609"/>
      <c r="P1331" s="562" t="b">
        <v>0</v>
      </c>
      <c r="Q1331" s="562" t="b">
        <v>1</v>
      </c>
      <c r="R1331" s="562" t="b">
        <v>0</v>
      </c>
      <c r="S1331" s="562" t="b">
        <f>IF(AY1202=INDEX(ddSingleOrMulti,2),TRUE,FALSE)</f>
        <v>0</v>
      </c>
      <c r="T1331" s="64" t="b">
        <f>AND(NOT(S1331),W1331=TRUE)</f>
        <v>0</v>
      </c>
      <c r="U1331" s="562"/>
      <c r="V1331" s="562"/>
      <c r="W1331" s="18"/>
      <c r="X1331" s="563"/>
      <c r="Y1331" s="578" t="str">
        <f>IF(LEN('Ch10'!X148)=0,"None",'Ch10'!X148)</f>
        <v>None</v>
      </c>
      <c r="Z1331" s="579"/>
      <c r="AA1331" s="562"/>
      <c r="AB1331" s="562"/>
      <c r="AC1331" s="562" t="b">
        <f>OR(AD1331:AE1331)</f>
        <v>0</v>
      </c>
      <c r="AD1331" s="562" t="b">
        <f>T1331</f>
        <v>0</v>
      </c>
      <c r="AE1331" s="562"/>
      <c r="AF1331" s="562"/>
      <c r="AG1331" s="562"/>
      <c r="AH1331" s="562"/>
      <c r="AI1331" s="562"/>
      <c r="AJ1331" s="562"/>
      <c r="AK1331" s="562"/>
      <c r="AL1331" s="562"/>
      <c r="AM1331" s="562"/>
      <c r="AN1331" s="562"/>
      <c r="AO1331" s="562"/>
      <c r="AP1331" s="190" t="str">
        <f t="shared" si="410"/>
        <v>vch1002,3_8</v>
      </c>
      <c r="AQ1331" s="190">
        <f>W1331</f>
        <v>0</v>
      </c>
      <c r="AR1331" s="190" t="str">
        <f t="shared" si="411"/>
        <v>vnt1002,3_8</v>
      </c>
      <c r="AS1331" s="190">
        <f>X1331</f>
        <v>0</v>
      </c>
      <c r="AT1331" s="562"/>
      <c r="AU1331" s="562"/>
      <c r="AV1331" s="562"/>
      <c r="AW1331" s="562"/>
      <c r="AX1331" s="562"/>
      <c r="AY1331" s="562"/>
      <c r="AZ1331" s="562"/>
      <c r="BA1331" s="562"/>
      <c r="BB1331" s="562"/>
      <c r="BC1331" s="562"/>
      <c r="BD1331" s="562"/>
      <c r="BE1331" s="562"/>
      <c r="BF1331" s="562"/>
      <c r="BG1331" s="562"/>
      <c r="BH1331" s="562"/>
    </row>
    <row r="1332" spans="1:60" ht="16" x14ac:dyDescent="0.2">
      <c r="A1332" s="541">
        <v>10</v>
      </c>
      <c r="B1332" s="551">
        <v>1002.3</v>
      </c>
      <c r="C1332" s="544"/>
      <c r="D1332" s="544"/>
      <c r="E1332" s="544" t="s">
        <v>2284</v>
      </c>
      <c r="F1332" s="544"/>
      <c r="G1332" s="543" t="str">
        <f t="shared" si="406"/>
        <v/>
      </c>
      <c r="H1332" s="541" t="s">
        <v>3758</v>
      </c>
      <c r="I1332" s="3"/>
      <c r="J1332" s="161" t="s">
        <v>2284</v>
      </c>
      <c r="K1332" s="186"/>
      <c r="L1332" s="187" t="s">
        <v>3320</v>
      </c>
      <c r="M1332" s="609"/>
      <c r="N1332" s="3"/>
      <c r="O1332" s="609"/>
      <c r="P1332" s="562" t="b">
        <v>0</v>
      </c>
      <c r="Q1332" s="562" t="b">
        <v>1</v>
      </c>
      <c r="R1332" s="562" t="b">
        <v>0</v>
      </c>
      <c r="S1332" s="562" t="b">
        <f>IF(AY1202=INDEX(ddSingleOrMulti,2),TRUE,FALSE)</f>
        <v>0</v>
      </c>
      <c r="T1332" s="64" t="b">
        <f>AND(NOT(S1332),W1332=TRUE)</f>
        <v>0</v>
      </c>
      <c r="U1332" s="562"/>
      <c r="V1332" s="562"/>
      <c r="W1332" s="18"/>
      <c r="X1332" s="563"/>
      <c r="Y1332" s="578" t="str">
        <f>IF(LEN('Ch10'!X149)=0,"None",'Ch10'!X149)</f>
        <v>None</v>
      </c>
      <c r="Z1332" s="579"/>
      <c r="AA1332" s="562"/>
      <c r="AB1332" s="562"/>
      <c r="AC1332" s="562" t="b">
        <f>OR(AD1332:AE1332)</f>
        <v>0</v>
      </c>
      <c r="AD1332" s="562" t="b">
        <f>T1332</f>
        <v>0</v>
      </c>
      <c r="AE1332" s="562"/>
      <c r="AF1332" s="562"/>
      <c r="AG1332" s="562"/>
      <c r="AH1332" s="562"/>
      <c r="AI1332" s="562"/>
      <c r="AJ1332" s="562"/>
      <c r="AK1332" s="562"/>
      <c r="AL1332" s="562"/>
      <c r="AM1332" s="562"/>
      <c r="AN1332" s="562"/>
      <c r="AO1332" s="562"/>
      <c r="AP1332" s="190" t="str">
        <f t="shared" si="410"/>
        <v>vch1002,3_9</v>
      </c>
      <c r="AQ1332" s="190">
        <f>W1332</f>
        <v>0</v>
      </c>
      <c r="AR1332" s="190" t="str">
        <f t="shared" si="411"/>
        <v>vnt1002,3_9</v>
      </c>
      <c r="AS1332" s="190">
        <f>X1332</f>
        <v>0</v>
      </c>
      <c r="AT1332" s="562"/>
      <c r="AU1332" s="562"/>
      <c r="AV1332" s="562"/>
      <c r="AW1332" s="562"/>
      <c r="AX1332" s="562"/>
      <c r="AY1332" s="562"/>
      <c r="AZ1332" s="562"/>
      <c r="BA1332" s="562"/>
      <c r="BB1332" s="562"/>
      <c r="BC1332" s="562"/>
      <c r="BD1332" s="562"/>
      <c r="BE1332" s="562"/>
      <c r="BF1332" s="562"/>
      <c r="BG1332" s="562"/>
      <c r="BH1332" s="562"/>
    </row>
    <row r="1333" spans="1:60" ht="17" thickBot="1" x14ac:dyDescent="0.25">
      <c r="A1333" s="541">
        <v>10</v>
      </c>
      <c r="B1333" s="551">
        <v>1002.3</v>
      </c>
      <c r="C1333" s="544"/>
      <c r="D1333" s="544"/>
      <c r="E1333" s="544" t="s">
        <v>2286</v>
      </c>
      <c r="F1333" s="544"/>
      <c r="G1333" s="543" t="str">
        <f t="shared" si="406"/>
        <v/>
      </c>
      <c r="H1333" s="541" t="s">
        <v>3758</v>
      </c>
      <c r="I1333" s="185"/>
      <c r="J1333" s="143" t="s">
        <v>2286</v>
      </c>
      <c r="K1333" s="185"/>
      <c r="L1333" s="660" t="s">
        <v>3321</v>
      </c>
      <c r="M1333" s="622"/>
      <c r="N1333" s="185"/>
      <c r="O1333" s="622"/>
      <c r="P1333" s="562" t="b">
        <v>0</v>
      </c>
      <c r="Q1333" s="562" t="b">
        <v>1</v>
      </c>
      <c r="R1333" s="68" t="b">
        <v>0</v>
      </c>
      <c r="S1333" s="68" t="b">
        <f>IF(AY1202=INDEX(ddSingleOrMulti,2),TRUE,FALSE)</f>
        <v>0</v>
      </c>
      <c r="T1333" s="68" t="b">
        <f>AND(NOT(S1333),W1333=TRUE)</f>
        <v>0</v>
      </c>
      <c r="U1333" s="68"/>
      <c r="V1333" s="68"/>
      <c r="W1333" s="69"/>
      <c r="X1333" s="565"/>
      <c r="Y1333" s="577" t="str">
        <f>IF(LEN('Ch10'!X150)=0,"None",'Ch10'!X150)</f>
        <v>None</v>
      </c>
      <c r="Z1333" s="582"/>
      <c r="AA1333" s="562"/>
      <c r="AB1333" s="562"/>
      <c r="AC1333" s="562" t="b">
        <f>OR(AD1333:AE1333)</f>
        <v>0</v>
      </c>
      <c r="AD1333" s="562" t="b">
        <f>T1333</f>
        <v>0</v>
      </c>
      <c r="AE1333" s="562"/>
      <c r="AF1333" s="562"/>
      <c r="AG1333" s="562"/>
      <c r="AH1333" s="562"/>
      <c r="AI1333" s="562"/>
      <c r="AJ1333" s="562"/>
      <c r="AK1333" s="562"/>
      <c r="AL1333" s="562"/>
      <c r="AM1333" s="562"/>
      <c r="AN1333" s="562"/>
      <c r="AO1333" s="562"/>
      <c r="AP1333" s="190" t="str">
        <f t="shared" si="410"/>
        <v>vch1002,3_10</v>
      </c>
      <c r="AQ1333" s="190">
        <f>W1333</f>
        <v>0</v>
      </c>
      <c r="AR1333" s="190" t="str">
        <f t="shared" si="411"/>
        <v>vnt1002,3_10</v>
      </c>
      <c r="AS1333" s="190">
        <f>X1333</f>
        <v>0</v>
      </c>
      <c r="AT1333" s="562"/>
      <c r="AU1333" s="562"/>
      <c r="AV1333" s="562"/>
      <c r="AW1333" s="562"/>
      <c r="AX1333" s="562"/>
      <c r="AY1333" s="562"/>
      <c r="AZ1333" s="562"/>
      <c r="BA1333" s="562"/>
      <c r="BB1333" s="562"/>
      <c r="BC1333" s="562"/>
      <c r="BD1333" s="562"/>
      <c r="BE1333" s="562"/>
      <c r="BF1333" s="562"/>
      <c r="BG1333" s="562"/>
      <c r="BH1333" s="562"/>
    </row>
    <row r="1334" spans="1:60" ht="16" thickTop="1" x14ac:dyDescent="0.2">
      <c r="A1334" s="541">
        <v>10</v>
      </c>
      <c r="B1334" s="551">
        <v>1002.4</v>
      </c>
      <c r="C1334" s="544"/>
      <c r="D1334" s="544"/>
      <c r="E1334" s="544"/>
      <c r="F1334" s="544"/>
      <c r="G1334" s="543" t="str">
        <f>IF(M1334="Mandatory","P","")</f>
        <v/>
      </c>
      <c r="H1334" s="541" t="s">
        <v>3758</v>
      </c>
      <c r="I1334" s="107" t="s">
        <v>3322</v>
      </c>
      <c r="J1334" s="3"/>
      <c r="K1334" s="3"/>
      <c r="L1334" s="775" t="s">
        <v>3323</v>
      </c>
      <c r="M1334" s="837" t="str">
        <f>IF(R1334,"Mandatory","N/A")</f>
        <v>N/A</v>
      </c>
      <c r="N1334" s="3"/>
      <c r="O1334" s="609"/>
      <c r="P1334" s="562" t="b">
        <v>0</v>
      </c>
      <c r="Q1334" s="562" t="b">
        <v>1</v>
      </c>
      <c r="R1334" s="562" t="b">
        <f>S1334</f>
        <v>0</v>
      </c>
      <c r="S1334" s="562" t="b">
        <f>IF(AY1202=INDEX(ddSingleOrMulti,2),TRUE,FALSE)</f>
        <v>0</v>
      </c>
      <c r="T1334" s="64" t="b">
        <f>AND(NOT(S1334),W1334=TRUE)</f>
        <v>0</v>
      </c>
      <c r="U1334" s="562"/>
      <c r="V1334" s="562"/>
      <c r="W1334" s="91"/>
      <c r="X1334" s="786"/>
      <c r="Y1334" s="975" t="str">
        <f>IF(LEN('Ch10'!X151)=0,"None",'Ch10'!X151)</f>
        <v>None</v>
      </c>
      <c r="Z1334" s="976"/>
      <c r="AA1334" s="562"/>
      <c r="AB1334" s="562"/>
      <c r="AC1334" s="562" t="b">
        <f>OR(AD1334:AE1334)</f>
        <v>0</v>
      </c>
      <c r="AD1334" s="562" t="b">
        <f>T1334</f>
        <v>0</v>
      </c>
      <c r="AE1334" s="562" t="b">
        <f>AND(R1334,NOT(W1334=TRUE))</f>
        <v>0</v>
      </c>
      <c r="AF1334" s="562" t="b">
        <f>AND(AE1334,NOT(Q1334))</f>
        <v>0</v>
      </c>
      <c r="AG1334" s="562"/>
      <c r="AH1334" s="562"/>
      <c r="AI1334" s="562"/>
      <c r="AJ1334" s="562"/>
      <c r="AK1334" s="562"/>
      <c r="AL1334" s="190" t="str">
        <f t="shared" ref="AL1334" si="412">SUBSTITUTE(SUBSTITUTE(SUBSTITUTE("vpa"&amp;$B1334&amp;$C1334&amp;$D1334&amp;$E1334&amp;$F1334,".","_"),"(","_"),")","")</f>
        <v>vpa1002,4</v>
      </c>
      <c r="AM1334" s="190" t="str">
        <f>M1334</f>
        <v>N/A</v>
      </c>
      <c r="AN1334" s="562"/>
      <c r="AO1334" s="562"/>
      <c r="AP1334" s="190" t="str">
        <f t="shared" si="410"/>
        <v>vch1002,4</v>
      </c>
      <c r="AQ1334" s="190">
        <f>W1334</f>
        <v>0</v>
      </c>
      <c r="AR1334" s="190" t="str">
        <f t="shared" si="411"/>
        <v>vnt1002,4</v>
      </c>
      <c r="AS1334" s="190">
        <f>X1334</f>
        <v>0</v>
      </c>
      <c r="AT1334" s="562"/>
      <c r="AU1334" s="562"/>
      <c r="AV1334" s="562"/>
      <c r="AW1334" s="562"/>
      <c r="AX1334" s="562"/>
      <c r="AY1334" s="562"/>
      <c r="AZ1334" s="562"/>
      <c r="BA1334" s="562"/>
      <c r="BB1334" s="562"/>
      <c r="BC1334" s="562"/>
      <c r="BD1334" s="562"/>
      <c r="BE1334" s="562"/>
      <c r="BF1334" s="562"/>
      <c r="BG1334" s="562"/>
      <c r="BH1334" s="562"/>
    </row>
    <row r="1335" spans="1:60" x14ac:dyDescent="0.2">
      <c r="A1335" s="541">
        <v>10</v>
      </c>
      <c r="B1335" s="551">
        <v>1002.4</v>
      </c>
      <c r="C1335" s="544"/>
      <c r="D1335" s="544"/>
      <c r="E1335" s="544"/>
      <c r="F1335" s="544"/>
      <c r="G1335" s="543" t="str">
        <f t="shared" ref="G1335:G1345" si="413">G1334</f>
        <v/>
      </c>
      <c r="H1335" s="541" t="s">
        <v>3758</v>
      </c>
      <c r="I1335" s="3"/>
      <c r="J1335" s="3"/>
      <c r="K1335" s="3"/>
      <c r="L1335" s="775"/>
      <c r="M1335" s="837" t="str">
        <f>IF(R1335,"Mandatory","N/A")</f>
        <v>N/A</v>
      </c>
      <c r="N1335" s="3"/>
      <c r="O1335" s="609"/>
      <c r="P1335" s="562"/>
      <c r="Q1335" s="562"/>
      <c r="R1335" s="562"/>
      <c r="S1335" s="562"/>
      <c r="T1335" s="562"/>
      <c r="U1335" s="562"/>
      <c r="V1335" s="562"/>
      <c r="W1335" s="562"/>
      <c r="X1335" s="787"/>
      <c r="Y1335" s="980"/>
      <c r="Z1335" s="983"/>
      <c r="AA1335" s="562"/>
      <c r="AB1335" s="562"/>
      <c r="AC1335" s="562"/>
      <c r="AD1335" s="562"/>
      <c r="AE1335" s="562"/>
      <c r="AF1335" s="562"/>
      <c r="AG1335" s="562"/>
      <c r="AH1335" s="562"/>
      <c r="AI1335" s="562"/>
      <c r="AJ1335" s="562"/>
      <c r="AK1335" s="562"/>
      <c r="AL1335" s="562"/>
      <c r="AM1335" s="562"/>
      <c r="AN1335" s="562"/>
      <c r="AO1335" s="562"/>
      <c r="AP1335" s="562"/>
      <c r="AQ1335" s="562"/>
      <c r="AR1335" s="562"/>
      <c r="AS1335" s="562"/>
      <c r="AT1335" s="562"/>
      <c r="AU1335" s="562"/>
      <c r="AV1335" s="562"/>
      <c r="AW1335" s="562"/>
      <c r="AX1335" s="562"/>
      <c r="AY1335" s="562"/>
      <c r="AZ1335" s="562"/>
      <c r="BA1335" s="562"/>
      <c r="BB1335" s="562"/>
      <c r="BC1335" s="562"/>
      <c r="BD1335" s="562"/>
      <c r="BE1335" s="562"/>
      <c r="BF1335" s="562"/>
      <c r="BG1335" s="562"/>
      <c r="BH1335" s="562"/>
    </row>
    <row r="1336" spans="1:60" x14ac:dyDescent="0.2">
      <c r="A1336" s="541">
        <v>10</v>
      </c>
      <c r="B1336" s="551">
        <v>1002.4</v>
      </c>
      <c r="C1336" s="544"/>
      <c r="D1336" s="544"/>
      <c r="E1336" s="544"/>
      <c r="F1336" s="544"/>
      <c r="G1336" s="543" t="str">
        <f t="shared" si="413"/>
        <v/>
      </c>
      <c r="H1336" s="541" t="s">
        <v>3758</v>
      </c>
      <c r="I1336" s="3"/>
      <c r="J1336" s="3"/>
      <c r="K1336" s="3"/>
      <c r="L1336" s="775"/>
      <c r="M1336" s="837" t="str">
        <f>IF(R1336,"Mandatory","N/A")</f>
        <v>N/A</v>
      </c>
      <c r="N1336" s="3"/>
      <c r="O1336" s="609"/>
      <c r="P1336" s="562"/>
      <c r="Q1336" s="562"/>
      <c r="R1336" s="562"/>
      <c r="S1336" s="562"/>
      <c r="T1336" s="562"/>
      <c r="U1336" s="562"/>
      <c r="V1336" s="562"/>
      <c r="W1336" s="562"/>
      <c r="X1336" s="787"/>
      <c r="Y1336" s="980"/>
      <c r="Z1336" s="983"/>
      <c r="AA1336" s="562"/>
      <c r="AB1336" s="562"/>
      <c r="AC1336" s="562"/>
      <c r="AD1336" s="562"/>
      <c r="AE1336" s="562"/>
      <c r="AF1336" s="562"/>
      <c r="AG1336" s="562"/>
      <c r="AH1336" s="562"/>
      <c r="AI1336" s="562"/>
      <c r="AJ1336" s="562"/>
      <c r="AK1336" s="562"/>
      <c r="AL1336" s="562"/>
      <c r="AM1336" s="562"/>
      <c r="AN1336" s="562"/>
      <c r="AO1336" s="562"/>
      <c r="AP1336" s="562"/>
      <c r="AQ1336" s="562"/>
      <c r="AR1336" s="562"/>
      <c r="AS1336" s="562"/>
      <c r="AT1336" s="562"/>
      <c r="AU1336" s="562"/>
      <c r="AV1336" s="562"/>
      <c r="AW1336" s="562"/>
      <c r="AX1336" s="562"/>
      <c r="AY1336" s="562"/>
      <c r="AZ1336" s="562"/>
      <c r="BA1336" s="562"/>
      <c r="BB1336" s="562"/>
      <c r="BC1336" s="562"/>
      <c r="BD1336" s="562"/>
      <c r="BE1336" s="562"/>
      <c r="BF1336" s="562"/>
      <c r="BG1336" s="562"/>
      <c r="BH1336" s="562"/>
    </row>
    <row r="1337" spans="1:60" x14ac:dyDescent="0.2">
      <c r="A1337" s="541">
        <v>10</v>
      </c>
      <c r="B1337" s="551">
        <v>1002.4</v>
      </c>
      <c r="C1337" s="544"/>
      <c r="D1337" s="544"/>
      <c r="E1337" s="544"/>
      <c r="F1337" s="544"/>
      <c r="G1337" s="543" t="str">
        <f t="shared" si="413"/>
        <v/>
      </c>
      <c r="H1337" s="541" t="s">
        <v>3758</v>
      </c>
      <c r="I1337" s="3"/>
      <c r="J1337" s="3"/>
      <c r="K1337" s="3"/>
      <c r="L1337" s="775"/>
      <c r="M1337" s="837" t="str">
        <f>IF(R1337,"Mandatory","N/A")</f>
        <v>N/A</v>
      </c>
      <c r="N1337" s="3"/>
      <c r="O1337" s="609"/>
      <c r="P1337" s="562"/>
      <c r="Q1337" s="562"/>
      <c r="R1337" s="562"/>
      <c r="S1337" s="562"/>
      <c r="T1337" s="562"/>
      <c r="U1337" s="562"/>
      <c r="V1337" s="562"/>
      <c r="W1337" s="562"/>
      <c r="X1337" s="787"/>
      <c r="Y1337" s="980"/>
      <c r="Z1337" s="983"/>
      <c r="AA1337" s="562"/>
      <c r="AB1337" s="562"/>
      <c r="AC1337" s="562"/>
      <c r="AD1337" s="562"/>
      <c r="AE1337" s="562"/>
      <c r="AF1337" s="562"/>
      <c r="AG1337" s="562"/>
      <c r="AH1337" s="562"/>
      <c r="AI1337" s="562"/>
      <c r="AJ1337" s="562"/>
      <c r="AK1337" s="562"/>
      <c r="AL1337" s="562"/>
      <c r="AM1337" s="562"/>
      <c r="AN1337" s="562"/>
      <c r="AO1337" s="562"/>
      <c r="AP1337" s="562"/>
      <c r="AQ1337" s="562"/>
      <c r="AR1337" s="562"/>
      <c r="AS1337" s="562"/>
      <c r="AT1337" s="562"/>
      <c r="AU1337" s="562"/>
      <c r="AV1337" s="562"/>
      <c r="AW1337" s="562"/>
      <c r="AX1337" s="562"/>
      <c r="AY1337" s="562"/>
      <c r="AZ1337" s="562"/>
      <c r="BA1337" s="562"/>
      <c r="BB1337" s="562"/>
      <c r="BC1337" s="562"/>
      <c r="BD1337" s="562"/>
      <c r="BE1337" s="562"/>
      <c r="BF1337" s="562"/>
      <c r="BG1337" s="562"/>
      <c r="BH1337" s="562"/>
    </row>
    <row r="1338" spans="1:60" x14ac:dyDescent="0.2">
      <c r="A1338" s="541">
        <v>10</v>
      </c>
      <c r="B1338" s="551">
        <v>1002.4</v>
      </c>
      <c r="C1338" s="544"/>
      <c r="D1338" s="544"/>
      <c r="E1338" s="544"/>
      <c r="F1338" s="544"/>
      <c r="G1338" s="543" t="str">
        <f t="shared" si="413"/>
        <v/>
      </c>
      <c r="H1338" s="541" t="s">
        <v>3758</v>
      </c>
      <c r="I1338" s="3"/>
      <c r="J1338" s="3"/>
      <c r="K1338" s="3"/>
      <c r="L1338" s="775"/>
      <c r="M1338" s="837" t="str">
        <f>IF(R1338,"Mandatory","N/A")</f>
        <v>N/A</v>
      </c>
      <c r="N1338" s="3"/>
      <c r="O1338" s="609"/>
      <c r="P1338" s="562"/>
      <c r="Q1338" s="562"/>
      <c r="R1338" s="562"/>
      <c r="S1338" s="562"/>
      <c r="T1338" s="562"/>
      <c r="U1338" s="562"/>
      <c r="V1338" s="562"/>
      <c r="W1338" s="562"/>
      <c r="X1338" s="787"/>
      <c r="Y1338" s="980"/>
      <c r="Z1338" s="983"/>
      <c r="AA1338" s="562"/>
      <c r="AB1338" s="562"/>
      <c r="AC1338" s="562"/>
      <c r="AD1338" s="562"/>
      <c r="AE1338" s="562"/>
      <c r="AF1338" s="562"/>
      <c r="AG1338" s="562"/>
      <c r="AH1338" s="562"/>
      <c r="AI1338" s="562"/>
      <c r="AJ1338" s="562"/>
      <c r="AK1338" s="562"/>
      <c r="AL1338" s="562"/>
      <c r="AM1338" s="562"/>
      <c r="AN1338" s="562"/>
      <c r="AO1338" s="562"/>
      <c r="AP1338" s="562"/>
      <c r="AQ1338" s="562"/>
      <c r="AR1338" s="562"/>
      <c r="AS1338" s="562"/>
      <c r="AT1338" s="562"/>
      <c r="AU1338" s="562"/>
      <c r="AV1338" s="562"/>
      <c r="AW1338" s="562"/>
      <c r="AX1338" s="562"/>
      <c r="AY1338" s="562"/>
      <c r="AZ1338" s="562"/>
      <c r="BA1338" s="562"/>
      <c r="BB1338" s="562"/>
      <c r="BC1338" s="562"/>
      <c r="BD1338" s="562"/>
      <c r="BE1338" s="562"/>
      <c r="BF1338" s="562"/>
      <c r="BG1338" s="562"/>
      <c r="BH1338" s="562"/>
    </row>
    <row r="1339" spans="1:60" x14ac:dyDescent="0.2">
      <c r="A1339" s="541">
        <v>10</v>
      </c>
      <c r="B1339" s="551">
        <v>1002.4</v>
      </c>
      <c r="C1339" s="544"/>
      <c r="D1339" s="544"/>
      <c r="E1339" s="544" t="s">
        <v>2181</v>
      </c>
      <c r="F1339" s="544"/>
      <c r="G1339" s="543" t="str">
        <f t="shared" si="413"/>
        <v/>
      </c>
      <c r="H1339" s="541" t="s">
        <v>3758</v>
      </c>
      <c r="I1339" s="3"/>
      <c r="J1339" s="20" t="s">
        <v>2181</v>
      </c>
      <c r="K1339" s="3"/>
      <c r="L1339" s="661" t="s">
        <v>3312</v>
      </c>
      <c r="M1339" s="609"/>
      <c r="N1339" s="3"/>
      <c r="O1339" s="609"/>
      <c r="P1339" s="562"/>
      <c r="Q1339" s="562"/>
      <c r="R1339" s="562"/>
      <c r="S1339" s="562"/>
      <c r="T1339" s="562"/>
      <c r="U1339" s="562"/>
      <c r="V1339" s="562"/>
      <c r="W1339" s="562"/>
      <c r="X1339" s="787"/>
      <c r="Y1339" s="980"/>
      <c r="Z1339" s="983"/>
      <c r="AA1339" s="562"/>
      <c r="AB1339" s="562"/>
      <c r="AC1339" s="562"/>
      <c r="AD1339" s="562"/>
      <c r="AE1339" s="562"/>
      <c r="AF1339" s="562"/>
      <c r="AG1339" s="562"/>
      <c r="AH1339" s="562"/>
      <c r="AI1339" s="562"/>
      <c r="AJ1339" s="562"/>
      <c r="AK1339" s="562"/>
      <c r="AL1339" s="562"/>
      <c r="AM1339" s="562"/>
      <c r="AN1339" s="562"/>
      <c r="AO1339" s="562"/>
      <c r="AP1339" s="562"/>
      <c r="AQ1339" s="562"/>
      <c r="AR1339" s="562"/>
      <c r="AS1339" s="562"/>
      <c r="AT1339" s="562"/>
      <c r="AU1339" s="562"/>
      <c r="AV1339" s="562"/>
      <c r="AW1339" s="562"/>
      <c r="AX1339" s="562"/>
      <c r="AY1339" s="562"/>
      <c r="AZ1339" s="562"/>
      <c r="BA1339" s="562"/>
      <c r="BB1339" s="562"/>
      <c r="BC1339" s="562"/>
      <c r="BD1339" s="562"/>
      <c r="BE1339" s="562"/>
      <c r="BF1339" s="562"/>
      <c r="BG1339" s="562"/>
      <c r="BH1339" s="562"/>
    </row>
    <row r="1340" spans="1:60" x14ac:dyDescent="0.2">
      <c r="A1340" s="541">
        <v>10</v>
      </c>
      <c r="B1340" s="551">
        <v>1002.4</v>
      </c>
      <c r="C1340" s="544"/>
      <c r="D1340" s="544"/>
      <c r="E1340" s="544" t="s">
        <v>2183</v>
      </c>
      <c r="F1340" s="544"/>
      <c r="G1340" s="543" t="str">
        <f t="shared" si="413"/>
        <v/>
      </c>
      <c r="H1340" s="541" t="s">
        <v>3758</v>
      </c>
      <c r="I1340" s="3"/>
      <c r="J1340" s="20" t="s">
        <v>2183</v>
      </c>
      <c r="K1340" s="3"/>
      <c r="L1340" s="661" t="s">
        <v>3313</v>
      </c>
      <c r="M1340" s="609"/>
      <c r="N1340" s="3"/>
      <c r="O1340" s="609"/>
      <c r="P1340" s="562"/>
      <c r="Q1340" s="562"/>
      <c r="R1340" s="562"/>
      <c r="S1340" s="562"/>
      <c r="T1340" s="562"/>
      <c r="U1340" s="562"/>
      <c r="V1340" s="562"/>
      <c r="W1340" s="562"/>
      <c r="X1340" s="787"/>
      <c r="Y1340" s="980"/>
      <c r="Z1340" s="983"/>
      <c r="AA1340" s="562"/>
      <c r="AB1340" s="562"/>
      <c r="AC1340" s="562"/>
      <c r="AD1340" s="562"/>
      <c r="AE1340" s="562"/>
      <c r="AF1340" s="562"/>
      <c r="AG1340" s="562"/>
      <c r="AH1340" s="562"/>
      <c r="AI1340" s="562"/>
      <c r="AJ1340" s="562"/>
      <c r="AK1340" s="562"/>
      <c r="AL1340" s="562"/>
      <c r="AM1340" s="562"/>
      <c r="AN1340" s="562"/>
      <c r="AO1340" s="562"/>
      <c r="AP1340" s="562"/>
      <c r="AQ1340" s="562"/>
      <c r="AR1340" s="562"/>
      <c r="AS1340" s="562"/>
      <c r="AT1340" s="562"/>
      <c r="AU1340" s="562"/>
      <c r="AV1340" s="562"/>
      <c r="AW1340" s="562"/>
      <c r="AX1340" s="562"/>
      <c r="AY1340" s="562"/>
      <c r="AZ1340" s="562"/>
      <c r="BA1340" s="562"/>
      <c r="BB1340" s="562"/>
      <c r="BC1340" s="562"/>
      <c r="BD1340" s="562"/>
      <c r="BE1340" s="562"/>
      <c r="BF1340" s="562"/>
      <c r="BG1340" s="562"/>
      <c r="BH1340" s="562"/>
    </row>
    <row r="1341" spans="1:60" x14ac:dyDescent="0.2">
      <c r="A1341" s="541">
        <v>10</v>
      </c>
      <c r="B1341" s="551">
        <v>1002.4</v>
      </c>
      <c r="C1341" s="544"/>
      <c r="D1341" s="544"/>
      <c r="E1341" s="544" t="s">
        <v>2185</v>
      </c>
      <c r="F1341" s="544"/>
      <c r="G1341" s="543" t="str">
        <f t="shared" si="413"/>
        <v/>
      </c>
      <c r="H1341" s="541" t="s">
        <v>3758</v>
      </c>
      <c r="I1341" s="3"/>
      <c r="J1341" s="20" t="s">
        <v>2185</v>
      </c>
      <c r="K1341" s="3"/>
      <c r="L1341" s="661" t="s">
        <v>3314</v>
      </c>
      <c r="M1341" s="609"/>
      <c r="N1341" s="3"/>
      <c r="O1341" s="609"/>
      <c r="P1341" s="562"/>
      <c r="Q1341" s="562"/>
      <c r="R1341" s="562"/>
      <c r="S1341" s="562"/>
      <c r="T1341" s="562"/>
      <c r="U1341" s="562"/>
      <c r="V1341" s="562"/>
      <c r="W1341" s="562"/>
      <c r="X1341" s="787"/>
      <c r="Y1341" s="980"/>
      <c r="Z1341" s="983"/>
      <c r="AA1341" s="562"/>
      <c r="AB1341" s="562"/>
      <c r="AC1341" s="562"/>
      <c r="AD1341" s="562"/>
      <c r="AE1341" s="562"/>
      <c r="AF1341" s="562"/>
      <c r="AG1341" s="562"/>
      <c r="AH1341" s="562"/>
      <c r="AI1341" s="562"/>
      <c r="AJ1341" s="562"/>
      <c r="AK1341" s="562"/>
      <c r="AL1341" s="562"/>
      <c r="AM1341" s="562"/>
      <c r="AN1341" s="562"/>
      <c r="AO1341" s="562"/>
      <c r="AP1341" s="562"/>
      <c r="AQ1341" s="562"/>
      <c r="AR1341" s="562"/>
      <c r="AS1341" s="562"/>
      <c r="AT1341" s="562"/>
      <c r="AU1341" s="562"/>
      <c r="AV1341" s="562"/>
      <c r="AW1341" s="562"/>
      <c r="AX1341" s="562"/>
      <c r="AY1341" s="562"/>
      <c r="AZ1341" s="562"/>
      <c r="BA1341" s="562"/>
      <c r="BB1341" s="562"/>
      <c r="BC1341" s="562"/>
      <c r="BD1341" s="562"/>
      <c r="BE1341" s="562"/>
      <c r="BF1341" s="562"/>
      <c r="BG1341" s="562"/>
      <c r="BH1341" s="562"/>
    </row>
    <row r="1342" spans="1:60" x14ac:dyDescent="0.2">
      <c r="A1342" s="541">
        <v>10</v>
      </c>
      <c r="B1342" s="551">
        <v>1002.4</v>
      </c>
      <c r="C1342" s="544"/>
      <c r="D1342" s="544"/>
      <c r="E1342" s="544" t="s">
        <v>2192</v>
      </c>
      <c r="F1342" s="544"/>
      <c r="G1342" s="543" t="str">
        <f t="shared" si="413"/>
        <v/>
      </c>
      <c r="H1342" s="541" t="s">
        <v>3758</v>
      </c>
      <c r="I1342" s="3"/>
      <c r="J1342" s="20" t="s">
        <v>2192</v>
      </c>
      <c r="K1342" s="3"/>
      <c r="L1342" s="661" t="s">
        <v>3324</v>
      </c>
      <c r="M1342" s="609"/>
      <c r="N1342" s="3"/>
      <c r="O1342" s="609"/>
      <c r="P1342" s="562"/>
      <c r="Q1342" s="562"/>
      <c r="R1342" s="562"/>
      <c r="S1342" s="562"/>
      <c r="T1342" s="562"/>
      <c r="U1342" s="562"/>
      <c r="V1342" s="562"/>
      <c r="W1342" s="562"/>
      <c r="X1342" s="787"/>
      <c r="Y1342" s="980"/>
      <c r="Z1342" s="983"/>
      <c r="AA1342" s="562"/>
      <c r="AB1342" s="562"/>
      <c r="AC1342" s="562"/>
      <c r="AD1342" s="562"/>
      <c r="AE1342" s="562"/>
      <c r="AF1342" s="562"/>
      <c r="AG1342" s="562"/>
      <c r="AH1342" s="562"/>
      <c r="AI1342" s="562"/>
      <c r="AJ1342" s="562"/>
      <c r="AK1342" s="562"/>
      <c r="AL1342" s="562"/>
      <c r="AM1342" s="562"/>
      <c r="AN1342" s="562"/>
      <c r="AO1342" s="562"/>
      <c r="AP1342" s="562"/>
      <c r="AQ1342" s="562"/>
      <c r="AR1342" s="562"/>
      <c r="AS1342" s="562"/>
      <c r="AT1342" s="562"/>
      <c r="AU1342" s="562"/>
      <c r="AV1342" s="562"/>
      <c r="AW1342" s="562"/>
      <c r="AX1342" s="562"/>
      <c r="AY1342" s="562"/>
      <c r="AZ1342" s="562"/>
      <c r="BA1342" s="562"/>
      <c r="BB1342" s="562"/>
      <c r="BC1342" s="562"/>
      <c r="BD1342" s="562"/>
      <c r="BE1342" s="562"/>
      <c r="BF1342" s="562"/>
      <c r="BG1342" s="562"/>
      <c r="BH1342" s="562"/>
    </row>
    <row r="1343" spans="1:60" x14ac:dyDescent="0.2">
      <c r="A1343" s="541">
        <v>10</v>
      </c>
      <c r="B1343" s="551">
        <v>1002.4</v>
      </c>
      <c r="C1343" s="544"/>
      <c r="D1343" s="544"/>
      <c r="E1343" s="544" t="s">
        <v>2194</v>
      </c>
      <c r="F1343" s="544"/>
      <c r="G1343" s="543" t="str">
        <f t="shared" si="413"/>
        <v/>
      </c>
      <c r="H1343" s="541" t="s">
        <v>3758</v>
      </c>
      <c r="I1343" s="3"/>
      <c r="J1343" s="20" t="s">
        <v>2194</v>
      </c>
      <c r="K1343" s="3"/>
      <c r="L1343" s="661" t="s">
        <v>3325</v>
      </c>
      <c r="M1343" s="609"/>
      <c r="N1343" s="3"/>
      <c r="O1343" s="609"/>
      <c r="P1343" s="562"/>
      <c r="Q1343" s="562"/>
      <c r="R1343" s="562"/>
      <c r="S1343" s="562"/>
      <c r="T1343" s="562"/>
      <c r="U1343" s="562"/>
      <c r="V1343" s="562"/>
      <c r="W1343" s="562"/>
      <c r="X1343" s="787"/>
      <c r="Y1343" s="980"/>
      <c r="Z1343" s="983"/>
      <c r="AA1343" s="562"/>
      <c r="AB1343" s="562"/>
      <c r="AC1343" s="562"/>
      <c r="AD1343" s="562"/>
      <c r="AE1343" s="562"/>
      <c r="AF1343" s="562"/>
      <c r="AG1343" s="562"/>
      <c r="AH1343" s="562"/>
      <c r="AI1343" s="562"/>
      <c r="AJ1343" s="562"/>
      <c r="AK1343" s="562"/>
      <c r="AL1343" s="562"/>
      <c r="AM1343" s="562"/>
      <c r="AN1343" s="562"/>
      <c r="AO1343" s="562"/>
      <c r="AP1343" s="562"/>
      <c r="AQ1343" s="562"/>
      <c r="AR1343" s="562"/>
      <c r="AS1343" s="562"/>
      <c r="AT1343" s="562"/>
      <c r="AU1343" s="562"/>
      <c r="AV1343" s="562"/>
      <c r="AW1343" s="562"/>
      <c r="AX1343" s="562"/>
      <c r="AY1343" s="562"/>
      <c r="AZ1343" s="562"/>
      <c r="BA1343" s="562"/>
      <c r="BB1343" s="562"/>
      <c r="BC1343" s="562"/>
      <c r="BD1343" s="562"/>
      <c r="BE1343" s="562"/>
      <c r="BF1343" s="562"/>
      <c r="BG1343" s="562"/>
      <c r="BH1343" s="562"/>
    </row>
    <row r="1344" spans="1:60" x14ac:dyDescent="0.2">
      <c r="A1344" s="541">
        <v>10</v>
      </c>
      <c r="B1344" s="551">
        <v>1002.4</v>
      </c>
      <c r="C1344" s="544"/>
      <c r="D1344" s="544"/>
      <c r="E1344" s="544" t="s">
        <v>2221</v>
      </c>
      <c r="F1344" s="544"/>
      <c r="G1344" s="543" t="str">
        <f t="shared" si="413"/>
        <v/>
      </c>
      <c r="H1344" s="541" t="s">
        <v>3758</v>
      </c>
      <c r="I1344" s="3"/>
      <c r="J1344" s="20" t="s">
        <v>2221</v>
      </c>
      <c r="K1344" s="3"/>
      <c r="L1344" s="661" t="s">
        <v>3317</v>
      </c>
      <c r="M1344" s="609"/>
      <c r="N1344" s="3"/>
      <c r="O1344" s="609"/>
      <c r="P1344" s="562"/>
      <c r="Q1344" s="562"/>
      <c r="R1344" s="562"/>
      <c r="S1344" s="562"/>
      <c r="T1344" s="562"/>
      <c r="U1344" s="562"/>
      <c r="V1344" s="562"/>
      <c r="W1344" s="562"/>
      <c r="X1344" s="787"/>
      <c r="Y1344" s="980"/>
      <c r="Z1344" s="983"/>
      <c r="AA1344" s="562"/>
      <c r="AB1344" s="562"/>
      <c r="AC1344" s="562"/>
      <c r="AD1344" s="562"/>
      <c r="AE1344" s="562"/>
      <c r="AF1344" s="562"/>
      <c r="AG1344" s="562"/>
      <c r="AH1344" s="562"/>
      <c r="AI1344" s="562"/>
      <c r="AJ1344" s="562"/>
      <c r="AK1344" s="562"/>
      <c r="AL1344" s="562"/>
      <c r="AM1344" s="562"/>
      <c r="AN1344" s="562"/>
      <c r="AO1344" s="562"/>
      <c r="AP1344" s="562"/>
      <c r="AQ1344" s="562"/>
      <c r="AR1344" s="562"/>
      <c r="AS1344" s="562"/>
      <c r="AT1344" s="562"/>
      <c r="AU1344" s="562"/>
      <c r="AV1344" s="562"/>
      <c r="AW1344" s="562"/>
      <c r="AX1344" s="562"/>
      <c r="AY1344" s="562"/>
      <c r="AZ1344" s="562"/>
      <c r="BA1344" s="562"/>
      <c r="BB1344" s="562"/>
      <c r="BC1344" s="562"/>
      <c r="BD1344" s="562"/>
      <c r="BE1344" s="562"/>
      <c r="BF1344" s="562"/>
      <c r="BG1344" s="562"/>
      <c r="BH1344" s="562"/>
    </row>
    <row r="1345" spans="1:60" x14ac:dyDescent="0.2">
      <c r="A1345" s="541">
        <v>10</v>
      </c>
      <c r="B1345" s="551">
        <v>1002.4</v>
      </c>
      <c r="C1345" s="544"/>
      <c r="D1345" s="544"/>
      <c r="E1345" s="544" t="s">
        <v>2223</v>
      </c>
      <c r="F1345" s="544"/>
      <c r="G1345" s="543" t="str">
        <f t="shared" si="413"/>
        <v/>
      </c>
      <c r="H1345" s="541" t="s">
        <v>3758</v>
      </c>
      <c r="I1345" s="3"/>
      <c r="J1345" s="20" t="s">
        <v>2223</v>
      </c>
      <c r="K1345" s="3"/>
      <c r="L1345" s="661" t="s">
        <v>3326</v>
      </c>
      <c r="M1345" s="609"/>
      <c r="N1345" s="3"/>
      <c r="O1345" s="609"/>
      <c r="P1345" s="562"/>
      <c r="Q1345" s="562"/>
      <c r="R1345" s="562"/>
      <c r="S1345" s="562"/>
      <c r="T1345" s="562"/>
      <c r="U1345" s="562"/>
      <c r="V1345" s="562"/>
      <c r="W1345" s="562"/>
      <c r="X1345" s="787"/>
      <c r="Y1345" s="980"/>
      <c r="Z1345" s="983"/>
      <c r="AA1345" s="562"/>
      <c r="AB1345" s="562"/>
      <c r="AC1345" s="562"/>
      <c r="AD1345" s="562"/>
      <c r="AE1345" s="562"/>
      <c r="AF1345" s="562"/>
      <c r="AG1345" s="562"/>
      <c r="AH1345" s="562"/>
      <c r="AI1345" s="562"/>
      <c r="AJ1345" s="562"/>
      <c r="AK1345" s="562"/>
      <c r="AL1345" s="562"/>
      <c r="AM1345" s="562"/>
      <c r="AN1345" s="562"/>
      <c r="AO1345" s="562"/>
      <c r="AP1345" s="562"/>
      <c r="AQ1345" s="562"/>
      <c r="AR1345" s="562"/>
      <c r="AS1345" s="562"/>
      <c r="AT1345" s="562"/>
      <c r="AU1345" s="562"/>
      <c r="AV1345" s="562"/>
      <c r="AW1345" s="562"/>
      <c r="AX1345" s="562"/>
      <c r="AY1345" s="562"/>
      <c r="AZ1345" s="562"/>
      <c r="BA1345" s="562"/>
      <c r="BB1345" s="562"/>
      <c r="BC1345" s="562"/>
      <c r="BD1345" s="562"/>
      <c r="BE1345" s="562"/>
      <c r="BF1345" s="562"/>
      <c r="BG1345" s="562"/>
      <c r="BH1345" s="562"/>
    </row>
    <row r="1346" spans="1:60" ht="19" x14ac:dyDescent="0.25">
      <c r="A1346" s="541">
        <v>10</v>
      </c>
      <c r="B1346" s="551">
        <v>1003</v>
      </c>
      <c r="C1346" s="544"/>
      <c r="D1346" s="544"/>
      <c r="E1346" s="544"/>
      <c r="F1346" s="544"/>
      <c r="G1346" s="543" t="s">
        <v>3343</v>
      </c>
      <c r="H1346" s="541" t="s">
        <v>3751</v>
      </c>
      <c r="I1346" s="45" t="s">
        <v>3327</v>
      </c>
      <c r="J1346" s="16"/>
      <c r="K1346" s="16"/>
      <c r="L1346" s="179"/>
      <c r="M1346" s="264"/>
      <c r="N1346" s="266"/>
      <c r="O1346" s="264"/>
      <c r="P1346" s="16"/>
      <c r="Q1346" s="16"/>
      <c r="R1346" s="16"/>
      <c r="S1346" s="16"/>
      <c r="T1346" s="16"/>
      <c r="U1346" s="16"/>
      <c r="V1346" s="16"/>
      <c r="W1346" s="16"/>
      <c r="X1346" s="16"/>
      <c r="Y1346" s="16"/>
      <c r="Z1346" s="453"/>
      <c r="AA1346" s="562"/>
      <c r="AB1346" s="562"/>
      <c r="AC1346" s="562"/>
      <c r="AD1346" s="562"/>
      <c r="AE1346" s="562"/>
      <c r="AF1346" s="562"/>
      <c r="AG1346" s="562"/>
      <c r="AH1346" s="562"/>
      <c r="AI1346" s="562"/>
      <c r="AJ1346" s="562"/>
      <c r="AK1346" s="562"/>
      <c r="AL1346" s="562"/>
      <c r="AM1346" s="562"/>
      <c r="AN1346" s="562"/>
      <c r="AO1346" s="562"/>
      <c r="AP1346" s="562"/>
      <c r="AQ1346" s="562"/>
      <c r="AR1346" s="562"/>
      <c r="AS1346" s="562"/>
      <c r="AT1346" s="562"/>
      <c r="AU1346" s="562"/>
      <c r="AV1346" s="562"/>
      <c r="AW1346" s="562"/>
      <c r="AX1346" s="562"/>
      <c r="AY1346" s="562"/>
      <c r="AZ1346" s="562"/>
      <c r="BA1346" s="562"/>
      <c r="BB1346" s="562"/>
      <c r="BC1346" s="562"/>
      <c r="BD1346" s="562"/>
      <c r="BE1346" s="562"/>
      <c r="BF1346" s="562"/>
      <c r="BG1346" s="562"/>
      <c r="BH1346" s="562"/>
    </row>
    <row r="1347" spans="1:60" x14ac:dyDescent="0.2">
      <c r="A1347" s="541">
        <v>10</v>
      </c>
      <c r="B1347" s="551" t="s">
        <v>3328</v>
      </c>
      <c r="C1347" s="544"/>
      <c r="D1347" s="544"/>
      <c r="E1347" s="544"/>
      <c r="F1347" s="544"/>
      <c r="G1347" s="541"/>
      <c r="H1347" s="541"/>
      <c r="I1347" s="347" t="s">
        <v>3329</v>
      </c>
      <c r="J1347" s="98"/>
      <c r="K1347" s="98"/>
      <c r="L1347" s="820" t="s">
        <v>3330</v>
      </c>
      <c r="M1347" s="607"/>
      <c r="N1347" s="98"/>
      <c r="O1347" s="607"/>
      <c r="P1347" s="64"/>
      <c r="Q1347" s="64"/>
      <c r="R1347" s="64"/>
      <c r="S1347" s="64"/>
      <c r="T1347" s="64"/>
      <c r="U1347" s="64"/>
      <c r="V1347" s="64"/>
      <c r="W1347" s="64"/>
      <c r="X1347" s="64"/>
      <c r="Y1347" s="64"/>
      <c r="Z1347" s="456"/>
      <c r="AA1347" s="562"/>
      <c r="AB1347" s="562"/>
      <c r="AC1347" s="562"/>
      <c r="AD1347" s="562"/>
      <c r="AE1347" s="562"/>
      <c r="AF1347" s="562"/>
      <c r="AG1347" s="562"/>
      <c r="AH1347" s="562"/>
      <c r="AI1347" s="562"/>
      <c r="AJ1347" s="562"/>
      <c r="AK1347" s="562"/>
      <c r="AL1347" s="562"/>
      <c r="AM1347" s="562"/>
      <c r="AN1347" s="562"/>
      <c r="AO1347" s="562"/>
      <c r="AP1347" s="562"/>
      <c r="AQ1347" s="562"/>
      <c r="AR1347" s="562"/>
      <c r="AS1347" s="562"/>
      <c r="AT1347" s="562"/>
      <c r="AU1347" s="562"/>
      <c r="AV1347" s="562"/>
      <c r="AW1347" s="562"/>
      <c r="AX1347" s="562"/>
      <c r="AY1347" s="562"/>
      <c r="AZ1347" s="562"/>
      <c r="BA1347" s="562"/>
      <c r="BB1347" s="562"/>
      <c r="BC1347" s="562"/>
      <c r="BD1347" s="562"/>
      <c r="BE1347" s="562"/>
      <c r="BF1347" s="562"/>
      <c r="BG1347" s="562"/>
      <c r="BH1347" s="562"/>
    </row>
    <row r="1348" spans="1:60" x14ac:dyDescent="0.2">
      <c r="A1348" s="541">
        <v>10</v>
      </c>
      <c r="B1348" s="551" t="s">
        <v>3328</v>
      </c>
      <c r="C1348" s="544"/>
      <c r="D1348" s="544"/>
      <c r="E1348" s="544"/>
      <c r="F1348" s="544"/>
      <c r="G1348" s="541"/>
      <c r="H1348" s="541"/>
      <c r="I1348" s="341"/>
      <c r="J1348" s="98"/>
      <c r="K1348" s="98"/>
      <c r="L1348" s="820"/>
      <c r="M1348" s="607"/>
      <c r="N1348" s="98"/>
      <c r="O1348" s="607"/>
      <c r="P1348" s="64"/>
      <c r="Q1348" s="64"/>
      <c r="R1348" s="64"/>
      <c r="S1348" s="64"/>
      <c r="T1348" s="64"/>
      <c r="U1348" s="64"/>
      <c r="V1348" s="64"/>
      <c r="W1348" s="64"/>
      <c r="X1348" s="64"/>
      <c r="Y1348" s="64"/>
      <c r="Z1348" s="456"/>
      <c r="AA1348" s="562"/>
      <c r="AB1348" s="562"/>
      <c r="AC1348" s="562"/>
      <c r="AD1348" s="562"/>
      <c r="AE1348" s="562"/>
      <c r="AF1348" s="562"/>
      <c r="AG1348" s="562"/>
      <c r="AH1348" s="562"/>
      <c r="AI1348" s="562"/>
      <c r="AJ1348" s="562"/>
      <c r="AK1348" s="562"/>
      <c r="AL1348" s="562"/>
      <c r="AM1348" s="562"/>
      <c r="AN1348" s="562"/>
      <c r="AO1348" s="562"/>
      <c r="AP1348" s="562"/>
      <c r="AQ1348" s="562"/>
      <c r="AR1348" s="562"/>
      <c r="AS1348" s="562"/>
      <c r="AT1348" s="562"/>
      <c r="AU1348" s="562"/>
      <c r="AV1348" s="562"/>
      <c r="AW1348" s="562"/>
      <c r="AX1348" s="562"/>
      <c r="AY1348" s="562"/>
      <c r="AZ1348" s="562"/>
      <c r="BA1348" s="562"/>
      <c r="BB1348" s="562"/>
      <c r="BC1348" s="562"/>
      <c r="BD1348" s="562"/>
      <c r="BE1348" s="562"/>
      <c r="BF1348" s="562"/>
      <c r="BG1348" s="562"/>
      <c r="BH1348" s="562"/>
    </row>
    <row r="1349" spans="1:60" ht="16" thickBot="1" x14ac:dyDescent="0.25">
      <c r="A1349" s="541">
        <v>10</v>
      </c>
      <c r="B1349" s="551" t="s">
        <v>3328</v>
      </c>
      <c r="C1349" s="544"/>
      <c r="D1349" s="544"/>
      <c r="E1349" s="544"/>
      <c r="F1349" s="544"/>
      <c r="G1349" s="541"/>
      <c r="H1349" s="541"/>
      <c r="I1349" s="342"/>
      <c r="J1349" s="185"/>
      <c r="K1349" s="185"/>
      <c r="L1349" s="822"/>
      <c r="M1349" s="622"/>
      <c r="N1349" s="185"/>
      <c r="O1349" s="622"/>
      <c r="P1349" s="68"/>
      <c r="Q1349" s="68"/>
      <c r="R1349" s="68"/>
      <c r="S1349" s="68"/>
      <c r="T1349" s="68"/>
      <c r="U1349" s="68"/>
      <c r="V1349" s="68"/>
      <c r="W1349" s="68"/>
      <c r="X1349" s="68"/>
      <c r="Y1349" s="68"/>
      <c r="Z1349" s="455"/>
      <c r="AA1349" s="562"/>
      <c r="AB1349" s="562"/>
      <c r="AC1349" s="562"/>
      <c r="AD1349" s="562"/>
      <c r="AE1349" s="562"/>
      <c r="AF1349" s="562"/>
      <c r="AG1349" s="562"/>
      <c r="AH1349" s="562"/>
      <c r="AI1349" s="562"/>
      <c r="AJ1349" s="562"/>
      <c r="AK1349" s="562"/>
      <c r="AL1349" s="562"/>
      <c r="AM1349" s="562"/>
      <c r="AN1349" s="562"/>
      <c r="AO1349" s="562"/>
      <c r="AP1349" s="562"/>
      <c r="AQ1349" s="562"/>
      <c r="AR1349" s="562"/>
      <c r="AS1349" s="562"/>
      <c r="AT1349" s="562"/>
      <c r="AU1349" s="562"/>
      <c r="AV1349" s="562"/>
      <c r="AW1349" s="562"/>
      <c r="AX1349" s="562"/>
      <c r="AY1349" s="562"/>
      <c r="AZ1349" s="562"/>
      <c r="BA1349" s="562"/>
      <c r="BB1349" s="562"/>
      <c r="BC1349" s="562"/>
      <c r="BD1349" s="562"/>
      <c r="BE1349" s="562"/>
      <c r="BF1349" s="562"/>
      <c r="BG1349" s="562"/>
      <c r="BH1349" s="562"/>
    </row>
    <row r="1350" spans="1:60" ht="16" thickTop="1" x14ac:dyDescent="0.2">
      <c r="A1350" s="541">
        <v>10</v>
      </c>
      <c r="B1350" s="551">
        <v>1003.1</v>
      </c>
      <c r="C1350" s="544"/>
      <c r="D1350" s="544"/>
      <c r="E1350" s="544"/>
      <c r="F1350" s="544"/>
      <c r="G1350" s="543" t="str">
        <f>IF(N1350&gt;0,"P","")</f>
        <v/>
      </c>
      <c r="H1350" s="541" t="s">
        <v>3751</v>
      </c>
      <c r="I1350" s="107" t="s">
        <v>3331</v>
      </c>
      <c r="J1350" s="3"/>
      <c r="K1350" s="3"/>
      <c r="L1350" s="178" t="s">
        <v>3332</v>
      </c>
      <c r="M1350" s="616" t="s">
        <v>3333</v>
      </c>
      <c r="N1350" s="609">
        <f>'Ch10'!O167</f>
        <v>0</v>
      </c>
      <c r="O1350" s="609">
        <f>MIN(2,COUNTIF(W1351:W1356,TRUE))</f>
        <v>0</v>
      </c>
      <c r="P1350" s="562"/>
      <c r="Q1350" s="562"/>
      <c r="R1350" s="562"/>
      <c r="S1350" s="562"/>
      <c r="T1350" s="562"/>
      <c r="U1350" s="562"/>
      <c r="V1350" s="562"/>
      <c r="W1350" s="562"/>
      <c r="X1350" s="562"/>
      <c r="Y1350" s="562"/>
      <c r="Z1350" s="430"/>
      <c r="AA1350" s="562"/>
      <c r="AB1350" s="562"/>
      <c r="AC1350" s="562"/>
      <c r="AD1350" s="562"/>
      <c r="AE1350" s="562"/>
      <c r="AF1350" s="562"/>
      <c r="AG1350" s="562"/>
      <c r="AH1350" s="562"/>
      <c r="AI1350" s="562"/>
      <c r="AJ1350" s="562"/>
      <c r="AK1350" s="562"/>
      <c r="AL1350" s="190" t="str">
        <f t="shared" ref="AL1350:AL1351" si="414">SUBSTITUTE(SUBSTITUTE(SUBSTITUTE("vpa"&amp;$B1350&amp;$C1350&amp;$D1350&amp;$E1350&amp;$F1350,".","_"),"(","_"),")","")</f>
        <v>vpa1003,1</v>
      </c>
      <c r="AM1350" s="190" t="str">
        <f>M1350</f>
        <v>2 Max</v>
      </c>
      <c r="AN1350" s="190" t="str">
        <f>SUBSTITUTE(SUBSTITUTE(SUBSTITUTE("vpc"&amp;$B1350&amp;$C1350&amp;$D1350&amp;$E1350&amp;$F1350,".","_"),"(","_"),")","")</f>
        <v>vpc1003,1</v>
      </c>
      <c r="AO1350" s="190">
        <f>O1350</f>
        <v>0</v>
      </c>
      <c r="AP1350" s="562"/>
      <c r="AQ1350" s="562"/>
      <c r="AR1350" s="562"/>
      <c r="AS1350" s="562"/>
      <c r="AT1350" s="562"/>
      <c r="AU1350" s="562"/>
      <c r="AV1350" s="562"/>
      <c r="AW1350" s="562"/>
      <c r="AX1350" s="562"/>
      <c r="AY1350" s="562"/>
      <c r="AZ1350" s="562"/>
      <c r="BA1350" s="562"/>
      <c r="BB1350" s="562"/>
      <c r="BC1350" s="562"/>
      <c r="BD1350" s="562"/>
      <c r="BE1350" s="562"/>
      <c r="BF1350" s="562"/>
      <c r="BG1350" s="562"/>
      <c r="BH1350" s="562"/>
    </row>
    <row r="1351" spans="1:60" x14ac:dyDescent="0.2">
      <c r="A1351" s="541">
        <v>10</v>
      </c>
      <c r="B1351" s="551">
        <v>1003.1</v>
      </c>
      <c r="C1351" s="544"/>
      <c r="D1351" s="544"/>
      <c r="E1351" s="544" t="s">
        <v>2181</v>
      </c>
      <c r="F1351" s="544"/>
      <c r="G1351" s="543" t="str">
        <f t="shared" ref="G1351:G1358" si="415">G1350</f>
        <v/>
      </c>
      <c r="H1351" s="541" t="s">
        <v>3757</v>
      </c>
      <c r="I1351" s="450"/>
      <c r="J1351" s="134" t="s">
        <v>2181</v>
      </c>
      <c r="K1351" s="98"/>
      <c r="L1351" s="820" t="s">
        <v>3334</v>
      </c>
      <c r="M1351" s="800">
        <v>1</v>
      </c>
      <c r="N1351" s="3"/>
      <c r="O1351" s="609"/>
      <c r="P1351" s="562" t="b">
        <v>1</v>
      </c>
      <c r="Q1351" s="562" t="b">
        <v>0</v>
      </c>
      <c r="R1351" s="562" t="b">
        <v>0</v>
      </c>
      <c r="S1351" s="562" t="b">
        <v>1</v>
      </c>
      <c r="T1351" s="562" t="b">
        <v>0</v>
      </c>
      <c r="U1351" s="562"/>
      <c r="V1351" s="562"/>
      <c r="W1351" s="18"/>
      <c r="X1351" s="787"/>
      <c r="Y1351" s="980" t="str">
        <f>IF(LEN('Ch10'!X168)=0,"None",'Ch10'!X168)</f>
        <v>None</v>
      </c>
      <c r="Z1351" s="983"/>
      <c r="AA1351" s="562"/>
      <c r="AB1351" s="562"/>
      <c r="AC1351" s="562"/>
      <c r="AD1351" s="562"/>
      <c r="AE1351" s="562"/>
      <c r="AF1351" s="562"/>
      <c r="AG1351" s="562"/>
      <c r="AH1351" s="562"/>
      <c r="AI1351" s="562"/>
      <c r="AJ1351" s="562"/>
      <c r="AK1351" s="562"/>
      <c r="AL1351" s="190" t="str">
        <f t="shared" si="414"/>
        <v>vpa1003,1_1</v>
      </c>
      <c r="AM1351" s="190">
        <f>M1351</f>
        <v>1</v>
      </c>
      <c r="AN1351" s="562"/>
      <c r="AO1351" s="562"/>
      <c r="AP1351" s="190" t="str">
        <f>SUBSTITUTE(SUBSTITUTE(SUBSTITUTE("vch"&amp;$B1351&amp;$C1351&amp;$D1351&amp;$E1351&amp;$F1351,".","_"),"(","_"),")","")</f>
        <v>vch1003,1_1</v>
      </c>
      <c r="AQ1351" s="190">
        <f>W1351</f>
        <v>0</v>
      </c>
      <c r="AR1351" s="190" t="str">
        <f>SUBSTITUTE(SUBSTITUTE(SUBSTITUTE("vnt"&amp;$B1351&amp;$C1351&amp;$D1351&amp;$E1351&amp;$F1351,".","_"),"(","_"),")","")</f>
        <v>vnt1003,1_1</v>
      </c>
      <c r="AS1351" s="190">
        <f>X1351</f>
        <v>0</v>
      </c>
      <c r="AT1351" s="562"/>
      <c r="AU1351" s="562"/>
      <c r="AV1351" s="562"/>
      <c r="AW1351" s="562"/>
      <c r="AX1351" s="562"/>
      <c r="AY1351" s="562"/>
      <c r="AZ1351" s="562"/>
      <c r="BA1351" s="562"/>
      <c r="BB1351" s="562"/>
      <c r="BC1351" s="562"/>
      <c r="BD1351" s="562"/>
      <c r="BE1351" s="562"/>
      <c r="BF1351" s="562"/>
      <c r="BG1351" s="562"/>
      <c r="BH1351" s="562"/>
    </row>
    <row r="1352" spans="1:60" x14ac:dyDescent="0.2">
      <c r="A1352" s="541">
        <v>10</v>
      </c>
      <c r="B1352" s="551">
        <v>1003.1</v>
      </c>
      <c r="C1352" s="544"/>
      <c r="D1352" s="544"/>
      <c r="E1352" s="544" t="s">
        <v>2181</v>
      </c>
      <c r="F1352" s="544"/>
      <c r="G1352" s="543" t="str">
        <f t="shared" si="415"/>
        <v/>
      </c>
      <c r="H1352" s="541" t="s">
        <v>3757</v>
      </c>
      <c r="I1352" s="450"/>
      <c r="J1352" s="159"/>
      <c r="K1352" s="165"/>
      <c r="L1352" s="832"/>
      <c r="M1352" s="801"/>
      <c r="N1352" s="3"/>
      <c r="O1352" s="609"/>
      <c r="P1352" s="562"/>
      <c r="Q1352" s="562"/>
      <c r="R1352" s="562"/>
      <c r="S1352" s="562"/>
      <c r="T1352" s="562"/>
      <c r="U1352" s="562"/>
      <c r="V1352" s="562"/>
      <c r="W1352" s="562"/>
      <c r="X1352" s="787"/>
      <c r="Y1352" s="980"/>
      <c r="Z1352" s="983"/>
      <c r="AA1352" s="562"/>
      <c r="AB1352" s="562"/>
      <c r="AC1352" s="562"/>
      <c r="AD1352" s="562"/>
      <c r="AE1352" s="562"/>
      <c r="AF1352" s="562"/>
      <c r="AG1352" s="562"/>
      <c r="AH1352" s="562"/>
      <c r="AI1352" s="562"/>
      <c r="AJ1352" s="562"/>
      <c r="AK1352" s="562"/>
      <c r="AL1352" s="562"/>
      <c r="AM1352" s="562"/>
      <c r="AN1352" s="562"/>
      <c r="AO1352" s="562"/>
      <c r="AP1352" s="562"/>
      <c r="AQ1352" s="562"/>
      <c r="AR1352" s="562"/>
      <c r="AS1352" s="562"/>
      <c r="AT1352" s="562"/>
      <c r="AU1352" s="562"/>
      <c r="AV1352" s="562"/>
      <c r="AW1352" s="562"/>
      <c r="AX1352" s="562"/>
      <c r="AY1352" s="562"/>
      <c r="AZ1352" s="562"/>
      <c r="BA1352" s="562"/>
      <c r="BB1352" s="562"/>
      <c r="BC1352" s="562"/>
      <c r="BD1352" s="562"/>
      <c r="BE1352" s="562"/>
      <c r="BF1352" s="562"/>
      <c r="BG1352" s="562"/>
      <c r="BH1352" s="562"/>
    </row>
    <row r="1353" spans="1:60" x14ac:dyDescent="0.2">
      <c r="A1353" s="541">
        <v>10</v>
      </c>
      <c r="B1353" s="551">
        <v>1003.1</v>
      </c>
      <c r="C1353" s="544"/>
      <c r="D1353" s="544"/>
      <c r="E1353" s="544" t="s">
        <v>2183</v>
      </c>
      <c r="F1353" s="544"/>
      <c r="G1353" s="543" t="str">
        <f t="shared" si="415"/>
        <v/>
      </c>
      <c r="H1353" s="541" t="s">
        <v>3758</v>
      </c>
      <c r="I1353" s="450"/>
      <c r="J1353" s="164" t="s">
        <v>2183</v>
      </c>
      <c r="K1353" s="146"/>
      <c r="L1353" s="847" t="s">
        <v>3335</v>
      </c>
      <c r="M1353" s="824">
        <v>1</v>
      </c>
      <c r="N1353" s="3"/>
      <c r="O1353" s="609"/>
      <c r="P1353" s="562" t="b">
        <v>0</v>
      </c>
      <c r="Q1353" s="562" t="b">
        <v>1</v>
      </c>
      <c r="R1353" s="562" t="b">
        <v>0</v>
      </c>
      <c r="S1353" s="562" t="b">
        <v>1</v>
      </c>
      <c r="T1353" s="562" t="b">
        <v>0</v>
      </c>
      <c r="U1353" s="562"/>
      <c r="V1353" s="562"/>
      <c r="W1353" s="18"/>
      <c r="X1353" s="787"/>
      <c r="Y1353" s="980" t="str">
        <f>IF(LEN('Ch10'!X170)=0,"None",'Ch10'!X170)</f>
        <v>None</v>
      </c>
      <c r="Z1353" s="983"/>
      <c r="AA1353" s="562"/>
      <c r="AB1353" s="562"/>
      <c r="AC1353" s="562"/>
      <c r="AD1353" s="562"/>
      <c r="AE1353" s="562"/>
      <c r="AF1353" s="562"/>
      <c r="AG1353" s="562"/>
      <c r="AH1353" s="562"/>
      <c r="AI1353" s="562"/>
      <c r="AJ1353" s="562"/>
      <c r="AK1353" s="562"/>
      <c r="AL1353" s="190" t="str">
        <f t="shared" ref="AL1353" si="416">SUBSTITUTE(SUBSTITUTE(SUBSTITUTE("vpa"&amp;$B1353&amp;$C1353&amp;$D1353&amp;$E1353&amp;$F1353,".","_"),"(","_"),")","")</f>
        <v>vpa1003,1_2</v>
      </c>
      <c r="AM1353" s="190">
        <f>M1353</f>
        <v>1</v>
      </c>
      <c r="AN1353" s="562"/>
      <c r="AO1353" s="562"/>
      <c r="AP1353" s="190" t="str">
        <f>SUBSTITUTE(SUBSTITUTE(SUBSTITUTE("vch"&amp;$B1353&amp;$C1353&amp;$D1353&amp;$E1353&amp;$F1353,".","_"),"(","_"),")","")</f>
        <v>vch1003,1_2</v>
      </c>
      <c r="AQ1353" s="190">
        <f>W1353</f>
        <v>0</v>
      </c>
      <c r="AR1353" s="190" t="str">
        <f>SUBSTITUTE(SUBSTITUTE(SUBSTITUTE("vnt"&amp;$B1353&amp;$C1353&amp;$D1353&amp;$E1353&amp;$F1353,".","_"),"(","_"),")","")</f>
        <v>vnt1003,1_2</v>
      </c>
      <c r="AS1353" s="190">
        <f>X1353</f>
        <v>0</v>
      </c>
      <c r="AT1353" s="562"/>
      <c r="AU1353" s="562"/>
      <c r="AV1353" s="562"/>
      <c r="AW1353" s="562"/>
      <c r="AX1353" s="562"/>
      <c r="AY1353" s="562"/>
      <c r="AZ1353" s="562"/>
      <c r="BA1353" s="562"/>
      <c r="BB1353" s="562"/>
      <c r="BC1353" s="562"/>
      <c r="BD1353" s="562"/>
      <c r="BE1353" s="562"/>
      <c r="BF1353" s="562"/>
      <c r="BG1353" s="562"/>
      <c r="BH1353" s="562"/>
    </row>
    <row r="1354" spans="1:60" x14ac:dyDescent="0.2">
      <c r="A1354" s="541">
        <v>10</v>
      </c>
      <c r="B1354" s="551">
        <v>1003.1</v>
      </c>
      <c r="C1354" s="544"/>
      <c r="D1354" s="544"/>
      <c r="E1354" s="544" t="s">
        <v>2183</v>
      </c>
      <c r="F1354" s="544"/>
      <c r="G1354" s="543" t="str">
        <f t="shared" si="415"/>
        <v/>
      </c>
      <c r="H1354" s="541" t="s">
        <v>3758</v>
      </c>
      <c r="I1354" s="450"/>
      <c r="J1354" s="134"/>
      <c r="K1354" s="98"/>
      <c r="L1354" s="820"/>
      <c r="M1354" s="800"/>
      <c r="N1354" s="3"/>
      <c r="O1354" s="609"/>
      <c r="P1354" s="562"/>
      <c r="Q1354" s="562"/>
      <c r="R1354" s="562"/>
      <c r="S1354" s="562"/>
      <c r="T1354" s="562"/>
      <c r="U1354" s="562"/>
      <c r="V1354" s="562"/>
      <c r="W1354" s="562"/>
      <c r="X1354" s="787"/>
      <c r="Y1354" s="980"/>
      <c r="Z1354" s="983"/>
      <c r="AA1354" s="562"/>
      <c r="AB1354" s="562"/>
      <c r="AC1354" s="562"/>
      <c r="AD1354" s="562"/>
      <c r="AE1354" s="562"/>
      <c r="AF1354" s="562"/>
      <c r="AG1354" s="562"/>
      <c r="AH1354" s="562"/>
      <c r="AI1354" s="562"/>
      <c r="AJ1354" s="562"/>
      <c r="AK1354" s="562"/>
      <c r="AL1354" s="562"/>
      <c r="AM1354" s="562"/>
      <c r="AN1354" s="562"/>
      <c r="AO1354" s="562"/>
      <c r="AP1354" s="562"/>
      <c r="AQ1354" s="562"/>
      <c r="AR1354" s="562"/>
      <c r="AS1354" s="562"/>
      <c r="AT1354" s="562"/>
      <c r="AU1354" s="562"/>
      <c r="AV1354" s="562"/>
      <c r="AW1354" s="562"/>
      <c r="AX1354" s="562"/>
      <c r="AY1354" s="562"/>
      <c r="AZ1354" s="562"/>
      <c r="BA1354" s="562"/>
      <c r="BB1354" s="562"/>
      <c r="BC1354" s="562"/>
      <c r="BD1354" s="562"/>
      <c r="BE1354" s="562"/>
      <c r="BF1354" s="562"/>
      <c r="BG1354" s="562"/>
      <c r="BH1354" s="562"/>
    </row>
    <row r="1355" spans="1:60" x14ac:dyDescent="0.2">
      <c r="A1355" s="541">
        <v>10</v>
      </c>
      <c r="B1355" s="551">
        <v>1003.1</v>
      </c>
      <c r="C1355" s="544"/>
      <c r="D1355" s="544"/>
      <c r="E1355" s="544" t="s">
        <v>2183</v>
      </c>
      <c r="F1355" s="544"/>
      <c r="G1355" s="543" t="str">
        <f t="shared" si="415"/>
        <v/>
      </c>
      <c r="H1355" s="541" t="s">
        <v>3758</v>
      </c>
      <c r="I1355" s="450"/>
      <c r="J1355" s="159"/>
      <c r="K1355" s="165"/>
      <c r="L1355" s="832"/>
      <c r="M1355" s="801"/>
      <c r="N1355" s="3"/>
      <c r="O1355" s="609"/>
      <c r="P1355" s="562"/>
      <c r="Q1355" s="562"/>
      <c r="R1355" s="562"/>
      <c r="S1355" s="562"/>
      <c r="T1355" s="562"/>
      <c r="U1355" s="562"/>
      <c r="V1355" s="562"/>
      <c r="W1355" s="562"/>
      <c r="X1355" s="787"/>
      <c r="Y1355" s="980"/>
      <c r="Z1355" s="983"/>
      <c r="AA1355" s="562"/>
      <c r="AB1355" s="562"/>
      <c r="AC1355" s="562"/>
      <c r="AD1355" s="562"/>
      <c r="AE1355" s="562"/>
      <c r="AF1355" s="562"/>
      <c r="AG1355" s="562"/>
      <c r="AH1355" s="562"/>
      <c r="AI1355" s="562"/>
      <c r="AJ1355" s="562"/>
      <c r="AK1355" s="562"/>
      <c r="AL1355" s="562"/>
      <c r="AM1355" s="562"/>
      <c r="AN1355" s="562"/>
      <c r="AO1355" s="562"/>
      <c r="AP1355" s="562"/>
      <c r="AQ1355" s="562"/>
      <c r="AR1355" s="562"/>
      <c r="AS1355" s="562"/>
      <c r="AT1355" s="562"/>
      <c r="AU1355" s="562"/>
      <c r="AV1355" s="562"/>
      <c r="AW1355" s="562"/>
      <c r="AX1355" s="562"/>
      <c r="AY1355" s="562"/>
      <c r="AZ1355" s="562"/>
      <c r="BA1355" s="562"/>
      <c r="BB1355" s="562"/>
      <c r="BC1355" s="562"/>
      <c r="BD1355" s="562"/>
      <c r="BE1355" s="562"/>
      <c r="BF1355" s="562"/>
      <c r="BG1355" s="562"/>
      <c r="BH1355" s="562"/>
    </row>
    <row r="1356" spans="1:60" x14ac:dyDescent="0.2">
      <c r="A1356" s="541">
        <v>10</v>
      </c>
      <c r="B1356" s="551">
        <v>1003.1</v>
      </c>
      <c r="C1356" s="544"/>
      <c r="D1356" s="544"/>
      <c r="E1356" s="544" t="s">
        <v>2185</v>
      </c>
      <c r="F1356" s="544"/>
      <c r="G1356" s="543" t="str">
        <f t="shared" si="415"/>
        <v/>
      </c>
      <c r="H1356" s="541" t="s">
        <v>3757</v>
      </c>
      <c r="I1356" s="450"/>
      <c r="J1356" s="20" t="s">
        <v>2185</v>
      </c>
      <c r="K1356" s="3"/>
      <c r="L1356" s="775" t="s">
        <v>3336</v>
      </c>
      <c r="M1356" s="814">
        <v>1</v>
      </c>
      <c r="N1356" s="3"/>
      <c r="O1356" s="609"/>
      <c r="P1356" s="562" t="b">
        <v>1</v>
      </c>
      <c r="Q1356" s="562" t="b">
        <v>0</v>
      </c>
      <c r="R1356" s="562" t="b">
        <v>0</v>
      </c>
      <c r="S1356" s="562" t="b">
        <v>1</v>
      </c>
      <c r="T1356" s="562" t="b">
        <v>0</v>
      </c>
      <c r="U1356" s="562"/>
      <c r="V1356" s="562"/>
      <c r="W1356" s="18"/>
      <c r="X1356" s="787"/>
      <c r="Y1356" s="980" t="str">
        <f>IF(LEN('Ch10'!X173)=0,"None",'Ch10'!X173)</f>
        <v>None</v>
      </c>
      <c r="Z1356" s="983"/>
      <c r="AA1356" s="562"/>
      <c r="AB1356" s="562"/>
      <c r="AC1356" s="562"/>
      <c r="AD1356" s="562"/>
      <c r="AE1356" s="562"/>
      <c r="AF1356" s="562"/>
      <c r="AG1356" s="562"/>
      <c r="AH1356" s="562"/>
      <c r="AI1356" s="562"/>
      <c r="AJ1356" s="562"/>
      <c r="AK1356" s="562"/>
      <c r="AL1356" s="190" t="str">
        <f t="shared" ref="AL1356" si="417">SUBSTITUTE(SUBSTITUTE(SUBSTITUTE("vpa"&amp;$B1356&amp;$C1356&amp;$D1356&amp;$E1356&amp;$F1356,".","_"),"(","_"),")","")</f>
        <v>vpa1003,1_3</v>
      </c>
      <c r="AM1356" s="190">
        <f>M1356</f>
        <v>1</v>
      </c>
      <c r="AN1356" s="562"/>
      <c r="AO1356" s="562"/>
      <c r="AP1356" s="190" t="str">
        <f>SUBSTITUTE(SUBSTITUTE(SUBSTITUTE("vch"&amp;$B1356&amp;$C1356&amp;$D1356&amp;$E1356&amp;$F1356,".","_"),"(","_"),")","")</f>
        <v>vch1003,1_3</v>
      </c>
      <c r="AQ1356" s="190">
        <f>W1356</f>
        <v>0</v>
      </c>
      <c r="AR1356" s="190" t="str">
        <f>SUBSTITUTE(SUBSTITUTE(SUBSTITUTE("vnt"&amp;$B1356&amp;$C1356&amp;$D1356&amp;$E1356&amp;$F1356,".","_"),"(","_"),")","")</f>
        <v>vnt1003,1_3</v>
      </c>
      <c r="AS1356" s="190">
        <f>X1356</f>
        <v>0</v>
      </c>
      <c r="AT1356" s="562"/>
      <c r="AU1356" s="562"/>
      <c r="AV1356" s="562"/>
      <c r="AW1356" s="562"/>
      <c r="AX1356" s="562"/>
      <c r="AY1356" s="562"/>
      <c r="AZ1356" s="562"/>
      <c r="BA1356" s="562"/>
      <c r="BB1356" s="562"/>
      <c r="BC1356" s="562"/>
      <c r="BD1356" s="562"/>
      <c r="BE1356" s="562"/>
      <c r="BF1356" s="562"/>
      <c r="BG1356" s="562"/>
      <c r="BH1356" s="562"/>
    </row>
    <row r="1357" spans="1:60" x14ac:dyDescent="0.2">
      <c r="A1357" s="541">
        <v>10</v>
      </c>
      <c r="B1357" s="551">
        <v>1003.1</v>
      </c>
      <c r="C1357" s="544"/>
      <c r="D1357" s="544"/>
      <c r="E1357" s="544" t="s">
        <v>2185</v>
      </c>
      <c r="F1357" s="544"/>
      <c r="G1357" s="543" t="str">
        <f t="shared" si="415"/>
        <v/>
      </c>
      <c r="H1357" s="541" t="s">
        <v>3757</v>
      </c>
      <c r="I1357" s="450"/>
      <c r="J1357" s="3"/>
      <c r="K1357" s="3"/>
      <c r="L1357" s="775"/>
      <c r="M1357" s="814"/>
      <c r="N1357" s="3"/>
      <c r="O1357" s="609"/>
      <c r="P1357" s="562"/>
      <c r="Q1357" s="562"/>
      <c r="R1357" s="562"/>
      <c r="S1357" s="562"/>
      <c r="T1357" s="562"/>
      <c r="U1357" s="562"/>
      <c r="V1357" s="562"/>
      <c r="W1357" s="562"/>
      <c r="X1357" s="787"/>
      <c r="Y1357" s="980"/>
      <c r="Z1357" s="983"/>
      <c r="AA1357" s="562"/>
      <c r="AB1357" s="562"/>
      <c r="AC1357" s="562"/>
      <c r="AD1357" s="562"/>
      <c r="AE1357" s="562"/>
      <c r="AF1357" s="562"/>
      <c r="AG1357" s="562"/>
      <c r="AH1357" s="562"/>
      <c r="AI1357" s="562"/>
      <c r="AJ1357" s="562"/>
      <c r="AK1357" s="562"/>
      <c r="AL1357" s="562"/>
      <c r="AM1357" s="562"/>
      <c r="AN1357" s="562"/>
      <c r="AO1357" s="562"/>
      <c r="AP1357" s="562"/>
      <c r="AQ1357" s="562"/>
      <c r="AR1357" s="562"/>
      <c r="AS1357" s="562"/>
      <c r="AT1357" s="562"/>
      <c r="AU1357" s="562"/>
      <c r="AV1357" s="562"/>
      <c r="AW1357" s="562"/>
      <c r="AX1357" s="562"/>
      <c r="AY1357" s="562"/>
      <c r="AZ1357" s="562"/>
      <c r="BA1357" s="562"/>
      <c r="BB1357" s="562"/>
      <c r="BC1357" s="562"/>
      <c r="BD1357" s="562"/>
      <c r="BE1357" s="562"/>
      <c r="BF1357" s="562"/>
      <c r="BG1357" s="562"/>
      <c r="BH1357" s="562"/>
    </row>
    <row r="1358" spans="1:60" x14ac:dyDescent="0.2">
      <c r="A1358" s="541">
        <v>10</v>
      </c>
      <c r="B1358" s="551">
        <v>1003.1</v>
      </c>
      <c r="C1358" s="544"/>
      <c r="D1358" s="544"/>
      <c r="E1358" s="544" t="s">
        <v>2185</v>
      </c>
      <c r="F1358" s="544"/>
      <c r="G1358" s="543" t="str">
        <f t="shared" si="415"/>
        <v/>
      </c>
      <c r="H1358" s="541" t="s">
        <v>3757</v>
      </c>
      <c r="I1358" s="450"/>
      <c r="J1358" s="3"/>
      <c r="K1358" s="3"/>
      <c r="L1358" s="775"/>
      <c r="M1358" s="814"/>
      <c r="N1358" s="3"/>
      <c r="O1358" s="609"/>
      <c r="P1358" s="562"/>
      <c r="Q1358" s="562"/>
      <c r="R1358" s="562"/>
      <c r="S1358" s="562"/>
      <c r="T1358" s="562"/>
      <c r="U1358" s="562"/>
      <c r="V1358" s="562"/>
      <c r="W1358" s="562"/>
      <c r="X1358" s="787"/>
      <c r="Y1358" s="980"/>
      <c r="Z1358" s="983"/>
      <c r="AA1358" s="562"/>
      <c r="AB1358" s="562"/>
      <c r="AC1358" s="562"/>
      <c r="AD1358" s="562"/>
      <c r="AE1358" s="562"/>
      <c r="AF1358" s="562"/>
      <c r="AG1358" s="562"/>
      <c r="AH1358" s="562"/>
      <c r="AI1358" s="562"/>
      <c r="AJ1358" s="562"/>
      <c r="AK1358" s="562"/>
      <c r="AL1358" s="562"/>
      <c r="AM1358" s="562"/>
      <c r="AN1358" s="562"/>
      <c r="AO1358" s="562"/>
      <c r="AP1358" s="562"/>
      <c r="AQ1358" s="562"/>
      <c r="AR1358" s="562"/>
      <c r="AS1358" s="562"/>
      <c r="AT1358" s="562"/>
      <c r="AU1358" s="562"/>
      <c r="AV1358" s="562"/>
      <c r="AW1358" s="562"/>
      <c r="AX1358" s="562"/>
      <c r="AY1358" s="562"/>
      <c r="AZ1358" s="562"/>
      <c r="BA1358" s="562"/>
      <c r="BB1358" s="562"/>
      <c r="BC1358" s="562"/>
      <c r="BD1358" s="562"/>
      <c r="BE1358" s="562"/>
      <c r="BF1358" s="562"/>
      <c r="BG1358" s="562"/>
      <c r="BH1358" s="562"/>
    </row>
    <row r="1359" spans="1:60" ht="19" x14ac:dyDescent="0.25">
      <c r="A1359" s="541">
        <v>10</v>
      </c>
      <c r="B1359" s="551">
        <v>1004</v>
      </c>
      <c r="C1359" s="549"/>
      <c r="D1359" s="549"/>
      <c r="E1359" s="549"/>
      <c r="F1359" s="549"/>
      <c r="G1359" s="543" t="s">
        <v>3343</v>
      </c>
      <c r="H1359" s="541" t="s">
        <v>3751</v>
      </c>
      <c r="I1359" s="45" t="s">
        <v>3773</v>
      </c>
      <c r="J1359" s="16"/>
      <c r="K1359" s="16"/>
      <c r="L1359" s="179"/>
      <c r="M1359" s="264"/>
      <c r="N1359" s="266"/>
      <c r="O1359" s="264"/>
      <c r="P1359" s="16"/>
      <c r="Q1359" s="16"/>
      <c r="R1359" s="16"/>
      <c r="S1359" s="16"/>
      <c r="T1359" s="16"/>
      <c r="U1359" s="16"/>
      <c r="V1359" s="16"/>
      <c r="W1359" s="16"/>
      <c r="X1359" s="16"/>
      <c r="Y1359" s="16"/>
      <c r="Z1359" s="453"/>
      <c r="AA1359" s="562"/>
      <c r="AB1359" s="562"/>
      <c r="AC1359" s="562"/>
      <c r="AD1359" s="562"/>
      <c r="AE1359" s="562"/>
      <c r="AF1359" s="562"/>
      <c r="AG1359" s="562"/>
      <c r="AH1359" s="562"/>
      <c r="AI1359" s="562"/>
      <c r="AJ1359" s="562"/>
      <c r="AK1359" s="562"/>
      <c r="AL1359" s="562"/>
      <c r="AM1359" s="562"/>
      <c r="AN1359" s="562"/>
      <c r="AO1359" s="562"/>
      <c r="AP1359" s="562"/>
      <c r="AQ1359" s="562"/>
      <c r="AR1359" s="562"/>
      <c r="AS1359" s="562"/>
      <c r="AT1359" s="562"/>
      <c r="AU1359" s="562"/>
      <c r="AV1359" s="562"/>
      <c r="AW1359" s="562"/>
      <c r="AX1359" s="562"/>
      <c r="AY1359" s="562"/>
      <c r="AZ1359" s="562"/>
      <c r="BA1359" s="562"/>
      <c r="BB1359" s="562"/>
      <c r="BC1359" s="562"/>
      <c r="BD1359" s="562"/>
      <c r="BE1359" s="562"/>
      <c r="BF1359" s="562"/>
      <c r="BG1359" s="562"/>
      <c r="BH1359" s="562"/>
    </row>
    <row r="1360" spans="1:60" x14ac:dyDescent="0.2">
      <c r="A1360" s="541">
        <v>10</v>
      </c>
      <c r="B1360" s="551" t="s">
        <v>3774</v>
      </c>
      <c r="C1360" s="544"/>
      <c r="D1360" s="544"/>
      <c r="E1360" s="544"/>
      <c r="F1360" s="544"/>
      <c r="G1360" s="541"/>
      <c r="H1360" s="541"/>
      <c r="I1360" s="347" t="s">
        <v>3775</v>
      </c>
      <c r="J1360" s="98"/>
      <c r="K1360" s="98"/>
      <c r="L1360" s="820" t="s">
        <v>3776</v>
      </c>
      <c r="M1360" s="607"/>
      <c r="N1360" s="98"/>
      <c r="O1360" s="607"/>
      <c r="P1360" s="64"/>
      <c r="Q1360" s="64"/>
      <c r="R1360" s="64"/>
      <c r="S1360" s="64"/>
      <c r="T1360" s="64"/>
      <c r="U1360" s="64"/>
      <c r="V1360" s="64"/>
      <c r="W1360" s="64"/>
      <c r="X1360" s="64"/>
      <c r="Y1360" s="64"/>
      <c r="Z1360" s="456"/>
      <c r="AA1360" s="562"/>
      <c r="AB1360" s="562"/>
      <c r="AC1360" s="562"/>
      <c r="AD1360" s="562"/>
      <c r="AE1360" s="562"/>
      <c r="AF1360" s="562"/>
      <c r="AG1360" s="562"/>
      <c r="AH1360" s="562"/>
      <c r="AI1360" s="562"/>
      <c r="AJ1360" s="562"/>
      <c r="AK1360" s="562"/>
      <c r="AL1360" s="562"/>
      <c r="AM1360" s="562"/>
      <c r="AN1360" s="562"/>
      <c r="AO1360" s="562"/>
      <c r="AP1360" s="562"/>
      <c r="AQ1360" s="562"/>
      <c r="AR1360" s="562"/>
      <c r="AS1360" s="562"/>
      <c r="AT1360" s="562"/>
      <c r="AU1360" s="562"/>
      <c r="AV1360" s="562"/>
      <c r="AW1360" s="562"/>
      <c r="AX1360" s="562"/>
      <c r="AY1360" s="562"/>
      <c r="AZ1360" s="562"/>
      <c r="BA1360" s="562"/>
      <c r="BB1360" s="562"/>
      <c r="BC1360" s="562"/>
      <c r="BD1360" s="562"/>
      <c r="BE1360" s="562"/>
      <c r="BF1360" s="562"/>
      <c r="BG1360" s="562"/>
      <c r="BH1360" s="562"/>
    </row>
    <row r="1361" spans="1:60" x14ac:dyDescent="0.2">
      <c r="A1361" s="541">
        <v>10</v>
      </c>
      <c r="B1361" s="551" t="s">
        <v>3774</v>
      </c>
      <c r="C1361" s="544"/>
      <c r="D1361" s="544"/>
      <c r="E1361" s="544"/>
      <c r="F1361" s="544"/>
      <c r="G1361" s="541"/>
      <c r="H1361" s="541"/>
      <c r="I1361" s="341"/>
      <c r="J1361" s="98"/>
      <c r="K1361" s="98"/>
      <c r="L1361" s="820"/>
      <c r="M1361" s="607"/>
      <c r="N1361" s="98"/>
      <c r="O1361" s="607"/>
      <c r="P1361" s="64"/>
      <c r="Q1361" s="64"/>
      <c r="R1361" s="64"/>
      <c r="S1361" s="64"/>
      <c r="T1361" s="64"/>
      <c r="U1361" s="64"/>
      <c r="V1361" s="64"/>
      <c r="W1361" s="64"/>
      <c r="X1361" s="64"/>
      <c r="Y1361" s="64"/>
      <c r="Z1361" s="456"/>
      <c r="AA1361" s="562"/>
      <c r="AB1361" s="562"/>
      <c r="AC1361" s="562"/>
      <c r="AD1361" s="562"/>
      <c r="AE1361" s="562"/>
      <c r="AF1361" s="562"/>
      <c r="AG1361" s="562"/>
      <c r="AH1361" s="562"/>
      <c r="AI1361" s="562"/>
      <c r="AJ1361" s="562"/>
      <c r="AK1361" s="562"/>
      <c r="AL1361" s="562"/>
      <c r="AM1361" s="562"/>
      <c r="AN1361" s="562"/>
      <c r="AO1361" s="562"/>
      <c r="AP1361" s="562"/>
      <c r="AQ1361" s="562"/>
      <c r="AR1361" s="562"/>
      <c r="AS1361" s="562"/>
      <c r="AT1361" s="562"/>
      <c r="AU1361" s="562"/>
      <c r="AV1361" s="562"/>
      <c r="AW1361" s="562"/>
      <c r="AX1361" s="562"/>
      <c r="AY1361" s="562"/>
      <c r="AZ1361" s="562"/>
      <c r="BA1361" s="562"/>
      <c r="BB1361" s="562"/>
      <c r="BC1361" s="562"/>
      <c r="BD1361" s="562"/>
      <c r="BE1361" s="562"/>
      <c r="BF1361" s="562"/>
      <c r="BG1361" s="562"/>
      <c r="BH1361" s="562"/>
    </row>
    <row r="1362" spans="1:60" x14ac:dyDescent="0.2">
      <c r="A1362" s="541">
        <v>10</v>
      </c>
      <c r="B1362" s="551" t="s">
        <v>3774</v>
      </c>
      <c r="C1362" s="544"/>
      <c r="D1362" s="544"/>
      <c r="E1362" s="544"/>
      <c r="F1362" s="544"/>
      <c r="G1362" s="541"/>
      <c r="H1362" s="541"/>
      <c r="I1362" s="341"/>
      <c r="J1362" s="98"/>
      <c r="K1362" s="98"/>
      <c r="L1362" s="820"/>
      <c r="M1362" s="607"/>
      <c r="N1362" s="98"/>
      <c r="O1362" s="607"/>
      <c r="P1362" s="64"/>
      <c r="Q1362" s="64"/>
      <c r="R1362" s="64"/>
      <c r="S1362" s="64"/>
      <c r="T1362" s="64"/>
      <c r="U1362" s="64"/>
      <c r="V1362" s="64"/>
      <c r="W1362" s="64"/>
      <c r="X1362" s="64"/>
      <c r="Y1362" s="64"/>
      <c r="Z1362" s="456"/>
      <c r="AA1362" s="562"/>
      <c r="AB1362" s="562"/>
      <c r="AC1362" s="562"/>
      <c r="AD1362" s="562"/>
      <c r="AE1362" s="562"/>
      <c r="AF1362" s="562"/>
      <c r="AG1362" s="562"/>
      <c r="AH1362" s="562"/>
      <c r="AI1362" s="562"/>
      <c r="AJ1362" s="562"/>
      <c r="AK1362" s="562"/>
      <c r="AL1362" s="562"/>
      <c r="AM1362" s="562"/>
      <c r="AN1362" s="562"/>
      <c r="AO1362" s="562"/>
      <c r="AP1362" s="562"/>
      <c r="AQ1362" s="562"/>
      <c r="AR1362" s="562"/>
      <c r="AS1362" s="562"/>
      <c r="AT1362" s="562"/>
      <c r="AU1362" s="562"/>
      <c r="AV1362" s="562"/>
      <c r="AW1362" s="562"/>
      <c r="AX1362" s="562"/>
      <c r="AY1362" s="562"/>
      <c r="AZ1362" s="562"/>
      <c r="BA1362" s="562"/>
      <c r="BB1362" s="562"/>
      <c r="BC1362" s="562"/>
      <c r="BD1362" s="562"/>
      <c r="BE1362" s="562"/>
      <c r="BF1362" s="562"/>
      <c r="BG1362" s="562"/>
      <c r="BH1362" s="562"/>
    </row>
    <row r="1363" spans="1:60" ht="16" thickBot="1" x14ac:dyDescent="0.25">
      <c r="A1363" s="541">
        <v>10</v>
      </c>
      <c r="B1363" s="551" t="s">
        <v>3774</v>
      </c>
      <c r="C1363" s="544"/>
      <c r="D1363" s="544"/>
      <c r="E1363" s="544"/>
      <c r="F1363" s="544"/>
      <c r="G1363" s="541"/>
      <c r="H1363" s="541"/>
      <c r="I1363" s="342"/>
      <c r="J1363" s="185"/>
      <c r="K1363" s="185"/>
      <c r="L1363" s="822"/>
      <c r="M1363" s="622"/>
      <c r="N1363" s="185"/>
      <c r="O1363" s="622"/>
      <c r="P1363" s="68"/>
      <c r="Q1363" s="68"/>
      <c r="R1363" s="68"/>
      <c r="S1363" s="68"/>
      <c r="T1363" s="68"/>
      <c r="U1363" s="68"/>
      <c r="V1363" s="68"/>
      <c r="W1363" s="68"/>
      <c r="X1363" s="68"/>
      <c r="Y1363" s="68"/>
      <c r="Z1363" s="455"/>
      <c r="AA1363" s="562"/>
      <c r="AB1363" s="562"/>
      <c r="AC1363" s="562"/>
      <c r="AD1363" s="562"/>
      <c r="AE1363" s="562"/>
      <c r="AF1363" s="562"/>
      <c r="AG1363" s="562"/>
      <c r="AH1363" s="562"/>
      <c r="AI1363" s="562"/>
      <c r="AJ1363" s="562"/>
      <c r="AK1363" s="562"/>
      <c r="AL1363" s="562"/>
      <c r="AM1363" s="562"/>
      <c r="AN1363" s="562"/>
      <c r="AO1363" s="562"/>
      <c r="AP1363" s="562"/>
      <c r="AQ1363" s="562"/>
      <c r="AR1363" s="562"/>
      <c r="AS1363" s="562"/>
      <c r="AT1363" s="562"/>
      <c r="AU1363" s="562"/>
      <c r="AV1363" s="562"/>
      <c r="AW1363" s="562"/>
      <c r="AX1363" s="562"/>
      <c r="AY1363" s="562"/>
      <c r="AZ1363" s="562"/>
      <c r="BA1363" s="562"/>
      <c r="BB1363" s="562"/>
      <c r="BC1363" s="562"/>
      <c r="BD1363" s="562"/>
      <c r="BE1363" s="562"/>
      <c r="BF1363" s="562"/>
      <c r="BG1363" s="562"/>
      <c r="BH1363" s="562"/>
    </row>
    <row r="1364" spans="1:60" ht="16" thickTop="1" x14ac:dyDescent="0.2">
      <c r="I1364" s="562"/>
      <c r="J1364" s="562"/>
      <c r="K1364" s="562"/>
      <c r="L1364" s="562"/>
      <c r="M1364" s="562"/>
      <c r="N1364" s="562"/>
      <c r="O1364" s="562"/>
      <c r="P1364" s="562"/>
      <c r="Q1364" s="562"/>
      <c r="R1364" s="562"/>
      <c r="S1364" s="562"/>
      <c r="T1364" s="562"/>
      <c r="U1364" s="562"/>
      <c r="V1364" s="562"/>
      <c r="W1364" s="562"/>
      <c r="X1364" s="562"/>
      <c r="Y1364" s="562"/>
      <c r="Z1364" s="562"/>
      <c r="AA1364" s="562"/>
      <c r="AB1364" s="562"/>
      <c r="AC1364" s="562"/>
      <c r="AD1364" s="562"/>
      <c r="AE1364" s="562"/>
      <c r="AF1364" s="562"/>
      <c r="AG1364" s="562"/>
      <c r="AH1364" s="562"/>
      <c r="AI1364" s="562"/>
      <c r="AJ1364" s="562"/>
      <c r="AK1364" s="562"/>
      <c r="AL1364" s="562"/>
      <c r="AM1364" s="562"/>
      <c r="AN1364" s="562"/>
      <c r="AO1364" s="562"/>
      <c r="AP1364" s="562"/>
      <c r="AQ1364" s="562"/>
      <c r="AR1364" s="562"/>
      <c r="AS1364" s="562"/>
      <c r="AT1364" s="562"/>
      <c r="AU1364" s="562"/>
      <c r="AV1364" s="562"/>
      <c r="AW1364" s="562"/>
      <c r="AX1364" s="562"/>
      <c r="AY1364" s="562"/>
      <c r="AZ1364" s="562"/>
      <c r="BA1364" s="562"/>
      <c r="BB1364" s="562"/>
      <c r="BC1364" s="562"/>
      <c r="BD1364" s="562"/>
      <c r="BE1364" s="562"/>
      <c r="BF1364" s="562"/>
      <c r="BG1364" s="562"/>
      <c r="BH1364" s="562"/>
    </row>
  </sheetData>
  <sheetProtection algorithmName="SHA-512" hashValue="uRyRi+eXmTjYE5MXVYxZpnQCWU890QImAACX64/oEJY9qi4G6DiyJxCc5nsb9HW0DAjbi5k6wX7c2PmhXGmRzQ==" saltValue="6IFfdvlN61PUGzirpCLP5w==" spinCount="100000" sheet="1" objects="1" scenarios="1" selectLockedCells="1" autoFilter="0"/>
  <autoFilter ref="A7:H1363" xr:uid="{00000000-0009-0000-0000-00000D000000}"/>
  <mergeCells count="1636">
    <mergeCell ref="L780:L782"/>
    <mergeCell ref="M780:M782"/>
    <mergeCell ref="X780:X782"/>
    <mergeCell ref="Y780:Y782"/>
    <mergeCell ref="Z780:Z782"/>
    <mergeCell ref="L903:L904"/>
    <mergeCell ref="L907:L908"/>
    <mergeCell ref="Z1353:Z1355"/>
    <mergeCell ref="Z1356:Z1358"/>
    <mergeCell ref="Z6:Z7"/>
    <mergeCell ref="Z1279:Z1280"/>
    <mergeCell ref="Z1285:Z1286"/>
    <mergeCell ref="Z1287:Z1289"/>
    <mergeCell ref="Z1290:Z1291"/>
    <mergeCell ref="Z1292:Z1294"/>
    <mergeCell ref="Z1295:Z1296"/>
    <mergeCell ref="Z1298:Z1299"/>
    <mergeCell ref="Z1300:Z1301"/>
    <mergeCell ref="Z1303:Z1305"/>
    <mergeCell ref="Z1306:Z1307"/>
    <mergeCell ref="Z1312:Z1313"/>
    <mergeCell ref="Z1314:Z1317"/>
    <mergeCell ref="Z1318:Z1324"/>
    <mergeCell ref="Z1325:Z1326"/>
    <mergeCell ref="Z1328:Z1329"/>
    <mergeCell ref="Z1334:Z1345"/>
    <mergeCell ref="Z1351:Z1352"/>
    <mergeCell ref="Z1206:Z1207"/>
    <mergeCell ref="Z1208:Z1209"/>
    <mergeCell ref="Z1211:Z1212"/>
    <mergeCell ref="Z1215:Z1220"/>
    <mergeCell ref="Z1221:Z1224"/>
    <mergeCell ref="Z1225:Z1226"/>
    <mergeCell ref="Z1227:Z1228"/>
    <mergeCell ref="Z1230:Z1231"/>
    <mergeCell ref="Z1232:Z1233"/>
    <mergeCell ref="Z1235:Z1236"/>
    <mergeCell ref="Z1237:Z1238"/>
    <mergeCell ref="Z1239:Z1240"/>
    <mergeCell ref="Z1245:Z1255"/>
    <mergeCell ref="Z1266:Z1268"/>
    <mergeCell ref="Z1269:Z1271"/>
    <mergeCell ref="Z1272:Z1273"/>
    <mergeCell ref="Z1275:Z1276"/>
    <mergeCell ref="Z1121:Z1130"/>
    <mergeCell ref="Z1131:Z1132"/>
    <mergeCell ref="Z1133:Z1135"/>
    <mergeCell ref="Z1136:Z1138"/>
    <mergeCell ref="Z1139:Z1146"/>
    <mergeCell ref="Z1149:Z1150"/>
    <mergeCell ref="Z1151:Z1153"/>
    <mergeCell ref="Z1154:Z1155"/>
    <mergeCell ref="Z1156:Z1157"/>
    <mergeCell ref="Z1160:Z1163"/>
    <mergeCell ref="Z1164:Z1167"/>
    <mergeCell ref="Z1168:Z1172"/>
    <mergeCell ref="Z1176:Z1180"/>
    <mergeCell ref="Z1181:Z1183"/>
    <mergeCell ref="Z1185:Z1189"/>
    <mergeCell ref="Z1190:Z1191"/>
    <mergeCell ref="Z1200:Z1203"/>
    <mergeCell ref="Z1241:Z1242"/>
    <mergeCell ref="Z1056:Z1060"/>
    <mergeCell ref="Z1062:Z1065"/>
    <mergeCell ref="Z1066:Z1070"/>
    <mergeCell ref="Z1071:Z1072"/>
    <mergeCell ref="Z1073:Z1076"/>
    <mergeCell ref="Z1079:Z1080"/>
    <mergeCell ref="Z1081:Z1082"/>
    <mergeCell ref="Z1089:Z1090"/>
    <mergeCell ref="Z1091:Z1092"/>
    <mergeCell ref="Z1093:Z1094"/>
    <mergeCell ref="Z1095:Z1097"/>
    <mergeCell ref="Z1098:Z1101"/>
    <mergeCell ref="Z1102:Z1105"/>
    <mergeCell ref="Z1106:Z1110"/>
    <mergeCell ref="Z1113:Z1114"/>
    <mergeCell ref="Z1115:Z1116"/>
    <mergeCell ref="Z1117:Z1119"/>
    <mergeCell ref="Z1083:Z1084"/>
    <mergeCell ref="Z953:Z954"/>
    <mergeCell ref="Z958:Z959"/>
    <mergeCell ref="Z960:Z961"/>
    <mergeCell ref="Z962:Z967"/>
    <mergeCell ref="Z973:Z977"/>
    <mergeCell ref="Z978:Z988"/>
    <mergeCell ref="Z992:Z993"/>
    <mergeCell ref="Z994:Z996"/>
    <mergeCell ref="Z997:Z998"/>
    <mergeCell ref="Z1006:Z1016"/>
    <mergeCell ref="Z1017:Z1020"/>
    <mergeCell ref="Z1021:Z1026"/>
    <mergeCell ref="Z1027:Z1030"/>
    <mergeCell ref="Z1033:Z1034"/>
    <mergeCell ref="Z1036:Z1037"/>
    <mergeCell ref="Z1038:Z1042"/>
    <mergeCell ref="Z1043:Z1048"/>
    <mergeCell ref="Z913:Z918"/>
    <mergeCell ref="Z919:Z921"/>
    <mergeCell ref="Z924:Z926"/>
    <mergeCell ref="Z927:Z929"/>
    <mergeCell ref="Z930:Z933"/>
    <mergeCell ref="Z934:Z936"/>
    <mergeCell ref="Z937:Z939"/>
    <mergeCell ref="Z943:Z945"/>
    <mergeCell ref="Z946:Z947"/>
    <mergeCell ref="Z948:Z950"/>
    <mergeCell ref="Z951:Z952"/>
    <mergeCell ref="Z880:Z885"/>
    <mergeCell ref="Z888:Z889"/>
    <mergeCell ref="Z805:Z806"/>
    <mergeCell ref="Z808:Z811"/>
    <mergeCell ref="Z828:Z830"/>
    <mergeCell ref="Z831:Z832"/>
    <mergeCell ref="Z834:Z835"/>
    <mergeCell ref="Z837:Z838"/>
    <mergeCell ref="Z842:Z843"/>
    <mergeCell ref="Z844:Z846"/>
    <mergeCell ref="Z849:Z850"/>
    <mergeCell ref="Z852:Z855"/>
    <mergeCell ref="Z856:Z857"/>
    <mergeCell ref="Z858:Z860"/>
    <mergeCell ref="Z861:Z862"/>
    <mergeCell ref="Z865:Z867"/>
    <mergeCell ref="Z868:Z870"/>
    <mergeCell ref="Z871:Z873"/>
    <mergeCell ref="Z874:Z879"/>
    <mergeCell ref="Z753:Z754"/>
    <mergeCell ref="Z755:Z756"/>
    <mergeCell ref="Z762:Z770"/>
    <mergeCell ref="Z771:Z777"/>
    <mergeCell ref="Z790:Z792"/>
    <mergeCell ref="Z793:Z797"/>
    <mergeCell ref="Z799:Z801"/>
    <mergeCell ref="Z612:Z617"/>
    <mergeCell ref="Z621:Z622"/>
    <mergeCell ref="Z624:Z625"/>
    <mergeCell ref="Z627:Z634"/>
    <mergeCell ref="Z636:Z638"/>
    <mergeCell ref="Z639:Z642"/>
    <mergeCell ref="Z652:Z660"/>
    <mergeCell ref="Z661:Z667"/>
    <mergeCell ref="Z668:Z669"/>
    <mergeCell ref="Z674:Z680"/>
    <mergeCell ref="Z681:Z687"/>
    <mergeCell ref="Z688:Z693"/>
    <mergeCell ref="Z694:Z699"/>
    <mergeCell ref="Z700:Z705"/>
    <mergeCell ref="Z706:Z711"/>
    <mergeCell ref="Z713:Z720"/>
    <mergeCell ref="Z730:Z731"/>
    <mergeCell ref="Z783:Z789"/>
    <mergeCell ref="Z489:Z491"/>
    <mergeCell ref="Z492:Z494"/>
    <mergeCell ref="Z496:Z500"/>
    <mergeCell ref="Z501:Z502"/>
    <mergeCell ref="Z507:Z512"/>
    <mergeCell ref="Z513:Z519"/>
    <mergeCell ref="Z520:Z522"/>
    <mergeCell ref="Z524:Z525"/>
    <mergeCell ref="Z526:Z527"/>
    <mergeCell ref="Z528:Z529"/>
    <mergeCell ref="Z530:Z531"/>
    <mergeCell ref="Z538:Z552"/>
    <mergeCell ref="Z553:Z561"/>
    <mergeCell ref="Z566:Z572"/>
    <mergeCell ref="Z579:Z594"/>
    <mergeCell ref="Z607:Z608"/>
    <mergeCell ref="Z610:Z611"/>
    <mergeCell ref="Z535:Z537"/>
    <mergeCell ref="Z398:Z399"/>
    <mergeCell ref="Z400:Z402"/>
    <mergeCell ref="Z403:Z404"/>
    <mergeCell ref="Z405:Z406"/>
    <mergeCell ref="Z407:Z410"/>
    <mergeCell ref="Z411:Z414"/>
    <mergeCell ref="Z435:Z437"/>
    <mergeCell ref="Z439:Z442"/>
    <mergeCell ref="Z443:Z448"/>
    <mergeCell ref="Z449:Z450"/>
    <mergeCell ref="Z453:Z464"/>
    <mergeCell ref="Z469:Z471"/>
    <mergeCell ref="Z472:Z475"/>
    <mergeCell ref="Z478:Z479"/>
    <mergeCell ref="Z486:Z487"/>
    <mergeCell ref="Z423:Z434"/>
    <mergeCell ref="Z271:Z273"/>
    <mergeCell ref="Z274:Z276"/>
    <mergeCell ref="Z288:Z290"/>
    <mergeCell ref="Z300:Z304"/>
    <mergeCell ref="Z305:Z322"/>
    <mergeCell ref="Z323:Z330"/>
    <mergeCell ref="Z340:Z342"/>
    <mergeCell ref="Z343:Z347"/>
    <mergeCell ref="Z352:Z354"/>
    <mergeCell ref="Z360:Z361"/>
    <mergeCell ref="Z369:Z370"/>
    <mergeCell ref="Z376:Z381"/>
    <mergeCell ref="Z385:Z395"/>
    <mergeCell ref="Z371:Z374"/>
    <mergeCell ref="Z465:Z468"/>
    <mergeCell ref="Z174:Z176"/>
    <mergeCell ref="Z177:Z178"/>
    <mergeCell ref="Z180:Z181"/>
    <mergeCell ref="Z182:Z183"/>
    <mergeCell ref="Z184:Z187"/>
    <mergeCell ref="Z188:Z190"/>
    <mergeCell ref="Z192:Z199"/>
    <mergeCell ref="Z206:Z207"/>
    <mergeCell ref="Z209:Z212"/>
    <mergeCell ref="Z213:Z217"/>
    <mergeCell ref="Z219:Z228"/>
    <mergeCell ref="Z229:Z231"/>
    <mergeCell ref="Z232:Z237"/>
    <mergeCell ref="Z239:Z241"/>
    <mergeCell ref="Z242:Z247"/>
    <mergeCell ref="Z362:Z363"/>
    <mergeCell ref="Z336:Z339"/>
    <mergeCell ref="Z349:Z351"/>
    <mergeCell ref="A1:H3"/>
    <mergeCell ref="A4:A6"/>
    <mergeCell ref="G4:G6"/>
    <mergeCell ref="H4:H6"/>
    <mergeCell ref="X2:Y2"/>
    <mergeCell ref="X1:Y1"/>
    <mergeCell ref="Y6:Y7"/>
    <mergeCell ref="O6:O7"/>
    <mergeCell ref="I6:K7"/>
    <mergeCell ref="L6:L7"/>
    <mergeCell ref="M6:M7"/>
    <mergeCell ref="W6:W7"/>
    <mergeCell ref="X6:X7"/>
    <mergeCell ref="N6:N7"/>
    <mergeCell ref="X4:Y4"/>
    <mergeCell ref="X5:Y5"/>
    <mergeCell ref="L13:L14"/>
    <mergeCell ref="M13:M14"/>
    <mergeCell ref="I5:K5"/>
    <mergeCell ref="I1:K1"/>
    <mergeCell ref="M1:O5"/>
    <mergeCell ref="I2:L2"/>
    <mergeCell ref="I3:L3"/>
    <mergeCell ref="I4:L4"/>
    <mergeCell ref="W1:W3"/>
    <mergeCell ref="X3:Y3"/>
    <mergeCell ref="O13:O14"/>
    <mergeCell ref="Y13:Y14"/>
    <mergeCell ref="X13:X14"/>
    <mergeCell ref="L9:L11"/>
    <mergeCell ref="Z13:Z14"/>
    <mergeCell ref="Z15:Z16"/>
    <mergeCell ref="Z17:Z18"/>
    <mergeCell ref="Z19:Z27"/>
    <mergeCell ref="Z28:Z30"/>
    <mergeCell ref="Z31:Z35"/>
    <mergeCell ref="Z37:Z40"/>
    <mergeCell ref="Z42:Z46"/>
    <mergeCell ref="Z47:Z59"/>
    <mergeCell ref="Z60:Z72"/>
    <mergeCell ref="Z73:Z85"/>
    <mergeCell ref="Z86:Z92"/>
    <mergeCell ref="Z93:Z95"/>
    <mergeCell ref="Z96:Z102"/>
    <mergeCell ref="Z253:Z266"/>
    <mergeCell ref="Z103:Z107"/>
    <mergeCell ref="Z108:Z111"/>
    <mergeCell ref="Z112:Z117"/>
    <mergeCell ref="Z118:Z119"/>
    <mergeCell ref="Z120:Z121"/>
    <mergeCell ref="Z122:Z123"/>
    <mergeCell ref="Z124:Z128"/>
    <mergeCell ref="Z130:Z134"/>
    <mergeCell ref="Z135:Z136"/>
    <mergeCell ref="Z137:Z139"/>
    <mergeCell ref="Z140:Z141"/>
    <mergeCell ref="Z142:Z143"/>
    <mergeCell ref="Z144:Z145"/>
    <mergeCell ref="Z146:Z152"/>
    <mergeCell ref="Z153:Z158"/>
    <mergeCell ref="Z162:Z166"/>
    <mergeCell ref="Z167:Z173"/>
    <mergeCell ref="Y858:Y860"/>
    <mergeCell ref="Y861:Y862"/>
    <mergeCell ref="Y865:Y867"/>
    <mergeCell ref="Y868:Y870"/>
    <mergeCell ref="Y871:Y873"/>
    <mergeCell ref="Y874:Y879"/>
    <mergeCell ref="Y880:Y885"/>
    <mergeCell ref="Y888:Y889"/>
    <mergeCell ref="Y808:Y811"/>
    <mergeCell ref="Y834:Y835"/>
    <mergeCell ref="Y837:Y838"/>
    <mergeCell ref="Y842:Y843"/>
    <mergeCell ref="Y844:Y846"/>
    <mergeCell ref="Y849:Y850"/>
    <mergeCell ref="Y852:Y855"/>
    <mergeCell ref="Y856:Y857"/>
    <mergeCell ref="Y790:Y792"/>
    <mergeCell ref="Y793:Y797"/>
    <mergeCell ref="Y799:Y801"/>
    <mergeCell ref="Y805:Y806"/>
    <mergeCell ref="Y828:Y830"/>
    <mergeCell ref="Y831:Y832"/>
    <mergeCell ref="L880:L885"/>
    <mergeCell ref="M880:M885"/>
    <mergeCell ref="X880:X885"/>
    <mergeCell ref="L886:L887"/>
    <mergeCell ref="M886:M887"/>
    <mergeCell ref="L888:L889"/>
    <mergeCell ref="X888:X889"/>
    <mergeCell ref="L861:L862"/>
    <mergeCell ref="X861:X862"/>
    <mergeCell ref="L865:L867"/>
    <mergeCell ref="X865:X867"/>
    <mergeCell ref="L868:L870"/>
    <mergeCell ref="X868:X870"/>
    <mergeCell ref="L871:L873"/>
    <mergeCell ref="X871:X873"/>
    <mergeCell ref="L874:L879"/>
    <mergeCell ref="M874:M879"/>
    <mergeCell ref="X874:X879"/>
    <mergeCell ref="L844:L845"/>
    <mergeCell ref="X844:X846"/>
    <mergeCell ref="L849:L850"/>
    <mergeCell ref="X849:X850"/>
    <mergeCell ref="L852:L855"/>
    <mergeCell ref="X852:X855"/>
    <mergeCell ref="L856:L857"/>
    <mergeCell ref="X856:X857"/>
    <mergeCell ref="L858:L860"/>
    <mergeCell ref="X858:X860"/>
    <mergeCell ref="L825:L827"/>
    <mergeCell ref="M825:M827"/>
    <mergeCell ref="L828:L832"/>
    <mergeCell ref="L834:L835"/>
    <mergeCell ref="X834:X835"/>
    <mergeCell ref="L837:L838"/>
    <mergeCell ref="X837:X838"/>
    <mergeCell ref="L842:L843"/>
    <mergeCell ref="X842:X843"/>
    <mergeCell ref="L805:L806"/>
    <mergeCell ref="M805:M806"/>
    <mergeCell ref="X805:X806"/>
    <mergeCell ref="X808:X811"/>
    <mergeCell ref="X828:X830"/>
    <mergeCell ref="X831:X832"/>
    <mergeCell ref="L790:L792"/>
    <mergeCell ref="M790:M792"/>
    <mergeCell ref="X790:X792"/>
    <mergeCell ref="L793:L797"/>
    <mergeCell ref="M793:M797"/>
    <mergeCell ref="X793:X797"/>
    <mergeCell ref="M28:M30"/>
    <mergeCell ref="O28:O30"/>
    <mergeCell ref="O58:O59"/>
    <mergeCell ref="N58:N59"/>
    <mergeCell ref="N56:N57"/>
    <mergeCell ref="L70:L71"/>
    <mergeCell ref="M70:M71"/>
    <mergeCell ref="O70:O71"/>
    <mergeCell ref="N70:N71"/>
    <mergeCell ref="L86:L89"/>
    <mergeCell ref="X86:X92"/>
    <mergeCell ref="L90:L92"/>
    <mergeCell ref="L799:L801"/>
    <mergeCell ref="M799:M801"/>
    <mergeCell ref="X799:X801"/>
    <mergeCell ref="L37:L40"/>
    <mergeCell ref="M37:M40"/>
    <mergeCell ref="O37:O40"/>
    <mergeCell ref="L63:L64"/>
    <mergeCell ref="M63:M64"/>
    <mergeCell ref="Y15:Y16"/>
    <mergeCell ref="L17:L18"/>
    <mergeCell ref="M17:M18"/>
    <mergeCell ref="O17:O18"/>
    <mergeCell ref="X47:X59"/>
    <mergeCell ref="L50:L51"/>
    <mergeCell ref="M50:M51"/>
    <mergeCell ref="O50:O51"/>
    <mergeCell ref="L52:L53"/>
    <mergeCell ref="M52:M53"/>
    <mergeCell ref="O52:O53"/>
    <mergeCell ref="L56:L57"/>
    <mergeCell ref="M56:M57"/>
    <mergeCell ref="O56:O57"/>
    <mergeCell ref="L58:L59"/>
    <mergeCell ref="M58:M59"/>
    <mergeCell ref="M15:M16"/>
    <mergeCell ref="O15:O16"/>
    <mergeCell ref="Y17:Y18"/>
    <mergeCell ref="N15:N16"/>
    <mergeCell ref="N17:N18"/>
    <mergeCell ref="X15:X16"/>
    <mergeCell ref="X17:X18"/>
    <mergeCell ref="L15:L16"/>
    <mergeCell ref="Y31:Y35"/>
    <mergeCell ref="N28:N30"/>
    <mergeCell ref="N31:N32"/>
    <mergeCell ref="X28:X30"/>
    <mergeCell ref="X31:X35"/>
    <mergeCell ref="L28:L30"/>
    <mergeCell ref="O63:O64"/>
    <mergeCell ref="L65:L66"/>
    <mergeCell ref="O65:O66"/>
    <mergeCell ref="N65:N66"/>
    <mergeCell ref="N63:N64"/>
    <mergeCell ref="Y28:Y30"/>
    <mergeCell ref="Y19:Y27"/>
    <mergeCell ref="L19:L22"/>
    <mergeCell ref="M19:M27"/>
    <mergeCell ref="O19:O27"/>
    <mergeCell ref="N19:N27"/>
    <mergeCell ref="X37:X40"/>
    <mergeCell ref="L42:L45"/>
    <mergeCell ref="X42:X46"/>
    <mergeCell ref="X19:X27"/>
    <mergeCell ref="L31:L32"/>
    <mergeCell ref="M31:M32"/>
    <mergeCell ref="O31:O32"/>
    <mergeCell ref="L47:L48"/>
    <mergeCell ref="L93:L95"/>
    <mergeCell ref="M93:M95"/>
    <mergeCell ref="O93:O95"/>
    <mergeCell ref="X93:X95"/>
    <mergeCell ref="N93:N95"/>
    <mergeCell ref="L73:L74"/>
    <mergeCell ref="X73:X85"/>
    <mergeCell ref="L76:L77"/>
    <mergeCell ref="M76:M77"/>
    <mergeCell ref="O76:O77"/>
    <mergeCell ref="L78:L79"/>
    <mergeCell ref="M78:M84"/>
    <mergeCell ref="O78:O84"/>
    <mergeCell ref="L81:L82"/>
    <mergeCell ref="N78:N84"/>
    <mergeCell ref="N76:N77"/>
    <mergeCell ref="L103:L104"/>
    <mergeCell ref="O103:O104"/>
    <mergeCell ref="X103:X107"/>
    <mergeCell ref="L108:L109"/>
    <mergeCell ref="X108:X111"/>
    <mergeCell ref="L110:L111"/>
    <mergeCell ref="N103:N104"/>
    <mergeCell ref="L96:L99"/>
    <mergeCell ref="O96:O99"/>
    <mergeCell ref="X96:X102"/>
    <mergeCell ref="N96:N99"/>
    <mergeCell ref="L112:L113"/>
    <mergeCell ref="O112:O113"/>
    <mergeCell ref="X112:X117"/>
    <mergeCell ref="L118:L119"/>
    <mergeCell ref="M118:M119"/>
    <mergeCell ref="O118:O119"/>
    <mergeCell ref="X118:X119"/>
    <mergeCell ref="N118:N119"/>
    <mergeCell ref="N112:N113"/>
    <mergeCell ref="X124:X128"/>
    <mergeCell ref="L130:L134"/>
    <mergeCell ref="M130:M134"/>
    <mergeCell ref="O130:O134"/>
    <mergeCell ref="X130:X134"/>
    <mergeCell ref="N130:N134"/>
    <mergeCell ref="L120:L121"/>
    <mergeCell ref="M120:M121"/>
    <mergeCell ref="O120:O121"/>
    <mergeCell ref="X120:X121"/>
    <mergeCell ref="L122:L123"/>
    <mergeCell ref="M122:M123"/>
    <mergeCell ref="O122:O123"/>
    <mergeCell ref="X122:X123"/>
    <mergeCell ref="N122:N123"/>
    <mergeCell ref="N120:N121"/>
    <mergeCell ref="L135:L136"/>
    <mergeCell ref="M135:M136"/>
    <mergeCell ref="O135:O136"/>
    <mergeCell ref="X135:X136"/>
    <mergeCell ref="L137:L139"/>
    <mergeCell ref="X137:X139"/>
    <mergeCell ref="M137:M139"/>
    <mergeCell ref="N137:N139"/>
    <mergeCell ref="O137:O139"/>
    <mergeCell ref="N135:N136"/>
    <mergeCell ref="L140:L141"/>
    <mergeCell ref="M140:M141"/>
    <mergeCell ref="O140:O141"/>
    <mergeCell ref="X140:X141"/>
    <mergeCell ref="L142:L143"/>
    <mergeCell ref="M142:M143"/>
    <mergeCell ref="O142:O143"/>
    <mergeCell ref="X142:X143"/>
    <mergeCell ref="N142:N143"/>
    <mergeCell ref="N140:N141"/>
    <mergeCell ref="L144:L145"/>
    <mergeCell ref="M144:M145"/>
    <mergeCell ref="O144:O145"/>
    <mergeCell ref="X144:X145"/>
    <mergeCell ref="L146:L147"/>
    <mergeCell ref="O146:O147"/>
    <mergeCell ref="X146:X152"/>
    <mergeCell ref="L150:L151"/>
    <mergeCell ref="M150:M151"/>
    <mergeCell ref="N146:N147"/>
    <mergeCell ref="N144:N145"/>
    <mergeCell ref="L153:L154"/>
    <mergeCell ref="X153:X158"/>
    <mergeCell ref="L155:L156"/>
    <mergeCell ref="M155:M156"/>
    <mergeCell ref="O155:O156"/>
    <mergeCell ref="L157:L158"/>
    <mergeCell ref="M157:M158"/>
    <mergeCell ref="O157:O158"/>
    <mergeCell ref="N157:N158"/>
    <mergeCell ref="N155:N156"/>
    <mergeCell ref="L160:L161"/>
    <mergeCell ref="L162:L165"/>
    <mergeCell ref="M162:M166"/>
    <mergeCell ref="O162:O166"/>
    <mergeCell ref="X162:X166"/>
    <mergeCell ref="N162:N166"/>
    <mergeCell ref="L174:L176"/>
    <mergeCell ref="X174:X176"/>
    <mergeCell ref="L177:L178"/>
    <mergeCell ref="M177:M178"/>
    <mergeCell ref="O177:O178"/>
    <mergeCell ref="X177:X178"/>
    <mergeCell ref="N177:N178"/>
    <mergeCell ref="L167:L168"/>
    <mergeCell ref="X167:X173"/>
    <mergeCell ref="L170:L171"/>
    <mergeCell ref="M170:M171"/>
    <mergeCell ref="O170:O171"/>
    <mergeCell ref="L172:L173"/>
    <mergeCell ref="M172:M173"/>
    <mergeCell ref="O172:O173"/>
    <mergeCell ref="N172:N173"/>
    <mergeCell ref="N170:N171"/>
    <mergeCell ref="L180:L181"/>
    <mergeCell ref="M180:M181"/>
    <mergeCell ref="O180:O181"/>
    <mergeCell ref="X180:X181"/>
    <mergeCell ref="L182:L183"/>
    <mergeCell ref="M182:M183"/>
    <mergeCell ref="O182:O183"/>
    <mergeCell ref="X182:X183"/>
    <mergeCell ref="N182:N183"/>
    <mergeCell ref="N180:N181"/>
    <mergeCell ref="L184:L187"/>
    <mergeCell ref="M184:M187"/>
    <mergeCell ref="O184:O187"/>
    <mergeCell ref="X184:X187"/>
    <mergeCell ref="L188:L190"/>
    <mergeCell ref="M188:M190"/>
    <mergeCell ref="O188:O190"/>
    <mergeCell ref="X188:X190"/>
    <mergeCell ref="N188:N190"/>
    <mergeCell ref="N184:N187"/>
    <mergeCell ref="M192:M199"/>
    <mergeCell ref="O192:O199"/>
    <mergeCell ref="X192:X199"/>
    <mergeCell ref="L201:L203"/>
    <mergeCell ref="L204:L205"/>
    <mergeCell ref="L206:L207"/>
    <mergeCell ref="M206:M207"/>
    <mergeCell ref="O206:O207"/>
    <mergeCell ref="L213:L214"/>
    <mergeCell ref="O213:O214"/>
    <mergeCell ref="N213:N214"/>
    <mergeCell ref="N206:N207"/>
    <mergeCell ref="N192:N199"/>
    <mergeCell ref="X206:X207"/>
    <mergeCell ref="X209:X212"/>
    <mergeCell ref="X213:X217"/>
    <mergeCell ref="X219:X228"/>
    <mergeCell ref="X232:X237"/>
    <mergeCell ref="L239:L241"/>
    <mergeCell ref="M239:M241"/>
    <mergeCell ref="O239:O241"/>
    <mergeCell ref="X239:X241"/>
    <mergeCell ref="N239:N241"/>
    <mergeCell ref="L219:L220"/>
    <mergeCell ref="M219:M220"/>
    <mergeCell ref="O219:O220"/>
    <mergeCell ref="L221:L223"/>
    <mergeCell ref="L224:L227"/>
    <mergeCell ref="L229:L231"/>
    <mergeCell ref="M229:M231"/>
    <mergeCell ref="O229:O231"/>
    <mergeCell ref="N229:N231"/>
    <mergeCell ref="N219:N220"/>
    <mergeCell ref="X229:X231"/>
    <mergeCell ref="L242:L247"/>
    <mergeCell ref="M242:M247"/>
    <mergeCell ref="X242:X247"/>
    <mergeCell ref="L249:L252"/>
    <mergeCell ref="L253:L256"/>
    <mergeCell ref="O253:O256"/>
    <mergeCell ref="X253:X266"/>
    <mergeCell ref="L263:L264"/>
    <mergeCell ref="L265:L266"/>
    <mergeCell ref="N253:N256"/>
    <mergeCell ref="L274:L276"/>
    <mergeCell ref="M274:M276"/>
    <mergeCell ref="O274:O276"/>
    <mergeCell ref="X274:X276"/>
    <mergeCell ref="L278:L280"/>
    <mergeCell ref="N288:N290"/>
    <mergeCell ref="N274:N276"/>
    <mergeCell ref="L267:L268"/>
    <mergeCell ref="L271:L273"/>
    <mergeCell ref="M271:M273"/>
    <mergeCell ref="O271:O273"/>
    <mergeCell ref="X271:X273"/>
    <mergeCell ref="N271:N273"/>
    <mergeCell ref="L269:L270"/>
    <mergeCell ref="L281:L282"/>
    <mergeCell ref="L316:L317"/>
    <mergeCell ref="N305:N306"/>
    <mergeCell ref="N300:N302"/>
    <mergeCell ref="X305:X322"/>
    <mergeCell ref="L321:L322"/>
    <mergeCell ref="M319:M320"/>
    <mergeCell ref="L319:L320"/>
    <mergeCell ref="L288:L290"/>
    <mergeCell ref="M288:M290"/>
    <mergeCell ref="O288:O290"/>
    <mergeCell ref="X288:X290"/>
    <mergeCell ref="L291:L293"/>
    <mergeCell ref="M291:M293"/>
    <mergeCell ref="L300:L302"/>
    <mergeCell ref="M300:M302"/>
    <mergeCell ref="O300:O302"/>
    <mergeCell ref="X300:X304"/>
    <mergeCell ref="L305:L306"/>
    <mergeCell ref="M305:M306"/>
    <mergeCell ref="O305:O306"/>
    <mergeCell ref="L310:L311"/>
    <mergeCell ref="L314:L315"/>
    <mergeCell ref="L294:L295"/>
    <mergeCell ref="L323:L327"/>
    <mergeCell ref="M323:M330"/>
    <mergeCell ref="O323:O330"/>
    <mergeCell ref="X323:X330"/>
    <mergeCell ref="L328:L330"/>
    <mergeCell ref="N323:N330"/>
    <mergeCell ref="L343:L345"/>
    <mergeCell ref="M343:M347"/>
    <mergeCell ref="O343:O347"/>
    <mergeCell ref="X343:X347"/>
    <mergeCell ref="L349:L350"/>
    <mergeCell ref="M349:M350"/>
    <mergeCell ref="L332:L333"/>
    <mergeCell ref="L336:L338"/>
    <mergeCell ref="M336:M338"/>
    <mergeCell ref="L340:L342"/>
    <mergeCell ref="M340:M342"/>
    <mergeCell ref="O340:O342"/>
    <mergeCell ref="X340:X342"/>
    <mergeCell ref="N343:N347"/>
    <mergeCell ref="N340:N342"/>
    <mergeCell ref="X336:X339"/>
    <mergeCell ref="X349:X351"/>
    <mergeCell ref="L360:L361"/>
    <mergeCell ref="M360:M361"/>
    <mergeCell ref="O360:O361"/>
    <mergeCell ref="X360:X361"/>
    <mergeCell ref="L364:L368"/>
    <mergeCell ref="L352:L354"/>
    <mergeCell ref="M352:M354"/>
    <mergeCell ref="O352:O354"/>
    <mergeCell ref="X352:X354"/>
    <mergeCell ref="L356:L359"/>
    <mergeCell ref="N360:N361"/>
    <mergeCell ref="N352:N354"/>
    <mergeCell ref="X376:X381"/>
    <mergeCell ref="L377:L378"/>
    <mergeCell ref="M377:M378"/>
    <mergeCell ref="O377:O378"/>
    <mergeCell ref="L379:L381"/>
    <mergeCell ref="M379:M381"/>
    <mergeCell ref="O379:O381"/>
    <mergeCell ref="L369:L370"/>
    <mergeCell ref="M369:M370"/>
    <mergeCell ref="O369:O370"/>
    <mergeCell ref="X369:X370"/>
    <mergeCell ref="L371:L372"/>
    <mergeCell ref="M371:M372"/>
    <mergeCell ref="N379:N381"/>
    <mergeCell ref="N377:N378"/>
    <mergeCell ref="N369:N370"/>
    <mergeCell ref="X362:X363"/>
    <mergeCell ref="X371:X374"/>
    <mergeCell ref="L373:L374"/>
    <mergeCell ref="L382:L383"/>
    <mergeCell ref="L385:L388"/>
    <mergeCell ref="M385:M388"/>
    <mergeCell ref="O385:O388"/>
    <mergeCell ref="X385:X395"/>
    <mergeCell ref="L389:L392"/>
    <mergeCell ref="M389:M392"/>
    <mergeCell ref="O389:O392"/>
    <mergeCell ref="L393:L395"/>
    <mergeCell ref="M393:M395"/>
    <mergeCell ref="O393:O395"/>
    <mergeCell ref="N393:N395"/>
    <mergeCell ref="N389:N392"/>
    <mergeCell ref="N385:N388"/>
    <mergeCell ref="L403:L404"/>
    <mergeCell ref="M403:M404"/>
    <mergeCell ref="O403:O404"/>
    <mergeCell ref="X403:X404"/>
    <mergeCell ref="L405:L406"/>
    <mergeCell ref="M405:M406"/>
    <mergeCell ref="O405:O406"/>
    <mergeCell ref="X405:X406"/>
    <mergeCell ref="L398:L399"/>
    <mergeCell ref="M398:M399"/>
    <mergeCell ref="O398:O399"/>
    <mergeCell ref="X398:X399"/>
    <mergeCell ref="L400:L401"/>
    <mergeCell ref="M400:M402"/>
    <mergeCell ref="O400:O402"/>
    <mergeCell ref="X400:X402"/>
    <mergeCell ref="N405:N406"/>
    <mergeCell ref="N403:N404"/>
    <mergeCell ref="N400:N402"/>
    <mergeCell ref="N398:N399"/>
    <mergeCell ref="L415:L419"/>
    <mergeCell ref="M423:M432"/>
    <mergeCell ref="L427:L428"/>
    <mergeCell ref="L435:L437"/>
    <mergeCell ref="M435:M437"/>
    <mergeCell ref="O435:O437"/>
    <mergeCell ref="X435:X437"/>
    <mergeCell ref="L407:L410"/>
    <mergeCell ref="M407:M410"/>
    <mergeCell ref="O407:O410"/>
    <mergeCell ref="X407:X410"/>
    <mergeCell ref="L411:L413"/>
    <mergeCell ref="M411:M414"/>
    <mergeCell ref="X411:X414"/>
    <mergeCell ref="N435:N437"/>
    <mergeCell ref="N407:N410"/>
    <mergeCell ref="L439:L442"/>
    <mergeCell ref="M439:M442"/>
    <mergeCell ref="O439:O442"/>
    <mergeCell ref="X439:X442"/>
    <mergeCell ref="L420:L422"/>
    <mergeCell ref="L433:L434"/>
    <mergeCell ref="X423:X434"/>
    <mergeCell ref="X443:X448"/>
    <mergeCell ref="L444:L446"/>
    <mergeCell ref="M444:M446"/>
    <mergeCell ref="L447:L448"/>
    <mergeCell ref="M447:M448"/>
    <mergeCell ref="N439:N442"/>
    <mergeCell ref="L465:L466"/>
    <mergeCell ref="M465:M466"/>
    <mergeCell ref="L469:L470"/>
    <mergeCell ref="M469:M471"/>
    <mergeCell ref="O469:O471"/>
    <mergeCell ref="X469:X471"/>
    <mergeCell ref="L449:L450"/>
    <mergeCell ref="M449:M450"/>
    <mergeCell ref="O449:O450"/>
    <mergeCell ref="X449:X450"/>
    <mergeCell ref="L452:L457"/>
    <mergeCell ref="M452:M464"/>
    <mergeCell ref="O452:O464"/>
    <mergeCell ref="X453:X464"/>
    <mergeCell ref="L463:L464"/>
    <mergeCell ref="N469:N471"/>
    <mergeCell ref="N452:N464"/>
    <mergeCell ref="N449:N450"/>
    <mergeCell ref="L467:L468"/>
    <mergeCell ref="X465:X468"/>
    <mergeCell ref="L482:L485"/>
    <mergeCell ref="M482:M485"/>
    <mergeCell ref="O482:O485"/>
    <mergeCell ref="L486:L487"/>
    <mergeCell ref="X486:X487"/>
    <mergeCell ref="L472:L475"/>
    <mergeCell ref="M472:M475"/>
    <mergeCell ref="X472:X475"/>
    <mergeCell ref="L476:L477"/>
    <mergeCell ref="L478:L479"/>
    <mergeCell ref="M478:M479"/>
    <mergeCell ref="O478:O479"/>
    <mergeCell ref="X478:X479"/>
    <mergeCell ref="N482:N485"/>
    <mergeCell ref="N478:N479"/>
    <mergeCell ref="L496:L500"/>
    <mergeCell ref="M496:M500"/>
    <mergeCell ref="X496:X500"/>
    <mergeCell ref="L501:L502"/>
    <mergeCell ref="M501:M502"/>
    <mergeCell ref="O501:O502"/>
    <mergeCell ref="X501:X502"/>
    <mergeCell ref="L489:L491"/>
    <mergeCell ref="X489:X491"/>
    <mergeCell ref="L492:L494"/>
    <mergeCell ref="M492:M494"/>
    <mergeCell ref="O492:O494"/>
    <mergeCell ref="X492:X494"/>
    <mergeCell ref="N501:N502"/>
    <mergeCell ref="N492:N494"/>
    <mergeCell ref="L513:L515"/>
    <mergeCell ref="M513:M519"/>
    <mergeCell ref="O513:O519"/>
    <mergeCell ref="X513:X519"/>
    <mergeCell ref="L517:L519"/>
    <mergeCell ref="L505:L506"/>
    <mergeCell ref="L507:L508"/>
    <mergeCell ref="M507:M512"/>
    <mergeCell ref="O507:O512"/>
    <mergeCell ref="X507:X512"/>
    <mergeCell ref="L510:L512"/>
    <mergeCell ref="N513:N519"/>
    <mergeCell ref="N507:N512"/>
    <mergeCell ref="L520:L521"/>
    <mergeCell ref="M520:M522"/>
    <mergeCell ref="O520:O522"/>
    <mergeCell ref="X520:X522"/>
    <mergeCell ref="L524:L525"/>
    <mergeCell ref="M524:M531"/>
    <mergeCell ref="O524:O531"/>
    <mergeCell ref="X524:X525"/>
    <mergeCell ref="X526:X527"/>
    <mergeCell ref="L528:L529"/>
    <mergeCell ref="X528:X529"/>
    <mergeCell ref="X530:X531"/>
    <mergeCell ref="N524:N531"/>
    <mergeCell ref="N520:N522"/>
    <mergeCell ref="L553:L554"/>
    <mergeCell ref="M553:M554"/>
    <mergeCell ref="O553:O554"/>
    <mergeCell ref="X553:X561"/>
    <mergeCell ref="L555:L557"/>
    <mergeCell ref="L559:L561"/>
    <mergeCell ref="L533:L534"/>
    <mergeCell ref="L538:L543"/>
    <mergeCell ref="M538:M552"/>
    <mergeCell ref="O538:O552"/>
    <mergeCell ref="X538:X552"/>
    <mergeCell ref="L544:L547"/>
    <mergeCell ref="L549:L550"/>
    <mergeCell ref="L551:L552"/>
    <mergeCell ref="N553:N554"/>
    <mergeCell ref="N538:N552"/>
    <mergeCell ref="L535:L537"/>
    <mergeCell ref="M535:M537"/>
    <mergeCell ref="L562:L563"/>
    <mergeCell ref="M562:M563"/>
    <mergeCell ref="O562:O563"/>
    <mergeCell ref="X566:X572"/>
    <mergeCell ref="O578:O587"/>
    <mergeCell ref="X579:X594"/>
    <mergeCell ref="L586:L587"/>
    <mergeCell ref="L589:L590"/>
    <mergeCell ref="M589:M590"/>
    <mergeCell ref="L591:L592"/>
    <mergeCell ref="M591:M592"/>
    <mergeCell ref="L593:L594"/>
    <mergeCell ref="M593:M594"/>
    <mergeCell ref="N578:N587"/>
    <mergeCell ref="N562:N563"/>
    <mergeCell ref="X607:X608"/>
    <mergeCell ref="L609:L610"/>
    <mergeCell ref="M609:M611"/>
    <mergeCell ref="O609:O611"/>
    <mergeCell ref="X610:X611"/>
    <mergeCell ref="L595:L596"/>
    <mergeCell ref="L598:L599"/>
    <mergeCell ref="L606:L607"/>
    <mergeCell ref="M606:M608"/>
    <mergeCell ref="O606:O608"/>
    <mergeCell ref="N609:N611"/>
    <mergeCell ref="N606:N608"/>
    <mergeCell ref="L621:L622"/>
    <mergeCell ref="M621:M622"/>
    <mergeCell ref="O621:O622"/>
    <mergeCell ref="X621:X622"/>
    <mergeCell ref="L624:L625"/>
    <mergeCell ref="M624:M625"/>
    <mergeCell ref="O624:O625"/>
    <mergeCell ref="X624:X625"/>
    <mergeCell ref="L612:L615"/>
    <mergeCell ref="M612:M617"/>
    <mergeCell ref="O612:O617"/>
    <mergeCell ref="X612:X617"/>
    <mergeCell ref="L619:L620"/>
    <mergeCell ref="N624:N625"/>
    <mergeCell ref="N621:N622"/>
    <mergeCell ref="N612:N617"/>
    <mergeCell ref="L636:L637"/>
    <mergeCell ref="M636:M642"/>
    <mergeCell ref="O636:O642"/>
    <mergeCell ref="X636:X638"/>
    <mergeCell ref="L638:L640"/>
    <mergeCell ref="X639:X642"/>
    <mergeCell ref="L641:L642"/>
    <mergeCell ref="L627:L629"/>
    <mergeCell ref="M627:M634"/>
    <mergeCell ref="O627:O634"/>
    <mergeCell ref="X627:X634"/>
    <mergeCell ref="L630:L631"/>
    <mergeCell ref="N627:N634"/>
    <mergeCell ref="L661:L667"/>
    <mergeCell ref="M661:M667"/>
    <mergeCell ref="O661:O667"/>
    <mergeCell ref="X661:X667"/>
    <mergeCell ref="L644:L649"/>
    <mergeCell ref="L650:L651"/>
    <mergeCell ref="L652:L654"/>
    <mergeCell ref="M652:M660"/>
    <mergeCell ref="O652:O660"/>
    <mergeCell ref="L674:L676"/>
    <mergeCell ref="M674:M687"/>
    <mergeCell ref="W674:W675"/>
    <mergeCell ref="X674:X680"/>
    <mergeCell ref="W681:W682"/>
    <mergeCell ref="X681:X687"/>
    <mergeCell ref="L683:L685"/>
    <mergeCell ref="L686:L687"/>
    <mergeCell ref="L668:L669"/>
    <mergeCell ref="M668:M669"/>
    <mergeCell ref="O668:O669"/>
    <mergeCell ref="X668:X669"/>
    <mergeCell ref="L670:L673"/>
    <mergeCell ref="M670:M673"/>
    <mergeCell ref="O670:O673"/>
    <mergeCell ref="L688:L695"/>
    <mergeCell ref="M688:M711"/>
    <mergeCell ref="X688:X693"/>
    <mergeCell ref="X694:X699"/>
    <mergeCell ref="L700:L701"/>
    <mergeCell ref="X700:X705"/>
    <mergeCell ref="X706:X711"/>
    <mergeCell ref="L708:L709"/>
    <mergeCell ref="L710:L711"/>
    <mergeCell ref="L721:L723"/>
    <mergeCell ref="M721:M723"/>
    <mergeCell ref="O721:O723"/>
    <mergeCell ref="L730:L731"/>
    <mergeCell ref="M730:M731"/>
    <mergeCell ref="L713:L717"/>
    <mergeCell ref="M713:M720"/>
    <mergeCell ref="O713:O720"/>
    <mergeCell ref="X713:X720"/>
    <mergeCell ref="L719:L720"/>
    <mergeCell ref="Y144:Y145"/>
    <mergeCell ref="L743:L744"/>
    <mergeCell ref="M743:M744"/>
    <mergeCell ref="X743:X744"/>
    <mergeCell ref="X730:X731"/>
    <mergeCell ref="L732:L733"/>
    <mergeCell ref="M732:M733"/>
    <mergeCell ref="O732:O733"/>
    <mergeCell ref="L734:L738"/>
    <mergeCell ref="M734:M738"/>
    <mergeCell ref="X734:X738"/>
    <mergeCell ref="L771:L776"/>
    <mergeCell ref="W771:W772"/>
    <mergeCell ref="X771:X777"/>
    <mergeCell ref="O242:O247"/>
    <mergeCell ref="N242:N247"/>
    <mergeCell ref="L757:L761"/>
    <mergeCell ref="M757:M761"/>
    <mergeCell ref="O757:O761"/>
    <mergeCell ref="L762:L769"/>
    <mergeCell ref="X762:X770"/>
    <mergeCell ref="L753:L754"/>
    <mergeCell ref="M753:M754"/>
    <mergeCell ref="X753:X754"/>
    <mergeCell ref="L755:L756"/>
    <mergeCell ref="M755:M756"/>
    <mergeCell ref="X755:X756"/>
    <mergeCell ref="L745:L746"/>
    <mergeCell ref="M745:M746"/>
    <mergeCell ref="X745:X746"/>
    <mergeCell ref="L749:L752"/>
    <mergeCell ref="M749:M752"/>
    <mergeCell ref="Y336:Y339"/>
    <mergeCell ref="L739:L742"/>
    <mergeCell ref="M739:M742"/>
    <mergeCell ref="Y60:Y72"/>
    <mergeCell ref="Y73:Y85"/>
    <mergeCell ref="Y86:Y92"/>
    <mergeCell ref="Y93:Y95"/>
    <mergeCell ref="N52:N53"/>
    <mergeCell ref="N50:N51"/>
    <mergeCell ref="N37:N40"/>
    <mergeCell ref="Y37:Y40"/>
    <mergeCell ref="Y42:Y46"/>
    <mergeCell ref="Y47:Y59"/>
    <mergeCell ref="X60:X72"/>
    <mergeCell ref="Y120:Y121"/>
    <mergeCell ref="Y122:Y123"/>
    <mergeCell ref="Y124:Y128"/>
    <mergeCell ref="Y130:Y134"/>
    <mergeCell ref="Y135:Y136"/>
    <mergeCell ref="Y96:Y102"/>
    <mergeCell ref="Y103:Y107"/>
    <mergeCell ref="Y108:Y111"/>
    <mergeCell ref="Y112:Y117"/>
    <mergeCell ref="Y118:Y119"/>
    <mergeCell ref="Y153:Y158"/>
    <mergeCell ref="Y162:Y166"/>
    <mergeCell ref="Y167:Y173"/>
    <mergeCell ref="Y174:Y176"/>
    <mergeCell ref="Y137:Y139"/>
    <mergeCell ref="Y140:Y141"/>
    <mergeCell ref="X739:X742"/>
    <mergeCell ref="Y142:Y143"/>
    <mergeCell ref="Y146:Y152"/>
    <mergeCell ref="Y192:Y199"/>
    <mergeCell ref="Y232:Y237"/>
    <mergeCell ref="Y239:Y241"/>
    <mergeCell ref="Y177:Y178"/>
    <mergeCell ref="Y180:Y181"/>
    <mergeCell ref="Y182:Y183"/>
    <mergeCell ref="Y184:Y187"/>
    <mergeCell ref="Y188:Y190"/>
    <mergeCell ref="Y206:Y207"/>
    <mergeCell ref="Y209:Y212"/>
    <mergeCell ref="Y213:Y217"/>
    <mergeCell ref="Y219:Y228"/>
    <mergeCell ref="Y229:Y231"/>
    <mergeCell ref="Y300:Y304"/>
    <mergeCell ref="Y323:Y330"/>
    <mergeCell ref="Y242:Y247"/>
    <mergeCell ref="Y253:Y266"/>
    <mergeCell ref="Y271:Y273"/>
    <mergeCell ref="Y274:Y276"/>
    <mergeCell ref="Y288:Y290"/>
    <mergeCell ref="Y305:Y322"/>
    <mergeCell ref="Y369:Y370"/>
    <mergeCell ref="Y376:Y381"/>
    <mergeCell ref="Y385:Y395"/>
    <mergeCell ref="Y398:Y399"/>
    <mergeCell ref="Y340:Y342"/>
    <mergeCell ref="Y343:Y347"/>
    <mergeCell ref="Y352:Y354"/>
    <mergeCell ref="Y360:Y361"/>
    <mergeCell ref="Y435:Y437"/>
    <mergeCell ref="Y439:Y442"/>
    <mergeCell ref="Y443:Y448"/>
    <mergeCell ref="Y449:Y450"/>
    <mergeCell ref="Y400:Y402"/>
    <mergeCell ref="Y403:Y404"/>
    <mergeCell ref="Y405:Y406"/>
    <mergeCell ref="Y407:Y410"/>
    <mergeCell ref="Y411:Y414"/>
    <mergeCell ref="Y362:Y363"/>
    <mergeCell ref="Y371:Y374"/>
    <mergeCell ref="Y423:Y434"/>
    <mergeCell ref="Y349:Y351"/>
    <mergeCell ref="Y528:Y529"/>
    <mergeCell ref="Y530:Y531"/>
    <mergeCell ref="Y538:Y552"/>
    <mergeCell ref="Y553:Y561"/>
    <mergeCell ref="Y566:Y572"/>
    <mergeCell ref="Y507:Y512"/>
    <mergeCell ref="Y513:Y519"/>
    <mergeCell ref="Y520:Y522"/>
    <mergeCell ref="Y524:Y525"/>
    <mergeCell ref="Y526:Y527"/>
    <mergeCell ref="Y624:Y625"/>
    <mergeCell ref="Y627:Y634"/>
    <mergeCell ref="Y636:Y638"/>
    <mergeCell ref="Y639:Y642"/>
    <mergeCell ref="Y652:Y660"/>
    <mergeCell ref="Y579:Y594"/>
    <mergeCell ref="Y668:Y669"/>
    <mergeCell ref="Y486:Y487"/>
    <mergeCell ref="Y489:Y491"/>
    <mergeCell ref="Y492:Y494"/>
    <mergeCell ref="Y496:Y500"/>
    <mergeCell ref="Y501:Y502"/>
    <mergeCell ref="Y453:Y464"/>
    <mergeCell ref="Y469:Y471"/>
    <mergeCell ref="Y472:Y475"/>
    <mergeCell ref="Y478:Y479"/>
    <mergeCell ref="Y465:Y468"/>
    <mergeCell ref="L913:L916"/>
    <mergeCell ref="M913:M918"/>
    <mergeCell ref="O913:O918"/>
    <mergeCell ref="X913:X918"/>
    <mergeCell ref="L917:L918"/>
    <mergeCell ref="Y535:Y537"/>
    <mergeCell ref="X535:X537"/>
    <mergeCell ref="L783:L788"/>
    <mergeCell ref="M783:M788"/>
    <mergeCell ref="X783:X789"/>
    <mergeCell ref="Y783:Y789"/>
    <mergeCell ref="L802:L804"/>
    <mergeCell ref="M802:M804"/>
    <mergeCell ref="X802:X804"/>
    <mergeCell ref="Y802:Y804"/>
    <mergeCell ref="Y762:Y770"/>
    <mergeCell ref="Y771:Y777"/>
    <mergeCell ref="Y734:Y738"/>
    <mergeCell ref="Y739:Y742"/>
    <mergeCell ref="Y743:Y744"/>
    <mergeCell ref="Y745:Y746"/>
    <mergeCell ref="Y749:Y752"/>
    <mergeCell ref="L919:L920"/>
    <mergeCell ref="M919:M920"/>
    <mergeCell ref="O919:O920"/>
    <mergeCell ref="X919:X921"/>
    <mergeCell ref="L922:L923"/>
    <mergeCell ref="X924:X926"/>
    <mergeCell ref="X927:X929"/>
    <mergeCell ref="L930:L933"/>
    <mergeCell ref="M930:M933"/>
    <mergeCell ref="X930:X933"/>
    <mergeCell ref="L934:L936"/>
    <mergeCell ref="M934:M936"/>
    <mergeCell ref="O934:O936"/>
    <mergeCell ref="X934:X936"/>
    <mergeCell ref="N934:N936"/>
    <mergeCell ref="N919:N920"/>
    <mergeCell ref="N913:N918"/>
    <mergeCell ref="X937:X939"/>
    <mergeCell ref="L941:L942"/>
    <mergeCell ref="L943:L945"/>
    <mergeCell ref="O943:O945"/>
    <mergeCell ref="X943:X945"/>
    <mergeCell ref="M944:M945"/>
    <mergeCell ref="L946:L947"/>
    <mergeCell ref="O946:O947"/>
    <mergeCell ref="X946:X947"/>
    <mergeCell ref="L948:L950"/>
    <mergeCell ref="O948:O950"/>
    <mergeCell ref="X948:X950"/>
    <mergeCell ref="M949:M950"/>
    <mergeCell ref="L951:L952"/>
    <mergeCell ref="O951:O952"/>
    <mergeCell ref="X951:X952"/>
    <mergeCell ref="L953:L954"/>
    <mergeCell ref="O953:O954"/>
    <mergeCell ref="X953:X954"/>
    <mergeCell ref="N953:N954"/>
    <mergeCell ref="N951:N952"/>
    <mergeCell ref="N948:N950"/>
    <mergeCell ref="N946:N947"/>
    <mergeCell ref="N943:N945"/>
    <mergeCell ref="L958:L959"/>
    <mergeCell ref="O958:O959"/>
    <mergeCell ref="X958:X959"/>
    <mergeCell ref="L960:L961"/>
    <mergeCell ref="O960:O961"/>
    <mergeCell ref="X960:X961"/>
    <mergeCell ref="L962:L967"/>
    <mergeCell ref="M962:M967"/>
    <mergeCell ref="O962:O967"/>
    <mergeCell ref="X962:X967"/>
    <mergeCell ref="L969:L972"/>
    <mergeCell ref="M969:M972"/>
    <mergeCell ref="L973:L976"/>
    <mergeCell ref="M973:M977"/>
    <mergeCell ref="X973:X977"/>
    <mergeCell ref="X978:X988"/>
    <mergeCell ref="L982:L983"/>
    <mergeCell ref="M982:M983"/>
    <mergeCell ref="L986:L987"/>
    <mergeCell ref="M986:M987"/>
    <mergeCell ref="N962:N967"/>
    <mergeCell ref="N960:N961"/>
    <mergeCell ref="N958:N959"/>
    <mergeCell ref="N969:N972"/>
    <mergeCell ref="O969:O972"/>
    <mergeCell ref="L989:L990"/>
    <mergeCell ref="L992:L993"/>
    <mergeCell ref="M992:M993"/>
    <mergeCell ref="O992:O993"/>
    <mergeCell ref="X992:X993"/>
    <mergeCell ref="L994:L996"/>
    <mergeCell ref="M994:M996"/>
    <mergeCell ref="O994:O996"/>
    <mergeCell ref="X994:X996"/>
    <mergeCell ref="L997:L998"/>
    <mergeCell ref="M997:M998"/>
    <mergeCell ref="X997:X998"/>
    <mergeCell ref="L999:L1003"/>
    <mergeCell ref="M999:M1005"/>
    <mergeCell ref="O999:O1005"/>
    <mergeCell ref="L1004:L1005"/>
    <mergeCell ref="L1006:L1009"/>
    <mergeCell ref="X1006:X1016"/>
    <mergeCell ref="N999:N1005"/>
    <mergeCell ref="N994:N996"/>
    <mergeCell ref="N992:N993"/>
    <mergeCell ref="X1017:X1020"/>
    <mergeCell ref="L1019:L1020"/>
    <mergeCell ref="L1021:L1026"/>
    <mergeCell ref="M1021:M1026"/>
    <mergeCell ref="O1021:O1026"/>
    <mergeCell ref="X1021:X1026"/>
    <mergeCell ref="L1027:L1030"/>
    <mergeCell ref="X1027:X1030"/>
    <mergeCell ref="L1031:L1032"/>
    <mergeCell ref="M1031:M1032"/>
    <mergeCell ref="O1031:O1032"/>
    <mergeCell ref="L1033:L1034"/>
    <mergeCell ref="X1033:X1034"/>
    <mergeCell ref="X1036:X1037"/>
    <mergeCell ref="L1038:L1039"/>
    <mergeCell ref="M1038:M1041"/>
    <mergeCell ref="O1038:O1041"/>
    <mergeCell ref="X1038:X1042"/>
    <mergeCell ref="L1040:L1041"/>
    <mergeCell ref="N1038:N1041"/>
    <mergeCell ref="N1031:N1032"/>
    <mergeCell ref="N1021:N1026"/>
    <mergeCell ref="M1043:M1048"/>
    <mergeCell ref="O1043:O1048"/>
    <mergeCell ref="X1043:X1048"/>
    <mergeCell ref="L1052:L1055"/>
    <mergeCell ref="O1052:O1055"/>
    <mergeCell ref="L1056:L1060"/>
    <mergeCell ref="M1056:M1060"/>
    <mergeCell ref="X1056:X1060"/>
    <mergeCell ref="L1062:L1064"/>
    <mergeCell ref="M1062:M1064"/>
    <mergeCell ref="X1062:X1065"/>
    <mergeCell ref="L1066:L1070"/>
    <mergeCell ref="M1066:M1070"/>
    <mergeCell ref="O1066:O1070"/>
    <mergeCell ref="X1066:X1070"/>
    <mergeCell ref="L1071:L1072"/>
    <mergeCell ref="M1071:M1072"/>
    <mergeCell ref="X1071:X1072"/>
    <mergeCell ref="N1066:N1070"/>
    <mergeCell ref="N1052:N1055"/>
    <mergeCell ref="N1043:N1048"/>
    <mergeCell ref="L1049:L1051"/>
    <mergeCell ref="M1049:M1051"/>
    <mergeCell ref="X1049:X1051"/>
    <mergeCell ref="L1073:L1074"/>
    <mergeCell ref="O1073:O1074"/>
    <mergeCell ref="X1073:X1076"/>
    <mergeCell ref="L1077:L1078"/>
    <mergeCell ref="L1079:L1080"/>
    <mergeCell ref="M1079:M1080"/>
    <mergeCell ref="O1079:O1080"/>
    <mergeCell ref="X1079:X1080"/>
    <mergeCell ref="L1081:L1082"/>
    <mergeCell ref="M1081:M1082"/>
    <mergeCell ref="O1081:O1082"/>
    <mergeCell ref="X1081:X1082"/>
    <mergeCell ref="L1089:L1090"/>
    <mergeCell ref="M1089:M1090"/>
    <mergeCell ref="X1089:X1090"/>
    <mergeCell ref="L1091:L1092"/>
    <mergeCell ref="M1091:M1092"/>
    <mergeCell ref="O1091:O1092"/>
    <mergeCell ref="X1091:X1092"/>
    <mergeCell ref="N1091:N1092"/>
    <mergeCell ref="N1081:N1082"/>
    <mergeCell ref="N1079:N1080"/>
    <mergeCell ref="N1073:N1074"/>
    <mergeCell ref="L1083:L1084"/>
    <mergeCell ref="M1083:M1084"/>
    <mergeCell ref="X1083:X1084"/>
    <mergeCell ref="L1093:L1094"/>
    <mergeCell ref="M1093:M1094"/>
    <mergeCell ref="X1093:X1094"/>
    <mergeCell ref="L1095:L1097"/>
    <mergeCell ref="M1095:M1097"/>
    <mergeCell ref="O1095:O1097"/>
    <mergeCell ref="X1095:X1097"/>
    <mergeCell ref="L1098:L1099"/>
    <mergeCell ref="M1098:M1099"/>
    <mergeCell ref="O1098:O1099"/>
    <mergeCell ref="X1098:X1101"/>
    <mergeCell ref="L1102:L1103"/>
    <mergeCell ref="M1102:M1103"/>
    <mergeCell ref="O1102:O1103"/>
    <mergeCell ref="X1102:X1105"/>
    <mergeCell ref="X1106:X1110"/>
    <mergeCell ref="M1107:M1108"/>
    <mergeCell ref="M1109:M1110"/>
    <mergeCell ref="N1102:N1103"/>
    <mergeCell ref="N1098:N1099"/>
    <mergeCell ref="N1095:N1097"/>
    <mergeCell ref="L1111:L1112"/>
    <mergeCell ref="M1111:M1112"/>
    <mergeCell ref="O1111:O1112"/>
    <mergeCell ref="L1113:L1114"/>
    <mergeCell ref="X1113:X1114"/>
    <mergeCell ref="L1115:L1116"/>
    <mergeCell ref="X1115:X1116"/>
    <mergeCell ref="L1117:L1119"/>
    <mergeCell ref="X1117:X1119"/>
    <mergeCell ref="L1121:L1124"/>
    <mergeCell ref="M1121:M1124"/>
    <mergeCell ref="O1121:O1124"/>
    <mergeCell ref="X1121:X1130"/>
    <mergeCell ref="L1125:L1126"/>
    <mergeCell ref="M1125:M1126"/>
    <mergeCell ref="L1127:L1128"/>
    <mergeCell ref="M1127:M1128"/>
    <mergeCell ref="N1111:N1112"/>
    <mergeCell ref="N1121:N1124"/>
    <mergeCell ref="L1131:L1132"/>
    <mergeCell ref="M1131:M1132"/>
    <mergeCell ref="O1131:O1132"/>
    <mergeCell ref="X1131:X1132"/>
    <mergeCell ref="L1133:L1135"/>
    <mergeCell ref="M1133:M1135"/>
    <mergeCell ref="O1133:O1135"/>
    <mergeCell ref="X1133:X1135"/>
    <mergeCell ref="L1136:L1138"/>
    <mergeCell ref="M1136:M1138"/>
    <mergeCell ref="O1136:O1138"/>
    <mergeCell ref="X1136:X1138"/>
    <mergeCell ref="L1139:L1141"/>
    <mergeCell ref="X1139:X1146"/>
    <mergeCell ref="L1147:L1148"/>
    <mergeCell ref="M1147:M1148"/>
    <mergeCell ref="O1147:O1148"/>
    <mergeCell ref="N1147:N1148"/>
    <mergeCell ref="N1136:N1138"/>
    <mergeCell ref="N1133:N1135"/>
    <mergeCell ref="N1131:N1132"/>
    <mergeCell ref="L1149:L1150"/>
    <mergeCell ref="X1149:X1150"/>
    <mergeCell ref="L1151:L1153"/>
    <mergeCell ref="X1151:X1153"/>
    <mergeCell ref="L1154:L1155"/>
    <mergeCell ref="M1154:M1155"/>
    <mergeCell ref="O1154:O1155"/>
    <mergeCell ref="X1154:X1155"/>
    <mergeCell ref="L1156:L1157"/>
    <mergeCell ref="M1156:M1157"/>
    <mergeCell ref="X1156:X1157"/>
    <mergeCell ref="X1160:X1163"/>
    <mergeCell ref="L1161:L1162"/>
    <mergeCell ref="M1161:M1162"/>
    <mergeCell ref="X1164:X1167"/>
    <mergeCell ref="L1166:L1167"/>
    <mergeCell ref="M1166:M1167"/>
    <mergeCell ref="N1154:N1155"/>
    <mergeCell ref="L1168:L1169"/>
    <mergeCell ref="M1168:M1169"/>
    <mergeCell ref="O1168:O1169"/>
    <mergeCell ref="X1168:X1172"/>
    <mergeCell ref="L1171:L1172"/>
    <mergeCell ref="L1174:L1175"/>
    <mergeCell ref="L1176:L1180"/>
    <mergeCell ref="M1176:M1180"/>
    <mergeCell ref="O1176:O1180"/>
    <mergeCell ref="X1176:X1180"/>
    <mergeCell ref="L1181:L1183"/>
    <mergeCell ref="M1181:M1183"/>
    <mergeCell ref="O1181:O1183"/>
    <mergeCell ref="X1181:X1183"/>
    <mergeCell ref="L1185:L1189"/>
    <mergeCell ref="M1185:M1189"/>
    <mergeCell ref="O1185:O1189"/>
    <mergeCell ref="X1185:X1189"/>
    <mergeCell ref="N1185:N1189"/>
    <mergeCell ref="N1181:N1183"/>
    <mergeCell ref="N1176:N1180"/>
    <mergeCell ref="N1168:N1169"/>
    <mergeCell ref="L1190:L1191"/>
    <mergeCell ref="M1190:M1191"/>
    <mergeCell ref="O1190:O1191"/>
    <mergeCell ref="X1190:X1191"/>
    <mergeCell ref="L1193:L1194"/>
    <mergeCell ref="L1195:L1196"/>
    <mergeCell ref="M1195:M1197"/>
    <mergeCell ref="O1195:O1197"/>
    <mergeCell ref="L1200:L1203"/>
    <mergeCell ref="M1200:M1203"/>
    <mergeCell ref="X1200:X1203"/>
    <mergeCell ref="L1206:L1207"/>
    <mergeCell ref="X1206:X1207"/>
    <mergeCell ref="L1208:L1209"/>
    <mergeCell ref="X1208:X1209"/>
    <mergeCell ref="L1215:L1216"/>
    <mergeCell ref="X1215:X1220"/>
    <mergeCell ref="L1219:L1220"/>
    <mergeCell ref="X1211:X1212"/>
    <mergeCell ref="M1211:M1212"/>
    <mergeCell ref="L1211:L1212"/>
    <mergeCell ref="N1195:N1197"/>
    <mergeCell ref="N1190:N1191"/>
    <mergeCell ref="L1221:L1224"/>
    <mergeCell ref="X1221:X1224"/>
    <mergeCell ref="L1225:L1226"/>
    <mergeCell ref="X1225:X1226"/>
    <mergeCell ref="L1227:L1228"/>
    <mergeCell ref="X1227:X1228"/>
    <mergeCell ref="L1230:L1231"/>
    <mergeCell ref="X1230:X1231"/>
    <mergeCell ref="L1232:L1233"/>
    <mergeCell ref="X1232:X1233"/>
    <mergeCell ref="L1235:L1236"/>
    <mergeCell ref="X1235:X1236"/>
    <mergeCell ref="L1237:L1238"/>
    <mergeCell ref="X1237:X1238"/>
    <mergeCell ref="L1239:L1240"/>
    <mergeCell ref="X1239:X1240"/>
    <mergeCell ref="L1245:L1248"/>
    <mergeCell ref="X1245:X1255"/>
    <mergeCell ref="L1241:L1242"/>
    <mergeCell ref="X1241:X1242"/>
    <mergeCell ref="M1245:M1246"/>
    <mergeCell ref="O1245:O1248"/>
    <mergeCell ref="M1247:M1248"/>
    <mergeCell ref="N1245:N1248"/>
    <mergeCell ref="L1290:L1291"/>
    <mergeCell ref="X1290:X1291"/>
    <mergeCell ref="L1292:L1294"/>
    <mergeCell ref="X1292:X1294"/>
    <mergeCell ref="L1295:L1296"/>
    <mergeCell ref="X1295:X1296"/>
    <mergeCell ref="L1298:L1299"/>
    <mergeCell ref="X1298:X1299"/>
    <mergeCell ref="L1257:L1262"/>
    <mergeCell ref="L1263:L1264"/>
    <mergeCell ref="M1263:M1265"/>
    <mergeCell ref="O1263:O1265"/>
    <mergeCell ref="L1266:L1268"/>
    <mergeCell ref="M1266:M1268"/>
    <mergeCell ref="X1266:X1268"/>
    <mergeCell ref="L1269:L1271"/>
    <mergeCell ref="M1269:M1271"/>
    <mergeCell ref="X1269:X1271"/>
    <mergeCell ref="L1272:L1273"/>
    <mergeCell ref="M1272:M1273"/>
    <mergeCell ref="X1272:X1273"/>
    <mergeCell ref="L1275:L1276"/>
    <mergeCell ref="X1275:X1276"/>
    <mergeCell ref="L1279:L1280"/>
    <mergeCell ref="X1279:X1280"/>
    <mergeCell ref="L1356:L1358"/>
    <mergeCell ref="M1356:M1358"/>
    <mergeCell ref="X1356:X1358"/>
    <mergeCell ref="L1360:L1363"/>
    <mergeCell ref="Y913:Y918"/>
    <mergeCell ref="Y919:Y921"/>
    <mergeCell ref="Y924:Y926"/>
    <mergeCell ref="Y927:Y929"/>
    <mergeCell ref="Y930:Y933"/>
    <mergeCell ref="Y934:Y936"/>
    <mergeCell ref="Y937:Y939"/>
    <mergeCell ref="Y943:Y945"/>
    <mergeCell ref="Y946:Y947"/>
    <mergeCell ref="Y948:Y950"/>
    <mergeCell ref="Y951:Y952"/>
    <mergeCell ref="Y953:Y954"/>
    <mergeCell ref="Y958:Y959"/>
    <mergeCell ref="Y960:Y961"/>
    <mergeCell ref="Y962:Y967"/>
    <mergeCell ref="Y973:Y977"/>
    <mergeCell ref="L1300:L1301"/>
    <mergeCell ref="X1300:X1301"/>
    <mergeCell ref="L1303:L1305"/>
    <mergeCell ref="X1303:X1305"/>
    <mergeCell ref="L1306:L1307"/>
    <mergeCell ref="X1306:X1307"/>
    <mergeCell ref="L1308:L1310"/>
    <mergeCell ref="M1308:M1311"/>
    <mergeCell ref="O1308:O1311"/>
    <mergeCell ref="L1312:L1313"/>
    <mergeCell ref="M1312:M1313"/>
    <mergeCell ref="X1312:X1313"/>
    <mergeCell ref="Y1056:Y1060"/>
    <mergeCell ref="Y1062:Y1065"/>
    <mergeCell ref="Y1066:Y1070"/>
    <mergeCell ref="Y1071:Y1072"/>
    <mergeCell ref="Y1073:Y1076"/>
    <mergeCell ref="L1328:L1329"/>
    <mergeCell ref="X1328:X1329"/>
    <mergeCell ref="L1334:L1338"/>
    <mergeCell ref="M1334:M1338"/>
    <mergeCell ref="X1334:X1345"/>
    <mergeCell ref="L1347:L1349"/>
    <mergeCell ref="L1351:L1352"/>
    <mergeCell ref="M1351:M1352"/>
    <mergeCell ref="X1351:X1352"/>
    <mergeCell ref="L1353:L1355"/>
    <mergeCell ref="M1353:M1355"/>
    <mergeCell ref="X1353:X1355"/>
    <mergeCell ref="L1314:L1317"/>
    <mergeCell ref="X1314:X1317"/>
    <mergeCell ref="X1318:X1324"/>
    <mergeCell ref="L1325:L1326"/>
    <mergeCell ref="X1325:X1326"/>
    <mergeCell ref="M1306:M1307"/>
    <mergeCell ref="L1281:L1283"/>
    <mergeCell ref="M1281:M1284"/>
    <mergeCell ref="O1281:O1284"/>
    <mergeCell ref="L1285:L1286"/>
    <mergeCell ref="M1285:M1286"/>
    <mergeCell ref="X1285:X1286"/>
    <mergeCell ref="L1287:L1289"/>
    <mergeCell ref="M1287:M1289"/>
    <mergeCell ref="X1287:X1289"/>
    <mergeCell ref="Y1079:Y1080"/>
    <mergeCell ref="Y1081:Y1082"/>
    <mergeCell ref="Y1089:Y1090"/>
    <mergeCell ref="Y1091:Y1092"/>
    <mergeCell ref="Y1093:Y1094"/>
    <mergeCell ref="Y1095:Y1097"/>
    <mergeCell ref="Y1098:Y1101"/>
    <mergeCell ref="Y1102:Y1105"/>
    <mergeCell ref="Y1106:Y1110"/>
    <mergeCell ref="Y1113:Y1114"/>
    <mergeCell ref="Y1115:Y1116"/>
    <mergeCell ref="Y1117:Y1119"/>
    <mergeCell ref="Y1121:Y1130"/>
    <mergeCell ref="Y1131:Y1132"/>
    <mergeCell ref="Y1133:Y1135"/>
    <mergeCell ref="Y1136:Y1138"/>
    <mergeCell ref="Y1139:Y1146"/>
    <mergeCell ref="Y1083:Y1084"/>
    <mergeCell ref="Y1356:Y1358"/>
    <mergeCell ref="N1308:N1311"/>
    <mergeCell ref="N1281:N1284"/>
    <mergeCell ref="N1263:N1265"/>
    <mergeCell ref="Y1225:Y1226"/>
    <mergeCell ref="Y1227:Y1228"/>
    <mergeCell ref="Y1230:Y1231"/>
    <mergeCell ref="Y1232:Y1233"/>
    <mergeCell ref="Y1235:Y1236"/>
    <mergeCell ref="Y1237:Y1238"/>
    <mergeCell ref="Y1239:Y1240"/>
    <mergeCell ref="Y1245:Y1255"/>
    <mergeCell ref="Y1266:Y1268"/>
    <mergeCell ref="Y1269:Y1271"/>
    <mergeCell ref="Y1272:Y1273"/>
    <mergeCell ref="Y1275:Y1276"/>
    <mergeCell ref="Y1279:Y1280"/>
    <mergeCell ref="Y1285:Y1286"/>
    <mergeCell ref="Y1287:Y1289"/>
    <mergeCell ref="Y1290:Y1291"/>
    <mergeCell ref="Y1292:Y1294"/>
    <mergeCell ref="Y1295:Y1296"/>
    <mergeCell ref="Y1298:Y1299"/>
    <mergeCell ref="Y1300:Y1301"/>
    <mergeCell ref="Y1303:Y1305"/>
    <mergeCell ref="Y1306:Y1307"/>
    <mergeCell ref="Y1312:Y1313"/>
    <mergeCell ref="Y1314:Y1317"/>
    <mergeCell ref="Y1318:Y1324"/>
    <mergeCell ref="Y1325:Y1326"/>
    <mergeCell ref="Y1328:Y1329"/>
    <mergeCell ref="Y1334:Y1345"/>
    <mergeCell ref="Y1351:Y1352"/>
    <mergeCell ref="Y1353:Y1355"/>
    <mergeCell ref="Y1149:Y1150"/>
    <mergeCell ref="Y1151:Y1153"/>
    <mergeCell ref="Y1154:Y1155"/>
    <mergeCell ref="Y1156:Y1157"/>
    <mergeCell ref="Y1160:Y1163"/>
    <mergeCell ref="Y1164:Y1167"/>
    <mergeCell ref="Y1168:Y1172"/>
    <mergeCell ref="Y1176:Y1180"/>
    <mergeCell ref="Y1181:Y1183"/>
    <mergeCell ref="Y1185:Y1189"/>
    <mergeCell ref="Y1190:Y1191"/>
    <mergeCell ref="Y1200:Y1203"/>
    <mergeCell ref="Y1206:Y1207"/>
    <mergeCell ref="Y1208:Y1209"/>
    <mergeCell ref="Y1215:Y1220"/>
    <mergeCell ref="Y1211:Y1212"/>
    <mergeCell ref="Y1221:Y1224"/>
    <mergeCell ref="Y1241:Y1242"/>
    <mergeCell ref="Z802:Z804"/>
    <mergeCell ref="Y607:Y608"/>
    <mergeCell ref="Y610:Y611"/>
    <mergeCell ref="Y612:Y617"/>
    <mergeCell ref="Y621:Y622"/>
    <mergeCell ref="N757:N761"/>
    <mergeCell ref="N732:N733"/>
    <mergeCell ref="N721:N723"/>
    <mergeCell ref="N713:N720"/>
    <mergeCell ref="N670:N673"/>
    <mergeCell ref="N668:N669"/>
    <mergeCell ref="N661:N667"/>
    <mergeCell ref="N652:N660"/>
    <mergeCell ref="N636:N642"/>
    <mergeCell ref="Y694:Y699"/>
    <mergeCell ref="Y700:Y705"/>
    <mergeCell ref="Y706:Y711"/>
    <mergeCell ref="Y713:Y720"/>
    <mergeCell ref="Y730:Y731"/>
    <mergeCell ref="Y661:Y667"/>
    <mergeCell ref="X749:X752"/>
    <mergeCell ref="X652:X660"/>
    <mergeCell ref="Y674:Y680"/>
    <mergeCell ref="Y681:Y687"/>
    <mergeCell ref="Y688:Y693"/>
    <mergeCell ref="Y753:Y754"/>
    <mergeCell ref="Y755:Y756"/>
    <mergeCell ref="Z734:Z738"/>
    <mergeCell ref="Z739:Z742"/>
    <mergeCell ref="Z743:Z744"/>
    <mergeCell ref="Z745:Z746"/>
    <mergeCell ref="Z749:Z752"/>
    <mergeCell ref="Y1049:Y1051"/>
    <mergeCell ref="Z1049:Z1051"/>
    <mergeCell ref="L808:L812"/>
    <mergeCell ref="M808:M812"/>
    <mergeCell ref="L891:L892"/>
    <mergeCell ref="M891:M892"/>
    <mergeCell ref="X891:X892"/>
    <mergeCell ref="Y891:Y892"/>
    <mergeCell ref="Z891:Z892"/>
    <mergeCell ref="L893:L895"/>
    <mergeCell ref="M893:M895"/>
    <mergeCell ref="M897:M900"/>
    <mergeCell ref="L897:L900"/>
    <mergeCell ref="X893:X895"/>
    <mergeCell ref="Y893:Y895"/>
    <mergeCell ref="Z893:Z895"/>
    <mergeCell ref="X897:X900"/>
    <mergeCell ref="Y897:Y900"/>
    <mergeCell ref="Z897:Z900"/>
    <mergeCell ref="Y978:Y988"/>
    <mergeCell ref="Y992:Y993"/>
    <mergeCell ref="Y994:Y996"/>
    <mergeCell ref="Y997:Y998"/>
    <mergeCell ref="Y1006:Y1016"/>
    <mergeCell ref="Y1017:Y1020"/>
    <mergeCell ref="Y1021:Y1026"/>
    <mergeCell ref="Y1027:Y1030"/>
    <mergeCell ref="Y1033:Y1034"/>
    <mergeCell ref="Y1036:Y1037"/>
    <mergeCell ref="Y1038:Y1042"/>
    <mergeCell ref="Y1043:Y1048"/>
    <mergeCell ref="L1043:L1048"/>
  </mergeCells>
  <conditionalFormatting sqref="X2">
    <cfRule type="expression" dxfId="1628" priority="4843">
      <formula>verMandError</formula>
    </cfRule>
  </conditionalFormatting>
  <conditionalFormatting sqref="X3">
    <cfRule type="expression" dxfId="1627" priority="4844">
      <formula>verError</formula>
    </cfRule>
  </conditionalFormatting>
  <conditionalFormatting sqref="I2">
    <cfRule type="expression" dxfId="1626" priority="4816">
      <formula>$AM$2="Gold"</formula>
    </cfRule>
    <cfRule type="expression" dxfId="1625" priority="4817">
      <formula>$AM$2="Silver"</formula>
    </cfRule>
    <cfRule type="expression" dxfId="1624" priority="4818">
      <formula>$AM$2="Bronze"</formula>
    </cfRule>
    <cfRule type="expression" dxfId="1623" priority="4819">
      <formula>$AM$2="Emerald"</formula>
    </cfRule>
  </conditionalFormatting>
  <conditionalFormatting sqref="L5">
    <cfRule type="notContainsBlanks" dxfId="1622" priority="4815">
      <formula>LEN(TRIM(L5))&gt;0</formula>
    </cfRule>
  </conditionalFormatting>
  <conditionalFormatting sqref="L1">
    <cfRule type="notContainsBlanks" dxfId="1621" priority="4774">
      <formula>LEN(TRIM(L1))&gt;0</formula>
    </cfRule>
  </conditionalFormatting>
  <conditionalFormatting sqref="W61">
    <cfRule type="notContainsBlanks" dxfId="1620" priority="4773">
      <formula>LEN(TRIM(W61))&gt;0</formula>
    </cfRule>
  </conditionalFormatting>
  <conditionalFormatting sqref="X19:X27">
    <cfRule type="expression" dxfId="1619" priority="4464">
      <formula>$W$19=TRUE</formula>
    </cfRule>
  </conditionalFormatting>
  <conditionalFormatting sqref="X192:X199">
    <cfRule type="expression" dxfId="1618" priority="4463">
      <formula>$W$198=TRUE</formula>
    </cfRule>
  </conditionalFormatting>
  <conditionalFormatting sqref="L263:L264">
    <cfRule type="expression" dxfId="1617" priority="4438">
      <formula>AY263&gt;4099</formula>
    </cfRule>
  </conditionalFormatting>
  <conditionalFormatting sqref="M263:M264">
    <cfRule type="expression" dxfId="1616" priority="4437">
      <formula>$AY$22&gt;4099</formula>
    </cfRule>
  </conditionalFormatting>
  <conditionalFormatting sqref="X579:X594">
    <cfRule type="expression" dxfId="1615" priority="4304">
      <formula>NOT(ISBLANK(W586))</formula>
    </cfRule>
  </conditionalFormatting>
  <conditionalFormatting sqref="X323">
    <cfRule type="expression" dxfId="1614" priority="4187">
      <formula>W323=TRUE</formula>
    </cfRule>
  </conditionalFormatting>
  <conditionalFormatting sqref="X400:X402">
    <cfRule type="expression" dxfId="1613" priority="4105">
      <formula>W400="N/A"</formula>
    </cfRule>
  </conditionalFormatting>
  <conditionalFormatting sqref="X411:X412">
    <cfRule type="expression" dxfId="1612" priority="4104">
      <formula>W411="N/A"</formula>
    </cfRule>
  </conditionalFormatting>
  <conditionalFormatting sqref="X520:X522">
    <cfRule type="expression" dxfId="1611" priority="4079">
      <formula>W520</formula>
    </cfRule>
  </conditionalFormatting>
  <conditionalFormatting sqref="W507">
    <cfRule type="expression" dxfId="1610" priority="4078">
      <formula>AND($R$507,$S$507)</formula>
    </cfRule>
  </conditionalFormatting>
  <conditionalFormatting sqref="W507">
    <cfRule type="expression" dxfId="1609" priority="4077">
      <formula>AND(IF($R$507,$W$507,TRUE),LEN(TRIM($W$507))&gt;0)</formula>
    </cfRule>
  </conditionalFormatting>
  <conditionalFormatting sqref="W507">
    <cfRule type="expression" dxfId="1608" priority="4076">
      <formula>OR($S$507 = FALSE, AND($P$507 = FALSE, ReportType &lt;&gt; "Final"), AND($Q$507 = FALSE, ReportType &lt;&gt; "Rough"))</formula>
    </cfRule>
  </conditionalFormatting>
  <conditionalFormatting sqref="W507">
    <cfRule type="expression" dxfId="1607" priority="4075">
      <formula>OR($T$507 = TRUE, AND($W$507 = TRUE, $S$507 = FALSE))</formula>
    </cfRule>
  </conditionalFormatting>
  <conditionalFormatting sqref="X507 X513:X519">
    <cfRule type="expression" dxfId="1606" priority="4074">
      <formula>W507&gt;0</formula>
    </cfRule>
  </conditionalFormatting>
  <conditionalFormatting sqref="W513">
    <cfRule type="expression" dxfId="1605" priority="4073">
      <formula>AND(R513,S513)</formula>
    </cfRule>
  </conditionalFormatting>
  <conditionalFormatting sqref="W513">
    <cfRule type="expression" dxfId="1604" priority="4072">
      <formula>AND(IF(R513,W513,TRUE),LEN(TRIM(W513))&gt;0)</formula>
    </cfRule>
  </conditionalFormatting>
  <conditionalFormatting sqref="W513">
    <cfRule type="expression" dxfId="1603" priority="4071">
      <formula>OR(S513 = FALSE, AND($P$513 = FALSE, ReportType &lt;&gt; "Final"), AND($Q$513 = FALSE, ReportType &lt;&gt; "Rough"))</formula>
    </cfRule>
  </conditionalFormatting>
  <conditionalFormatting sqref="W513">
    <cfRule type="expression" dxfId="1602" priority="4070">
      <formula>OR(T513 = TRUE, AND(W513 = TRUE, S513 = FALSE))</formula>
    </cfRule>
  </conditionalFormatting>
  <conditionalFormatting sqref="W525">
    <cfRule type="expression" dxfId="1601" priority="4069">
      <formula>AND(R525,S525)</formula>
    </cfRule>
  </conditionalFormatting>
  <conditionalFormatting sqref="W525">
    <cfRule type="expression" dxfId="1600" priority="4068">
      <formula>AND(IF(R525,W525,TRUE),LEN(TRIM(W525))&gt;0)</formula>
    </cfRule>
  </conditionalFormatting>
  <conditionalFormatting sqref="W525">
    <cfRule type="expression" dxfId="1599" priority="4067">
      <formula>OR(S525 = FALSE, AND($P$525 = FALSE, ReportType &lt;&gt; "Final"), AND($Q$525 = FALSE, ReportType &lt;&gt; "Rough"))</formula>
    </cfRule>
  </conditionalFormatting>
  <conditionalFormatting sqref="W525">
    <cfRule type="expression" dxfId="1598" priority="4066">
      <formula>OR(T525 = TRUE, AND(W525 = TRUE, S525 = FALSE))</formula>
    </cfRule>
  </conditionalFormatting>
  <conditionalFormatting sqref="W527">
    <cfRule type="expression" dxfId="1597" priority="4065">
      <formula>AND(R527,S527)</formula>
    </cfRule>
  </conditionalFormatting>
  <conditionalFormatting sqref="W527">
    <cfRule type="expression" dxfId="1596" priority="4064">
      <formula>AND(IF(R527,W527,TRUE),LEN(TRIM(W527))&gt;0)</formula>
    </cfRule>
  </conditionalFormatting>
  <conditionalFormatting sqref="W527">
    <cfRule type="expression" dxfId="1595" priority="4063">
      <formula>OR(S527 = FALSE, AND($P$527 = FALSE, ReportType &lt;&gt; "Final"), AND($Q$527 = FALSE, ReportType &lt;&gt; "Rough"))</formula>
    </cfRule>
  </conditionalFormatting>
  <conditionalFormatting sqref="W527">
    <cfRule type="expression" dxfId="1594" priority="4062">
      <formula>OR(T527 = TRUE, AND(W527 = TRUE, S527 = FALSE))</formula>
    </cfRule>
  </conditionalFormatting>
  <conditionalFormatting sqref="W529">
    <cfRule type="expression" dxfId="1593" priority="4061">
      <formula>AND(R529,S529)</formula>
    </cfRule>
  </conditionalFormatting>
  <conditionalFormatting sqref="W529">
    <cfRule type="expression" dxfId="1592" priority="4060">
      <formula>AND(IF(R529,W529,TRUE),LEN(TRIM(W529))&gt;0)</formula>
    </cfRule>
  </conditionalFormatting>
  <conditionalFormatting sqref="W529">
    <cfRule type="expression" dxfId="1591" priority="4059">
      <formula>OR(S529 = FALSE, AND($P$529 = FALSE, ReportType &lt;&gt; "Final"), AND($Q$529 = FALSE, ReportType &lt;&gt; "Rough"))</formula>
    </cfRule>
  </conditionalFormatting>
  <conditionalFormatting sqref="W529">
    <cfRule type="expression" dxfId="1590" priority="4058">
      <formula>OR(T529 = TRUE, AND(W529 = TRUE, S529 = FALSE))</formula>
    </cfRule>
  </conditionalFormatting>
  <conditionalFormatting sqref="W531">
    <cfRule type="expression" dxfId="1589" priority="4057">
      <formula>AND(R531,S531)</formula>
    </cfRule>
  </conditionalFormatting>
  <conditionalFormatting sqref="W531">
    <cfRule type="expression" dxfId="1588" priority="4056">
      <formula>AND(IF(R531,W531,TRUE),LEN(TRIM(W531))&gt;0)</formula>
    </cfRule>
  </conditionalFormatting>
  <conditionalFormatting sqref="W531">
    <cfRule type="expression" dxfId="1587" priority="4055">
      <formula>OR(S531 = FALSE, AND($P$531 = FALSE, ReportType &lt;&gt; "Final"), AND($Q$531 = FALSE, ReportType &lt;&gt; "Rough"))</formula>
    </cfRule>
  </conditionalFormatting>
  <conditionalFormatting sqref="W531">
    <cfRule type="expression" dxfId="1586" priority="4054">
      <formula>OR(T531 = TRUE, AND(W531 = TRUE, S531 = FALSE))</formula>
    </cfRule>
  </conditionalFormatting>
  <conditionalFormatting sqref="X524 X526 X528 X530">
    <cfRule type="expression" dxfId="1585" priority="4053">
      <formula>W525&gt;0</formula>
    </cfRule>
  </conditionalFormatting>
  <conditionalFormatting sqref="X573">
    <cfRule type="expression" dxfId="1584" priority="4004">
      <formula>W573</formula>
    </cfRule>
  </conditionalFormatting>
  <conditionalFormatting sqref="X574">
    <cfRule type="expression" dxfId="1583" priority="4003">
      <formula>W574</formula>
    </cfRule>
  </conditionalFormatting>
  <conditionalFormatting sqref="X606:X607 X609:X610">
    <cfRule type="expression" dxfId="1582" priority="3954">
      <formula>NOT(ISBLANK(W606))</formula>
    </cfRule>
  </conditionalFormatting>
  <conditionalFormatting sqref="X612:X617">
    <cfRule type="expression" dxfId="1581" priority="3949">
      <formula>NOT(ISBLANK(W612))</formula>
    </cfRule>
  </conditionalFormatting>
  <conditionalFormatting sqref="X627:X634">
    <cfRule type="expression" dxfId="1580" priority="3944">
      <formula>NOT(ISBLANK(W627))</formula>
    </cfRule>
  </conditionalFormatting>
  <conditionalFormatting sqref="X636:X638">
    <cfRule type="expression" dxfId="1579" priority="3935">
      <formula>NOT(ISBLANK(W637))</formula>
    </cfRule>
  </conditionalFormatting>
  <conditionalFormatting sqref="X639:X642">
    <cfRule type="expression" dxfId="1578" priority="3934">
      <formula>NOT(ISBLANK(W640))</formula>
    </cfRule>
  </conditionalFormatting>
  <conditionalFormatting sqref="X674:X680">
    <cfRule type="expression" dxfId="1577" priority="3925">
      <formula>NOT(ISBLANK(W676))</formula>
    </cfRule>
  </conditionalFormatting>
  <conditionalFormatting sqref="X681:X687">
    <cfRule type="expression" dxfId="1576" priority="3924">
      <formula>NOT(ISBLANK(W683))</formula>
    </cfRule>
  </conditionalFormatting>
  <conditionalFormatting sqref="X688:X693">
    <cfRule type="expression" dxfId="1575" priority="3907">
      <formula>NOT(ISBLANK(W689))</formula>
    </cfRule>
  </conditionalFormatting>
  <conditionalFormatting sqref="X694:X699">
    <cfRule type="expression" dxfId="1574" priority="3906">
      <formula>NOT(ISBLANK(W695))</formula>
    </cfRule>
  </conditionalFormatting>
  <conditionalFormatting sqref="X700:X705">
    <cfRule type="expression" dxfId="1573" priority="3905">
      <formula>NOT(ISBLANK(W701))</formula>
    </cfRule>
  </conditionalFormatting>
  <conditionalFormatting sqref="X706:X711">
    <cfRule type="expression" dxfId="1572" priority="3904">
      <formula>NOT(ISBLANK(W707))</formula>
    </cfRule>
  </conditionalFormatting>
  <conditionalFormatting sqref="X713:X720">
    <cfRule type="expression" dxfId="1571" priority="3899">
      <formula>NOT(ISBLANK(W713))</formula>
    </cfRule>
  </conditionalFormatting>
  <conditionalFormatting sqref="W763">
    <cfRule type="expression" dxfId="1570" priority="3898">
      <formula>AND(R763,S763)</formula>
    </cfRule>
  </conditionalFormatting>
  <conditionalFormatting sqref="W763">
    <cfRule type="expression" dxfId="1569" priority="3897">
      <formula>AND(IF(R763,W763,TRUE),LEN(TRIM(W763))&gt;0)</formula>
    </cfRule>
  </conditionalFormatting>
  <conditionalFormatting sqref="W763">
    <cfRule type="expression" dxfId="1568" priority="3896">
      <formula>OR(S763 = FALSE, AND($P$763 = FALSE, ReportType &lt;&gt; "Final"), AND($Q$763 = FALSE, ReportType &lt;&gt; "Rough"))</formula>
    </cfRule>
  </conditionalFormatting>
  <conditionalFormatting sqref="W763">
    <cfRule type="expression" dxfId="1567" priority="3895">
      <formula>OR(T763 = TRUE, AND(W763 = TRUE, S763 = FALSE))</formula>
    </cfRule>
  </conditionalFormatting>
  <conditionalFormatting sqref="W773">
    <cfRule type="expression" dxfId="1566" priority="3894">
      <formula>AND(R773,S773)</formula>
    </cfRule>
  </conditionalFormatting>
  <conditionalFormatting sqref="W773">
    <cfRule type="expression" dxfId="1565" priority="3893">
      <formula>AND(IF(R773,W773,TRUE),LEN(TRIM(W773))&gt;0)</formula>
    </cfRule>
  </conditionalFormatting>
  <conditionalFormatting sqref="W773">
    <cfRule type="expression" dxfId="1564" priority="3892">
      <formula>OR(S773 = FALSE, AND($P$773 = FALSE, ReportType &lt;&gt; "Final"), AND($Q$773 = FALSE, ReportType &lt;&gt; "Rough"))</formula>
    </cfRule>
  </conditionalFormatting>
  <conditionalFormatting sqref="W773">
    <cfRule type="expression" dxfId="1563" priority="3891">
      <formula>OR(T773 = TRUE, AND(W773 = TRUE, S773 = FALSE))</formula>
    </cfRule>
  </conditionalFormatting>
  <conditionalFormatting sqref="X762:X770">
    <cfRule type="expression" dxfId="1562" priority="3890">
      <formula>W763&gt;0</formula>
    </cfRule>
  </conditionalFormatting>
  <conditionalFormatting sqref="X771:X777">
    <cfRule type="expression" dxfId="1561" priority="3889">
      <formula>W773&gt;0</formula>
    </cfRule>
  </conditionalFormatting>
  <conditionalFormatting sqref="W31">
    <cfRule type="expression" dxfId="1560" priority="3852">
      <formula>AND($R$31,$S$31)</formula>
    </cfRule>
  </conditionalFormatting>
  <conditionalFormatting sqref="W31">
    <cfRule type="expression" dxfId="1559" priority="3851">
      <formula>AND(IF($R$31,$W$31,TRUE),LEN(TRIM($W$31))&gt;0)</formula>
    </cfRule>
  </conditionalFormatting>
  <conditionalFormatting sqref="W31">
    <cfRule type="expression" dxfId="1558" priority="3850">
      <formula>OR($S$31 = FALSE, AND($P$31 = FALSE, ReportType &lt;&gt; "Final"), AND($Q$31 = FALSE, ReportType &lt;&gt; "Rough"))</formula>
    </cfRule>
  </conditionalFormatting>
  <conditionalFormatting sqref="W31">
    <cfRule type="expression" dxfId="1557" priority="3849">
      <formula>OR($T$31 = TRUE, AND(LEN(TRIM($W$31))&gt;0, $S$31 = FALSE))</formula>
    </cfRule>
  </conditionalFormatting>
  <conditionalFormatting sqref="W65">
    <cfRule type="expression" dxfId="1556" priority="3808">
      <formula>AND($R$65,$S$65)</formula>
    </cfRule>
  </conditionalFormatting>
  <conditionalFormatting sqref="W65">
    <cfRule type="expression" dxfId="1555" priority="3807">
      <formula>AND(IF($R$65,$W$65,TRUE),LEN(TRIM($W$65))&gt;0)</formula>
    </cfRule>
  </conditionalFormatting>
  <conditionalFormatting sqref="W65">
    <cfRule type="expression" dxfId="1554" priority="3806">
      <formula>OR($S$65 = FALSE, AND($P$65 = FALSE, ReportType &lt;&gt; "Final"), AND($Q$65 = FALSE, ReportType &lt;&gt; "Rough"))</formula>
    </cfRule>
  </conditionalFormatting>
  <conditionalFormatting sqref="W65">
    <cfRule type="expression" dxfId="1553" priority="3805">
      <formula>OR($T$65 = TRUE, AND(LEN(TRIM($W$65))&gt;0, $S$65 = FALSE))</formula>
    </cfRule>
  </conditionalFormatting>
  <conditionalFormatting sqref="W96">
    <cfRule type="expression" dxfId="1552" priority="3764">
      <formula>AND($R$96,$S$96)</formula>
    </cfRule>
  </conditionalFormatting>
  <conditionalFormatting sqref="W96">
    <cfRule type="expression" dxfId="1551" priority="3763">
      <formula>AND(IF($R$96,$W$96,TRUE),LEN(TRIM($W$96))&gt;0)</formula>
    </cfRule>
  </conditionalFormatting>
  <conditionalFormatting sqref="W96">
    <cfRule type="expression" dxfId="1550" priority="3762">
      <formula>OR($S$96 = FALSE, AND($P$96 = FALSE, ReportType &lt;&gt; "Final"), AND($Q$96 = FALSE, ReportType &lt;&gt; "Rough"))</formula>
    </cfRule>
  </conditionalFormatting>
  <conditionalFormatting sqref="W96">
    <cfRule type="expression" dxfId="1549" priority="3761">
      <formula>OR($T$96 = TRUE, AND(LEN(TRIM($W$96))&gt;0, $S$96 = FALSE))</formula>
    </cfRule>
  </conditionalFormatting>
  <conditionalFormatting sqref="W103">
    <cfRule type="expression" dxfId="1548" priority="3760">
      <formula>AND($R$103,$S$103)</formula>
    </cfRule>
  </conditionalFormatting>
  <conditionalFormatting sqref="W103">
    <cfRule type="expression" dxfId="1547" priority="3759">
      <formula>AND(IF($R$103,$W$103,TRUE),LEN(TRIM($W$103))&gt;0)</formula>
    </cfRule>
  </conditionalFormatting>
  <conditionalFormatting sqref="W103">
    <cfRule type="expression" dxfId="1546" priority="3758">
      <formula>OR($S$103 = FALSE, AND($P$103 = FALSE, ReportType &lt;&gt; "Final"), AND($Q$103 = FALSE, ReportType &lt;&gt; "Rough"))</formula>
    </cfRule>
  </conditionalFormatting>
  <conditionalFormatting sqref="W103">
    <cfRule type="expression" dxfId="1545" priority="3757">
      <formula>OR($T$103 = TRUE, AND(LEN(TRIM($W$103))&gt;0, $S$103 = FALSE))</formula>
    </cfRule>
  </conditionalFormatting>
  <conditionalFormatting sqref="W110">
    <cfRule type="expression" dxfId="1544" priority="3756">
      <formula>AND($R$110,$S$110)</formula>
    </cfRule>
  </conditionalFormatting>
  <conditionalFormatting sqref="W110">
    <cfRule type="expression" dxfId="1543" priority="3755">
      <formula>AND(IF($R$110,$W$110,TRUE),LEN(TRIM($W$110))&gt;0)</formula>
    </cfRule>
  </conditionalFormatting>
  <conditionalFormatting sqref="W110">
    <cfRule type="expression" dxfId="1542" priority="3754">
      <formula>OR($S$110 = FALSE, AND($P$110 = FALSE, ReportType &lt;&gt; "Final"), AND($Q$110 = FALSE, ReportType &lt;&gt; "Rough"))</formula>
    </cfRule>
  </conditionalFormatting>
  <conditionalFormatting sqref="W110">
    <cfRule type="expression" dxfId="1541" priority="3753">
      <formula>OR($T$110 = TRUE, AND(LEN(TRIM($W$110))&gt;0, $S$110 = FALSE))</formula>
    </cfRule>
  </conditionalFormatting>
  <conditionalFormatting sqref="W112">
    <cfRule type="expression" dxfId="1540" priority="3752">
      <formula>AND($R$112,$S$112)</formula>
    </cfRule>
  </conditionalFormatting>
  <conditionalFormatting sqref="W112">
    <cfRule type="expression" dxfId="1539" priority="3751">
      <formula>AND(IF($R$112,$W$112,TRUE),LEN(TRIM($W$112))&gt;0)</formula>
    </cfRule>
  </conditionalFormatting>
  <conditionalFormatting sqref="W112">
    <cfRule type="expression" dxfId="1538" priority="3750">
      <formula>OR($S$112 = FALSE, AND($P$112 = FALSE, ReportType &lt;&gt; "Final"), AND($Q$112 = FALSE, ReportType &lt;&gt; "Rough"))</formula>
    </cfRule>
  </conditionalFormatting>
  <conditionalFormatting sqref="W112">
    <cfRule type="expression" dxfId="1537" priority="3749">
      <formula>OR($T$112 = TRUE, AND(LEN(TRIM($W$112))&gt;0, $S$112 = FALSE))</formula>
    </cfRule>
  </conditionalFormatting>
  <conditionalFormatting sqref="W124">
    <cfRule type="expression" dxfId="1536" priority="3748">
      <formula>AND($R$124,$S$124)</formula>
    </cfRule>
  </conditionalFormatting>
  <conditionalFormatting sqref="W124">
    <cfRule type="expression" dxfId="1535" priority="3747">
      <formula>AND(IF($R$124,$W$124,TRUE),LEN(TRIM($W$124))&gt;0)</formula>
    </cfRule>
  </conditionalFormatting>
  <conditionalFormatting sqref="W124">
    <cfRule type="expression" dxfId="1534" priority="3746">
      <formula>OR($S$124 = FALSE, AND($P$124 = FALSE, ReportType &lt;&gt; "Final"), AND($Q$124 = FALSE, ReportType &lt;&gt; "Rough"))</formula>
    </cfRule>
  </conditionalFormatting>
  <conditionalFormatting sqref="W124">
    <cfRule type="expression" dxfId="1533" priority="3745">
      <formula>OR($T$124 = TRUE, AND(LEN(TRIM($W$124))&gt;0, $S$124 = FALSE))</formula>
    </cfRule>
  </conditionalFormatting>
  <conditionalFormatting sqref="W209">
    <cfRule type="expression" dxfId="1532" priority="3592">
      <formula>AND($R$209,$S$209)</formula>
    </cfRule>
  </conditionalFormatting>
  <conditionalFormatting sqref="W209">
    <cfRule type="expression" dxfId="1531" priority="3591">
      <formula>AND(IF($R$209,$W$209,TRUE),LEN(TRIM($W$209))&gt;0)</formula>
    </cfRule>
  </conditionalFormatting>
  <conditionalFormatting sqref="W209">
    <cfRule type="expression" dxfId="1530" priority="3590">
      <formula>OR($S$209 = FALSE, AND($P$209 = FALSE, ReportType &lt;&gt; "Final"), AND($Q$209 = FALSE, ReportType &lt;&gt; "Rough"))</formula>
    </cfRule>
  </conditionalFormatting>
  <conditionalFormatting sqref="W209">
    <cfRule type="expression" dxfId="1529" priority="3589">
      <formula>OR($T$209 = TRUE, AND(LEN(TRIM($W$209))&gt;0, $S$209 = FALSE))</formula>
    </cfRule>
  </conditionalFormatting>
  <conditionalFormatting sqref="W213">
    <cfRule type="expression" dxfId="1528" priority="3588">
      <formula>AND($R$213,$S$213)</formula>
    </cfRule>
  </conditionalFormatting>
  <conditionalFormatting sqref="W213">
    <cfRule type="expression" dxfId="1527" priority="3587">
      <formula>AND(IF($R$213,$W$213,TRUE),LEN(TRIM($W$213))&gt;0)</formula>
    </cfRule>
  </conditionalFormatting>
  <conditionalFormatting sqref="W213">
    <cfRule type="expression" dxfId="1526" priority="3586">
      <formula>OR($S$213 = FALSE, AND($P$213 = FALSE, ReportType &lt;&gt; "Final"), AND($Q$213 = FALSE, ReportType &lt;&gt; "Rough"))</formula>
    </cfRule>
  </conditionalFormatting>
  <conditionalFormatting sqref="W213">
    <cfRule type="expression" dxfId="1525" priority="3585">
      <formula>OR($T$213 = TRUE, AND(LEN(TRIM($W$213))&gt;0, $S$213 = FALSE))</formula>
    </cfRule>
  </conditionalFormatting>
  <conditionalFormatting sqref="W232">
    <cfRule type="expression" dxfId="1524" priority="3568">
      <formula>AND($R$232,$S$232)</formula>
    </cfRule>
  </conditionalFormatting>
  <conditionalFormatting sqref="W232">
    <cfRule type="expression" dxfId="1523" priority="3567">
      <formula>AND(IF($R$232,$W$232,TRUE),LEN(TRIM($W$232))&gt;0)</formula>
    </cfRule>
  </conditionalFormatting>
  <conditionalFormatting sqref="W232">
    <cfRule type="expression" dxfId="1522" priority="3566">
      <formula>OR($S$232 = FALSE, AND($P$232 = FALSE, ReportType &lt;&gt; "Final"), AND($Q$232 = FALSE, ReportType &lt;&gt; "Rough"))</formula>
    </cfRule>
  </conditionalFormatting>
  <conditionalFormatting sqref="W232">
    <cfRule type="expression" dxfId="1521" priority="3565">
      <formula>OR($T$232 = TRUE, AND(LEN(TRIM($W$232))&gt;0, $S$232 = FALSE))</formula>
    </cfRule>
  </conditionalFormatting>
  <conditionalFormatting sqref="W301">
    <cfRule type="expression" dxfId="1520" priority="3496">
      <formula>AND($R$301,$S$301)</formula>
    </cfRule>
  </conditionalFormatting>
  <conditionalFormatting sqref="W301">
    <cfRule type="expression" dxfId="1519" priority="3495">
      <formula>AND(IF($R$301,$W$301,TRUE),LEN(TRIM($W$301))&gt;0)</formula>
    </cfRule>
  </conditionalFormatting>
  <conditionalFormatting sqref="W301">
    <cfRule type="expression" dxfId="1518" priority="3494">
      <formula>OR($S$301 = FALSE, AND($P$301 = FALSE, ReportType &lt;&gt; "Final"), AND($Q$301 = FALSE, ReportType &lt;&gt; "Rough"))</formula>
    </cfRule>
  </conditionalFormatting>
  <conditionalFormatting sqref="W301">
    <cfRule type="expression" dxfId="1517" priority="3493">
      <formula>OR($T$301 = TRUE, AND(LEN(TRIM($W$301))&gt;0, $S$301 = FALSE))</formula>
    </cfRule>
  </conditionalFormatting>
  <conditionalFormatting sqref="W308">
    <cfRule type="expression" dxfId="1516" priority="3492">
      <formula>AND($R$308,$S$308)</formula>
    </cfRule>
  </conditionalFormatting>
  <conditionalFormatting sqref="W308">
    <cfRule type="expression" dxfId="1515" priority="3491">
      <formula>AND(IF($R$308,$W$308,TRUE),LEN(TRIM($W$308))&gt;0)</formula>
    </cfRule>
  </conditionalFormatting>
  <conditionalFormatting sqref="W308">
    <cfRule type="expression" dxfId="1514" priority="3490">
      <formula>OR($S$308 = FALSE, AND($P$308 = FALSE, ReportType &lt;&gt; "Final"), AND($Q$308 = FALSE, ReportType &lt;&gt; "Rough"))</formula>
    </cfRule>
  </conditionalFormatting>
  <conditionalFormatting sqref="W308">
    <cfRule type="expression" dxfId="1513" priority="3489">
      <formula>OR($T$308 = TRUE, AND(LEN(TRIM($W$308))&gt;0, $S$308 = FALSE))</formula>
    </cfRule>
  </conditionalFormatting>
  <conditionalFormatting sqref="W309">
    <cfRule type="expression" dxfId="1512" priority="3488">
      <formula>AND($R$309,$S$309)</formula>
    </cfRule>
  </conditionalFormatting>
  <conditionalFormatting sqref="W309">
    <cfRule type="expression" dxfId="1511" priority="3487">
      <formula>AND(IF($R$309,$W$309,TRUE),LEN(TRIM($W$309))&gt;0)</formula>
    </cfRule>
  </conditionalFormatting>
  <conditionalFormatting sqref="W309">
    <cfRule type="expression" dxfId="1510" priority="3486">
      <formula>OR($S$309 = FALSE, AND($P$309 = FALSE, ReportType &lt;&gt; "Final"), AND($Q$309 = FALSE, ReportType &lt;&gt; "Rough"))</formula>
    </cfRule>
  </conditionalFormatting>
  <conditionalFormatting sqref="W309">
    <cfRule type="expression" dxfId="1509" priority="3485">
      <formula>OR($T$309 = TRUE, AND(LEN(TRIM($W$309))&gt;0, $S$309 = FALSE))</formula>
    </cfRule>
  </conditionalFormatting>
  <conditionalFormatting sqref="W310">
    <cfRule type="expression" dxfId="1508" priority="3484">
      <formula>AND($R$310,$S$310)</formula>
    </cfRule>
  </conditionalFormatting>
  <conditionalFormatting sqref="W310">
    <cfRule type="expression" dxfId="1507" priority="3483">
      <formula>AND(IF($R$310,$W$310,TRUE),LEN(TRIM($W$310))&gt;0)</formula>
    </cfRule>
  </conditionalFormatting>
  <conditionalFormatting sqref="W310">
    <cfRule type="expression" dxfId="1506" priority="3482">
      <formula>OR($S$310 = FALSE, AND($P$310 = FALSE, ReportType &lt;&gt; "Final"), AND($Q$310 = FALSE, ReportType &lt;&gt; "Rough"))</formula>
    </cfRule>
  </conditionalFormatting>
  <conditionalFormatting sqref="W310">
    <cfRule type="expression" dxfId="1505" priority="3481">
      <formula>OR($T$310 = TRUE, AND(LEN(TRIM($W$310))&gt;0, $S$310 = FALSE))</formula>
    </cfRule>
  </conditionalFormatting>
  <conditionalFormatting sqref="W314">
    <cfRule type="expression" dxfId="1504" priority="3480">
      <formula>AND($R$314,$S$314)</formula>
    </cfRule>
  </conditionalFormatting>
  <conditionalFormatting sqref="W314">
    <cfRule type="expression" dxfId="1503" priority="3479">
      <formula>AND(IF($R$314,$W$314,TRUE),LEN(TRIM($W$314))&gt;0)</formula>
    </cfRule>
  </conditionalFormatting>
  <conditionalFormatting sqref="W314">
    <cfRule type="expression" dxfId="1502" priority="3478">
      <formula>OR($S$314 = FALSE, AND($P$314 = FALSE, ReportType &lt;&gt; "Final"), AND($Q$314 = FALSE, ReportType &lt;&gt; "Rough"))</formula>
    </cfRule>
  </conditionalFormatting>
  <conditionalFormatting sqref="W314">
    <cfRule type="expression" dxfId="1501" priority="3477">
      <formula>OR($T$314 = TRUE, AND(LEN(TRIM($W$314))&gt;0, $S$314 = FALSE))</formula>
    </cfRule>
  </conditionalFormatting>
  <conditionalFormatting sqref="W316">
    <cfRule type="expression" dxfId="1500" priority="3476">
      <formula>AND($R$316,$S$316)</formula>
    </cfRule>
  </conditionalFormatting>
  <conditionalFormatting sqref="W316">
    <cfRule type="expression" dxfId="1499" priority="3475">
      <formula>AND(IF($R$316,$W$316,TRUE),LEN(TRIM($W$316))&gt;0)</formula>
    </cfRule>
  </conditionalFormatting>
  <conditionalFormatting sqref="W316">
    <cfRule type="expression" dxfId="1498" priority="3474">
      <formula>OR($S$316 = FALSE, AND($P$316 = FALSE, ReportType &lt;&gt; "Final"), AND($Q$316 = FALSE, ReportType &lt;&gt; "Rough"))</formula>
    </cfRule>
  </conditionalFormatting>
  <conditionalFormatting sqref="W316">
    <cfRule type="expression" dxfId="1497" priority="3473">
      <formula>OR($T$316 = TRUE, AND(LEN(TRIM($W$316))&gt;0, $S$316 = FALSE))</formula>
    </cfRule>
  </conditionalFormatting>
  <conditionalFormatting sqref="W376">
    <cfRule type="expression" dxfId="1496" priority="3424">
      <formula>AND($R$376,$S$376)</formula>
    </cfRule>
  </conditionalFormatting>
  <conditionalFormatting sqref="W376">
    <cfRule type="expression" dxfId="1495" priority="3423">
      <formula>AND(IF($R$376,$W$376,TRUE),LEN(TRIM($W$376))&gt;0)</formula>
    </cfRule>
  </conditionalFormatting>
  <conditionalFormatting sqref="W376">
    <cfRule type="expression" dxfId="1494" priority="3422">
      <formula>OR($S$376 = FALSE, AND($P$376 = FALSE, ReportType &lt;&gt; "Final"), AND($Q$376 = FALSE, ReportType &lt;&gt; "Rough"))</formula>
    </cfRule>
  </conditionalFormatting>
  <conditionalFormatting sqref="W376">
    <cfRule type="expression" dxfId="1493" priority="3421">
      <formula>OR($T$376 = TRUE, AND(LEN(TRIM($W$376))&gt;0, $S$376 = FALSE))</formula>
    </cfRule>
  </conditionalFormatting>
  <conditionalFormatting sqref="W443">
    <cfRule type="expression" dxfId="1492" priority="3360">
      <formula>AND($R$443,$S$443)</formula>
    </cfRule>
  </conditionalFormatting>
  <conditionalFormatting sqref="W443">
    <cfRule type="expression" dxfId="1491" priority="3359">
      <formula>AND(IF($R$443,$W$443,TRUE),LEN(TRIM($W$443))&gt;0)</formula>
    </cfRule>
  </conditionalFormatting>
  <conditionalFormatting sqref="W443">
    <cfRule type="expression" dxfId="1490" priority="3358">
      <formula>OR($S$443 = FALSE, AND($P$443 = FALSE, ReportType &lt;&gt; "Final"), AND($Q$443 = FALSE, ReportType &lt;&gt; "Rough"))</formula>
    </cfRule>
  </conditionalFormatting>
  <conditionalFormatting sqref="W443">
    <cfRule type="expression" dxfId="1489" priority="3357">
      <formula>OR($T$443 = TRUE, AND(LEN(TRIM($W$443))&gt;0, $S$443 = FALSE))</formula>
    </cfRule>
  </conditionalFormatting>
  <conditionalFormatting sqref="W453">
    <cfRule type="expression" dxfId="1488" priority="3348">
      <formula>AND($R$453,$S$453)</formula>
    </cfRule>
  </conditionalFormatting>
  <conditionalFormatting sqref="W453">
    <cfRule type="expression" dxfId="1487" priority="3347">
      <formula>AND(IF($R$453,$W$453,TRUE),LEN(TRIM($W$453))&gt;0)</formula>
    </cfRule>
  </conditionalFormatting>
  <conditionalFormatting sqref="W453">
    <cfRule type="expression" dxfId="1486" priority="3346">
      <formula>OR($S$453 = FALSE, AND($P$453 = FALSE, ReportType &lt;&gt; "Final"), AND($Q$453 = FALSE, ReportType &lt;&gt; "Rough"))</formula>
    </cfRule>
  </conditionalFormatting>
  <conditionalFormatting sqref="W453">
    <cfRule type="expression" dxfId="1485" priority="3345">
      <formula>OR($T$453 = TRUE, AND(LEN(TRIM($W$453))&gt;0, $S$453 = FALSE))</formula>
    </cfRule>
  </conditionalFormatting>
  <conditionalFormatting sqref="W579">
    <cfRule type="expression" dxfId="1484" priority="3240">
      <formula>AND($R$579,$S$579)</formula>
    </cfRule>
  </conditionalFormatting>
  <conditionalFormatting sqref="W579">
    <cfRule type="expression" dxfId="1483" priority="3239">
      <formula>AND(IF($R$579,$W$579,TRUE),LEN(TRIM($W$579))&gt;0)</formula>
    </cfRule>
  </conditionalFormatting>
  <conditionalFormatting sqref="W579">
    <cfRule type="expression" dxfId="1482" priority="3238">
      <formula>OR($S$579 = FALSE, AND($P$579 = FALSE, ReportType &lt;&gt; "Final"), AND($Q$579 = FALSE, ReportType &lt;&gt; "Rough"))</formula>
    </cfRule>
  </conditionalFormatting>
  <conditionalFormatting sqref="W579">
    <cfRule type="expression" dxfId="1481" priority="3237">
      <formula>OR($T$579 = TRUE, AND(LEN(TRIM($W$579))&gt;0, $S$579 = FALSE))</formula>
    </cfRule>
  </conditionalFormatting>
  <conditionalFormatting sqref="W580">
    <cfRule type="expression" dxfId="1480" priority="3236">
      <formula>AND($R$580,$S$580)</formula>
    </cfRule>
  </conditionalFormatting>
  <conditionalFormatting sqref="W580">
    <cfRule type="expression" dxfId="1479" priority="3235">
      <formula>AND(IF($R$580,$W$580,TRUE),LEN(TRIM($W$580))&gt;0)</formula>
    </cfRule>
  </conditionalFormatting>
  <conditionalFormatting sqref="W580">
    <cfRule type="expression" dxfId="1478" priority="3234">
      <formula>OR($S$580 = FALSE, AND($P$580 = FALSE, ReportType &lt;&gt; "Final"), AND($Q$580 = FALSE, ReportType &lt;&gt; "Rough"))</formula>
    </cfRule>
  </conditionalFormatting>
  <conditionalFormatting sqref="W580">
    <cfRule type="expression" dxfId="1477" priority="3233">
      <formula>OR($T$580 = TRUE, AND(LEN(TRIM($W$580))&gt;0, $S$580 = FALSE))</formula>
    </cfRule>
  </conditionalFormatting>
  <conditionalFormatting sqref="W581">
    <cfRule type="expression" dxfId="1476" priority="3232">
      <formula>AND($R$581,$S$581)</formula>
    </cfRule>
  </conditionalFormatting>
  <conditionalFormatting sqref="W581">
    <cfRule type="expression" dxfId="1475" priority="3231">
      <formula>AND(IF($R$581,$W$581,TRUE),LEN(TRIM($W$581))&gt;0)</formula>
    </cfRule>
  </conditionalFormatting>
  <conditionalFormatting sqref="W581">
    <cfRule type="expression" dxfId="1474" priority="3230">
      <formula>OR($S$581 = FALSE, AND($P$581 = FALSE, ReportType &lt;&gt; "Final"), AND($Q$581 = FALSE, ReportType &lt;&gt; "Rough"))</formula>
    </cfRule>
  </conditionalFormatting>
  <conditionalFormatting sqref="W581">
    <cfRule type="expression" dxfId="1473" priority="3229">
      <formula>OR($T$581 = TRUE, AND(LEN(TRIM($W$581))&gt;0, $S$581 = FALSE))</formula>
    </cfRule>
  </conditionalFormatting>
  <conditionalFormatting sqref="W582">
    <cfRule type="expression" dxfId="1472" priority="3228">
      <formula>AND($R$582,$S$582)</formula>
    </cfRule>
  </conditionalFormatting>
  <conditionalFormatting sqref="W582">
    <cfRule type="expression" dxfId="1471" priority="3227">
      <formula>AND(IF($R$582,$W$582,TRUE),LEN(TRIM($W$582))&gt;0)</formula>
    </cfRule>
  </conditionalFormatting>
  <conditionalFormatting sqref="W582">
    <cfRule type="expression" dxfId="1470" priority="3226">
      <formula>OR($S$582 = FALSE, AND($P$582 = FALSE, ReportType &lt;&gt; "Final"), AND($Q$582 = FALSE, ReportType &lt;&gt; "Rough"))</formula>
    </cfRule>
  </conditionalFormatting>
  <conditionalFormatting sqref="W582">
    <cfRule type="expression" dxfId="1469" priority="3225">
      <formula>OR($T$582 = TRUE, AND(LEN(TRIM($W$582))&gt;0, $S$582 = FALSE))</formula>
    </cfRule>
  </conditionalFormatting>
  <conditionalFormatting sqref="W583">
    <cfRule type="expression" dxfId="1468" priority="3224">
      <formula>AND($R$583,$S$583)</formula>
    </cfRule>
  </conditionalFormatting>
  <conditionalFormatting sqref="W583">
    <cfRule type="expression" dxfId="1467" priority="3223">
      <formula>AND(IF($R$583,$W$583,TRUE),LEN(TRIM($W$583))&gt;0)</formula>
    </cfRule>
  </conditionalFormatting>
  <conditionalFormatting sqref="W583">
    <cfRule type="expression" dxfId="1466" priority="3222">
      <formula>OR($S$583 = FALSE, AND($P$583 = FALSE, ReportType &lt;&gt; "Final"), AND($Q$583 = FALSE, ReportType &lt;&gt; "Rough"))</formula>
    </cfRule>
  </conditionalFormatting>
  <conditionalFormatting sqref="W583">
    <cfRule type="expression" dxfId="1465" priority="3221">
      <formula>OR($T$583 = TRUE, AND(LEN(TRIM($W$583))&gt;0, $S$583 = FALSE))</formula>
    </cfRule>
  </conditionalFormatting>
  <conditionalFormatting sqref="W584">
    <cfRule type="expression" dxfId="1464" priority="3220">
      <formula>AND($R$584,$S$584)</formula>
    </cfRule>
  </conditionalFormatting>
  <conditionalFormatting sqref="W584">
    <cfRule type="expression" dxfId="1463" priority="3219">
      <formula>AND(IF($R$584,$W$584,TRUE),LEN(TRIM($W$584))&gt;0)</formula>
    </cfRule>
  </conditionalFormatting>
  <conditionalFormatting sqref="W584">
    <cfRule type="expression" dxfId="1462" priority="3218">
      <formula>OR($S$584 = FALSE, AND($P$584 = FALSE, ReportType &lt;&gt; "Final"), AND($Q$584 = FALSE, ReportType &lt;&gt; "Rough"))</formula>
    </cfRule>
  </conditionalFormatting>
  <conditionalFormatting sqref="W584">
    <cfRule type="expression" dxfId="1461" priority="3217">
      <formula>OR($T$584 = TRUE, AND(LEN(TRIM($W$584))&gt;0, $S$584 = FALSE))</formula>
    </cfRule>
  </conditionalFormatting>
  <conditionalFormatting sqref="W585">
    <cfRule type="expression" dxfId="1460" priority="3216">
      <formula>AND($R$585,$S$585)</formula>
    </cfRule>
  </conditionalFormatting>
  <conditionalFormatting sqref="W585">
    <cfRule type="expression" dxfId="1459" priority="3215">
      <formula>AND(IF($R$585,$W$585,TRUE),LEN(TRIM($W$585))&gt;0)</formula>
    </cfRule>
  </conditionalFormatting>
  <conditionalFormatting sqref="W585">
    <cfRule type="expression" dxfId="1458" priority="3214">
      <formula>OR($S$585 = FALSE, AND($P$585 = FALSE, ReportType &lt;&gt; "Final"), AND($Q$585 = FALSE, ReportType &lt;&gt; "Rough"))</formula>
    </cfRule>
  </conditionalFormatting>
  <conditionalFormatting sqref="W585">
    <cfRule type="expression" dxfId="1457" priority="3213">
      <formula>OR($T$585 = TRUE, AND(LEN(TRIM($W$585))&gt;0, $S$585 = FALSE))</formula>
    </cfRule>
  </conditionalFormatting>
  <conditionalFormatting sqref="W586">
    <cfRule type="expression" dxfId="1456" priority="3212">
      <formula>AND($R$586,$S$586)</formula>
    </cfRule>
  </conditionalFormatting>
  <conditionalFormatting sqref="W586">
    <cfRule type="expression" dxfId="1455" priority="3211">
      <formula>AND(IF($R$586,$W$586,TRUE),LEN(TRIM($W$586))&gt;0)</formula>
    </cfRule>
  </conditionalFormatting>
  <conditionalFormatting sqref="W586">
    <cfRule type="expression" dxfId="1454" priority="3210">
      <formula>OR($S$586 = FALSE, AND($P$586 = FALSE, ReportType &lt;&gt; "Final"), AND($Q$586 = FALSE, ReportType &lt;&gt; "Rough"))</formula>
    </cfRule>
  </conditionalFormatting>
  <conditionalFormatting sqref="W586">
    <cfRule type="expression" dxfId="1453" priority="3209">
      <formula>OR($T$586 = TRUE, AND(LEN(TRIM($W$586))&gt;0, $S$586 = FALSE))</formula>
    </cfRule>
  </conditionalFormatting>
  <conditionalFormatting sqref="W606">
    <cfRule type="expression" dxfId="1452" priority="3208">
      <formula>AND($R$606,$S$606)</formula>
    </cfRule>
  </conditionalFormatting>
  <conditionalFormatting sqref="W606">
    <cfRule type="expression" dxfId="1451" priority="3207">
      <formula>AND(IF($R$606,$W$606,TRUE),LEN(TRIM($W$606))&gt;0)</formula>
    </cfRule>
  </conditionalFormatting>
  <conditionalFormatting sqref="W606">
    <cfRule type="expression" dxfId="1450" priority="3206">
      <formula>OR($S$606 = FALSE, AND($P$606 = FALSE, ReportType &lt;&gt; "Final"), AND($Q$606 = FALSE, ReportType &lt;&gt; "Rough"))</formula>
    </cfRule>
  </conditionalFormatting>
  <conditionalFormatting sqref="W606">
    <cfRule type="expression" dxfId="1449" priority="3205">
      <formula>OR($T$606 = TRUE, AND(LEN(TRIM($W$606))&gt;0, $S$606 = FALSE))</formula>
    </cfRule>
  </conditionalFormatting>
  <conditionalFormatting sqref="W607">
    <cfRule type="expression" dxfId="1448" priority="3204">
      <formula>AND($R$607,$S$607)</formula>
    </cfRule>
  </conditionalFormatting>
  <conditionalFormatting sqref="W607">
    <cfRule type="expression" dxfId="1447" priority="3203">
      <formula>AND(IF($R$607,$W$607,TRUE),LEN(TRIM($W$607))&gt;0)</formula>
    </cfRule>
  </conditionalFormatting>
  <conditionalFormatting sqref="W607">
    <cfRule type="expression" dxfId="1446" priority="3202">
      <formula>OR($S$607 = FALSE, AND($P$607 = FALSE, ReportType &lt;&gt; "Final"), AND($Q$607 = FALSE, ReportType &lt;&gt; "Rough"))</formula>
    </cfRule>
  </conditionalFormatting>
  <conditionalFormatting sqref="W607">
    <cfRule type="expression" dxfId="1445" priority="3201">
      <formula>OR($T$607 = TRUE, AND(LEN(TRIM($W$607))&gt;0, $S$607 = FALSE))</formula>
    </cfRule>
  </conditionalFormatting>
  <conditionalFormatting sqref="W609">
    <cfRule type="expression" dxfId="1444" priority="3200">
      <formula>AND($R$609,$S$609)</formula>
    </cfRule>
  </conditionalFormatting>
  <conditionalFormatting sqref="W609">
    <cfRule type="expression" dxfId="1443" priority="3199">
      <formula>AND(IF($R$609,$W$609,TRUE),LEN(TRIM($W$609))&gt;0)</formula>
    </cfRule>
  </conditionalFormatting>
  <conditionalFormatting sqref="W609">
    <cfRule type="expression" dxfId="1442" priority="3198">
      <formula>OR($S$609 = FALSE, AND($P$609 = FALSE, ReportType &lt;&gt; "Final"), AND($Q$609 = FALSE, ReportType &lt;&gt; "Rough"))</formula>
    </cfRule>
  </conditionalFormatting>
  <conditionalFormatting sqref="W609">
    <cfRule type="expression" dxfId="1441" priority="3197">
      <formula>OR($T$609 = TRUE, AND(LEN(TRIM($W$609))&gt;0, $S$609 = FALSE))</formula>
    </cfRule>
  </conditionalFormatting>
  <conditionalFormatting sqref="W610">
    <cfRule type="expression" dxfId="1440" priority="3196">
      <formula>AND($R$610,$S$610)</formula>
    </cfRule>
  </conditionalFormatting>
  <conditionalFormatting sqref="W610">
    <cfRule type="expression" dxfId="1439" priority="3195">
      <formula>AND(IF($R$610,$W$610,TRUE),LEN(TRIM($W$610))&gt;0)</formula>
    </cfRule>
  </conditionalFormatting>
  <conditionalFormatting sqref="W610">
    <cfRule type="expression" dxfId="1438" priority="3194">
      <formula>OR($S$610 = FALSE, AND($P$610 = FALSE, ReportType &lt;&gt; "Final"), AND($Q$610 = FALSE, ReportType &lt;&gt; "Rough"))</formula>
    </cfRule>
  </conditionalFormatting>
  <conditionalFormatting sqref="W610">
    <cfRule type="expression" dxfId="1437" priority="3193">
      <formula>OR($T$610 = TRUE, AND(LEN(TRIM($W$610))&gt;0, $S$610 = FALSE))</formula>
    </cfRule>
  </conditionalFormatting>
  <conditionalFormatting sqref="W612">
    <cfRule type="expression" dxfId="1436" priority="3192">
      <formula>AND($R$612,$S$612)</formula>
    </cfRule>
  </conditionalFormatting>
  <conditionalFormatting sqref="W612">
    <cfRule type="expression" dxfId="1435" priority="3191">
      <formula>AND(IF($R$612,$W$612,TRUE),LEN(TRIM($W$612))&gt;0)</formula>
    </cfRule>
  </conditionalFormatting>
  <conditionalFormatting sqref="W612">
    <cfRule type="expression" dxfId="1434" priority="3190">
      <formula>OR($S$612 = FALSE, AND($P$612 = FALSE, ReportType &lt;&gt; "Final"), AND($Q$612 = FALSE, ReportType &lt;&gt; "Rough"))</formula>
    </cfRule>
  </conditionalFormatting>
  <conditionalFormatting sqref="W612">
    <cfRule type="expression" dxfId="1433" priority="3189">
      <formula>OR($T$612 = TRUE, AND(LEN(TRIM($W$612))&gt;0, $S$612 = FALSE))</formula>
    </cfRule>
  </conditionalFormatting>
  <conditionalFormatting sqref="W627">
    <cfRule type="expression" dxfId="1432" priority="3176">
      <formula>AND($R$627,$S$627)</formula>
    </cfRule>
  </conditionalFormatting>
  <conditionalFormatting sqref="W627">
    <cfRule type="expression" dxfId="1431" priority="3175">
      <formula>AND(IF($R$627,$W$627,TRUE),LEN(TRIM($W$627))&gt;0)</formula>
    </cfRule>
  </conditionalFormatting>
  <conditionalFormatting sqref="W627">
    <cfRule type="expression" dxfId="1430" priority="3174">
      <formula>OR($S$627 = FALSE, AND($P$627 = FALSE, ReportType &lt;&gt; "Final"), AND($Q$627 = FALSE, ReportType &lt;&gt; "Rough"))</formula>
    </cfRule>
  </conditionalFormatting>
  <conditionalFormatting sqref="W627">
    <cfRule type="expression" dxfId="1429" priority="3173">
      <formula>OR($T$627 = TRUE, AND(LEN(TRIM($W$627))&gt;0, $S$627 = FALSE))</formula>
    </cfRule>
  </conditionalFormatting>
  <conditionalFormatting sqref="W637">
    <cfRule type="expression" dxfId="1428" priority="3172">
      <formula>AND($R$637,$S$637)</formula>
    </cfRule>
  </conditionalFormatting>
  <conditionalFormatting sqref="W637">
    <cfRule type="expression" dxfId="1427" priority="3171">
      <formula>AND(IF($R$637,$W$637,TRUE),LEN(TRIM($W$637))&gt;0)</formula>
    </cfRule>
  </conditionalFormatting>
  <conditionalFormatting sqref="W637">
    <cfRule type="expression" dxfId="1426" priority="3170">
      <formula>OR($S$637 = FALSE, AND($P$637 = FALSE, ReportType &lt;&gt; "Final"), AND($Q$637 = FALSE, ReportType &lt;&gt; "Rough"))</formula>
    </cfRule>
  </conditionalFormatting>
  <conditionalFormatting sqref="W637">
    <cfRule type="expression" dxfId="1425" priority="3169">
      <formula>OR($T$637 = TRUE, AND(LEN(TRIM($W$637))&gt;0, $S$637 = FALSE))</formula>
    </cfRule>
  </conditionalFormatting>
  <conditionalFormatting sqref="W640">
    <cfRule type="expression" dxfId="1424" priority="3168">
      <formula>AND($R$640,$S$640)</formula>
    </cfRule>
  </conditionalFormatting>
  <conditionalFormatting sqref="W640">
    <cfRule type="expression" dxfId="1423" priority="3167">
      <formula>AND(IF($R$640,$W$640,TRUE),LEN(TRIM($W$640))&gt;0)</formula>
    </cfRule>
  </conditionalFormatting>
  <conditionalFormatting sqref="W640">
    <cfRule type="expression" dxfId="1422" priority="3166">
      <formula>OR($S$640 = FALSE, AND($P$640 = FALSE, ReportType &lt;&gt; "Final"), AND($Q$640 = FALSE, ReportType &lt;&gt; "Rough"))</formula>
    </cfRule>
  </conditionalFormatting>
  <conditionalFormatting sqref="W640">
    <cfRule type="expression" dxfId="1421" priority="3165">
      <formula>OR($T$640 = TRUE, AND(LEN(TRIM($W$640))&gt;0, $S$640 = FALSE))</formula>
    </cfRule>
  </conditionalFormatting>
  <conditionalFormatting sqref="W676">
    <cfRule type="expression" dxfId="1420" priority="3152">
      <formula>AND($R$676,$S$676)</formula>
    </cfRule>
  </conditionalFormatting>
  <conditionalFormatting sqref="W676">
    <cfRule type="expression" dxfId="1419" priority="3151">
      <formula>AND(IF($R$676,$W$676,TRUE),LEN(TRIM($W$676))&gt;0)</formula>
    </cfRule>
  </conditionalFormatting>
  <conditionalFormatting sqref="W676">
    <cfRule type="expression" dxfId="1418" priority="3150">
      <formula>OR($S$676 = FALSE, AND($P$676 = FALSE, ReportType &lt;&gt; "Final"), AND($Q$676 = FALSE, ReportType &lt;&gt; "Rough"))</formula>
    </cfRule>
  </conditionalFormatting>
  <conditionalFormatting sqref="W676">
    <cfRule type="expression" dxfId="1417" priority="3149">
      <formula>OR($T$676 = TRUE, AND(LEN(TRIM($W$676))&gt;0, $S$676 = FALSE))</formula>
    </cfRule>
  </conditionalFormatting>
  <conditionalFormatting sqref="W683">
    <cfRule type="expression" dxfId="1416" priority="3148">
      <formula>AND($R$683,$S$683)</formula>
    </cfRule>
  </conditionalFormatting>
  <conditionalFormatting sqref="W683">
    <cfRule type="expression" dxfId="1415" priority="3147">
      <formula>AND(IF($R$683,$W$683,TRUE),LEN(TRIM($W$683))&gt;0)</formula>
    </cfRule>
  </conditionalFormatting>
  <conditionalFormatting sqref="W683">
    <cfRule type="expression" dxfId="1414" priority="3146">
      <formula>OR($S$683 = FALSE, AND($P$683 = FALSE, ReportType &lt;&gt; "Final"), AND($Q$683 = FALSE, ReportType &lt;&gt; "Rough"))</formula>
    </cfRule>
  </conditionalFormatting>
  <conditionalFormatting sqref="W683">
    <cfRule type="expression" dxfId="1413" priority="3145">
      <formula>OR($T$683 = TRUE, AND(LEN(TRIM($W$683))&gt;0, $S$683 = FALSE))</formula>
    </cfRule>
  </conditionalFormatting>
  <conditionalFormatting sqref="W689">
    <cfRule type="expression" dxfId="1412" priority="3144">
      <formula>AND($R$689,$S$689)</formula>
    </cfRule>
  </conditionalFormatting>
  <conditionalFormatting sqref="W689">
    <cfRule type="expression" dxfId="1411" priority="3143">
      <formula>AND(IF($R$689,$W$689,TRUE),LEN(TRIM($W$689))&gt;0)</formula>
    </cfRule>
  </conditionalFormatting>
  <conditionalFormatting sqref="W689">
    <cfRule type="expression" dxfId="1410" priority="3142">
      <formula>OR($S$689 = FALSE, AND($P$689 = FALSE, ReportType &lt;&gt; "Final"), AND($Q$689 = FALSE, ReportType &lt;&gt; "Rough"))</formula>
    </cfRule>
  </conditionalFormatting>
  <conditionalFormatting sqref="W689">
    <cfRule type="expression" dxfId="1409" priority="3141">
      <formula>OR($T$689 = TRUE, AND(LEN(TRIM($W$689))&gt;0, $S$689 = FALSE))</formula>
    </cfRule>
  </conditionalFormatting>
  <conditionalFormatting sqref="W695">
    <cfRule type="expression" dxfId="1408" priority="3140">
      <formula>AND($R$695,$S$695)</formula>
    </cfRule>
  </conditionalFormatting>
  <conditionalFormatting sqref="W695">
    <cfRule type="expression" dxfId="1407" priority="3139">
      <formula>AND(IF($R$695,$W$695,TRUE),LEN(TRIM($W$695))&gt;0)</formula>
    </cfRule>
  </conditionalFormatting>
  <conditionalFormatting sqref="W695">
    <cfRule type="expression" dxfId="1406" priority="3138">
      <formula>OR($S$695 = FALSE, AND($P$695 = FALSE, ReportType &lt;&gt; "Final"), AND($Q$695 = FALSE, ReportType &lt;&gt; "Rough"))</formula>
    </cfRule>
  </conditionalFormatting>
  <conditionalFormatting sqref="W695">
    <cfRule type="expression" dxfId="1405" priority="3137">
      <formula>OR($T$695 = TRUE, AND(LEN(TRIM($W$695))&gt;0, $S$695 = FALSE))</formula>
    </cfRule>
  </conditionalFormatting>
  <conditionalFormatting sqref="W701">
    <cfRule type="expression" dxfId="1404" priority="3136">
      <formula>AND($R$701,$S$701)</formula>
    </cfRule>
  </conditionalFormatting>
  <conditionalFormatting sqref="W701">
    <cfRule type="expression" dxfId="1403" priority="3135">
      <formula>AND(IF($R$701,$W$701,TRUE),LEN(TRIM($W$701))&gt;0)</formula>
    </cfRule>
  </conditionalFormatting>
  <conditionalFormatting sqref="W701">
    <cfRule type="expression" dxfId="1402" priority="3134">
      <formula>OR($S$701 = FALSE, AND($P$701 = FALSE, ReportType &lt;&gt; "Final"), AND($Q$701 = FALSE, ReportType &lt;&gt; "Rough"))</formula>
    </cfRule>
  </conditionalFormatting>
  <conditionalFormatting sqref="W701">
    <cfRule type="expression" dxfId="1401" priority="3133">
      <formula>OR($T$701 = TRUE, AND(LEN(TRIM($W$701))&gt;0, $S$701 = FALSE))</formula>
    </cfRule>
  </conditionalFormatting>
  <conditionalFormatting sqref="W707">
    <cfRule type="expression" dxfId="1400" priority="3132">
      <formula>AND($R$707,$S$707)</formula>
    </cfRule>
  </conditionalFormatting>
  <conditionalFormatting sqref="W707">
    <cfRule type="expression" dxfId="1399" priority="3131">
      <formula>AND(IF($R$707,$W$707,TRUE),LEN(TRIM($W$707))&gt;0)</formula>
    </cfRule>
  </conditionalFormatting>
  <conditionalFormatting sqref="W707">
    <cfRule type="expression" dxfId="1398" priority="3130">
      <formula>OR($S$707 = FALSE, AND($P$707 = FALSE, ReportType &lt;&gt; "Final"), AND($Q$707 = FALSE, ReportType &lt;&gt; "Rough"))</formula>
    </cfRule>
  </conditionalFormatting>
  <conditionalFormatting sqref="W707">
    <cfRule type="expression" dxfId="1397" priority="3129">
      <formula>OR($T$707 = TRUE, AND(LEN(TRIM($W$707))&gt;0, $S$707 = FALSE))</formula>
    </cfRule>
  </conditionalFormatting>
  <conditionalFormatting sqref="W713">
    <cfRule type="expression" dxfId="1396" priority="3128">
      <formula>AND($R$713,$S$713)</formula>
    </cfRule>
  </conditionalFormatting>
  <conditionalFormatting sqref="W713">
    <cfRule type="expression" dxfId="1395" priority="3127">
      <formula>AND(IF($R$713,$W$713,TRUE),LEN(TRIM($W$713))&gt;0)</formula>
    </cfRule>
  </conditionalFormatting>
  <conditionalFormatting sqref="W713">
    <cfRule type="expression" dxfId="1394" priority="3126">
      <formula>OR($S$713 = FALSE, AND($P$713 = FALSE, ReportType &lt;&gt; "Final"), AND($Q$713 = FALSE, ReportType &lt;&gt; "Rough"))</formula>
    </cfRule>
  </conditionalFormatting>
  <conditionalFormatting sqref="W713">
    <cfRule type="expression" dxfId="1393" priority="3125">
      <formula>OR($T$713 = TRUE, AND(LEN(TRIM($W$713))&gt;0, $S$713 = FALSE))</formula>
    </cfRule>
  </conditionalFormatting>
  <conditionalFormatting sqref="W362">
    <cfRule type="expression" dxfId="1392" priority="3060">
      <formula>AND($R$362,$S$362)</formula>
    </cfRule>
  </conditionalFormatting>
  <conditionalFormatting sqref="W362">
    <cfRule type="expression" dxfId="1391" priority="3059">
      <formula>AND($W$362&lt;&gt;"Not Met",LEN(TRIM($W$362))&gt;0)</formula>
    </cfRule>
  </conditionalFormatting>
  <conditionalFormatting sqref="W362">
    <cfRule type="expression" dxfId="1390" priority="3058">
      <formula>OR($S$362 = FALSE, AND($P$362 = FALSE, ReportType &lt;&gt; "Final"), AND($Q$362 = FALSE, ReportType &lt;&gt; "Rough"))</formula>
    </cfRule>
  </conditionalFormatting>
  <conditionalFormatting sqref="W362">
    <cfRule type="expression" dxfId="1389" priority="3057">
      <formula>OR($T$362 = TRUE, AND(LEN(TRIM($W$362))&gt;0, $S$362 = FALSE))</formula>
    </cfRule>
  </conditionalFormatting>
  <conditionalFormatting sqref="W371">
    <cfRule type="expression" dxfId="1388" priority="3056">
      <formula>AND($R$371,$S$371)</formula>
    </cfRule>
  </conditionalFormatting>
  <conditionalFormatting sqref="W371">
    <cfRule type="expression" dxfId="1387" priority="3055">
      <formula>AND($W$371&lt;&gt;"Not Met",LEN(TRIM($W$371))&gt;0)</formula>
    </cfRule>
  </conditionalFormatting>
  <conditionalFormatting sqref="W371">
    <cfRule type="expression" dxfId="1386" priority="3054">
      <formula>OR($S$371 = FALSE, AND($P$371 = FALSE, ReportType &lt;&gt; "Final"), AND($Q$371 = FALSE, ReportType &lt;&gt; "Rough"))</formula>
    </cfRule>
  </conditionalFormatting>
  <conditionalFormatting sqref="W371">
    <cfRule type="expression" dxfId="1385" priority="3053">
      <formula>OR($T$371 = TRUE, AND(LEN(TRIM($W$371))&gt;0, $S$371 = FALSE))</formula>
    </cfRule>
  </conditionalFormatting>
  <conditionalFormatting sqref="W400">
    <cfRule type="expression" dxfId="1384" priority="3052">
      <formula>AND($R$400,$S$400)</formula>
    </cfRule>
  </conditionalFormatting>
  <conditionalFormatting sqref="W400">
    <cfRule type="expression" dxfId="1383" priority="3051">
      <formula>AND($W$400&lt;&gt;"Not Met",LEN(TRIM($W$400))&gt;0)</formula>
    </cfRule>
  </conditionalFormatting>
  <conditionalFormatting sqref="W400">
    <cfRule type="expression" dxfId="1382" priority="3050">
      <formula>OR($S$400 = FALSE, AND($P$400 = FALSE, ReportType &lt;&gt; "Final"), AND($Q$400 = FALSE, ReportType &lt;&gt; "Rough"))</formula>
    </cfRule>
  </conditionalFormatting>
  <conditionalFormatting sqref="W400">
    <cfRule type="expression" dxfId="1381" priority="3049">
      <formula>OR($T$400 = TRUE, AND(LEN(TRIM($W$400))&gt;0, $S$400 = FALSE))</formula>
    </cfRule>
  </conditionalFormatting>
  <conditionalFormatting sqref="W411">
    <cfRule type="expression" dxfId="1380" priority="3048">
      <formula>AND($R$411,$S$411)</formula>
    </cfRule>
  </conditionalFormatting>
  <conditionalFormatting sqref="W411">
    <cfRule type="expression" dxfId="1379" priority="3047">
      <formula>AND($W$411&lt;&gt;"Not Met",LEN(TRIM($W$411))&gt;0)</formula>
    </cfRule>
  </conditionalFormatting>
  <conditionalFormatting sqref="W411">
    <cfRule type="expression" dxfId="1378" priority="3046">
      <formula>OR($S$411 = FALSE, AND($P$411 = FALSE, ReportType &lt;&gt; "Final"), AND($Q$411 = FALSE, ReportType &lt;&gt; "Rough"))</formula>
    </cfRule>
  </conditionalFormatting>
  <conditionalFormatting sqref="W411">
    <cfRule type="expression" dxfId="1377" priority="3045">
      <formula>OR($T$411 = TRUE, AND(LEN(TRIM($W$411))&gt;0, $S$411 = FALSE))</formula>
    </cfRule>
  </conditionalFormatting>
  <conditionalFormatting sqref="W465">
    <cfRule type="expression" dxfId="1376" priority="3044">
      <formula>AND($R$465,$S$465)</formula>
    </cfRule>
  </conditionalFormatting>
  <conditionalFormatting sqref="W465">
    <cfRule type="expression" dxfId="1375" priority="3043">
      <formula>AND($W$465&lt;&gt;"Not Met",LEN(TRIM($W$465))&gt;0)</formula>
    </cfRule>
  </conditionalFormatting>
  <conditionalFormatting sqref="W465">
    <cfRule type="expression" dxfId="1374" priority="3042">
      <formula>OR($S$465 = FALSE, AND($P$465 = FALSE, ReportType &lt;&gt; "Final"), AND($Q$465 = FALSE, ReportType &lt;&gt; "Rough"))</formula>
    </cfRule>
  </conditionalFormatting>
  <conditionalFormatting sqref="W465">
    <cfRule type="expression" dxfId="1373" priority="3041">
      <formula>OR($T$465 = TRUE, AND(LEN(TRIM($W$465))&gt;0, $S$465 = FALSE))</formula>
    </cfRule>
  </conditionalFormatting>
  <conditionalFormatting sqref="W472">
    <cfRule type="expression" dxfId="1372" priority="3040">
      <formula>AND($R$472,$S$472)</formula>
    </cfRule>
  </conditionalFormatting>
  <conditionalFormatting sqref="W472">
    <cfRule type="expression" dxfId="1371" priority="3039">
      <formula>AND($W$472&lt;&gt;"Not Met",LEN(TRIM($W$472))&gt;0)</formula>
    </cfRule>
  </conditionalFormatting>
  <conditionalFormatting sqref="W472">
    <cfRule type="expression" dxfId="1370" priority="3038">
      <formula>OR($S$472 = FALSE, AND($P$472 = FALSE, ReportType &lt;&gt; "Final"), AND($Q$472 = FALSE, ReportType &lt;&gt; "Rough"))</formula>
    </cfRule>
  </conditionalFormatting>
  <conditionalFormatting sqref="W472">
    <cfRule type="expression" dxfId="1369" priority="3037">
      <formula>OR($T$472 = TRUE, AND(LEN(TRIM($W$472))&gt;0, $S$472 = FALSE))</formula>
    </cfRule>
  </conditionalFormatting>
  <conditionalFormatting sqref="W478">
    <cfRule type="expression" dxfId="1368" priority="3036">
      <formula>AND($R$478,$S$478)</formula>
    </cfRule>
  </conditionalFormatting>
  <conditionalFormatting sqref="W478">
    <cfRule type="expression" dxfId="1367" priority="3035">
      <formula>AND($W$478&lt;&gt;"Not Met",LEN(TRIM($W$478))&gt;0)</formula>
    </cfRule>
  </conditionalFormatting>
  <conditionalFormatting sqref="W478">
    <cfRule type="expression" dxfId="1366" priority="3034">
      <formula>OR($S$478 = FALSE, AND($P$478 = FALSE, ReportType &lt;&gt; "Final"), AND($Q$478 = FALSE, ReportType &lt;&gt; "Rough"))</formula>
    </cfRule>
  </conditionalFormatting>
  <conditionalFormatting sqref="W478">
    <cfRule type="expression" dxfId="1365" priority="3033">
      <formula>OR($T$478 = TRUE, AND(LEN(TRIM($W$478))&gt;0, $S$478 = FALSE))</formula>
    </cfRule>
  </conditionalFormatting>
  <conditionalFormatting sqref="W15">
    <cfRule type="expression" dxfId="1364" priority="3013">
      <formula>OR($T$15 = TRUE, AND($W$15 = TRUE, $S$15 = FALSE))</formula>
    </cfRule>
    <cfRule type="expression" dxfId="1363" priority="3014">
      <formula>OR($S$15 = FALSE, AND($P$15 = FALSE, ReportType &lt;&gt; "Final"), AND($Q$15 = FALSE, ReportType &lt;&gt; "Rough"))</formula>
    </cfRule>
    <cfRule type="expression" dxfId="1362" priority="3015">
      <formula>AND(IF($R$15,$W$15,TRUE),LEN(TRIM($W$15))&gt;0)</formula>
    </cfRule>
    <cfRule type="expression" dxfId="1361" priority="3016">
      <formula>AND($R$15,$S$15)</formula>
    </cfRule>
  </conditionalFormatting>
  <conditionalFormatting sqref="W17">
    <cfRule type="expression" dxfId="1360" priority="3012">
      <formula>AND($R$17,$S$17)</formula>
    </cfRule>
  </conditionalFormatting>
  <conditionalFormatting sqref="W17">
    <cfRule type="expression" dxfId="1359" priority="3011">
      <formula>AND(IF($R$17,$W$17,TRUE),LEN(TRIM($W$17))&gt;0)</formula>
    </cfRule>
  </conditionalFormatting>
  <conditionalFormatting sqref="W17">
    <cfRule type="expression" dxfId="1358" priority="3010">
      <formula>OR($S$17 = FALSE, AND($P$17 = FALSE, ReportType &lt;&gt; "Final"), AND($Q$17 = FALSE, ReportType &lt;&gt; "Rough"))</formula>
    </cfRule>
  </conditionalFormatting>
  <conditionalFormatting sqref="W17">
    <cfRule type="expression" dxfId="1357" priority="3009">
      <formula>OR($T$17 = TRUE, AND($W$17 = TRUE, $S$17 = FALSE))</formula>
    </cfRule>
  </conditionalFormatting>
  <conditionalFormatting sqref="W19">
    <cfRule type="expression" dxfId="1356" priority="3004">
      <formula>AND($R$19,$S$19)</formula>
    </cfRule>
  </conditionalFormatting>
  <conditionalFormatting sqref="W19">
    <cfRule type="expression" dxfId="1355" priority="3003">
      <formula>AND(IF($R$19,$W$19,TRUE),LEN(TRIM($W$19))&gt;0)</formula>
    </cfRule>
  </conditionalFormatting>
  <conditionalFormatting sqref="W19">
    <cfRule type="expression" dxfId="1354" priority="3002">
      <formula>OR($S$19 = FALSE, AND($P$19 = FALSE, ReportType &lt;&gt; "Final"), AND($Q$19 = FALSE, ReportType &lt;&gt; "Rough"))</formula>
    </cfRule>
  </conditionalFormatting>
  <conditionalFormatting sqref="W19">
    <cfRule type="expression" dxfId="1353" priority="3001">
      <formula>OR($T$19 = TRUE, AND($W$19 = TRUE, $S$19 = FALSE))</formula>
    </cfRule>
  </conditionalFormatting>
  <conditionalFormatting sqref="W28">
    <cfRule type="expression" dxfId="1352" priority="3000">
      <formula>AND($R$28,$S$28)</formula>
    </cfRule>
  </conditionalFormatting>
  <conditionalFormatting sqref="W28">
    <cfRule type="expression" dxfId="1351" priority="2999">
      <formula>AND(IF($R$28,$W$28,TRUE),LEN(TRIM($W$28))&gt;0)</formula>
    </cfRule>
  </conditionalFormatting>
  <conditionalFormatting sqref="W28">
    <cfRule type="expression" dxfId="1350" priority="2998">
      <formula>OR($S$28 = FALSE, AND($P$28 = FALSE, ReportType &lt;&gt; "Final"), AND($Q$28 = FALSE, ReportType &lt;&gt; "Rough"))</formula>
    </cfRule>
  </conditionalFormatting>
  <conditionalFormatting sqref="W28">
    <cfRule type="expression" dxfId="1349" priority="2997">
      <formula>OR($T$28 = TRUE, AND($W$28 = TRUE, $S$28 = FALSE))</formula>
    </cfRule>
  </conditionalFormatting>
  <conditionalFormatting sqref="W37">
    <cfRule type="expression" dxfId="1348" priority="2996">
      <formula>AND($R$37,$S$37)</formula>
    </cfRule>
  </conditionalFormatting>
  <conditionalFormatting sqref="W37">
    <cfRule type="expression" dxfId="1347" priority="2995">
      <formula>AND(IF($R$37,$W$37,TRUE),LEN(TRIM($W$37))&gt;0)</formula>
    </cfRule>
  </conditionalFormatting>
  <conditionalFormatting sqref="W37">
    <cfRule type="expression" dxfId="1346" priority="2994">
      <formula>OR($S$37 = FALSE, AND($P$37 = FALSE, ReportType &lt;&gt; "Final"), AND($Q$37 = FALSE, ReportType &lt;&gt; "Rough"))</formula>
    </cfRule>
  </conditionalFormatting>
  <conditionalFormatting sqref="W37">
    <cfRule type="expression" dxfId="1345" priority="2993">
      <formula>OR($T$37 = TRUE, AND($W$37 = TRUE, $S$37 = FALSE))</formula>
    </cfRule>
  </conditionalFormatting>
  <conditionalFormatting sqref="W49">
    <cfRule type="expression" dxfId="1344" priority="2992">
      <formula>AND($R$49,$S$49)</formula>
    </cfRule>
  </conditionalFormatting>
  <conditionalFormatting sqref="W49">
    <cfRule type="expression" dxfId="1343" priority="2991">
      <formula>AND(IF($R$49,$W$49,TRUE),LEN(TRIM($W$49))&gt;0)</formula>
    </cfRule>
  </conditionalFormatting>
  <conditionalFormatting sqref="W49">
    <cfRule type="expression" dxfId="1342" priority="2990">
      <formula>OR($S$49 = FALSE, AND($P$49 = FALSE, ReportType &lt;&gt; "Final"), AND($Q$49 = FALSE, ReportType &lt;&gt; "Rough"))</formula>
    </cfRule>
  </conditionalFormatting>
  <conditionalFormatting sqref="W49">
    <cfRule type="expression" dxfId="1341" priority="2989">
      <formula>OR($T$49 = TRUE, AND($W$49 = TRUE, $S$49 = FALSE))</formula>
    </cfRule>
  </conditionalFormatting>
  <conditionalFormatting sqref="W50">
    <cfRule type="expression" dxfId="1340" priority="2988">
      <formula>AND($R$50,$S$50)</formula>
    </cfRule>
  </conditionalFormatting>
  <conditionalFormatting sqref="W50">
    <cfRule type="expression" dxfId="1339" priority="2987">
      <formula>AND(IF($R$50,$W$50,TRUE),LEN(TRIM($W$50))&gt;0)</formula>
    </cfRule>
  </conditionalFormatting>
  <conditionalFormatting sqref="W50">
    <cfRule type="expression" dxfId="1338" priority="2986">
      <formula>OR($S$50 = FALSE, AND($P$50 = FALSE, ReportType &lt;&gt; "Final"), AND($Q$50 = FALSE, ReportType &lt;&gt; "Rough"))</formula>
    </cfRule>
  </conditionalFormatting>
  <conditionalFormatting sqref="W50">
    <cfRule type="expression" dxfId="1337" priority="2985">
      <formula>OR($T$50 = TRUE, AND($W$50 = TRUE, $S$50 = FALSE))</formula>
    </cfRule>
  </conditionalFormatting>
  <conditionalFormatting sqref="W52">
    <cfRule type="expression" dxfId="1336" priority="2984">
      <formula>AND($R$52,$S$52)</formula>
    </cfRule>
  </conditionalFormatting>
  <conditionalFormatting sqref="W52">
    <cfRule type="expression" dxfId="1335" priority="2983">
      <formula>AND(IF($R$52,$W$52,TRUE),LEN(TRIM($W$52))&gt;0)</formula>
    </cfRule>
  </conditionalFormatting>
  <conditionalFormatting sqref="W52">
    <cfRule type="expression" dxfId="1334" priority="2982">
      <formula>OR($S$52 = FALSE, AND($P$52 = FALSE, ReportType &lt;&gt; "Final"), AND($Q$52 = FALSE, ReportType &lt;&gt; "Rough"))</formula>
    </cfRule>
  </conditionalFormatting>
  <conditionalFormatting sqref="W52">
    <cfRule type="expression" dxfId="1333" priority="2981">
      <formula>OR($T$52 = TRUE, AND($W$52 = TRUE, $S$52 = FALSE))</formula>
    </cfRule>
  </conditionalFormatting>
  <conditionalFormatting sqref="W54">
    <cfRule type="expression" dxfId="1332" priority="2980">
      <formula>AND($R$54,$S$54)</formula>
    </cfRule>
  </conditionalFormatting>
  <conditionalFormatting sqref="W54">
    <cfRule type="expression" dxfId="1331" priority="2979">
      <formula>AND(IF($R$54,$W$54,TRUE),LEN(TRIM($W$54))&gt;0)</formula>
    </cfRule>
  </conditionalFormatting>
  <conditionalFormatting sqref="W54">
    <cfRule type="expression" dxfId="1330" priority="2978">
      <formula>OR($S$54 = FALSE, AND($P$54 = FALSE, ReportType &lt;&gt; "Final"), AND($Q$54 = FALSE, ReportType &lt;&gt; "Rough"))</formula>
    </cfRule>
  </conditionalFormatting>
  <conditionalFormatting sqref="W54">
    <cfRule type="expression" dxfId="1329" priority="2977">
      <formula>OR($T$54 = TRUE, AND($W$54 = TRUE, $S$54 = FALSE))</formula>
    </cfRule>
  </conditionalFormatting>
  <conditionalFormatting sqref="W55">
    <cfRule type="expression" dxfId="1328" priority="2976">
      <formula>AND($R$55,$S$55)</formula>
    </cfRule>
  </conditionalFormatting>
  <conditionalFormatting sqref="W55">
    <cfRule type="expression" dxfId="1327" priority="2975">
      <formula>AND(IF($R$55,$W$55,TRUE),LEN(TRIM($W$55))&gt;0)</formula>
    </cfRule>
  </conditionalFormatting>
  <conditionalFormatting sqref="W55">
    <cfRule type="expression" dxfId="1326" priority="2974">
      <formula>OR($S$55 = FALSE, AND($P$55 = FALSE, ReportType &lt;&gt; "Final"), AND($Q$55 = FALSE, ReportType &lt;&gt; "Rough"))</formula>
    </cfRule>
  </conditionalFormatting>
  <conditionalFormatting sqref="W55">
    <cfRule type="expression" dxfId="1325" priority="2973">
      <formula>OR($T$55 = TRUE, AND($W$55 = TRUE, $S$55 = FALSE))</formula>
    </cfRule>
  </conditionalFormatting>
  <conditionalFormatting sqref="W56">
    <cfRule type="expression" dxfId="1324" priority="2972">
      <formula>AND($R$56,$S$56)</formula>
    </cfRule>
  </conditionalFormatting>
  <conditionalFormatting sqref="W56">
    <cfRule type="expression" dxfId="1323" priority="2971">
      <formula>AND(IF($R$56,$W$56,TRUE),LEN(TRIM($W$56))&gt;0)</formula>
    </cfRule>
  </conditionalFormatting>
  <conditionalFormatting sqref="W56">
    <cfRule type="expression" dxfId="1322" priority="2970">
      <formula>OR($S$56 = FALSE, AND($P$56 = FALSE, ReportType &lt;&gt; "Final"), AND($Q$56 = FALSE, ReportType &lt;&gt; "Rough"))</formula>
    </cfRule>
  </conditionalFormatting>
  <conditionalFormatting sqref="W56">
    <cfRule type="expression" dxfId="1321" priority="2969">
      <formula>OR($T$56 = TRUE, AND($W$56 = TRUE, $S$56 = FALSE))</formula>
    </cfRule>
  </conditionalFormatting>
  <conditionalFormatting sqref="W58">
    <cfRule type="expression" dxfId="1320" priority="2968">
      <formula>AND($R$58,$S$58)</formula>
    </cfRule>
  </conditionalFormatting>
  <conditionalFormatting sqref="W58">
    <cfRule type="expression" dxfId="1319" priority="2967">
      <formula>AND(IF($R$58,$W$58,TRUE),LEN(TRIM($W$58))&gt;0)</formula>
    </cfRule>
  </conditionalFormatting>
  <conditionalFormatting sqref="W58">
    <cfRule type="expression" dxfId="1318" priority="2966">
      <formula>OR($S$58 = FALSE, AND($P$58 = FALSE, ReportType &lt;&gt; "Final"), AND($Q$58 = FALSE, ReportType &lt;&gt; "Rough"))</formula>
    </cfRule>
  </conditionalFormatting>
  <conditionalFormatting sqref="W58">
    <cfRule type="expression" dxfId="1317" priority="2965">
      <formula>OR($T$58 = TRUE, AND($W$58 = TRUE, $S$58 = FALSE))</formula>
    </cfRule>
  </conditionalFormatting>
  <conditionalFormatting sqref="W62">
    <cfRule type="expression" dxfId="1316" priority="2964">
      <formula>AND($R$62,$S$62)</formula>
    </cfRule>
  </conditionalFormatting>
  <conditionalFormatting sqref="W62">
    <cfRule type="expression" dxfId="1315" priority="2963">
      <formula>AND(IF($R$62,$W$62,TRUE),LEN(TRIM($W$62))&gt;0)</formula>
    </cfRule>
  </conditionalFormatting>
  <conditionalFormatting sqref="W62">
    <cfRule type="expression" dxfId="1314" priority="2962">
      <formula>OR($S$62 = FALSE, AND($P$62 = FALSE, ReportType &lt;&gt; "Final"), AND($Q$62 = FALSE, ReportType &lt;&gt; "Rough"))</formula>
    </cfRule>
  </conditionalFormatting>
  <conditionalFormatting sqref="W62">
    <cfRule type="expression" dxfId="1313" priority="2961">
      <formula>OR($T$62 = TRUE, AND($W$62 = TRUE, $S$62 = FALSE))</formula>
    </cfRule>
  </conditionalFormatting>
  <conditionalFormatting sqref="W63">
    <cfRule type="expression" dxfId="1312" priority="2960">
      <formula>AND($R$63,$S$63)</formula>
    </cfRule>
  </conditionalFormatting>
  <conditionalFormatting sqref="W63">
    <cfRule type="expression" dxfId="1311" priority="2959">
      <formula>AND(IF($R$63,$W$63,TRUE),LEN(TRIM($W$63))&gt;0)</formula>
    </cfRule>
  </conditionalFormatting>
  <conditionalFormatting sqref="W63">
    <cfRule type="expression" dxfId="1310" priority="2958">
      <formula>OR($S$63 = FALSE, AND($P$63 = FALSE, ReportType &lt;&gt; "Final"), AND($Q$63 = FALSE, ReportType &lt;&gt; "Rough"))</formula>
    </cfRule>
  </conditionalFormatting>
  <conditionalFormatting sqref="W63">
    <cfRule type="expression" dxfId="1309" priority="2957">
      <formula>OR($T$63 = TRUE, AND($W$63 = TRUE, $S$63 = FALSE))</formula>
    </cfRule>
  </conditionalFormatting>
  <conditionalFormatting sqref="W70">
    <cfRule type="expression" dxfId="1308" priority="2956">
      <formula>AND($R$70,$S$70)</formula>
    </cfRule>
  </conditionalFormatting>
  <conditionalFormatting sqref="W70">
    <cfRule type="expression" dxfId="1307" priority="2955">
      <formula>AND(IF($R$70,$W$70,TRUE),LEN(TRIM($W$70))&gt;0)</formula>
    </cfRule>
  </conditionalFormatting>
  <conditionalFormatting sqref="W70">
    <cfRule type="expression" dxfId="1306" priority="2954">
      <formula>OR($S$70 = FALSE, AND($P$70 = FALSE, ReportType &lt;&gt; "Final"), AND($Q$70 = FALSE, ReportType &lt;&gt; "Rough"))</formula>
    </cfRule>
  </conditionalFormatting>
  <conditionalFormatting sqref="W70">
    <cfRule type="expression" dxfId="1305" priority="2953">
      <formula>OR($T$70 = TRUE, AND($W$70 = TRUE, $S$70 = FALSE))</formula>
    </cfRule>
  </conditionalFormatting>
  <conditionalFormatting sqref="W72">
    <cfRule type="expression" dxfId="1304" priority="2952">
      <formula>AND($R$72,$S$72)</formula>
    </cfRule>
  </conditionalFormatting>
  <conditionalFormatting sqref="W72">
    <cfRule type="expression" dxfId="1303" priority="2951">
      <formula>AND(IF($R$72,$W$72,TRUE),LEN(TRIM($W$72))&gt;0)</formula>
    </cfRule>
  </conditionalFormatting>
  <conditionalFormatting sqref="W72">
    <cfRule type="expression" dxfId="1302" priority="2950">
      <formula>OR($S$72 = FALSE, AND($P$72 = FALSE, ReportType &lt;&gt; "Final"), AND($Q$72 = FALSE, ReportType &lt;&gt; "Rough"))</formula>
    </cfRule>
  </conditionalFormatting>
  <conditionalFormatting sqref="W72">
    <cfRule type="expression" dxfId="1301" priority="2949">
      <formula>OR($T$72 = TRUE, AND($W$72 = TRUE, $S$72 = FALSE))</formula>
    </cfRule>
  </conditionalFormatting>
  <conditionalFormatting sqref="W76">
    <cfRule type="expression" dxfId="1300" priority="2948">
      <formula>AND($R$76,$S$76)</formula>
    </cfRule>
  </conditionalFormatting>
  <conditionalFormatting sqref="W76">
    <cfRule type="expression" dxfId="1299" priority="2947">
      <formula>AND(IF($R$76,$W$76,TRUE),LEN(TRIM($W$76))&gt;0)</formula>
    </cfRule>
  </conditionalFormatting>
  <conditionalFormatting sqref="W76">
    <cfRule type="expression" dxfId="1298" priority="2946">
      <formula>OR($S$76 = FALSE, AND($P$76 = FALSE, ReportType &lt;&gt; "Final"), AND($Q$76 = FALSE, ReportType &lt;&gt; "Rough"))</formula>
    </cfRule>
  </conditionalFormatting>
  <conditionalFormatting sqref="W76">
    <cfRule type="expression" dxfId="1297" priority="2945">
      <formula>OR($T$76 = TRUE, AND($W$76 = TRUE, $S$76 = FALSE))</formula>
    </cfRule>
  </conditionalFormatting>
  <conditionalFormatting sqref="W80">
    <cfRule type="expression" dxfId="1296" priority="2944">
      <formula>AND($R$80,$S$80)</formula>
    </cfRule>
  </conditionalFormatting>
  <conditionalFormatting sqref="W80">
    <cfRule type="expression" dxfId="1295" priority="2943">
      <formula>AND(IF($R$80,$W$80,TRUE),LEN(TRIM($W$80))&gt;0)</formula>
    </cfRule>
  </conditionalFormatting>
  <conditionalFormatting sqref="W80">
    <cfRule type="expression" dxfId="1294" priority="2942">
      <formula>OR($S$80 = FALSE, AND($P$80 = FALSE, ReportType &lt;&gt; "Final"), AND($Q$80 = FALSE, ReportType &lt;&gt; "Rough"))</formula>
    </cfRule>
  </conditionalFormatting>
  <conditionalFormatting sqref="W80">
    <cfRule type="expression" dxfId="1293" priority="2941">
      <formula>OR($T$80 = TRUE, AND($W$80 = TRUE, $S$80 = FALSE))</formula>
    </cfRule>
  </conditionalFormatting>
  <conditionalFormatting sqref="W81">
    <cfRule type="expression" dxfId="1292" priority="2940">
      <formula>AND($R$81,$S$81)</formula>
    </cfRule>
  </conditionalFormatting>
  <conditionalFormatting sqref="W81">
    <cfRule type="expression" dxfId="1291" priority="2939">
      <formula>AND(IF($R$81,$W$81,TRUE),LEN(TRIM($W$81))&gt;0)</formula>
    </cfRule>
  </conditionalFormatting>
  <conditionalFormatting sqref="W81">
    <cfRule type="expression" dxfId="1290" priority="2938">
      <formula>OR($S$81 = FALSE, AND($P$81 = FALSE, ReportType &lt;&gt; "Final"), AND($Q$81 = FALSE, ReportType &lt;&gt; "Rough"))</formula>
    </cfRule>
  </conditionalFormatting>
  <conditionalFormatting sqref="W81">
    <cfRule type="expression" dxfId="1289" priority="2937">
      <formula>OR($T$81 = TRUE, AND($W$81 = TRUE, $S$81 = FALSE))</formula>
    </cfRule>
  </conditionalFormatting>
  <conditionalFormatting sqref="W83">
    <cfRule type="expression" dxfId="1288" priority="2936">
      <formula>AND($R$83,$S$83)</formula>
    </cfRule>
  </conditionalFormatting>
  <conditionalFormatting sqref="W83">
    <cfRule type="expression" dxfId="1287" priority="2935">
      <formula>AND(IF($R$83,$W$83,TRUE),LEN(TRIM($W$83))&gt;0)</formula>
    </cfRule>
  </conditionalFormatting>
  <conditionalFormatting sqref="W83">
    <cfRule type="expression" dxfId="1286" priority="2934">
      <formula>OR($S$83 = FALSE, AND($P$83 = FALSE, ReportType &lt;&gt; "Final"), AND($Q$83 = FALSE, ReportType &lt;&gt; "Rough"))</formula>
    </cfRule>
  </conditionalFormatting>
  <conditionalFormatting sqref="W83">
    <cfRule type="expression" dxfId="1285" priority="2933">
      <formula>OR($T$83 = TRUE, AND($W$83 = TRUE, $S$83 = FALSE))</formula>
    </cfRule>
  </conditionalFormatting>
  <conditionalFormatting sqref="W84">
    <cfRule type="expression" dxfId="1284" priority="2932">
      <formula>AND($R$84,$S$84)</formula>
    </cfRule>
  </conditionalFormatting>
  <conditionalFormatting sqref="W84">
    <cfRule type="expression" dxfId="1283" priority="2931">
      <formula>AND(IF($R$84,$W$84,TRUE),LEN(TRIM($W$84))&gt;0)</formula>
    </cfRule>
  </conditionalFormatting>
  <conditionalFormatting sqref="W84">
    <cfRule type="expression" dxfId="1282" priority="2930">
      <formula>OR($S$84 = FALSE, AND($P$84 = FALSE, ReportType &lt;&gt; "Final"), AND($Q$84 = FALSE, ReportType &lt;&gt; "Rough"))</formula>
    </cfRule>
  </conditionalFormatting>
  <conditionalFormatting sqref="W84">
    <cfRule type="expression" dxfId="1281" priority="2929">
      <formula>OR($T$84 = TRUE, AND($W$84 = TRUE, $S$84 = FALSE))</formula>
    </cfRule>
  </conditionalFormatting>
  <conditionalFormatting sqref="W85">
    <cfRule type="expression" dxfId="1280" priority="2928">
      <formula>AND($R$85,$S$85)</formula>
    </cfRule>
  </conditionalFormatting>
  <conditionalFormatting sqref="W85">
    <cfRule type="expression" dxfId="1279" priority="2927">
      <formula>AND(IF($R$85,$W$85,TRUE),LEN(TRIM($W$85))&gt;0)</formula>
    </cfRule>
  </conditionalFormatting>
  <conditionalFormatting sqref="W85">
    <cfRule type="expression" dxfId="1278" priority="2926">
      <formula>OR($S$85 = FALSE, AND($P$85 = FALSE, ReportType &lt;&gt; "Final"), AND($Q$85 = FALSE, ReportType &lt;&gt; "Rough"))</formula>
    </cfRule>
  </conditionalFormatting>
  <conditionalFormatting sqref="W85">
    <cfRule type="expression" dxfId="1277" priority="2925">
      <formula>OR($T$85 = TRUE, AND($W$85 = TRUE, $S$85 = FALSE))</formula>
    </cfRule>
  </conditionalFormatting>
  <conditionalFormatting sqref="W93">
    <cfRule type="expression" dxfId="1276" priority="2924">
      <formula>AND($R$93,$S$93)</formula>
    </cfRule>
  </conditionalFormatting>
  <conditionalFormatting sqref="W93">
    <cfRule type="expression" dxfId="1275" priority="2923">
      <formula>AND(IF($R$93,$W$93,TRUE),LEN(TRIM($W$93))&gt;0)</formula>
    </cfRule>
  </conditionalFormatting>
  <conditionalFormatting sqref="W93">
    <cfRule type="expression" dxfId="1274" priority="2922">
      <formula>OR($S$93 = FALSE, AND($P$93 = FALSE, ReportType &lt;&gt; "Final"), AND($Q$93 = FALSE, ReportType &lt;&gt; "Rough"))</formula>
    </cfRule>
  </conditionalFormatting>
  <conditionalFormatting sqref="W93">
    <cfRule type="expression" dxfId="1273" priority="2921">
      <formula>OR($T$93 = TRUE, AND($W$93 = TRUE, $S$93 = FALSE))</formula>
    </cfRule>
  </conditionalFormatting>
  <conditionalFormatting sqref="W118">
    <cfRule type="expression" dxfId="1272" priority="2916">
      <formula>AND($R$118,$S$118)</formula>
    </cfRule>
  </conditionalFormatting>
  <conditionalFormatting sqref="W118">
    <cfRule type="expression" dxfId="1271" priority="2915">
      <formula>AND(IF($R$118,$W$118,TRUE),LEN(TRIM($W$118))&gt;0)</formula>
    </cfRule>
  </conditionalFormatting>
  <conditionalFormatting sqref="W118">
    <cfRule type="expression" dxfId="1270" priority="2914">
      <formula>OR($S$118 = FALSE, AND($P$118 = FALSE, ReportType &lt;&gt; "Final"), AND($Q$118 = FALSE, ReportType &lt;&gt; "Rough"))</formula>
    </cfRule>
  </conditionalFormatting>
  <conditionalFormatting sqref="W118">
    <cfRule type="expression" dxfId="1269" priority="2913">
      <formula>OR($T$118 = TRUE, AND($W$118 = TRUE, $S$118 = FALSE))</formula>
    </cfRule>
  </conditionalFormatting>
  <conditionalFormatting sqref="W120">
    <cfRule type="expression" dxfId="1268" priority="2912">
      <formula>AND($R$120,$S$120)</formula>
    </cfRule>
  </conditionalFormatting>
  <conditionalFormatting sqref="W120">
    <cfRule type="expression" dxfId="1267" priority="2911">
      <formula>AND(IF($R$120,$W$120,TRUE),LEN(TRIM($W$120))&gt;0)</formula>
    </cfRule>
  </conditionalFormatting>
  <conditionalFormatting sqref="W120">
    <cfRule type="expression" dxfId="1266" priority="2910">
      <formula>OR($S$120 = FALSE, AND($P$120 = FALSE, ReportType &lt;&gt; "Final"), AND($Q$120 = FALSE, ReportType &lt;&gt; "Rough"))</formula>
    </cfRule>
  </conditionalFormatting>
  <conditionalFormatting sqref="W120">
    <cfRule type="expression" dxfId="1265" priority="2909">
      <formula>OR($T$120 = TRUE, AND($W$120 = TRUE, $S$120 = FALSE))</formula>
    </cfRule>
  </conditionalFormatting>
  <conditionalFormatting sqref="W122">
    <cfRule type="expression" dxfId="1264" priority="2908">
      <formula>AND($R$122,$S$122)</formula>
    </cfRule>
  </conditionalFormatting>
  <conditionalFormatting sqref="W122">
    <cfRule type="expression" dxfId="1263" priority="2907">
      <formula>AND(IF($R$122,$W$122,TRUE),LEN(TRIM($W$122))&gt;0)</formula>
    </cfRule>
  </conditionalFormatting>
  <conditionalFormatting sqref="W122">
    <cfRule type="expression" dxfId="1262" priority="2906">
      <formula>OR($S$122 = FALSE, AND($P$122 = FALSE, ReportType &lt;&gt; "Final"), AND($Q$122 = FALSE, ReportType &lt;&gt; "Rough"))</formula>
    </cfRule>
  </conditionalFormatting>
  <conditionalFormatting sqref="W122">
    <cfRule type="expression" dxfId="1261" priority="2905">
      <formula>OR($T$122 = TRUE, AND($W$122 = TRUE, $S$122 = FALSE))</formula>
    </cfRule>
  </conditionalFormatting>
  <conditionalFormatting sqref="W129">
    <cfRule type="expression" dxfId="1260" priority="2904">
      <formula>AND($R$129,$S$129)</formula>
    </cfRule>
  </conditionalFormatting>
  <conditionalFormatting sqref="W129">
    <cfRule type="expression" dxfId="1259" priority="2903">
      <formula>AND(IF($R$129,$W$129,TRUE),LEN(TRIM($W$129))&gt;0)</formula>
    </cfRule>
  </conditionalFormatting>
  <conditionalFormatting sqref="W129">
    <cfRule type="expression" dxfId="1258" priority="2902">
      <formula>OR($S$129 = FALSE, AND($P$129 = FALSE, ReportType &lt;&gt; "Final"), AND($Q$129 = FALSE, ReportType &lt;&gt; "Rough"))</formula>
    </cfRule>
  </conditionalFormatting>
  <conditionalFormatting sqref="W129">
    <cfRule type="expression" dxfId="1257" priority="2901">
      <formula>OR($T$129 = TRUE, AND($W$129 = TRUE, $S$129 = FALSE))</formula>
    </cfRule>
  </conditionalFormatting>
  <conditionalFormatting sqref="W130">
    <cfRule type="expression" dxfId="1256" priority="2900">
      <formula>AND($R$130,$S$130)</formula>
    </cfRule>
  </conditionalFormatting>
  <conditionalFormatting sqref="W130">
    <cfRule type="expression" dxfId="1255" priority="2899">
      <formula>AND(IF($R$130,$W$130,TRUE),LEN(TRIM($W$130))&gt;0)</formula>
    </cfRule>
  </conditionalFormatting>
  <conditionalFormatting sqref="W130">
    <cfRule type="expression" dxfId="1254" priority="2898">
      <formula>OR($S$130 = FALSE, AND($P$130 = FALSE, ReportType &lt;&gt; "Final"), AND($Q$130 = FALSE, ReportType &lt;&gt; "Rough"))</formula>
    </cfRule>
  </conditionalFormatting>
  <conditionalFormatting sqref="W130">
    <cfRule type="expression" dxfId="1253" priority="2897">
      <formula>OR($T$130 = TRUE, AND($W$130 = TRUE, $S$130 = FALSE))</formula>
    </cfRule>
  </conditionalFormatting>
  <conditionalFormatting sqref="W135">
    <cfRule type="expression" dxfId="1252" priority="2896">
      <formula>AND($R$135,$S$135)</formula>
    </cfRule>
  </conditionalFormatting>
  <conditionalFormatting sqref="W135">
    <cfRule type="expression" dxfId="1251" priority="2895">
      <formula>AND(IF($R$135,$W$135,TRUE),LEN(TRIM($W$135))&gt;0)</formula>
    </cfRule>
  </conditionalFormatting>
  <conditionalFormatting sqref="W135">
    <cfRule type="expression" dxfId="1250" priority="2894">
      <formula>OR($S$135 = FALSE, AND($P$135 = FALSE, ReportType &lt;&gt; "Final"), AND($Q$135 = FALSE, ReportType &lt;&gt; "Rough"))</formula>
    </cfRule>
  </conditionalFormatting>
  <conditionalFormatting sqref="W135">
    <cfRule type="expression" dxfId="1249" priority="2893">
      <formula>OR($T$135 = TRUE, AND($W$135 = TRUE, $S$135 = FALSE))</formula>
    </cfRule>
  </conditionalFormatting>
  <conditionalFormatting sqref="W137">
    <cfRule type="expression" dxfId="1248" priority="2892">
      <formula>AND($R$137,$S$137)</formula>
    </cfRule>
  </conditionalFormatting>
  <conditionalFormatting sqref="W137">
    <cfRule type="expression" dxfId="1247" priority="2891">
      <formula>AND(IF($R$137,$W$137,TRUE),LEN(TRIM($W$137))&gt;0)</formula>
    </cfRule>
  </conditionalFormatting>
  <conditionalFormatting sqref="W137">
    <cfRule type="expression" dxfId="1246" priority="2890">
      <formula>OR($S$137 = FALSE, AND($P$137 = FALSE, ReportType &lt;&gt; "Final"), AND($Q$137 = FALSE, ReportType &lt;&gt; "Rough"))</formula>
    </cfRule>
  </conditionalFormatting>
  <conditionalFormatting sqref="W137">
    <cfRule type="expression" dxfId="1245" priority="2889">
      <formula>OR($T$137 = TRUE, AND($W$137 = TRUE, $S$137 = FALSE))</formula>
    </cfRule>
  </conditionalFormatting>
  <conditionalFormatting sqref="W140">
    <cfRule type="expression" dxfId="1244" priority="2888">
      <formula>AND($R$140,$S$140)</formula>
    </cfRule>
  </conditionalFormatting>
  <conditionalFormatting sqref="W140">
    <cfRule type="expression" dxfId="1243" priority="2887">
      <formula>AND(IF($R$140,$W$140,TRUE),LEN(TRIM($W$140))&gt;0)</formula>
    </cfRule>
  </conditionalFormatting>
  <conditionalFormatting sqref="W140">
    <cfRule type="expression" dxfId="1242" priority="2886">
      <formula>OR($S$140 = FALSE, AND($P$140 = FALSE, ReportType &lt;&gt; "Final"), AND($Q$140 = FALSE, ReportType &lt;&gt; "Rough"))</formula>
    </cfRule>
  </conditionalFormatting>
  <conditionalFormatting sqref="W140">
    <cfRule type="expression" dxfId="1241" priority="2885">
      <formula>OR($T$140 = TRUE, AND($W$140 = TRUE, $S$140 = FALSE))</formula>
    </cfRule>
  </conditionalFormatting>
  <conditionalFormatting sqref="W142">
    <cfRule type="expression" dxfId="1240" priority="2884">
      <formula>AND($R$142,$S$142)</formula>
    </cfRule>
  </conditionalFormatting>
  <conditionalFormatting sqref="W142">
    <cfRule type="expression" dxfId="1239" priority="2883">
      <formula>AND(IF($R$142,$W$142,TRUE),LEN(TRIM($W$142))&gt;0)</formula>
    </cfRule>
  </conditionalFormatting>
  <conditionalFormatting sqref="W142">
    <cfRule type="expression" dxfId="1238" priority="2882">
      <formula>OR($S$142 = FALSE, AND($P$142 = FALSE, ReportType &lt;&gt; "Final"), AND($Q$142 = FALSE, ReportType &lt;&gt; "Rough"))</formula>
    </cfRule>
  </conditionalFormatting>
  <conditionalFormatting sqref="W142">
    <cfRule type="expression" dxfId="1237" priority="2881">
      <formula>OR($T$142 = TRUE, AND($W$142 = TRUE, $S$142 = FALSE))</formula>
    </cfRule>
  </conditionalFormatting>
  <conditionalFormatting sqref="W144">
    <cfRule type="expression" dxfId="1236" priority="2880">
      <formula>AND($R$144,$S$144)</formula>
    </cfRule>
  </conditionalFormatting>
  <conditionalFormatting sqref="W144">
    <cfRule type="expression" dxfId="1235" priority="2879">
      <formula>AND(IF($R$144,$W$144,TRUE),LEN(TRIM($W$144))&gt;0)</formula>
    </cfRule>
  </conditionalFormatting>
  <conditionalFormatting sqref="W144">
    <cfRule type="expression" dxfId="1234" priority="2878">
      <formula>OR($S$144 = FALSE, AND($P$144 = FALSE, ReportType &lt;&gt; "Final"), AND($Q$144 = FALSE, ReportType &lt;&gt; "Rough"))</formula>
    </cfRule>
  </conditionalFormatting>
  <conditionalFormatting sqref="W144">
    <cfRule type="expression" dxfId="1233" priority="2877">
      <formula>OR($T$144 = TRUE, AND($W$144 = TRUE, $S$144 = FALSE))</formula>
    </cfRule>
  </conditionalFormatting>
  <conditionalFormatting sqref="W148">
    <cfRule type="expression" dxfId="1232" priority="2876">
      <formula>AND($R$148,$S$148)</formula>
    </cfRule>
  </conditionalFormatting>
  <conditionalFormatting sqref="W148">
    <cfRule type="expression" dxfId="1231" priority="2875">
      <formula>AND(IF($R$148,$W$148,TRUE),LEN(TRIM($W$148))&gt;0)</formula>
    </cfRule>
  </conditionalFormatting>
  <conditionalFormatting sqref="W148">
    <cfRule type="expression" dxfId="1230" priority="2874">
      <formula>OR($S$148 = FALSE, AND($P$148 = FALSE, ReportType &lt;&gt; "Final"), AND($Q$148 = FALSE, ReportType &lt;&gt; "Rough"))</formula>
    </cfRule>
  </conditionalFormatting>
  <conditionalFormatting sqref="W148">
    <cfRule type="expression" dxfId="1229" priority="2873">
      <formula>OR($T$148 = TRUE, AND($W$148 = TRUE, $S$148 = FALSE))</formula>
    </cfRule>
  </conditionalFormatting>
  <conditionalFormatting sqref="W149">
    <cfRule type="expression" dxfId="1228" priority="2872">
      <formula>AND($R$149,$S$149)</formula>
    </cfRule>
  </conditionalFormatting>
  <conditionalFormatting sqref="W149">
    <cfRule type="expression" dxfId="1227" priority="2871">
      <formula>AND(IF($R$149,$W$149,TRUE),LEN(TRIM($W$149))&gt;0)</formula>
    </cfRule>
  </conditionalFormatting>
  <conditionalFormatting sqref="W149">
    <cfRule type="expression" dxfId="1226" priority="2870">
      <formula>OR($S$149 = FALSE, AND($P$149 = FALSE, ReportType &lt;&gt; "Final"), AND($Q$149 = FALSE, ReportType &lt;&gt; "Rough"))</formula>
    </cfRule>
  </conditionalFormatting>
  <conditionalFormatting sqref="W149">
    <cfRule type="expression" dxfId="1225" priority="2869">
      <formula>OR($T$149 = TRUE, AND($W$149 = TRUE, $S$149 = FALSE))</formula>
    </cfRule>
  </conditionalFormatting>
  <conditionalFormatting sqref="W150">
    <cfRule type="expression" dxfId="1224" priority="2868">
      <formula>AND($R$150,$S$150)</formula>
    </cfRule>
  </conditionalFormatting>
  <conditionalFormatting sqref="W150">
    <cfRule type="expression" dxfId="1223" priority="2867">
      <formula>AND(IF($R$150,$W$150,TRUE),LEN(TRIM($W$150))&gt;0)</formula>
    </cfRule>
  </conditionalFormatting>
  <conditionalFormatting sqref="W150">
    <cfRule type="expression" dxfId="1222" priority="2866">
      <formula>OR($S$150 = FALSE, AND($P$150 = FALSE, ReportType &lt;&gt; "Final"), AND($Q$150 = FALSE, ReportType &lt;&gt; "Rough"))</formula>
    </cfRule>
  </conditionalFormatting>
  <conditionalFormatting sqref="W150">
    <cfRule type="expression" dxfId="1221" priority="2865">
      <formula>OR($T$150 = TRUE, AND($W$150 = TRUE, $S$150 = FALSE))</formula>
    </cfRule>
  </conditionalFormatting>
  <conditionalFormatting sqref="W152">
    <cfRule type="expression" dxfId="1220" priority="2864">
      <formula>AND($R$152,$S$152)</formula>
    </cfRule>
  </conditionalFormatting>
  <conditionalFormatting sqref="W152">
    <cfRule type="expression" dxfId="1219" priority="2863">
      <formula>AND(IF($R$152,$W$152,TRUE),LEN(TRIM($W$152))&gt;0)</formula>
    </cfRule>
  </conditionalFormatting>
  <conditionalFormatting sqref="W152">
    <cfRule type="expression" dxfId="1218" priority="2862">
      <formula>OR($S$152 = FALSE, AND($P$152 = FALSE, ReportType &lt;&gt; "Final"), AND($Q$152 = FALSE, ReportType &lt;&gt; "Rough"))</formula>
    </cfRule>
  </conditionalFormatting>
  <conditionalFormatting sqref="W152">
    <cfRule type="expression" dxfId="1217" priority="2861">
      <formula>OR($T$152 = TRUE, AND($W$152 = TRUE, $S$152 = FALSE))</formula>
    </cfRule>
  </conditionalFormatting>
  <conditionalFormatting sqref="W155">
    <cfRule type="expression" dxfId="1216" priority="2860">
      <formula>AND($R$155,$S$155)</formula>
    </cfRule>
  </conditionalFormatting>
  <conditionalFormatting sqref="W155">
    <cfRule type="expression" dxfId="1215" priority="2859">
      <formula>AND(IF($R$155,$W$155,TRUE),LEN(TRIM($W$155))&gt;0)</formula>
    </cfRule>
  </conditionalFormatting>
  <conditionalFormatting sqref="W155">
    <cfRule type="expression" dxfId="1214" priority="2858">
      <formula>OR($S$155 = FALSE, AND($P$155 = FALSE, ReportType &lt;&gt; "Final"), AND($Q$155 = FALSE, ReportType &lt;&gt; "Rough"))</formula>
    </cfRule>
  </conditionalFormatting>
  <conditionalFormatting sqref="W155">
    <cfRule type="expression" dxfId="1213" priority="2857">
      <formula>OR($T$155 = TRUE, AND($W$155 = TRUE, $S$155 = FALSE))</formula>
    </cfRule>
  </conditionalFormatting>
  <conditionalFormatting sqref="W157">
    <cfRule type="expression" dxfId="1212" priority="2856">
      <formula>AND($R$157,$S$157)</formula>
    </cfRule>
  </conditionalFormatting>
  <conditionalFormatting sqref="W157">
    <cfRule type="expression" dxfId="1211" priority="2855">
      <formula>AND(IF($R$157,$W$157,TRUE),LEN(TRIM($W$157))&gt;0)</formula>
    </cfRule>
  </conditionalFormatting>
  <conditionalFormatting sqref="W157">
    <cfRule type="expression" dxfId="1210" priority="2854">
      <formula>OR($S$157 = FALSE, AND($P$157 = FALSE, ReportType &lt;&gt; "Final"), AND($Q$157 = FALSE, ReportType &lt;&gt; "Rough"))</formula>
    </cfRule>
  </conditionalFormatting>
  <conditionalFormatting sqref="W157">
    <cfRule type="expression" dxfId="1209" priority="2853">
      <formula>OR($T$157 = TRUE, AND($W$157 = TRUE, $S$157 = FALSE))</formula>
    </cfRule>
  </conditionalFormatting>
  <conditionalFormatting sqref="W162">
    <cfRule type="expression" dxfId="1208" priority="2852">
      <formula>AND($R$162,$S$162)</formula>
    </cfRule>
  </conditionalFormatting>
  <conditionalFormatting sqref="W162">
    <cfRule type="expression" dxfId="1207" priority="2851">
      <formula>AND(IF($R$162,$W$162,TRUE),LEN(TRIM($W$162))&gt;0)</formula>
    </cfRule>
  </conditionalFormatting>
  <conditionalFormatting sqref="W162">
    <cfRule type="expression" dxfId="1206" priority="2850">
      <formula>OR($S$162 = FALSE, AND($P$162 = FALSE, ReportType &lt;&gt; "Final"), AND($Q$162 = FALSE, ReportType &lt;&gt; "Rough"))</formula>
    </cfRule>
  </conditionalFormatting>
  <conditionalFormatting sqref="W162">
    <cfRule type="expression" dxfId="1205" priority="2849">
      <formula>OR($T$162 = TRUE, AND($W$162 = TRUE, $S$162 = FALSE))</formula>
    </cfRule>
  </conditionalFormatting>
  <conditionalFormatting sqref="W169">
    <cfRule type="expression" dxfId="1204" priority="2848">
      <formula>AND($R$169,$S$169)</formula>
    </cfRule>
  </conditionalFormatting>
  <conditionalFormatting sqref="W169">
    <cfRule type="expression" dxfId="1203" priority="2847">
      <formula>AND(IF($R$169,$W$169,TRUE),LEN(TRIM($W$169))&gt;0)</formula>
    </cfRule>
  </conditionalFormatting>
  <conditionalFormatting sqref="W169">
    <cfRule type="expression" dxfId="1202" priority="2846">
      <formula>OR($S$169 = FALSE, AND($P$169 = FALSE, ReportType &lt;&gt; "Final"), AND($Q$169 = FALSE, ReportType &lt;&gt; "Rough"))</formula>
    </cfRule>
  </conditionalFormatting>
  <conditionalFormatting sqref="W169">
    <cfRule type="expression" dxfId="1201" priority="2845">
      <formula>OR($T$169 = TRUE, AND($W$169 = TRUE, $S$169 = FALSE))</formula>
    </cfRule>
  </conditionalFormatting>
  <conditionalFormatting sqref="W170">
    <cfRule type="expression" dxfId="1200" priority="2844">
      <formula>AND($R$170,$S$170)</formula>
    </cfRule>
  </conditionalFormatting>
  <conditionalFormatting sqref="W170">
    <cfRule type="expression" dxfId="1199" priority="2843">
      <formula>AND(IF($R$170,$W$170,TRUE),LEN(TRIM($W$170))&gt;0)</formula>
    </cfRule>
  </conditionalFormatting>
  <conditionalFormatting sqref="W170">
    <cfRule type="expression" dxfId="1198" priority="2842">
      <formula>OR($S$170 = FALSE, AND($P$170 = FALSE, ReportType &lt;&gt; "Final"), AND($Q$170 = FALSE, ReportType &lt;&gt; "Rough"))</formula>
    </cfRule>
  </conditionalFormatting>
  <conditionalFormatting sqref="W170">
    <cfRule type="expression" dxfId="1197" priority="2841">
      <formula>OR($T$170 = TRUE, AND($W$170 = TRUE, $S$170 = FALSE))</formula>
    </cfRule>
  </conditionalFormatting>
  <conditionalFormatting sqref="W172">
    <cfRule type="expression" dxfId="1196" priority="2840">
      <formula>AND($R$172,$S$172)</formula>
    </cfRule>
  </conditionalFormatting>
  <conditionalFormatting sqref="W172">
    <cfRule type="expression" dxfId="1195" priority="2839">
      <formula>AND(IF($R$172,$W$172,TRUE),LEN(TRIM($W$172))&gt;0)</formula>
    </cfRule>
  </conditionalFormatting>
  <conditionalFormatting sqref="W172">
    <cfRule type="expression" dxfId="1194" priority="2838">
      <formula>OR($S$172 = FALSE, AND($P$172 = FALSE, ReportType &lt;&gt; "Final"), AND($Q$172 = FALSE, ReportType &lt;&gt; "Rough"))</formula>
    </cfRule>
  </conditionalFormatting>
  <conditionalFormatting sqref="W172">
    <cfRule type="expression" dxfId="1193" priority="2837">
      <formula>OR($T$172 = TRUE, AND($W$172 = TRUE, $S$172 = FALSE))</formula>
    </cfRule>
  </conditionalFormatting>
  <conditionalFormatting sqref="W177">
    <cfRule type="expression" dxfId="1192" priority="2836">
      <formula>AND($R$177,$S$177)</formula>
    </cfRule>
  </conditionalFormatting>
  <conditionalFormatting sqref="W177">
    <cfRule type="expression" dxfId="1191" priority="2835">
      <formula>AND(IF($R$177,$W$177,TRUE),LEN(TRIM($W$177))&gt;0)</formula>
    </cfRule>
  </conditionalFormatting>
  <conditionalFormatting sqref="W177">
    <cfRule type="expression" dxfId="1190" priority="2834">
      <formula>OR($S$177 = FALSE, AND($P$177 = FALSE, ReportType &lt;&gt; "Final"), AND($Q$177 = FALSE, ReportType &lt;&gt; "Rough"))</formula>
    </cfRule>
  </conditionalFormatting>
  <conditionalFormatting sqref="W177">
    <cfRule type="expression" dxfId="1189" priority="2833">
      <formula>OR($T$177 = TRUE, AND($W$177 = TRUE, $S$177 = FALSE))</formula>
    </cfRule>
  </conditionalFormatting>
  <conditionalFormatting sqref="W179">
    <cfRule type="expression" dxfId="1188" priority="2832">
      <formula>AND($R$179,$S$179)</formula>
    </cfRule>
  </conditionalFormatting>
  <conditionalFormatting sqref="W179">
    <cfRule type="expression" dxfId="1187" priority="2831">
      <formula>AND(IF($R$179,$W$179,TRUE),LEN(TRIM($W$179))&gt;0)</formula>
    </cfRule>
  </conditionalFormatting>
  <conditionalFormatting sqref="W179">
    <cfRule type="expression" dxfId="1186" priority="2830">
      <formula>OR($S$179 = FALSE, AND($P$179 = FALSE, ReportType &lt;&gt; "Final"), AND($Q$179 = FALSE, ReportType &lt;&gt; "Rough"))</formula>
    </cfRule>
  </conditionalFormatting>
  <conditionalFormatting sqref="W179">
    <cfRule type="expression" dxfId="1185" priority="2829">
      <formula>OR($T$179 = TRUE, AND($W$179 = TRUE, $S$179 = FALSE))</formula>
    </cfRule>
  </conditionalFormatting>
  <conditionalFormatting sqref="W180">
    <cfRule type="expression" dxfId="1184" priority="2828">
      <formula>AND($R$180,$S$180)</formula>
    </cfRule>
  </conditionalFormatting>
  <conditionalFormatting sqref="W180">
    <cfRule type="expression" dxfId="1183" priority="2827">
      <formula>AND(IF($R$180,$W$180,TRUE),LEN(TRIM($W$180))&gt;0)</formula>
    </cfRule>
  </conditionalFormatting>
  <conditionalFormatting sqref="W180">
    <cfRule type="expression" dxfId="1182" priority="2826">
      <formula>OR($S$180 = FALSE, AND($P$180 = FALSE, ReportType &lt;&gt; "Final"), AND($Q$180 = FALSE, ReportType &lt;&gt; "Rough"))</formula>
    </cfRule>
  </conditionalFormatting>
  <conditionalFormatting sqref="W180">
    <cfRule type="expression" dxfId="1181" priority="2825">
      <formula>OR($T$180 = TRUE, AND($W$180 = TRUE, $S$180 = FALSE))</formula>
    </cfRule>
  </conditionalFormatting>
  <conditionalFormatting sqref="W182">
    <cfRule type="expression" dxfId="1180" priority="2824">
      <formula>AND($R$182,$S$182)</formula>
    </cfRule>
  </conditionalFormatting>
  <conditionalFormatting sqref="W182">
    <cfRule type="expression" dxfId="1179" priority="2823">
      <formula>AND(IF($R$182,$W$182,TRUE),LEN(TRIM($W$182))&gt;0)</formula>
    </cfRule>
  </conditionalFormatting>
  <conditionalFormatting sqref="W182">
    <cfRule type="expression" dxfId="1178" priority="2822">
      <formula>OR($S$182 = FALSE, AND($P$182 = FALSE, ReportType &lt;&gt; "Final"), AND($Q$182 = FALSE, ReportType &lt;&gt; "Rough"))</formula>
    </cfRule>
  </conditionalFormatting>
  <conditionalFormatting sqref="W182">
    <cfRule type="expression" dxfId="1177" priority="2821">
      <formula>OR($T$182 = TRUE, AND($W$182 = TRUE, $S$182 = FALSE))</formula>
    </cfRule>
  </conditionalFormatting>
  <conditionalFormatting sqref="W184">
    <cfRule type="expression" dxfId="1176" priority="2820">
      <formula>AND($R$184,$S$184)</formula>
    </cfRule>
  </conditionalFormatting>
  <conditionalFormatting sqref="W184">
    <cfRule type="expression" dxfId="1175" priority="2819">
      <formula>AND(IF($R$184,$W$184,TRUE),LEN(TRIM($W$184))&gt;0)</formula>
    </cfRule>
  </conditionalFormatting>
  <conditionalFormatting sqref="W184">
    <cfRule type="expression" dxfId="1174" priority="2818">
      <formula>OR($S$184 = FALSE, AND($P$184 = FALSE, ReportType &lt;&gt; "Final"), AND($Q$184 = FALSE, ReportType &lt;&gt; "Rough"))</formula>
    </cfRule>
  </conditionalFormatting>
  <conditionalFormatting sqref="W184">
    <cfRule type="expression" dxfId="1173" priority="2817">
      <formula>OR($T$184 = TRUE, AND($W$184 = TRUE, $S$184 = FALSE))</formula>
    </cfRule>
  </conditionalFormatting>
  <conditionalFormatting sqref="W188">
    <cfRule type="expression" dxfId="1172" priority="2816">
      <formula>AND($R$188,$S$188)</formula>
    </cfRule>
  </conditionalFormatting>
  <conditionalFormatting sqref="W188">
    <cfRule type="expression" dxfId="1171" priority="2815">
      <formula>AND(IF($R$188,$W$188,TRUE),LEN(TRIM($W$188))&gt;0)</formula>
    </cfRule>
  </conditionalFormatting>
  <conditionalFormatting sqref="W188">
    <cfRule type="expression" dxfId="1170" priority="2814">
      <formula>OR($S$188 = FALSE, AND($P$188 = FALSE, ReportType &lt;&gt; "Final"), AND($Q$188 = FALSE, ReportType &lt;&gt; "Rough"))</formula>
    </cfRule>
  </conditionalFormatting>
  <conditionalFormatting sqref="W188">
    <cfRule type="expression" dxfId="1169" priority="2813">
      <formula>OR($T$188 = TRUE, AND($W$188 = TRUE, $S$188 = FALSE))</formula>
    </cfRule>
  </conditionalFormatting>
  <conditionalFormatting sqref="W191">
    <cfRule type="expression" dxfId="1168" priority="2812">
      <formula>AND($R$191,$S$191)</formula>
    </cfRule>
  </conditionalFormatting>
  <conditionalFormatting sqref="W191">
    <cfRule type="expression" dxfId="1167" priority="2811">
      <formula>AND(IF($R$191,$W$191,TRUE),LEN(TRIM($W$191))&gt;0)</formula>
    </cfRule>
  </conditionalFormatting>
  <conditionalFormatting sqref="W191">
    <cfRule type="expression" dxfId="1166" priority="2810">
      <formula>OR($S$191 = FALSE, AND($P$191 = FALSE, ReportType &lt;&gt; "Final"), AND($Q$191 = FALSE, ReportType &lt;&gt; "Rough"))</formula>
    </cfRule>
  </conditionalFormatting>
  <conditionalFormatting sqref="W191">
    <cfRule type="expression" dxfId="1165" priority="2809">
      <formula>OR($T$191 = TRUE, AND($W$191 = TRUE, $S$191 = FALSE))</formula>
    </cfRule>
  </conditionalFormatting>
  <conditionalFormatting sqref="W193">
    <cfRule type="expression" dxfId="1164" priority="2808">
      <formula>AND($R$193,$S$193)</formula>
    </cfRule>
  </conditionalFormatting>
  <conditionalFormatting sqref="W193">
    <cfRule type="expression" dxfId="1163" priority="2807">
      <formula>AND(IF($R$193,$W$193,TRUE),LEN(TRIM($W$193))&gt;0)</formula>
    </cfRule>
  </conditionalFormatting>
  <conditionalFormatting sqref="W193">
    <cfRule type="expression" dxfId="1162" priority="2806">
      <formula>OR($S$193 = FALSE, AND($P$193 = FALSE, ReportType &lt;&gt; "Final"), AND($Q$193 = FALSE, ReportType &lt;&gt; "Rough"))</formula>
    </cfRule>
  </conditionalFormatting>
  <conditionalFormatting sqref="W193">
    <cfRule type="expression" dxfId="1161" priority="2805">
      <formula>OR($T$193 = TRUE, AND($W$193 = TRUE, $S$193 = FALSE))</formula>
    </cfRule>
  </conditionalFormatting>
  <conditionalFormatting sqref="W194">
    <cfRule type="expression" dxfId="1160" priority="2804">
      <formula>AND($R$194,$S$194)</formula>
    </cfRule>
  </conditionalFormatting>
  <conditionalFormatting sqref="W194">
    <cfRule type="expression" dxfId="1159" priority="2803">
      <formula>AND(IF($R$194,$W$194,TRUE),LEN(TRIM($W$194))&gt;0)</formula>
    </cfRule>
  </conditionalFormatting>
  <conditionalFormatting sqref="W194">
    <cfRule type="expression" dxfId="1158" priority="2802">
      <formula>OR($S$194 = FALSE, AND($P$194 = FALSE, ReportType &lt;&gt; "Final"), AND($Q$194 = FALSE, ReportType &lt;&gt; "Rough"))</formula>
    </cfRule>
  </conditionalFormatting>
  <conditionalFormatting sqref="W194">
    <cfRule type="expression" dxfId="1157" priority="2801">
      <formula>OR($T$194 = TRUE, AND($W$194 = TRUE, $S$194 = FALSE))</formula>
    </cfRule>
  </conditionalFormatting>
  <conditionalFormatting sqref="W195">
    <cfRule type="expression" dxfId="1156" priority="2800">
      <formula>AND($R$195,$S$195)</formula>
    </cfRule>
  </conditionalFormatting>
  <conditionalFormatting sqref="W195">
    <cfRule type="expression" dxfId="1155" priority="2799">
      <formula>AND(IF($R$195,$W$195,TRUE),LEN(TRIM($W$195))&gt;0)</formula>
    </cfRule>
  </conditionalFormatting>
  <conditionalFormatting sqref="W195">
    <cfRule type="expression" dxfId="1154" priority="2798">
      <formula>OR($S$195 = FALSE, AND($P$195 = FALSE, ReportType &lt;&gt; "Final"), AND($Q$195 = FALSE, ReportType &lt;&gt; "Rough"))</formula>
    </cfRule>
  </conditionalFormatting>
  <conditionalFormatting sqref="W195">
    <cfRule type="expression" dxfId="1153" priority="2797">
      <formula>OR($T$195 = TRUE, AND($W$195 = TRUE, $S$195 = FALSE))</formula>
    </cfRule>
  </conditionalFormatting>
  <conditionalFormatting sqref="W196">
    <cfRule type="expression" dxfId="1152" priority="2796">
      <formula>AND($R$196,$S$196)</formula>
    </cfRule>
  </conditionalFormatting>
  <conditionalFormatting sqref="W196">
    <cfRule type="expression" dxfId="1151" priority="2795">
      <formula>AND(IF($R$196,$W$196,TRUE),LEN(TRIM($W$196))&gt;0)</formula>
    </cfRule>
  </conditionalFormatting>
  <conditionalFormatting sqref="W196">
    <cfRule type="expression" dxfId="1150" priority="2794">
      <formula>OR($S$196 = FALSE, AND($P$196 = FALSE, ReportType &lt;&gt; "Final"), AND($Q$196 = FALSE, ReportType &lt;&gt; "Rough"))</formula>
    </cfRule>
  </conditionalFormatting>
  <conditionalFormatting sqref="W196">
    <cfRule type="expression" dxfId="1149" priority="2793">
      <formula>OR($T$196 = TRUE, AND($W$196 = TRUE, $S$196 = FALSE))</formula>
    </cfRule>
  </conditionalFormatting>
  <conditionalFormatting sqref="W197">
    <cfRule type="expression" dxfId="1148" priority="2792">
      <formula>AND($R$197,$S$197)</formula>
    </cfRule>
  </conditionalFormatting>
  <conditionalFormatting sqref="W197">
    <cfRule type="expression" dxfId="1147" priority="2791">
      <formula>AND(IF($R$197,$W$197,TRUE),LEN(TRIM($W$197))&gt;0)</formula>
    </cfRule>
  </conditionalFormatting>
  <conditionalFormatting sqref="W197">
    <cfRule type="expression" dxfId="1146" priority="2790">
      <formula>OR($S$197 = FALSE, AND($P$197 = FALSE, ReportType &lt;&gt; "Final"), AND($Q$197 = FALSE, ReportType &lt;&gt; "Rough"))</formula>
    </cfRule>
  </conditionalFormatting>
  <conditionalFormatting sqref="W197">
    <cfRule type="expression" dxfId="1145" priority="2789">
      <formula>OR($T$197 = TRUE, AND($W$197 = TRUE, $S$197 = FALSE))</formula>
    </cfRule>
  </conditionalFormatting>
  <conditionalFormatting sqref="W198">
    <cfRule type="expression" dxfId="1144" priority="2788">
      <formula>AND($R$198,$S$198)</formula>
    </cfRule>
  </conditionalFormatting>
  <conditionalFormatting sqref="W198">
    <cfRule type="expression" dxfId="1143" priority="2787">
      <formula>AND(IF($R$198,$W$198,TRUE),LEN(TRIM($W$198))&gt;0)</formula>
    </cfRule>
  </conditionalFormatting>
  <conditionalFormatting sqref="W198">
    <cfRule type="expression" dxfId="1142" priority="2786">
      <formula>OR($S$198 = FALSE, AND($P$198 = FALSE, ReportType &lt;&gt; "Final"), AND($Q$198 = FALSE, ReportType &lt;&gt; "Rough"))</formula>
    </cfRule>
  </conditionalFormatting>
  <conditionalFormatting sqref="W198">
    <cfRule type="expression" dxfId="1141" priority="2785">
      <formula>OR($T$198 = TRUE, AND($W$198 = TRUE, $S$198 = FALSE))</formula>
    </cfRule>
  </conditionalFormatting>
  <conditionalFormatting sqref="W206">
    <cfRule type="expression" dxfId="1140" priority="2780">
      <formula>AND($R$206,$S$206)</formula>
    </cfRule>
  </conditionalFormatting>
  <conditionalFormatting sqref="W206">
    <cfRule type="expression" dxfId="1139" priority="2779">
      <formula>AND(IF($R$206,$W$206,TRUE),LEN(TRIM($W$206))&gt;0)</formula>
    </cfRule>
  </conditionalFormatting>
  <conditionalFormatting sqref="W206">
    <cfRule type="expression" dxfId="1138" priority="2778">
      <formula>OR($S$206 = FALSE, AND($P$206 = FALSE, ReportType &lt;&gt; "Final"), AND($Q$206 = FALSE, ReportType &lt;&gt; "Rough"))</formula>
    </cfRule>
  </conditionalFormatting>
  <conditionalFormatting sqref="W206">
    <cfRule type="expression" dxfId="1137" priority="2777">
      <formula>OR($T$206 = TRUE, AND($W$206 = TRUE, $S$206 = FALSE))</formula>
    </cfRule>
  </conditionalFormatting>
  <conditionalFormatting sqref="W208">
    <cfRule type="expression" dxfId="1136" priority="2776">
      <formula>AND($R$208,$S$208)</formula>
    </cfRule>
  </conditionalFormatting>
  <conditionalFormatting sqref="W208">
    <cfRule type="expression" dxfId="1135" priority="2775">
      <formula>AND(IF($R$208,$W$208,TRUE),LEN(TRIM($W$208))&gt;0)</formula>
    </cfRule>
  </conditionalFormatting>
  <conditionalFormatting sqref="W208">
    <cfRule type="expression" dxfId="1134" priority="2774">
      <formula>OR($S$208 = FALSE, AND($P$208 = FALSE, ReportType &lt;&gt; "Final"), AND($Q$208 = FALSE, ReportType &lt;&gt; "Rough"))</formula>
    </cfRule>
  </conditionalFormatting>
  <conditionalFormatting sqref="W208">
    <cfRule type="expression" dxfId="1133" priority="2773">
      <formula>OR($T$208 = TRUE, AND($W$208 = TRUE, $S$208 = FALSE))</formula>
    </cfRule>
  </conditionalFormatting>
  <conditionalFormatting sqref="W221">
    <cfRule type="expression" dxfId="1132" priority="2772">
      <formula>AND($R$221,$S$221)</formula>
    </cfRule>
  </conditionalFormatting>
  <conditionalFormatting sqref="W221">
    <cfRule type="expression" dxfId="1131" priority="2771">
      <formula>AND(IF($R$221,$W$221,TRUE),LEN(TRIM($W$221))&gt;0)</formula>
    </cfRule>
  </conditionalFormatting>
  <conditionalFormatting sqref="W221">
    <cfRule type="expression" dxfId="1130" priority="2770">
      <formula>OR($S$221 = FALSE, AND($P$221 = FALSE, ReportType &lt;&gt; "Final"), AND($Q$221 = FALSE, ReportType &lt;&gt; "Rough"))</formula>
    </cfRule>
  </conditionalFormatting>
  <conditionalFormatting sqref="W221">
    <cfRule type="expression" dxfId="1129" priority="2769">
      <formula>OR($T$221 = TRUE, AND($W$221 = TRUE, $S$221 = FALSE))</formula>
    </cfRule>
  </conditionalFormatting>
  <conditionalFormatting sqref="W224">
    <cfRule type="expression" dxfId="1128" priority="2768">
      <formula>AND($R$224,$S$224)</formula>
    </cfRule>
  </conditionalFormatting>
  <conditionalFormatting sqref="W224">
    <cfRule type="expression" dxfId="1127" priority="2767">
      <formula>AND(IF($R$224,$W$224,TRUE),LEN(TRIM($W$224))&gt;0)</formula>
    </cfRule>
  </conditionalFormatting>
  <conditionalFormatting sqref="W224">
    <cfRule type="expression" dxfId="1126" priority="2766">
      <formula>OR($S$224 = FALSE, AND($P$224 = FALSE, ReportType &lt;&gt; "Final"), AND($Q$224 = FALSE, ReportType &lt;&gt; "Rough"))</formula>
    </cfRule>
  </conditionalFormatting>
  <conditionalFormatting sqref="W224">
    <cfRule type="expression" dxfId="1125" priority="2765">
      <formula>OR($T$224 = TRUE, AND($W$224 = TRUE, $S$224 = FALSE))</formula>
    </cfRule>
  </conditionalFormatting>
  <conditionalFormatting sqref="W228">
    <cfRule type="expression" dxfId="1124" priority="2764">
      <formula>AND($R$228,$S$228)</formula>
    </cfRule>
  </conditionalFormatting>
  <conditionalFormatting sqref="W228">
    <cfRule type="expression" dxfId="1123" priority="2763">
      <formula>AND(IF($R$228,$W$228,TRUE),LEN(TRIM($W$228))&gt;0)</formula>
    </cfRule>
  </conditionalFormatting>
  <conditionalFormatting sqref="W228">
    <cfRule type="expression" dxfId="1122" priority="2762">
      <formula>OR($S$228 = FALSE, AND($P$228 = FALSE, ReportType &lt;&gt; "Final"), AND($Q$228 = FALSE, ReportType &lt;&gt; "Rough"))</formula>
    </cfRule>
  </conditionalFormatting>
  <conditionalFormatting sqref="W228">
    <cfRule type="expression" dxfId="1121" priority="2761">
      <formula>OR($T$228 = TRUE, AND($W$228 = TRUE, $S$228 = FALSE))</formula>
    </cfRule>
  </conditionalFormatting>
  <conditionalFormatting sqref="W229">
    <cfRule type="expression" dxfId="1120" priority="2760">
      <formula>AND($R$229,$S$229)</formula>
    </cfRule>
  </conditionalFormatting>
  <conditionalFormatting sqref="W229">
    <cfRule type="expression" dxfId="1119" priority="2759">
      <formula>AND(IF($R$229,$W$229,TRUE),LEN(TRIM($W$229))&gt;0)</formula>
    </cfRule>
  </conditionalFormatting>
  <conditionalFormatting sqref="W229">
    <cfRule type="expression" dxfId="1118" priority="2758">
      <formula>OR($S$229 = FALSE, AND($P$229 = FALSE, ReportType &lt;&gt; "Final"), AND($Q$229 = FALSE, ReportType &lt;&gt; "Rough"))</formula>
    </cfRule>
  </conditionalFormatting>
  <conditionalFormatting sqref="W229">
    <cfRule type="expression" dxfId="1117" priority="2757">
      <formula>OR($T$229 = TRUE, AND($W$229 = TRUE, $S$229 = FALSE))</formula>
    </cfRule>
  </conditionalFormatting>
  <conditionalFormatting sqref="W238">
    <cfRule type="expression" dxfId="1116" priority="2756">
      <formula>AND($R$238,$S$238)</formula>
    </cfRule>
  </conditionalFormatting>
  <conditionalFormatting sqref="W238">
    <cfRule type="expression" dxfId="1115" priority="2755">
      <formula>AND(IF($R$238,$W$238,TRUE),LEN(TRIM($W$238))&gt;0)</formula>
    </cfRule>
  </conditionalFormatting>
  <conditionalFormatting sqref="W238">
    <cfRule type="expression" dxfId="1114" priority="2754">
      <formula>OR($S$238 = FALSE, AND($P$238 = FALSE, ReportType &lt;&gt; "Final"), AND($Q$238 = FALSE, ReportType &lt;&gt; "Rough"))</formula>
    </cfRule>
  </conditionalFormatting>
  <conditionalFormatting sqref="W238">
    <cfRule type="expression" dxfId="1113" priority="2753">
      <formula>OR($T$238 = TRUE, AND($W$238 = TRUE, $S$238 = FALSE))</formula>
    </cfRule>
  </conditionalFormatting>
  <conditionalFormatting sqref="W239">
    <cfRule type="expression" dxfId="1112" priority="2752">
      <formula>AND($R$239,$S$239)</formula>
    </cfRule>
  </conditionalFormatting>
  <conditionalFormatting sqref="W239">
    <cfRule type="expression" dxfId="1111" priority="2751">
      <formula>AND(IF($R$239,$W$239,TRUE),LEN(TRIM($W$239))&gt;0)</formula>
    </cfRule>
  </conditionalFormatting>
  <conditionalFormatting sqref="W239">
    <cfRule type="expression" dxfId="1110" priority="2750">
      <formula>OR($S$239 = FALSE, AND($P$239 = FALSE, ReportType &lt;&gt; "Final"), AND($Q$239 = FALSE, ReportType &lt;&gt; "Rough"))</formula>
    </cfRule>
  </conditionalFormatting>
  <conditionalFormatting sqref="W239">
    <cfRule type="expression" dxfId="1109" priority="2749">
      <formula>OR($T$239 = TRUE, AND($W$239 = TRUE, $S$239 = FALSE))</formula>
    </cfRule>
  </conditionalFormatting>
  <conditionalFormatting sqref="W242">
    <cfRule type="expression" dxfId="1108" priority="2748">
      <formula>AND($R$242,$S$242)</formula>
    </cfRule>
  </conditionalFormatting>
  <conditionalFormatting sqref="W242">
    <cfRule type="expression" dxfId="1107" priority="2747">
      <formula>AND(IF($R$242,$W$242,TRUE),LEN(TRIM($W$242))&gt;0)</formula>
    </cfRule>
  </conditionalFormatting>
  <conditionalFormatting sqref="W242">
    <cfRule type="expression" dxfId="1106" priority="2746">
      <formula>OR($S$242 = FALSE, AND($P$242 = FALSE, ReportType &lt;&gt; "Final"), AND($Q$242 = FALSE, ReportType &lt;&gt; "Rough"))</formula>
    </cfRule>
  </conditionalFormatting>
  <conditionalFormatting sqref="W242">
    <cfRule type="expression" dxfId="1105" priority="2745">
      <formula>OR($T$242 = TRUE, AND($W$242 = TRUE, $S$242 = FALSE))</formula>
    </cfRule>
  </conditionalFormatting>
  <conditionalFormatting sqref="W271">
    <cfRule type="expression" dxfId="1104" priority="2744">
      <formula>AND($R$271,$S$271)</formula>
    </cfRule>
  </conditionalFormatting>
  <conditionalFormatting sqref="W271">
    <cfRule type="expression" dxfId="1103" priority="2743">
      <formula>AND(IF($R$271,$W$271,TRUE),LEN(TRIM($W$271))&gt;0)</formula>
    </cfRule>
  </conditionalFormatting>
  <conditionalFormatting sqref="W271">
    <cfRule type="expression" dxfId="1102" priority="2742">
      <formula>OR($S$271 = FALSE, AND($P$271 = FALSE, ReportType &lt;&gt; "Final"), AND($Q$271 = FALSE, ReportType &lt;&gt; "Rough"))</formula>
    </cfRule>
  </conditionalFormatting>
  <conditionalFormatting sqref="W271">
    <cfRule type="expression" dxfId="1101" priority="2741">
      <formula>OR($T$271 = TRUE, AND($W$271 = TRUE, $S$271 = FALSE))</formula>
    </cfRule>
  </conditionalFormatting>
  <conditionalFormatting sqref="W274">
    <cfRule type="expression" dxfId="1100" priority="2740">
      <formula>AND($R$274,$S$274)</formula>
    </cfRule>
  </conditionalFormatting>
  <conditionalFormatting sqref="W274">
    <cfRule type="expression" dxfId="1099" priority="2739">
      <formula>AND(IF($R$274,$W$274,TRUE),LEN(TRIM($W$274))&gt;0)</formula>
    </cfRule>
  </conditionalFormatting>
  <conditionalFormatting sqref="W274">
    <cfRule type="expression" dxfId="1098" priority="2738">
      <formula>OR($S$274 = FALSE, AND($P$274 = FALSE, ReportType &lt;&gt; "Final"), AND($Q$274 = FALSE, ReportType &lt;&gt; "Rough"))</formula>
    </cfRule>
  </conditionalFormatting>
  <conditionalFormatting sqref="W274">
    <cfRule type="expression" dxfId="1097" priority="2737">
      <formula>OR($T$274 = TRUE, AND($W$274 = TRUE, $S$274 = FALSE))</formula>
    </cfRule>
  </conditionalFormatting>
  <conditionalFormatting sqref="W277">
    <cfRule type="expression" dxfId="1096" priority="2736">
      <formula>AND($R$277,$S$277)</formula>
    </cfRule>
  </conditionalFormatting>
  <conditionalFormatting sqref="W277">
    <cfRule type="expression" dxfId="1095" priority="2735">
      <formula>AND(IF($R$277,$W$277,TRUE),LEN(TRIM($W$277))&gt;0)</formula>
    </cfRule>
  </conditionalFormatting>
  <conditionalFormatting sqref="W277">
    <cfRule type="expression" dxfId="1094" priority="2734">
      <formula>OR($S$277 = FALSE, AND($P$277 = FALSE, ReportType &lt;&gt; "Final"), AND($Q$277 = FALSE, ReportType &lt;&gt; "Rough"))</formula>
    </cfRule>
  </conditionalFormatting>
  <conditionalFormatting sqref="W277">
    <cfRule type="expression" dxfId="1093" priority="2733">
      <formula>OR($T$277 = TRUE, AND($W$277 = TRUE, $S$277 = FALSE))</formula>
    </cfRule>
  </conditionalFormatting>
  <conditionalFormatting sqref="W283">
    <cfRule type="expression" dxfId="1092" priority="2732">
      <formula>AND($R$283,$S$283)</formula>
    </cfRule>
  </conditionalFormatting>
  <conditionalFormatting sqref="W283">
    <cfRule type="expression" dxfId="1091" priority="2731">
      <formula>AND(IF($R$283,$W$283,TRUE),LEN(TRIM($W$283))&gt;0)</formula>
    </cfRule>
  </conditionalFormatting>
  <conditionalFormatting sqref="W283">
    <cfRule type="expression" dxfId="1090" priority="2730">
      <formula>OR($S$283 = FALSE, AND($P$283 = FALSE, ReportType &lt;&gt; "Final"), AND($Q$283 = FALSE, ReportType &lt;&gt; "Rough"))</formula>
    </cfRule>
  </conditionalFormatting>
  <conditionalFormatting sqref="W283">
    <cfRule type="expression" dxfId="1089" priority="2729">
      <formula>OR($T$283 = TRUE, AND($W$283 = TRUE, $S$283 = FALSE))</formula>
    </cfRule>
  </conditionalFormatting>
  <conditionalFormatting sqref="W284">
    <cfRule type="expression" dxfId="1088" priority="2728">
      <formula>AND($R$284,$S$284)</formula>
    </cfRule>
  </conditionalFormatting>
  <conditionalFormatting sqref="W284">
    <cfRule type="expression" dxfId="1087" priority="2727">
      <formula>AND(IF($R$284,$W$284,TRUE),LEN(TRIM($W$284))&gt;0)</formula>
    </cfRule>
  </conditionalFormatting>
  <conditionalFormatting sqref="W284">
    <cfRule type="expression" dxfId="1086" priority="2726">
      <formula>OR($S$284 = FALSE, AND($P$284 = FALSE, ReportType &lt;&gt; "Final"), AND($Q$284 = FALSE, ReportType &lt;&gt; "Rough"))</formula>
    </cfRule>
  </conditionalFormatting>
  <conditionalFormatting sqref="W284">
    <cfRule type="expression" dxfId="1085" priority="2725">
      <formula>OR($T$284 = TRUE, AND($W$284 = TRUE, $S$284 = FALSE))</formula>
    </cfRule>
  </conditionalFormatting>
  <conditionalFormatting sqref="W285">
    <cfRule type="expression" dxfId="1084" priority="2724">
      <formula>AND($R$285,$S$285)</formula>
    </cfRule>
  </conditionalFormatting>
  <conditionalFormatting sqref="W285">
    <cfRule type="expression" dxfId="1083" priority="2723">
      <formula>AND(IF($R$285,$W$285,TRUE),LEN(TRIM($W$285))&gt;0)</formula>
    </cfRule>
  </conditionalFormatting>
  <conditionalFormatting sqref="W285">
    <cfRule type="expression" dxfId="1082" priority="2722">
      <formula>OR($S$285 = FALSE, AND($P$285 = FALSE, ReportType &lt;&gt; "Final"), AND($Q$285 = FALSE, ReportType &lt;&gt; "Rough"))</formula>
    </cfRule>
  </conditionalFormatting>
  <conditionalFormatting sqref="W285">
    <cfRule type="expression" dxfId="1081" priority="2721">
      <formula>OR($T$285 = TRUE, AND($W$285 = TRUE, $S$285 = FALSE))</formula>
    </cfRule>
  </conditionalFormatting>
  <conditionalFormatting sqref="W286">
    <cfRule type="expression" dxfId="1080" priority="2720">
      <formula>AND($R$286,$S$286)</formula>
    </cfRule>
  </conditionalFormatting>
  <conditionalFormatting sqref="W286">
    <cfRule type="expression" dxfId="1079" priority="2719">
      <formula>AND(IF($R$286,$W$286,TRUE),LEN(TRIM($W$286))&gt;0)</formula>
    </cfRule>
  </conditionalFormatting>
  <conditionalFormatting sqref="W286">
    <cfRule type="expression" dxfId="1078" priority="2718">
      <formula>OR($S$286 = FALSE, AND($P$286 = FALSE, ReportType &lt;&gt; "Final"), AND($Q$286 = FALSE, ReportType &lt;&gt; "Rough"))</formula>
    </cfRule>
  </conditionalFormatting>
  <conditionalFormatting sqref="W286">
    <cfRule type="expression" dxfId="1077" priority="2717">
      <formula>OR($T$286 = TRUE, AND($W$286 = TRUE, $S$286 = FALSE))</formula>
    </cfRule>
  </conditionalFormatting>
  <conditionalFormatting sqref="W287">
    <cfRule type="expression" dxfId="1076" priority="2716">
      <formula>AND($R$287,$S$287)</formula>
    </cfRule>
  </conditionalFormatting>
  <conditionalFormatting sqref="W287">
    <cfRule type="expression" dxfId="1075" priority="2715">
      <formula>AND(IF($R$287,$W$287,TRUE),LEN(TRIM($W$287))&gt;0)</formula>
    </cfRule>
  </conditionalFormatting>
  <conditionalFormatting sqref="W287">
    <cfRule type="expression" dxfId="1074" priority="2714">
      <formula>OR($S$287 = FALSE, AND($P$287 = FALSE, ReportType &lt;&gt; "Final"), AND($Q$287 = FALSE, ReportType &lt;&gt; "Rough"))</formula>
    </cfRule>
  </conditionalFormatting>
  <conditionalFormatting sqref="W287">
    <cfRule type="expression" dxfId="1073" priority="2713">
      <formula>OR($T$287 = TRUE, AND($W$287 = TRUE, $S$287 = FALSE))</formula>
    </cfRule>
  </conditionalFormatting>
  <conditionalFormatting sqref="W288">
    <cfRule type="expression" dxfId="1072" priority="2712">
      <formula>AND($R$288,$S$288)</formula>
    </cfRule>
  </conditionalFormatting>
  <conditionalFormatting sqref="W288">
    <cfRule type="expression" dxfId="1071" priority="2711">
      <formula>AND(IF($R$288,$W$288,TRUE),LEN(TRIM($W$288))&gt;0)</formula>
    </cfRule>
  </conditionalFormatting>
  <conditionalFormatting sqref="W288">
    <cfRule type="expression" dxfId="1070" priority="2710">
      <formula>OR($S$288 = FALSE, AND($P$288 = FALSE, ReportType &lt;&gt; "Final"), AND($Q$288 = FALSE, ReportType &lt;&gt; "Rough"))</formula>
    </cfRule>
  </conditionalFormatting>
  <conditionalFormatting sqref="W288">
    <cfRule type="expression" dxfId="1069" priority="2709">
      <formula>OR($T$288 = TRUE, AND($W$288 = TRUE, $S$288 = FALSE))</formula>
    </cfRule>
  </conditionalFormatting>
  <conditionalFormatting sqref="W296">
    <cfRule type="expression" dxfId="1068" priority="2708">
      <formula>AND($R$296,$S$296)</formula>
    </cfRule>
  </conditionalFormatting>
  <conditionalFormatting sqref="W296">
    <cfRule type="expression" dxfId="1067" priority="2707">
      <formula>AND(IF($R$296,$W$296,TRUE),LEN(TRIM($W$296))&gt;0)</formula>
    </cfRule>
  </conditionalFormatting>
  <conditionalFormatting sqref="W296">
    <cfRule type="expression" dxfId="1066" priority="2706">
      <formula>OR($S$296 = FALSE, AND($P$296 = FALSE, ReportType &lt;&gt; "Final"), AND($Q$296 = FALSE, ReportType &lt;&gt; "Rough"))</formula>
    </cfRule>
  </conditionalFormatting>
  <conditionalFormatting sqref="W296">
    <cfRule type="expression" dxfId="1065" priority="2705">
      <formula>OR($T$296 = TRUE, AND($W$296 = TRUE, $S$296 = FALSE))</formula>
    </cfRule>
  </conditionalFormatting>
  <conditionalFormatting sqref="W297">
    <cfRule type="expression" dxfId="1064" priority="2704">
      <formula>AND($R$297,$S$297)</formula>
    </cfRule>
  </conditionalFormatting>
  <conditionalFormatting sqref="W297">
    <cfRule type="expression" dxfId="1063" priority="2703">
      <formula>AND(IF($R$297,$W$297,TRUE),LEN(TRIM($W$297))&gt;0)</formula>
    </cfRule>
  </conditionalFormatting>
  <conditionalFormatting sqref="W297">
    <cfRule type="expression" dxfId="1062" priority="2702">
      <formula>OR($S$297 = FALSE, AND($P$297 = FALSE, ReportType &lt;&gt; "Final"), AND($Q$297 = FALSE, ReportType &lt;&gt; "Rough"))</formula>
    </cfRule>
  </conditionalFormatting>
  <conditionalFormatting sqref="W297">
    <cfRule type="expression" dxfId="1061" priority="2701">
      <formula>OR($T$297 = TRUE, AND($W$297 = TRUE, $S$297 = FALSE))</formula>
    </cfRule>
  </conditionalFormatting>
  <conditionalFormatting sqref="W298">
    <cfRule type="expression" dxfId="1060" priority="2700">
      <formula>AND($R$298,$S$298)</formula>
    </cfRule>
  </conditionalFormatting>
  <conditionalFormatting sqref="W298">
    <cfRule type="expression" dxfId="1059" priority="2699">
      <formula>AND(IF($R$298,$W$298,TRUE),LEN(TRIM($W$298))&gt;0)</formula>
    </cfRule>
  </conditionalFormatting>
  <conditionalFormatting sqref="W298">
    <cfRule type="expression" dxfId="1058" priority="2698">
      <formula>OR($S$298 = FALSE, AND($P$298 = FALSE, ReportType &lt;&gt; "Final"), AND($Q$298 = FALSE, ReportType &lt;&gt; "Rough"))</formula>
    </cfRule>
  </conditionalFormatting>
  <conditionalFormatting sqref="W298">
    <cfRule type="expression" dxfId="1057" priority="2697">
      <formula>OR($T$298 = TRUE, AND($W$298 = TRUE, $S$298 = FALSE))</formula>
    </cfRule>
  </conditionalFormatting>
  <conditionalFormatting sqref="W299">
    <cfRule type="expression" dxfId="1056" priority="2696">
      <formula>AND($R$299,$S$299)</formula>
    </cfRule>
  </conditionalFormatting>
  <conditionalFormatting sqref="W299">
    <cfRule type="expression" dxfId="1055" priority="2695">
      <formula>AND(IF($R$299,$W$299,TRUE),LEN(TRIM($W$299))&gt;0)</formula>
    </cfRule>
  </conditionalFormatting>
  <conditionalFormatting sqref="W299">
    <cfRule type="expression" dxfId="1054" priority="2694">
      <formula>OR($S$299 = FALSE, AND($P$299 = FALSE, ReportType &lt;&gt; "Final"), AND($Q$299 = FALSE, ReportType &lt;&gt; "Rough"))</formula>
    </cfRule>
  </conditionalFormatting>
  <conditionalFormatting sqref="W299">
    <cfRule type="expression" dxfId="1053" priority="2693">
      <formula>OR($T$299 = TRUE, AND($W$299 = TRUE, $S$299 = FALSE))</formula>
    </cfRule>
  </conditionalFormatting>
  <conditionalFormatting sqref="W323">
    <cfRule type="expression" dxfId="1052" priority="2688">
      <formula>AND($R$323,$S$323)</formula>
    </cfRule>
  </conditionalFormatting>
  <conditionalFormatting sqref="W323">
    <cfRule type="expression" dxfId="1051" priority="2687">
      <formula>AND(IF($R$323,$W$323,TRUE),LEN(TRIM($W$323))&gt;0)</formula>
    </cfRule>
  </conditionalFormatting>
  <conditionalFormatting sqref="W323">
    <cfRule type="expression" dxfId="1050" priority="2686">
      <formula>OR($S$323 = FALSE, AND($P$323 = FALSE, ReportType &lt;&gt; "Final"), AND($Q$323 = FALSE, ReportType &lt;&gt; "Rough"))</formula>
    </cfRule>
  </conditionalFormatting>
  <conditionalFormatting sqref="W323">
    <cfRule type="expression" dxfId="1049" priority="2685">
      <formula>OR($T$323 = TRUE, AND($W$323 = TRUE, $S$323 = FALSE))</formula>
    </cfRule>
  </conditionalFormatting>
  <conditionalFormatting sqref="W340">
    <cfRule type="expression" dxfId="1048" priority="2676">
      <formula>AND($R$340,$S$340)</formula>
    </cfRule>
  </conditionalFormatting>
  <conditionalFormatting sqref="W340">
    <cfRule type="expression" dxfId="1047" priority="2675">
      <formula>AND(IF($R$340,$W$340,TRUE),LEN(TRIM($W$340))&gt;0)</formula>
    </cfRule>
  </conditionalFormatting>
  <conditionalFormatting sqref="W340">
    <cfRule type="expression" dxfId="1046" priority="2674">
      <formula>OR($S$340 = FALSE, AND($P$340 = FALSE, ReportType &lt;&gt; "Final"), AND($Q$340 = FALSE, ReportType &lt;&gt; "Rough"))</formula>
    </cfRule>
  </conditionalFormatting>
  <conditionalFormatting sqref="W340">
    <cfRule type="expression" dxfId="1045" priority="2673">
      <formula>OR($T$340 = TRUE, AND($W$340 = TRUE, $S$340 = FALSE))</formula>
    </cfRule>
  </conditionalFormatting>
  <conditionalFormatting sqref="W346">
    <cfRule type="expression" dxfId="1044" priority="2672">
      <formula>AND($R$346,$S$346)</formula>
    </cfRule>
  </conditionalFormatting>
  <conditionalFormatting sqref="W346">
    <cfRule type="expression" dxfId="1043" priority="2671">
      <formula>AND(IF($R$346,$W$346,TRUE),LEN(TRIM($W$346))&gt;0)</formula>
    </cfRule>
  </conditionalFormatting>
  <conditionalFormatting sqref="W346">
    <cfRule type="expression" dxfId="1042" priority="2670">
      <formula>OR($S$346 = FALSE, AND($P$346 = FALSE, ReportType &lt;&gt; "Final"), AND($Q$346 = FALSE, ReportType &lt;&gt; "Rough"))</formula>
    </cfRule>
  </conditionalFormatting>
  <conditionalFormatting sqref="W346">
    <cfRule type="expression" dxfId="1041" priority="2669">
      <formula>OR($T$346 = TRUE, AND($W$346 = TRUE, $S$346 = FALSE))</formula>
    </cfRule>
  </conditionalFormatting>
  <conditionalFormatting sqref="W347">
    <cfRule type="expression" dxfId="1040" priority="2668">
      <formula>AND($R$347,$S$347)</formula>
    </cfRule>
  </conditionalFormatting>
  <conditionalFormatting sqref="W347">
    <cfRule type="expression" dxfId="1039" priority="2667">
      <formula>AND(IF($R$347,$W$347,TRUE),LEN(TRIM($W$347))&gt;0)</formula>
    </cfRule>
  </conditionalFormatting>
  <conditionalFormatting sqref="W347">
    <cfRule type="expression" dxfId="1038" priority="2666">
      <formula>OR($S$347 = FALSE, AND($P$347 = FALSE, ReportType &lt;&gt; "Final"), AND($Q$347 = FALSE, ReportType &lt;&gt; "Rough"))</formula>
    </cfRule>
  </conditionalFormatting>
  <conditionalFormatting sqref="W347">
    <cfRule type="expression" dxfId="1037" priority="2665">
      <formula>OR($T$347 = TRUE, AND($W$347 = TRUE, $S$347 = FALSE))</formula>
    </cfRule>
  </conditionalFormatting>
  <conditionalFormatting sqref="W352">
    <cfRule type="expression" dxfId="1036" priority="2660">
      <formula>AND($R$352,$S$352)</formula>
    </cfRule>
  </conditionalFormatting>
  <conditionalFormatting sqref="W352">
    <cfRule type="expression" dxfId="1035" priority="2659">
      <formula>AND(IF($R$352,$W$352,TRUE),LEN(TRIM($W$352))&gt;0)</formula>
    </cfRule>
  </conditionalFormatting>
  <conditionalFormatting sqref="W352">
    <cfRule type="expression" dxfId="1034" priority="2658">
      <formula>OR($S$352 = FALSE, AND($P$352 = FALSE, ReportType &lt;&gt; "Final"), AND($Q$352 = FALSE, ReportType &lt;&gt; "Rough"))</formula>
    </cfRule>
  </conditionalFormatting>
  <conditionalFormatting sqref="W352">
    <cfRule type="expression" dxfId="1033" priority="2657">
      <formula>OR($T$352 = TRUE, AND($W$352 = TRUE, $S$352 = FALSE))</formula>
    </cfRule>
  </conditionalFormatting>
  <conditionalFormatting sqref="W360">
    <cfRule type="expression" dxfId="1032" priority="2656">
      <formula>AND($R$360,$S$360)</formula>
    </cfRule>
  </conditionalFormatting>
  <conditionalFormatting sqref="W360">
    <cfRule type="expression" dxfId="1031" priority="2655">
      <formula>AND(IF($R$360,$W$360,TRUE),LEN(TRIM($W$360))&gt;0)</formula>
    </cfRule>
  </conditionalFormatting>
  <conditionalFormatting sqref="W360">
    <cfRule type="expression" dxfId="1030" priority="2654">
      <formula>OR($S$360 = FALSE, AND($P$360 = FALSE, ReportType &lt;&gt; "Final"), AND($Q$360 = FALSE, ReportType &lt;&gt; "Rough"))</formula>
    </cfRule>
  </conditionalFormatting>
  <conditionalFormatting sqref="W360">
    <cfRule type="expression" dxfId="1029" priority="2653">
      <formula>OR($T$360 = TRUE, AND($W$360 = TRUE, $S$360 = FALSE))</formula>
    </cfRule>
  </conditionalFormatting>
  <conditionalFormatting sqref="W369">
    <cfRule type="expression" dxfId="1028" priority="2652">
      <formula>AND($R$369,$S$369)</formula>
    </cfRule>
  </conditionalFormatting>
  <conditionalFormatting sqref="W369">
    <cfRule type="expression" dxfId="1027" priority="2651">
      <formula>AND(IF($R$369,$W$369,TRUE),LEN(TRIM($W$369))&gt;0)</formula>
    </cfRule>
  </conditionalFormatting>
  <conditionalFormatting sqref="W369">
    <cfRule type="expression" dxfId="1026" priority="2650">
      <formula>OR($S$369 = FALSE, AND($P$369 = FALSE, ReportType &lt;&gt; "Final"), AND($Q$369 = FALSE, ReportType &lt;&gt; "Rough"))</formula>
    </cfRule>
  </conditionalFormatting>
  <conditionalFormatting sqref="W369">
    <cfRule type="expression" dxfId="1025" priority="2649">
      <formula>OR($T$369 = TRUE, AND($W$369 = TRUE, $S$369 = FALSE))</formula>
    </cfRule>
  </conditionalFormatting>
  <conditionalFormatting sqref="W377">
    <cfRule type="expression" dxfId="1024" priority="2648">
      <formula>AND($R$377,$S$377)</formula>
    </cfRule>
  </conditionalFormatting>
  <conditionalFormatting sqref="W377">
    <cfRule type="expression" dxfId="1023" priority="2647">
      <formula>AND(IF($R$377,$W$377,TRUE),LEN(TRIM($W$377))&gt;0)</formula>
    </cfRule>
  </conditionalFormatting>
  <conditionalFormatting sqref="W377">
    <cfRule type="expression" dxfId="1022" priority="2646">
      <formula>OR($S$377 = FALSE, AND($P$377 = FALSE, ReportType &lt;&gt; "Final"), AND($Q$377 = FALSE, ReportType &lt;&gt; "Rough"))</formula>
    </cfRule>
  </conditionalFormatting>
  <conditionalFormatting sqref="W377">
    <cfRule type="expression" dxfId="1021" priority="2645">
      <formula>OR($T$377 = TRUE, AND($W$377 = TRUE, $S$377 = FALSE))</formula>
    </cfRule>
  </conditionalFormatting>
  <conditionalFormatting sqref="W379">
    <cfRule type="expression" dxfId="1020" priority="2644">
      <formula>AND($R$379,$S$379)</formula>
    </cfRule>
  </conditionalFormatting>
  <conditionalFormatting sqref="W379">
    <cfRule type="expression" dxfId="1019" priority="2643">
      <formula>AND(IF($R$379,$W$379,TRUE),LEN(TRIM($W$379))&gt;0)</formula>
    </cfRule>
  </conditionalFormatting>
  <conditionalFormatting sqref="W379">
    <cfRule type="expression" dxfId="1018" priority="2642">
      <formula>OR($S$379 = FALSE, AND($P$379 = FALSE, ReportType &lt;&gt; "Final"), AND($Q$379 = FALSE, ReportType &lt;&gt; "Rough"))</formula>
    </cfRule>
  </conditionalFormatting>
  <conditionalFormatting sqref="W379">
    <cfRule type="expression" dxfId="1017" priority="2641">
      <formula>OR($T$379 = TRUE, AND($W$379 = TRUE, $S$379 = FALSE))</formula>
    </cfRule>
  </conditionalFormatting>
  <conditionalFormatting sqref="W385">
    <cfRule type="expression" dxfId="1016" priority="2640">
      <formula>AND($R$385,$S$385)</formula>
    </cfRule>
  </conditionalFormatting>
  <conditionalFormatting sqref="W385">
    <cfRule type="expression" dxfId="1015" priority="2639">
      <formula>AND(IF($R$385,$W$385,TRUE),LEN(TRIM($W$385))&gt;0)</formula>
    </cfRule>
  </conditionalFormatting>
  <conditionalFormatting sqref="W385">
    <cfRule type="expression" dxfId="1014" priority="2638">
      <formula>OR($S$385 = FALSE, AND($P$385 = FALSE, ReportType &lt;&gt; "Final"), AND($Q$385 = FALSE, ReportType &lt;&gt; "Rough"))</formula>
    </cfRule>
  </conditionalFormatting>
  <conditionalFormatting sqref="W385">
    <cfRule type="expression" dxfId="1013" priority="2637">
      <formula>OR($T$385 = TRUE, AND($W$385 = TRUE, $S$385 = FALSE))</formula>
    </cfRule>
  </conditionalFormatting>
  <conditionalFormatting sqref="W389">
    <cfRule type="expression" dxfId="1012" priority="2636">
      <formula>AND($R$389,$S$389)</formula>
    </cfRule>
  </conditionalFormatting>
  <conditionalFormatting sqref="W389">
    <cfRule type="expression" dxfId="1011" priority="2635">
      <formula>AND(IF($R$389,$W$389,TRUE),LEN(TRIM($W$389))&gt;0)</formula>
    </cfRule>
  </conditionalFormatting>
  <conditionalFormatting sqref="W389">
    <cfRule type="expression" dxfId="1010" priority="2634">
      <formula>OR($S$389 = FALSE, AND($P$389 = FALSE, ReportType &lt;&gt; "Final"), AND($Q$389 = FALSE, ReportType &lt;&gt; "Rough"))</formula>
    </cfRule>
  </conditionalFormatting>
  <conditionalFormatting sqref="W389">
    <cfRule type="expression" dxfId="1009" priority="2633">
      <formula>OR($T$389 = TRUE, AND($W$389 = TRUE, $S$389 = FALSE))</formula>
    </cfRule>
  </conditionalFormatting>
  <conditionalFormatting sqref="W393">
    <cfRule type="expression" dxfId="1008" priority="2632">
      <formula>AND($R$393,$S$393)</formula>
    </cfRule>
  </conditionalFormatting>
  <conditionalFormatting sqref="W393">
    <cfRule type="expression" dxfId="1007" priority="2631">
      <formula>AND(IF($R$393,$W$393,TRUE),LEN(TRIM($W$393))&gt;0)</formula>
    </cfRule>
  </conditionalFormatting>
  <conditionalFormatting sqref="W393">
    <cfRule type="expression" dxfId="1006" priority="2630">
      <formula>OR($S$393 = FALSE, AND($P$393 = FALSE, ReportType &lt;&gt; "Final"), AND($Q$393 = FALSE, ReportType &lt;&gt; "Rough"))</formula>
    </cfRule>
  </conditionalFormatting>
  <conditionalFormatting sqref="W393">
    <cfRule type="expression" dxfId="1005" priority="2629">
      <formula>OR($T$393 = TRUE, AND($W$393 = TRUE, $S$393 = FALSE))</formula>
    </cfRule>
  </conditionalFormatting>
  <conditionalFormatting sqref="W398">
    <cfRule type="expression" dxfId="1004" priority="2628">
      <formula>AND($R$398,$S$398)</formula>
    </cfRule>
  </conditionalFormatting>
  <conditionalFormatting sqref="W398">
    <cfRule type="expression" dxfId="1003" priority="2627">
      <formula>AND(IF($R$398,$W$398,TRUE),LEN(TRIM($W$398))&gt;0)</formula>
    </cfRule>
  </conditionalFormatting>
  <conditionalFormatting sqref="W398">
    <cfRule type="expression" dxfId="1002" priority="2626">
      <formula>OR($S$398 = FALSE, AND($P$398 = FALSE, ReportType &lt;&gt; "Final"), AND($Q$398 = FALSE, ReportType &lt;&gt; "Rough"))</formula>
    </cfRule>
  </conditionalFormatting>
  <conditionalFormatting sqref="W398">
    <cfRule type="expression" dxfId="1001" priority="2625">
      <formula>OR($T$398 = TRUE, AND($W$398 = TRUE, $S$398 = FALSE))</formula>
    </cfRule>
  </conditionalFormatting>
  <conditionalFormatting sqref="W403">
    <cfRule type="expression" dxfId="1000" priority="2624">
      <formula>AND($R$403,$S$403)</formula>
    </cfRule>
  </conditionalFormatting>
  <conditionalFormatting sqref="W403">
    <cfRule type="expression" dxfId="999" priority="2623">
      <formula>AND(IF($R$403,$W$403,TRUE),LEN(TRIM($W$403))&gt;0)</formula>
    </cfRule>
  </conditionalFormatting>
  <conditionalFormatting sqref="W403">
    <cfRule type="expression" dxfId="998" priority="2622">
      <formula>OR($S$403 = FALSE, AND($P$403 = FALSE, ReportType &lt;&gt; "Final"), AND($Q$403 = FALSE, ReportType &lt;&gt; "Rough"))</formula>
    </cfRule>
  </conditionalFormatting>
  <conditionalFormatting sqref="W403">
    <cfRule type="expression" dxfId="997" priority="2621">
      <formula>OR($T$403 = TRUE, AND($W$403 = TRUE, $S$403 = FALSE))</formula>
    </cfRule>
  </conditionalFormatting>
  <conditionalFormatting sqref="W405">
    <cfRule type="expression" dxfId="996" priority="2620">
      <formula>AND($R$405,$S$405)</formula>
    </cfRule>
  </conditionalFormatting>
  <conditionalFormatting sqref="W405">
    <cfRule type="expression" dxfId="995" priority="2619">
      <formula>AND(IF($R$405,$W$405,TRUE),LEN(TRIM($W$405))&gt;0)</formula>
    </cfRule>
  </conditionalFormatting>
  <conditionalFormatting sqref="W405">
    <cfRule type="expression" dxfId="994" priority="2618">
      <formula>OR($S$405 = FALSE, AND($P$405 = FALSE, ReportType &lt;&gt; "Final"), AND($Q$405 = FALSE, ReportType &lt;&gt; "Rough"))</formula>
    </cfRule>
  </conditionalFormatting>
  <conditionalFormatting sqref="W405">
    <cfRule type="expression" dxfId="993" priority="2617">
      <formula>OR($T$405 = TRUE, AND($W$405 = TRUE, $S$405 = FALSE))</formula>
    </cfRule>
  </conditionalFormatting>
  <conditionalFormatting sqref="W407">
    <cfRule type="expression" dxfId="992" priority="2616">
      <formula>AND($R$407,$S$407)</formula>
    </cfRule>
  </conditionalFormatting>
  <conditionalFormatting sqref="W407">
    <cfRule type="expression" dxfId="991" priority="2615">
      <formula>AND(IF($R$407,$W$407,TRUE),LEN(TRIM($W$407))&gt;0)</formula>
    </cfRule>
  </conditionalFormatting>
  <conditionalFormatting sqref="W407">
    <cfRule type="expression" dxfId="990" priority="2614">
      <formula>OR($S$407 = FALSE, AND($P$407 = FALSE, ReportType &lt;&gt; "Final"), AND($Q$407 = FALSE, ReportType &lt;&gt; "Rough"))</formula>
    </cfRule>
  </conditionalFormatting>
  <conditionalFormatting sqref="W407">
    <cfRule type="expression" dxfId="989" priority="2613">
      <formula>OR($T$407 = TRUE, AND($W$407 = TRUE, $S$407 = FALSE))</formula>
    </cfRule>
  </conditionalFormatting>
  <conditionalFormatting sqref="W435">
    <cfRule type="expression" dxfId="988" priority="2608">
      <formula>AND($R$435,$S$435)</formula>
    </cfRule>
  </conditionalFormatting>
  <conditionalFormatting sqref="W435">
    <cfRule type="expression" dxfId="987" priority="2607">
      <formula>AND(IF($R$435,$W$435,TRUE),LEN(TRIM($W$435))&gt;0)</formula>
    </cfRule>
  </conditionalFormatting>
  <conditionalFormatting sqref="W435">
    <cfRule type="expression" dxfId="986" priority="2606">
      <formula>OR($S$435 = FALSE, AND($P$435 = FALSE, ReportType &lt;&gt; "Final"), AND($Q$435 = FALSE, ReportType &lt;&gt; "Rough"))</formula>
    </cfRule>
  </conditionalFormatting>
  <conditionalFormatting sqref="W435">
    <cfRule type="expression" dxfId="985" priority="2605">
      <formula>OR($T$435 = TRUE, AND($W$435 = TRUE, $S$435 = FALSE))</formula>
    </cfRule>
  </conditionalFormatting>
  <conditionalFormatting sqref="W438">
    <cfRule type="expression" dxfId="984" priority="2604">
      <formula>AND($R$438,$S$438)</formula>
    </cfRule>
  </conditionalFormatting>
  <conditionalFormatting sqref="W438">
    <cfRule type="expression" dxfId="983" priority="2603">
      <formula>AND(IF($R$438,$W$438,TRUE),LEN(TRIM($W$438))&gt;0)</formula>
    </cfRule>
  </conditionalFormatting>
  <conditionalFormatting sqref="W438">
    <cfRule type="expression" dxfId="982" priority="2602">
      <formula>OR($S$438 = FALSE, AND($P$438 = FALSE, ReportType &lt;&gt; "Final"), AND($Q$438 = FALSE, ReportType &lt;&gt; "Rough"))</formula>
    </cfRule>
  </conditionalFormatting>
  <conditionalFormatting sqref="W438">
    <cfRule type="expression" dxfId="981" priority="2601">
      <formula>OR($T$438 = TRUE, AND($W$438 = TRUE, $S$438 = FALSE))</formula>
    </cfRule>
  </conditionalFormatting>
  <conditionalFormatting sqref="W439">
    <cfRule type="expression" dxfId="980" priority="2600">
      <formula>AND($R$439,$S$439)</formula>
    </cfRule>
  </conditionalFormatting>
  <conditionalFormatting sqref="W439">
    <cfRule type="expression" dxfId="979" priority="2599">
      <formula>AND(IF($R$439,$W$439,TRUE),LEN(TRIM($W$439))&gt;0)</formula>
    </cfRule>
  </conditionalFormatting>
  <conditionalFormatting sqref="W439">
    <cfRule type="expression" dxfId="978" priority="2598">
      <formula>OR($S$439 = FALSE, AND($P$439 = FALSE, ReportType &lt;&gt; "Final"), AND($Q$439 = FALSE, ReportType &lt;&gt; "Rough"))</formula>
    </cfRule>
  </conditionalFormatting>
  <conditionalFormatting sqref="W439">
    <cfRule type="expression" dxfId="977" priority="2597">
      <formula>OR($T$439 = TRUE, AND($W$439 = TRUE, $S$439 = FALSE))</formula>
    </cfRule>
  </conditionalFormatting>
  <conditionalFormatting sqref="W449">
    <cfRule type="expression" dxfId="976" priority="2596">
      <formula>AND($R$449,$S$449)</formula>
    </cfRule>
  </conditionalFormatting>
  <conditionalFormatting sqref="W449">
    <cfRule type="expression" dxfId="975" priority="2595">
      <formula>AND(IF($R$449,$W$449,TRUE),LEN(TRIM($W$449))&gt;0)</formula>
    </cfRule>
  </conditionalFormatting>
  <conditionalFormatting sqref="W449">
    <cfRule type="expression" dxfId="974" priority="2594">
      <formula>OR($S$449 = FALSE, AND($P$449 = FALSE, ReportType &lt;&gt; "Final"), AND($Q$449 = FALSE, ReportType &lt;&gt; "Rough"))</formula>
    </cfRule>
  </conditionalFormatting>
  <conditionalFormatting sqref="W449">
    <cfRule type="expression" dxfId="973" priority="2593">
      <formula>OR($T$449 = TRUE, AND($W$449 = TRUE, $S$449 = FALSE))</formula>
    </cfRule>
  </conditionalFormatting>
  <conditionalFormatting sqref="W451">
    <cfRule type="expression" dxfId="972" priority="2592">
      <formula>AND($R$451,$S$451)</formula>
    </cfRule>
  </conditionalFormatting>
  <conditionalFormatting sqref="W451">
    <cfRule type="expression" dxfId="971" priority="2591">
      <formula>AND(IF($R$451,$W$451,TRUE),LEN(TRIM($W$451))&gt;0)</formula>
    </cfRule>
  </conditionalFormatting>
  <conditionalFormatting sqref="W451">
    <cfRule type="expression" dxfId="970" priority="2590">
      <formula>OR($S$451 = FALSE, AND($P$451 = FALSE, ReportType &lt;&gt; "Final"), AND($Q$451 = FALSE, ReportType &lt;&gt; "Rough"))</formula>
    </cfRule>
  </conditionalFormatting>
  <conditionalFormatting sqref="W451">
    <cfRule type="expression" dxfId="969" priority="2589">
      <formula>OR($T$451 = TRUE, AND($W$451 = TRUE, $S$451 = FALSE))</formula>
    </cfRule>
  </conditionalFormatting>
  <conditionalFormatting sqref="W469">
    <cfRule type="expression" dxfId="968" priority="2588">
      <formula>AND($R$469,$S$469)</formula>
    </cfRule>
  </conditionalFormatting>
  <conditionalFormatting sqref="W469">
    <cfRule type="expression" dxfId="967" priority="2587">
      <formula>AND(IF($R$469,$W$469,TRUE),LEN(TRIM($W$469))&gt;0)</formula>
    </cfRule>
  </conditionalFormatting>
  <conditionalFormatting sqref="W469">
    <cfRule type="expression" dxfId="966" priority="2586">
      <formula>OR($S$469 = FALSE, AND($P$469 = FALSE, ReportType &lt;&gt; "Final"), AND($Q$469 = FALSE, ReportType &lt;&gt; "Rough"))</formula>
    </cfRule>
  </conditionalFormatting>
  <conditionalFormatting sqref="W469">
    <cfRule type="expression" dxfId="965" priority="2585">
      <formula>OR($T$469 = TRUE, AND($W$469 = TRUE, $S$469 = FALSE))</formula>
    </cfRule>
  </conditionalFormatting>
  <conditionalFormatting sqref="W480">
    <cfRule type="expression" dxfId="964" priority="2584">
      <formula>AND($R$480,$S$480)</formula>
    </cfRule>
  </conditionalFormatting>
  <conditionalFormatting sqref="W480">
    <cfRule type="expression" dxfId="963" priority="2583">
      <formula>AND(IF($R$480,$W$480,TRUE),LEN(TRIM($W$480))&gt;0)</formula>
    </cfRule>
  </conditionalFormatting>
  <conditionalFormatting sqref="W480">
    <cfRule type="expression" dxfId="962" priority="2582">
      <formula>OR($S$480 = FALSE, AND($P$480 = FALSE, ReportType &lt;&gt; "Final"), AND($Q$480 = FALSE, ReportType &lt;&gt; "Rough"))</formula>
    </cfRule>
  </conditionalFormatting>
  <conditionalFormatting sqref="W480">
    <cfRule type="expression" dxfId="961" priority="2581">
      <formula>OR($T$480 = TRUE, AND($W$480 = TRUE, $S$480 = FALSE))</formula>
    </cfRule>
  </conditionalFormatting>
  <conditionalFormatting sqref="W481">
    <cfRule type="expression" dxfId="960" priority="2580">
      <formula>AND($R$481,$S$481)</formula>
    </cfRule>
  </conditionalFormatting>
  <conditionalFormatting sqref="W481">
    <cfRule type="expression" dxfId="959" priority="2579">
      <formula>AND(IF($R$481,$W$481,TRUE),LEN(TRIM($W$481))&gt;0)</formula>
    </cfRule>
  </conditionalFormatting>
  <conditionalFormatting sqref="W481">
    <cfRule type="expression" dxfId="958" priority="2578">
      <formula>OR($S$481 = FALSE, AND($P$481 = FALSE, ReportType &lt;&gt; "Final"), AND($Q$481 = FALSE, ReportType &lt;&gt; "Rough"))</formula>
    </cfRule>
  </conditionalFormatting>
  <conditionalFormatting sqref="W481">
    <cfRule type="expression" dxfId="957" priority="2577">
      <formula>OR($T$481 = TRUE, AND($W$481 = TRUE, $S$481 = FALSE))</formula>
    </cfRule>
  </conditionalFormatting>
  <conditionalFormatting sqref="W486">
    <cfRule type="expression" dxfId="956" priority="2576">
      <formula>AND($R$486,$S$486)</formula>
    </cfRule>
  </conditionalFormatting>
  <conditionalFormatting sqref="W486">
    <cfRule type="expression" dxfId="955" priority="2575">
      <formula>AND(IF($R$486,$W$486,TRUE),LEN(TRIM($W$486))&gt;0)</formula>
    </cfRule>
  </conditionalFormatting>
  <conditionalFormatting sqref="W486">
    <cfRule type="expression" dxfId="954" priority="2574">
      <formula>OR($S$486 = FALSE, AND($P$486 = FALSE, ReportType &lt;&gt; "Final"), AND($Q$486 = FALSE, ReportType &lt;&gt; "Rough"))</formula>
    </cfRule>
  </conditionalFormatting>
  <conditionalFormatting sqref="W486">
    <cfRule type="expression" dxfId="953" priority="2573">
      <formula>OR($T$486 = TRUE, AND($W$486 = TRUE, $S$486 = FALSE))</formula>
    </cfRule>
  </conditionalFormatting>
  <conditionalFormatting sqref="W488">
    <cfRule type="expression" dxfId="952" priority="2572">
      <formula>AND($R$488,$S$488)</formula>
    </cfRule>
  </conditionalFormatting>
  <conditionalFormatting sqref="W488">
    <cfRule type="expression" dxfId="951" priority="2571">
      <formula>AND(IF($R$488,$W$488,TRUE),LEN(TRIM($W$488))&gt;0)</formula>
    </cfRule>
  </conditionalFormatting>
  <conditionalFormatting sqref="W488">
    <cfRule type="expression" dxfId="950" priority="2570">
      <formula>OR($S$488 = FALSE, AND($P$488 = FALSE, ReportType &lt;&gt; "Final"), AND($Q$488 = FALSE, ReportType &lt;&gt; "Rough"))</formula>
    </cfRule>
  </conditionalFormatting>
  <conditionalFormatting sqref="W488">
    <cfRule type="expression" dxfId="949" priority="2569">
      <formula>OR($T$488 = TRUE, AND($W$488 = TRUE, $S$488 = FALSE))</formula>
    </cfRule>
  </conditionalFormatting>
  <conditionalFormatting sqref="W489">
    <cfRule type="expression" dxfId="948" priority="2568">
      <formula>AND($R$489,$S$489)</formula>
    </cfRule>
  </conditionalFormatting>
  <conditionalFormatting sqref="W489">
    <cfRule type="expression" dxfId="947" priority="2567">
      <formula>AND(IF($R$489,$W$489,TRUE),LEN(TRIM($W$489))&gt;0)</formula>
    </cfRule>
  </conditionalFormatting>
  <conditionalFormatting sqref="W489">
    <cfRule type="expression" dxfId="946" priority="2566">
      <formula>OR($S$489 = FALSE, AND($P$489 = FALSE, ReportType &lt;&gt; "Final"), AND($Q$489 = FALSE, ReportType &lt;&gt; "Rough"))</formula>
    </cfRule>
  </conditionalFormatting>
  <conditionalFormatting sqref="W489">
    <cfRule type="expression" dxfId="945" priority="2565">
      <formula>OR($T$489 = TRUE, AND($W$489 = TRUE, $S$489 = FALSE))</formula>
    </cfRule>
  </conditionalFormatting>
  <conditionalFormatting sqref="W492">
    <cfRule type="expression" dxfId="944" priority="2564">
      <formula>AND($R$492,$S$492)</formula>
    </cfRule>
  </conditionalFormatting>
  <conditionalFormatting sqref="W492">
    <cfRule type="expression" dxfId="943" priority="2563">
      <formula>AND(IF($R$492,$W$492,TRUE),LEN(TRIM($W$492))&gt;0)</formula>
    </cfRule>
  </conditionalFormatting>
  <conditionalFormatting sqref="W492">
    <cfRule type="expression" dxfId="942" priority="2562">
      <formula>OR($S$492 = FALSE, AND($P$492 = FALSE, ReportType &lt;&gt; "Final"), AND($Q$492 = FALSE, ReportType &lt;&gt; "Rough"))</formula>
    </cfRule>
  </conditionalFormatting>
  <conditionalFormatting sqref="W492">
    <cfRule type="expression" dxfId="941" priority="2561">
      <formula>OR($T$492 = TRUE, AND($W$492 = TRUE, $S$492 = FALSE))</formula>
    </cfRule>
  </conditionalFormatting>
  <conditionalFormatting sqref="W496">
    <cfRule type="expression" dxfId="940" priority="2560">
      <formula>AND($R$496,$S$496)</formula>
    </cfRule>
  </conditionalFormatting>
  <conditionalFormatting sqref="W496">
    <cfRule type="expression" dxfId="939" priority="2559">
      <formula>AND(IF($R$496,$W$496,TRUE),LEN(TRIM($W$496))&gt;0)</formula>
    </cfRule>
  </conditionalFormatting>
  <conditionalFormatting sqref="W496">
    <cfRule type="expression" dxfId="938" priority="2558">
      <formula>OR($S$496 = FALSE, AND($P$496 = FALSE, ReportType &lt;&gt; "Final"), AND($Q$496 = FALSE, ReportType &lt;&gt; "Rough"))</formula>
    </cfRule>
  </conditionalFormatting>
  <conditionalFormatting sqref="W496">
    <cfRule type="expression" dxfId="937" priority="2557">
      <formula>OR($T$496 = TRUE, AND($W$496 = TRUE, $S$496 = FALSE))</formula>
    </cfRule>
  </conditionalFormatting>
  <conditionalFormatting sqref="W501">
    <cfRule type="expression" dxfId="936" priority="2556">
      <formula>AND($R$501,$S$501)</formula>
    </cfRule>
  </conditionalFormatting>
  <conditionalFormatting sqref="W501">
    <cfRule type="expression" dxfId="935" priority="2555">
      <formula>AND(IF($R$501,$W$501,TRUE),LEN(TRIM($W$501))&gt;0)</formula>
    </cfRule>
  </conditionalFormatting>
  <conditionalFormatting sqref="W501">
    <cfRule type="expression" dxfId="934" priority="2554">
      <formula>OR($S$501 = FALSE, AND($P$501 = FALSE, ReportType &lt;&gt; "Final"), AND($Q$501 = FALSE, ReportType &lt;&gt; "Rough"))</formula>
    </cfRule>
  </conditionalFormatting>
  <conditionalFormatting sqref="W501">
    <cfRule type="expression" dxfId="933" priority="2553">
      <formula>OR($T$501 = TRUE, AND($W$501 = TRUE, $S$501 = FALSE))</formula>
    </cfRule>
  </conditionalFormatting>
  <conditionalFormatting sqref="W503">
    <cfRule type="expression" dxfId="932" priority="2552">
      <formula>AND($R$503,$S$503)</formula>
    </cfRule>
  </conditionalFormatting>
  <conditionalFormatting sqref="W503">
    <cfRule type="expression" dxfId="931" priority="2551">
      <formula>AND(IF($R$503,$W$503,TRUE),LEN(TRIM($W$503))&gt;0)</formula>
    </cfRule>
  </conditionalFormatting>
  <conditionalFormatting sqref="W503">
    <cfRule type="expression" dxfId="930" priority="2550">
      <formula>OR($S$503 = FALSE, AND($P$503 = FALSE, ReportType &lt;&gt; "Final"), AND($Q$503 = FALSE, ReportType &lt;&gt; "Rough"))</formula>
    </cfRule>
  </conditionalFormatting>
  <conditionalFormatting sqref="W503">
    <cfRule type="expression" dxfId="929" priority="2549">
      <formula>OR($T$503 = TRUE, AND($W$503 = TRUE, $S$503 = FALSE))</formula>
    </cfRule>
  </conditionalFormatting>
  <conditionalFormatting sqref="W520">
    <cfRule type="expression" dxfId="928" priority="2548">
      <formula>AND($R$520,$S$520)</formula>
    </cfRule>
  </conditionalFormatting>
  <conditionalFormatting sqref="W520">
    <cfRule type="expression" dxfId="927" priority="2547">
      <formula>AND(IF($R$520,$W$520,TRUE),LEN(TRIM($W$520))&gt;0)</formula>
    </cfRule>
  </conditionalFormatting>
  <conditionalFormatting sqref="W520">
    <cfRule type="expression" dxfId="926" priority="2546">
      <formula>OR($S$520 = FALSE, AND($P$520 = FALSE, ReportType &lt;&gt; "Final"), AND($Q$520 = FALSE, ReportType &lt;&gt; "Rough"))</formula>
    </cfRule>
  </conditionalFormatting>
  <conditionalFormatting sqref="W520">
    <cfRule type="expression" dxfId="925" priority="2545">
      <formula>OR($T$520 = TRUE, AND($W$520 = TRUE, $S$520 = FALSE))</formula>
    </cfRule>
  </conditionalFormatting>
  <conditionalFormatting sqref="W538">
    <cfRule type="expression" dxfId="924" priority="2544">
      <formula>AND($R$538,$S$538)</formula>
    </cfRule>
  </conditionalFormatting>
  <conditionalFormatting sqref="W538">
    <cfRule type="expression" dxfId="923" priority="2543">
      <formula>AND(IF($R$538,$W$538,TRUE),LEN(TRIM($W$538))&gt;0)</formula>
    </cfRule>
  </conditionalFormatting>
  <conditionalFormatting sqref="W538">
    <cfRule type="expression" dxfId="922" priority="2542">
      <formula>OR($S$538 = FALSE, AND($P$538 = FALSE, ReportType &lt;&gt; "Final"), AND($Q$538 = FALSE, ReportType &lt;&gt; "Rough"))</formula>
    </cfRule>
  </conditionalFormatting>
  <conditionalFormatting sqref="W538">
    <cfRule type="expression" dxfId="921" priority="2541">
      <formula>OR($T$538 = TRUE, AND($W$538 = TRUE, $S$538 = FALSE))</formula>
    </cfRule>
  </conditionalFormatting>
  <conditionalFormatting sqref="W551">
    <cfRule type="expression" dxfId="920" priority="2540">
      <formula>AND($R$551,$S$551)</formula>
    </cfRule>
  </conditionalFormatting>
  <conditionalFormatting sqref="W551">
    <cfRule type="expression" dxfId="919" priority="2539">
      <formula>AND(IF($R$551,$W$551,TRUE),LEN(TRIM($W$551))&gt;0)</formula>
    </cfRule>
  </conditionalFormatting>
  <conditionalFormatting sqref="W551">
    <cfRule type="expression" dxfId="918" priority="2538">
      <formula>OR($S$551 = FALSE, AND($P$551 = FALSE, ReportType &lt;&gt; "Final"), AND($Q$551 = FALSE, ReportType &lt;&gt; "Rough"))</formula>
    </cfRule>
  </conditionalFormatting>
  <conditionalFormatting sqref="W551">
    <cfRule type="expression" dxfId="917" priority="2537">
      <formula>OR($T$551 = TRUE, AND($W$551 = TRUE, $S$551 = FALSE))</formula>
    </cfRule>
  </conditionalFormatting>
  <conditionalFormatting sqref="W553">
    <cfRule type="expression" dxfId="916" priority="2536">
      <formula>AND($R$553,$S$553)</formula>
    </cfRule>
  </conditionalFormatting>
  <conditionalFormatting sqref="W553">
    <cfRule type="expression" dxfId="915" priority="2535">
      <formula>AND(IF($R$553,$W$553,TRUE),LEN(TRIM($W$553))&gt;0)</formula>
    </cfRule>
  </conditionalFormatting>
  <conditionalFormatting sqref="W553">
    <cfRule type="expression" dxfId="914" priority="2534">
      <formula>OR($S$553 = FALSE, AND($P$553 = FALSE, ReportType &lt;&gt; "Final"), AND($Q$553 = FALSE, ReportType &lt;&gt; "Rough"))</formula>
    </cfRule>
  </conditionalFormatting>
  <conditionalFormatting sqref="W553">
    <cfRule type="expression" dxfId="913" priority="2533">
      <formula>OR($T$553 = TRUE, AND($W$553 = TRUE, $S$553 = FALSE))</formula>
    </cfRule>
  </conditionalFormatting>
  <conditionalFormatting sqref="W566">
    <cfRule type="expression" dxfId="912" priority="2532">
      <formula>AND($R$566,$S$566)</formula>
    </cfRule>
  </conditionalFormatting>
  <conditionalFormatting sqref="W566">
    <cfRule type="expression" dxfId="911" priority="2531">
      <formula>AND(IF($R$566,$W$566,TRUE),LEN(TRIM($W$566))&gt;0)</formula>
    </cfRule>
  </conditionalFormatting>
  <conditionalFormatting sqref="W566">
    <cfRule type="expression" dxfId="910" priority="2530">
      <formula>OR($S$566 = FALSE, AND($P$566 = FALSE, ReportType &lt;&gt; "Final"), AND($Q$566 = FALSE, ReportType &lt;&gt; "Rough"))</formula>
    </cfRule>
  </conditionalFormatting>
  <conditionalFormatting sqref="W566">
    <cfRule type="expression" dxfId="909" priority="2529">
      <formula>OR($T$566 = TRUE, AND($W$566 = TRUE, $S$566 = FALSE))</formula>
    </cfRule>
  </conditionalFormatting>
  <conditionalFormatting sqref="W567">
    <cfRule type="expression" dxfId="908" priority="2528">
      <formula>AND($R$567,$S$567)</formula>
    </cfRule>
  </conditionalFormatting>
  <conditionalFormatting sqref="W567">
    <cfRule type="expression" dxfId="907" priority="2527">
      <formula>AND(IF($R$567,$W$567,TRUE),LEN(TRIM($W$567))&gt;0)</formula>
    </cfRule>
  </conditionalFormatting>
  <conditionalFormatting sqref="W567">
    <cfRule type="expression" dxfId="906" priority="2526">
      <formula>OR($S$567 = FALSE, AND($P$567 = FALSE, ReportType &lt;&gt; "Final"), AND($Q$567 = FALSE, ReportType &lt;&gt; "Rough"))</formula>
    </cfRule>
  </conditionalFormatting>
  <conditionalFormatting sqref="W567">
    <cfRule type="expression" dxfId="905" priority="2525">
      <formula>OR($T$567 = TRUE, AND($W$567 = TRUE, $S$567 = FALSE))</formula>
    </cfRule>
  </conditionalFormatting>
  <conditionalFormatting sqref="W568">
    <cfRule type="expression" dxfId="904" priority="2524">
      <formula>AND($R$568,$S$568)</formula>
    </cfRule>
  </conditionalFormatting>
  <conditionalFormatting sqref="W568">
    <cfRule type="expression" dxfId="903" priority="2523">
      <formula>AND(IF($R$568,$W$568,TRUE),LEN(TRIM($W$568))&gt;0)</formula>
    </cfRule>
  </conditionalFormatting>
  <conditionalFormatting sqref="W568">
    <cfRule type="expression" dxfId="902" priority="2522">
      <formula>OR($S$568 = FALSE, AND($P$568 = FALSE, ReportType &lt;&gt; "Final"), AND($Q$568 = FALSE, ReportType &lt;&gt; "Rough"))</formula>
    </cfRule>
  </conditionalFormatting>
  <conditionalFormatting sqref="W568">
    <cfRule type="expression" dxfId="901" priority="2521">
      <formula>OR($T$568 = TRUE, AND($W$568 = TRUE, $S$568 = FALSE))</formula>
    </cfRule>
  </conditionalFormatting>
  <conditionalFormatting sqref="W569">
    <cfRule type="expression" dxfId="900" priority="2520">
      <formula>AND($R$569,$S$569)</formula>
    </cfRule>
  </conditionalFormatting>
  <conditionalFormatting sqref="W569">
    <cfRule type="expression" dxfId="899" priority="2519">
      <formula>AND(IF($R$569,$W$569,TRUE),LEN(TRIM($W$569))&gt;0)</formula>
    </cfRule>
  </conditionalFormatting>
  <conditionalFormatting sqref="W569">
    <cfRule type="expression" dxfId="898" priority="2518">
      <formula>OR($S$569 = FALSE, AND($P$569 = FALSE, ReportType &lt;&gt; "Final"), AND($Q$569 = FALSE, ReportType &lt;&gt; "Rough"))</formula>
    </cfRule>
  </conditionalFormatting>
  <conditionalFormatting sqref="W569">
    <cfRule type="expression" dxfId="897" priority="2517">
      <formula>OR($T$569 = TRUE, AND($W$569 = TRUE, $S$569 = FALSE))</formula>
    </cfRule>
  </conditionalFormatting>
  <conditionalFormatting sqref="W570">
    <cfRule type="expression" dxfId="896" priority="2516">
      <formula>AND($R$570,$S$570)</formula>
    </cfRule>
  </conditionalFormatting>
  <conditionalFormatting sqref="W570">
    <cfRule type="expression" dxfId="895" priority="2515">
      <formula>AND(IF($R$570,$W$570,TRUE),LEN(TRIM($W$570))&gt;0)</formula>
    </cfRule>
  </conditionalFormatting>
  <conditionalFormatting sqref="W570">
    <cfRule type="expression" dxfId="894" priority="2514">
      <formula>OR($S$570 = FALSE, AND($P$570 = FALSE, ReportType &lt;&gt; "Final"), AND($Q$570 = FALSE, ReportType &lt;&gt; "Rough"))</formula>
    </cfRule>
  </conditionalFormatting>
  <conditionalFormatting sqref="W570">
    <cfRule type="expression" dxfId="893" priority="2513">
      <formula>OR($T$570 = TRUE, AND($W$570 = TRUE, $S$570 = FALSE))</formula>
    </cfRule>
  </conditionalFormatting>
  <conditionalFormatting sqref="W571">
    <cfRule type="expression" dxfId="892" priority="2512">
      <formula>AND($R$571,$S$571)</formula>
    </cfRule>
  </conditionalFormatting>
  <conditionalFormatting sqref="W571">
    <cfRule type="expression" dxfId="891" priority="2511">
      <formula>AND(IF($R$571,$W$571,TRUE),LEN(TRIM($W$571))&gt;0)</formula>
    </cfRule>
  </conditionalFormatting>
  <conditionalFormatting sqref="W571">
    <cfRule type="expression" dxfId="890" priority="2510">
      <formula>OR($S$571 = FALSE, AND($P$571 = FALSE, ReportType &lt;&gt; "Final"), AND($Q$571 = FALSE, ReportType &lt;&gt; "Rough"))</formula>
    </cfRule>
  </conditionalFormatting>
  <conditionalFormatting sqref="W571">
    <cfRule type="expression" dxfId="889" priority="2509">
      <formula>OR($T$571 = TRUE, AND($W$571 = TRUE, $S$571 = FALSE))</formula>
    </cfRule>
  </conditionalFormatting>
  <conditionalFormatting sqref="W572">
    <cfRule type="expression" dxfId="888" priority="2508">
      <formula>AND($R$572,$S$572)</formula>
    </cfRule>
  </conditionalFormatting>
  <conditionalFormatting sqref="W572">
    <cfRule type="expression" dxfId="887" priority="2507">
      <formula>AND(IF($R$572,$W$572,TRUE),LEN(TRIM($W$572))&gt;0)</formula>
    </cfRule>
  </conditionalFormatting>
  <conditionalFormatting sqref="W572">
    <cfRule type="expression" dxfId="886" priority="2506">
      <formula>OR($S$572 = FALSE, AND($P$572 = FALSE, ReportType &lt;&gt; "Final"), AND($Q$572 = FALSE, ReportType &lt;&gt; "Rough"))</formula>
    </cfRule>
  </conditionalFormatting>
  <conditionalFormatting sqref="W572">
    <cfRule type="expression" dxfId="885" priority="2505">
      <formula>OR($T$572 = TRUE, AND($W$572 = TRUE, $S$572 = FALSE))</formula>
    </cfRule>
  </conditionalFormatting>
  <conditionalFormatting sqref="W573">
    <cfRule type="expression" dxfId="884" priority="2504">
      <formula>AND($R$573,$S$573)</formula>
    </cfRule>
  </conditionalFormatting>
  <conditionalFormatting sqref="W573">
    <cfRule type="expression" dxfId="883" priority="2503">
      <formula>AND(IF($R$573,$W$573,TRUE),LEN(TRIM($W$573))&gt;0)</formula>
    </cfRule>
  </conditionalFormatting>
  <conditionalFormatting sqref="W573">
    <cfRule type="expression" dxfId="882" priority="2502">
      <formula>OR($S$573 = FALSE, AND($P$573 = FALSE, ReportType &lt;&gt; "Final"), AND($Q$573 = FALSE, ReportType &lt;&gt; "Rough"))</formula>
    </cfRule>
  </conditionalFormatting>
  <conditionalFormatting sqref="W573">
    <cfRule type="expression" dxfId="881" priority="2501">
      <formula>OR($T$573 = TRUE, AND($W$573 = TRUE, $S$573 = FALSE))</formula>
    </cfRule>
  </conditionalFormatting>
  <conditionalFormatting sqref="W574">
    <cfRule type="expression" dxfId="880" priority="2500">
      <formula>AND($R$574,$S$574)</formula>
    </cfRule>
  </conditionalFormatting>
  <conditionalFormatting sqref="W574">
    <cfRule type="expression" dxfId="879" priority="2499">
      <formula>AND(IF($R$574,$W$574,TRUE),LEN(TRIM($W$574))&gt;0)</formula>
    </cfRule>
  </conditionalFormatting>
  <conditionalFormatting sqref="W574">
    <cfRule type="expression" dxfId="878" priority="2498">
      <formula>OR($S$574 = FALSE, AND($P$574 = FALSE, ReportType &lt;&gt; "Final"), AND($Q$574 = FALSE, ReportType &lt;&gt; "Rough"))</formula>
    </cfRule>
  </conditionalFormatting>
  <conditionalFormatting sqref="W574">
    <cfRule type="expression" dxfId="877" priority="2497">
      <formula>OR($T$574 = TRUE, AND($W$574 = TRUE, $S$574 = FALSE))</formula>
    </cfRule>
  </conditionalFormatting>
  <conditionalFormatting sqref="W621">
    <cfRule type="expression" dxfId="876" priority="2496">
      <formula>AND($R$621,$S$621)</formula>
    </cfRule>
  </conditionalFormatting>
  <conditionalFormatting sqref="W621">
    <cfRule type="expression" dxfId="875" priority="2495">
      <formula>AND(IF($R$621,$W$621,TRUE),LEN(TRIM($W$621))&gt;0)</formula>
    </cfRule>
  </conditionalFormatting>
  <conditionalFormatting sqref="W621">
    <cfRule type="expression" dxfId="874" priority="2494">
      <formula>OR($S$621 = FALSE, AND($P$621 = FALSE, ReportType &lt;&gt; "Final"), AND($Q$621 = FALSE, ReportType &lt;&gt; "Rough"))</formula>
    </cfRule>
  </conditionalFormatting>
  <conditionalFormatting sqref="W621">
    <cfRule type="expression" dxfId="873" priority="2493">
      <formula>OR($T$621 = TRUE, AND($W$621 = TRUE, $S$621 = FALSE))</formula>
    </cfRule>
  </conditionalFormatting>
  <conditionalFormatting sqref="W623">
    <cfRule type="expression" dxfId="872" priority="2492">
      <formula>AND($R$623,$S$623)</formula>
    </cfRule>
  </conditionalFormatting>
  <conditionalFormatting sqref="W623">
    <cfRule type="expression" dxfId="871" priority="2491">
      <formula>AND(IF($R$623,$W$623,TRUE),LEN(TRIM($W$623))&gt;0)</formula>
    </cfRule>
  </conditionalFormatting>
  <conditionalFormatting sqref="W623">
    <cfRule type="expression" dxfId="870" priority="2490">
      <formula>OR($S$623 = FALSE, AND($P$623 = FALSE, ReportType &lt;&gt; "Final"), AND($Q$623 = FALSE, ReportType &lt;&gt; "Rough"))</formula>
    </cfRule>
  </conditionalFormatting>
  <conditionalFormatting sqref="W623">
    <cfRule type="expression" dxfId="869" priority="2489">
      <formula>OR($T$623 = TRUE, AND($W$623 = TRUE, $S$623 = FALSE))</formula>
    </cfRule>
  </conditionalFormatting>
  <conditionalFormatting sqref="W624">
    <cfRule type="expression" dxfId="868" priority="2488">
      <formula>AND($R$624,$S$624)</formula>
    </cfRule>
  </conditionalFormatting>
  <conditionalFormatting sqref="W624">
    <cfRule type="expression" dxfId="867" priority="2487">
      <formula>AND(IF($R$624,$W$624,TRUE),LEN(TRIM($W$624))&gt;0)</formula>
    </cfRule>
  </conditionalFormatting>
  <conditionalFormatting sqref="W624">
    <cfRule type="expression" dxfId="866" priority="2486">
      <formula>OR($S$624 = FALSE, AND($P$624 = FALSE, ReportType &lt;&gt; "Final"), AND($Q$624 = FALSE, ReportType &lt;&gt; "Rough"))</formula>
    </cfRule>
  </conditionalFormatting>
  <conditionalFormatting sqref="W624">
    <cfRule type="expression" dxfId="865" priority="2485">
      <formula>OR($T$624 = TRUE, AND($W$624 = TRUE, $S$624 = FALSE))</formula>
    </cfRule>
  </conditionalFormatting>
  <conditionalFormatting sqref="W652">
    <cfRule type="expression" dxfId="864" priority="2484">
      <formula>AND($R$652,$S$652)</formula>
    </cfRule>
  </conditionalFormatting>
  <conditionalFormatting sqref="W652">
    <cfRule type="expression" dxfId="863" priority="2483">
      <formula>AND(IF($R$652,$W$652,TRUE),LEN(TRIM($W$652))&gt;0)</formula>
    </cfRule>
  </conditionalFormatting>
  <conditionalFormatting sqref="W652">
    <cfRule type="expression" dxfId="862" priority="2482">
      <formula>OR($S$652 = FALSE, AND($P$652 = FALSE, ReportType &lt;&gt; "Final"), AND($Q$652 = FALSE, ReportType &lt;&gt; "Rough"))</formula>
    </cfRule>
  </conditionalFormatting>
  <conditionalFormatting sqref="W652">
    <cfRule type="expression" dxfId="861" priority="2481">
      <formula>OR($T$652 = TRUE, AND($W$652 = TRUE, $S$652 = FALSE))</formula>
    </cfRule>
  </conditionalFormatting>
  <conditionalFormatting sqref="W661">
    <cfRule type="expression" dxfId="860" priority="2480">
      <formula>AND($R$661,$S$661)</formula>
    </cfRule>
  </conditionalFormatting>
  <conditionalFormatting sqref="W661">
    <cfRule type="expression" dxfId="859" priority="2479">
      <formula>AND(IF($R$661,$W$661,TRUE),LEN(TRIM($W$661))&gt;0)</formula>
    </cfRule>
  </conditionalFormatting>
  <conditionalFormatting sqref="W661">
    <cfRule type="expression" dxfId="858" priority="2478">
      <formula>OR($S$661 = FALSE, AND($P$661 = FALSE, ReportType &lt;&gt; "Final"), AND($Q$661 = FALSE, ReportType &lt;&gt; "Rough"))</formula>
    </cfRule>
  </conditionalFormatting>
  <conditionalFormatting sqref="W661">
    <cfRule type="expression" dxfId="857" priority="2477">
      <formula>OR($T$661 = TRUE, AND($W$661 = TRUE, $S$661 = FALSE))</formula>
    </cfRule>
  </conditionalFormatting>
  <conditionalFormatting sqref="W668">
    <cfRule type="expression" dxfId="856" priority="2476">
      <formula>AND($R$668,$S$668)</formula>
    </cfRule>
  </conditionalFormatting>
  <conditionalFormatting sqref="W668">
    <cfRule type="expression" dxfId="855" priority="2475">
      <formula>AND(IF($R$668,$W$668,TRUE),LEN(TRIM($W$668))&gt;0)</formula>
    </cfRule>
  </conditionalFormatting>
  <conditionalFormatting sqref="W668">
    <cfRule type="expression" dxfId="854" priority="2474">
      <formula>OR($S$668 = FALSE, AND($P$668 = FALSE, ReportType &lt;&gt; "Final"), AND($Q$668 = FALSE, ReportType &lt;&gt; "Rough"))</formula>
    </cfRule>
  </conditionalFormatting>
  <conditionalFormatting sqref="W668">
    <cfRule type="expression" dxfId="853" priority="2473">
      <formula>OR($T$668 = TRUE, AND($W$668 = TRUE, $S$668 = FALSE))</formula>
    </cfRule>
  </conditionalFormatting>
  <conditionalFormatting sqref="W724">
    <cfRule type="expression" dxfId="852" priority="2472">
      <formula>AND($R$724,$S$724)</formula>
    </cfRule>
  </conditionalFormatting>
  <conditionalFormatting sqref="W724">
    <cfRule type="expression" dxfId="851" priority="2471">
      <formula>AND(IF($R$724,$W$724,TRUE),LEN(TRIM($W$724))&gt;0)</formula>
    </cfRule>
  </conditionalFormatting>
  <conditionalFormatting sqref="W724">
    <cfRule type="expression" dxfId="850" priority="2470">
      <formula>OR($S$724 = FALSE, AND($P$724 = FALSE, ReportType &lt;&gt; "Final"), AND($Q$724 = FALSE, ReportType &lt;&gt; "Rough"))</formula>
    </cfRule>
  </conditionalFormatting>
  <conditionalFormatting sqref="W724">
    <cfRule type="expression" dxfId="849" priority="2469">
      <formula>OR($T$724 = TRUE, AND($W$724 = TRUE, $S$724 = FALSE))</formula>
    </cfRule>
  </conditionalFormatting>
  <conditionalFormatting sqref="W725">
    <cfRule type="expression" dxfId="848" priority="2468">
      <formula>AND($R$725,$S$725)</formula>
    </cfRule>
  </conditionalFormatting>
  <conditionalFormatting sqref="W725">
    <cfRule type="expression" dxfId="847" priority="2467">
      <formula>AND(IF($R$725,$W$725,TRUE),LEN(TRIM($W$725))&gt;0)</formula>
    </cfRule>
  </conditionalFormatting>
  <conditionalFormatting sqref="W725">
    <cfRule type="expression" dxfId="846" priority="2466">
      <formula>OR($S$725 = FALSE, AND($P$725 = FALSE, ReportType &lt;&gt; "Final"), AND($Q$725 = FALSE, ReportType &lt;&gt; "Rough"))</formula>
    </cfRule>
  </conditionalFormatting>
  <conditionalFormatting sqref="W725">
    <cfRule type="expression" dxfId="845" priority="2465">
      <formula>OR($T$725 = TRUE, AND($W$725 = TRUE, $S$725 = FALSE))</formula>
    </cfRule>
  </conditionalFormatting>
  <conditionalFormatting sqref="W727">
    <cfRule type="expression" dxfId="844" priority="2464">
      <formula>AND($R$727,$S$727)</formula>
    </cfRule>
  </conditionalFormatting>
  <conditionalFormatting sqref="W727">
    <cfRule type="expression" dxfId="843" priority="2463">
      <formula>AND(IF($R$727,$W$727,TRUE),LEN(TRIM($W$727))&gt;0)</formula>
    </cfRule>
  </conditionalFormatting>
  <conditionalFormatting sqref="W727">
    <cfRule type="expression" dxfId="842" priority="2462">
      <formula>OR($S$727 = FALSE, AND($P$727 = FALSE, ReportType &lt;&gt; "Final"), AND($Q$727 = FALSE, ReportType &lt;&gt; "Rough"))</formula>
    </cfRule>
  </conditionalFormatting>
  <conditionalFormatting sqref="W727">
    <cfRule type="expression" dxfId="841" priority="2461">
      <formula>OR($T$727 = TRUE, AND($W$727 = TRUE, $S$727 = FALSE))</formula>
    </cfRule>
  </conditionalFormatting>
  <conditionalFormatting sqref="W726">
    <cfRule type="expression" dxfId="840" priority="2460">
      <formula>AND($R$726,$S$726)</formula>
    </cfRule>
  </conditionalFormatting>
  <conditionalFormatting sqref="W726">
    <cfRule type="expression" dxfId="839" priority="2459">
      <formula>AND(IF($R$726,$W$726,TRUE),LEN(TRIM($W$726))&gt;0)</formula>
    </cfRule>
  </conditionalFormatting>
  <conditionalFormatting sqref="W726">
    <cfRule type="expression" dxfId="838" priority="2458">
      <formula>OR($S$726 = FALSE, AND($P$726 = FALSE, ReportType &lt;&gt; "Final"), AND($Q$726 = FALSE, ReportType &lt;&gt; "Rough"))</formula>
    </cfRule>
  </conditionalFormatting>
  <conditionalFormatting sqref="W726">
    <cfRule type="expression" dxfId="837" priority="2457">
      <formula>OR($T$726 = TRUE, AND($W$726 = TRUE, $S$726 = FALSE))</formula>
    </cfRule>
  </conditionalFormatting>
  <conditionalFormatting sqref="W728">
    <cfRule type="expression" dxfId="836" priority="2456">
      <formula>AND($R$728,$S$728)</formula>
    </cfRule>
  </conditionalFormatting>
  <conditionalFormatting sqref="W728">
    <cfRule type="expression" dxfId="835" priority="2455">
      <formula>AND(IF($R$728,$W$728,TRUE),LEN(TRIM($W$728))&gt;0)</formula>
    </cfRule>
  </conditionalFormatting>
  <conditionalFormatting sqref="W728">
    <cfRule type="expression" dxfId="834" priority="2454">
      <formula>OR($S$728 = FALSE, AND($P$728 = FALSE, ReportType &lt;&gt; "Final"), AND($Q$728 = FALSE, ReportType &lt;&gt; "Rough"))</formula>
    </cfRule>
  </conditionalFormatting>
  <conditionalFormatting sqref="W728">
    <cfRule type="expression" dxfId="833" priority="2453">
      <formula>OR($T$728 = TRUE, AND($W$728 = TRUE, $S$728 = FALSE))</formula>
    </cfRule>
  </conditionalFormatting>
  <conditionalFormatting sqref="W729">
    <cfRule type="expression" dxfId="832" priority="2452">
      <formula>AND($R$729,$S$729)</formula>
    </cfRule>
  </conditionalFormatting>
  <conditionalFormatting sqref="W729">
    <cfRule type="expression" dxfId="831" priority="2451">
      <formula>AND(IF($R$729,$W$729,TRUE),LEN(TRIM($W$729))&gt;0)</formula>
    </cfRule>
  </conditionalFormatting>
  <conditionalFormatting sqref="W729">
    <cfRule type="expression" dxfId="830" priority="2450">
      <formula>OR($S$729 = FALSE, AND($P$729 = FALSE, ReportType &lt;&gt; "Final"), AND($Q$729 = FALSE, ReportType &lt;&gt; "Rough"))</formula>
    </cfRule>
  </conditionalFormatting>
  <conditionalFormatting sqref="W729">
    <cfRule type="expression" dxfId="829" priority="2449">
      <formula>OR($T$729 = TRUE, AND($W$729 = TRUE, $S$729 = FALSE))</formula>
    </cfRule>
  </conditionalFormatting>
  <conditionalFormatting sqref="W730">
    <cfRule type="expression" dxfId="828" priority="2448">
      <formula>AND($R$730,$S$730)</formula>
    </cfRule>
  </conditionalFormatting>
  <conditionalFormatting sqref="W730">
    <cfRule type="expression" dxfId="827" priority="2447">
      <formula>AND(IF($R$730,$W$730,TRUE),LEN(TRIM($W$730))&gt;0)</formula>
    </cfRule>
  </conditionalFormatting>
  <conditionalFormatting sqref="W730">
    <cfRule type="expression" dxfId="826" priority="2446">
      <formula>OR($S$730 = FALSE, AND($P$730 = FALSE, ReportType &lt;&gt; "Final"), AND($Q$730 = FALSE, ReportType &lt;&gt; "Rough"))</formula>
    </cfRule>
  </conditionalFormatting>
  <conditionalFormatting sqref="W730">
    <cfRule type="expression" dxfId="825" priority="2445">
      <formula>OR($T$730 = TRUE, AND($W$730 = TRUE, $S$730 = FALSE))</formula>
    </cfRule>
  </conditionalFormatting>
  <conditionalFormatting sqref="W734">
    <cfRule type="expression" dxfId="824" priority="2444">
      <formula>AND($R$734,$S$734)</formula>
    </cfRule>
  </conditionalFormatting>
  <conditionalFormatting sqref="W734">
    <cfRule type="expression" dxfId="823" priority="2443">
      <formula>AND(IF($R$734,$W$734,TRUE),LEN(TRIM($W$734))&gt;0)</formula>
    </cfRule>
  </conditionalFormatting>
  <conditionalFormatting sqref="W734">
    <cfRule type="expression" dxfId="822" priority="2442">
      <formula>OR($S$734 = FALSE, AND($P$734 = FALSE, ReportType &lt;&gt; "Final"), AND($Q$734 = FALSE, ReportType &lt;&gt; "Rough"))</formula>
    </cfRule>
  </conditionalFormatting>
  <conditionalFormatting sqref="W734">
    <cfRule type="expression" dxfId="821" priority="2441">
      <formula>OR($T$734 = TRUE, AND($W$734 = TRUE, $S$734 = FALSE))</formula>
    </cfRule>
  </conditionalFormatting>
  <conditionalFormatting sqref="W739">
    <cfRule type="expression" dxfId="820" priority="2440">
      <formula>AND($R$739,$S$739)</formula>
    </cfRule>
  </conditionalFormatting>
  <conditionalFormatting sqref="W739">
    <cfRule type="expression" dxfId="819" priority="2439">
      <formula>AND(IF($R$739,$W$739,TRUE),LEN(TRIM($W$739))&gt;0)</formula>
    </cfRule>
  </conditionalFormatting>
  <conditionalFormatting sqref="W739">
    <cfRule type="expression" dxfId="818" priority="2438">
      <formula>OR($S$739 = FALSE, AND($P$739 = FALSE, ReportType &lt;&gt; "Final"), AND($Q$739 = FALSE, ReportType &lt;&gt; "Rough"))</formula>
    </cfRule>
  </conditionalFormatting>
  <conditionalFormatting sqref="W739">
    <cfRule type="expression" dxfId="817" priority="2437">
      <formula>OR($T$739 = TRUE, AND($W$739 = TRUE, $S$739 = FALSE))</formula>
    </cfRule>
  </conditionalFormatting>
  <conditionalFormatting sqref="W743">
    <cfRule type="expression" dxfId="816" priority="2436">
      <formula>AND($R$743,$S$743)</formula>
    </cfRule>
  </conditionalFormatting>
  <conditionalFormatting sqref="W743">
    <cfRule type="expression" dxfId="815" priority="2435">
      <formula>AND(IF($R$743,$W$743,TRUE),LEN(TRIM($W$743))&gt;0)</formula>
    </cfRule>
  </conditionalFormatting>
  <conditionalFormatting sqref="W743">
    <cfRule type="expression" dxfId="814" priority="2434">
      <formula>OR($S$743 = FALSE, AND($P$743 = FALSE, ReportType &lt;&gt; "Final"), AND($Q$743 = FALSE, ReportType &lt;&gt; "Rough"))</formula>
    </cfRule>
  </conditionalFormatting>
  <conditionalFormatting sqref="W743">
    <cfRule type="expression" dxfId="813" priority="2433">
      <formula>OR($T$743 = TRUE, AND($W$743 = TRUE, $S$743 = FALSE))</formula>
    </cfRule>
  </conditionalFormatting>
  <conditionalFormatting sqref="W745">
    <cfRule type="expression" dxfId="812" priority="2432">
      <formula>AND($R$745,$S$745)</formula>
    </cfRule>
  </conditionalFormatting>
  <conditionalFormatting sqref="W745">
    <cfRule type="expression" dxfId="811" priority="2431">
      <formula>AND(IF($R$745,$W$745,TRUE),LEN(TRIM($W$745))&gt;0)</formula>
    </cfRule>
  </conditionalFormatting>
  <conditionalFormatting sqref="W745">
    <cfRule type="expression" dxfId="810" priority="2430">
      <formula>OR($S$745 = FALSE, AND($P$745 = FALSE, ReportType &lt;&gt; "Final"), AND($Q$745 = FALSE, ReportType &lt;&gt; "Rough"))</formula>
    </cfRule>
  </conditionalFormatting>
  <conditionalFormatting sqref="W745">
    <cfRule type="expression" dxfId="809" priority="2429">
      <formula>OR($T$745 = TRUE, AND($W$745 = TRUE, $S$745 = FALSE))</formula>
    </cfRule>
  </conditionalFormatting>
  <conditionalFormatting sqref="W747">
    <cfRule type="expression" dxfId="808" priority="2428">
      <formula>AND($R$747,$S$747)</formula>
    </cfRule>
  </conditionalFormatting>
  <conditionalFormatting sqref="W747">
    <cfRule type="expression" dxfId="807" priority="2427">
      <formula>AND(IF($R$747,$W$747,TRUE),LEN(TRIM($W$747))&gt;0)</formula>
    </cfRule>
  </conditionalFormatting>
  <conditionalFormatting sqref="W747">
    <cfRule type="expression" dxfId="806" priority="2426">
      <formula>OR($S$747 = FALSE, AND($P$747 = FALSE, ReportType &lt;&gt; "Final"), AND($Q$747 = FALSE, ReportType &lt;&gt; "Rough"))</formula>
    </cfRule>
  </conditionalFormatting>
  <conditionalFormatting sqref="W747">
    <cfRule type="expression" dxfId="805" priority="2425">
      <formula>OR($T$747 = TRUE, AND($W$747 = TRUE, $S$747 = FALSE))</formula>
    </cfRule>
  </conditionalFormatting>
  <conditionalFormatting sqref="W748">
    <cfRule type="expression" dxfId="804" priority="2424">
      <formula>AND($R$748,$S$748)</formula>
    </cfRule>
  </conditionalFormatting>
  <conditionalFormatting sqref="W748">
    <cfRule type="expression" dxfId="803" priority="2423">
      <formula>AND(IF($R$748,$W$748,TRUE),LEN(TRIM($W$748))&gt;0)</formula>
    </cfRule>
  </conditionalFormatting>
  <conditionalFormatting sqref="W748">
    <cfRule type="expression" dxfId="802" priority="2422">
      <formula>OR($S$748 = FALSE, AND($P$748 = FALSE, ReportType &lt;&gt; "Final"), AND($Q$748 = FALSE, ReportType &lt;&gt; "Rough"))</formula>
    </cfRule>
  </conditionalFormatting>
  <conditionalFormatting sqref="W748">
    <cfRule type="expression" dxfId="801" priority="2421">
      <formula>OR($T$748 = TRUE, AND($W$748 = TRUE, $S$748 = FALSE))</formula>
    </cfRule>
  </conditionalFormatting>
  <conditionalFormatting sqref="W749">
    <cfRule type="expression" dxfId="800" priority="2420">
      <formula>AND($R$749,$S$749)</formula>
    </cfRule>
  </conditionalFormatting>
  <conditionalFormatting sqref="W749">
    <cfRule type="expression" dxfId="799" priority="2419">
      <formula>AND(IF($R$749,$W$749,TRUE),LEN(TRIM($W$749))&gt;0)</formula>
    </cfRule>
  </conditionalFormatting>
  <conditionalFormatting sqref="W749">
    <cfRule type="expression" dxfId="798" priority="2418">
      <formula>OR($S$749 = FALSE, AND($P$749 = FALSE, ReportType &lt;&gt; "Final"), AND($Q$749 = FALSE, ReportType &lt;&gt; "Rough"))</formula>
    </cfRule>
  </conditionalFormatting>
  <conditionalFormatting sqref="W749">
    <cfRule type="expression" dxfId="797" priority="2417">
      <formula>OR($T$749 = TRUE, AND($W$749 = TRUE, $S$749 = FALSE))</formula>
    </cfRule>
  </conditionalFormatting>
  <conditionalFormatting sqref="W753">
    <cfRule type="expression" dxfId="796" priority="2416">
      <formula>AND($R$753,$S$753)</formula>
    </cfRule>
  </conditionalFormatting>
  <conditionalFormatting sqref="W753">
    <cfRule type="expression" dxfId="795" priority="2415">
      <formula>AND(IF($R$753,$W$753,TRUE),LEN(TRIM($W$753))&gt;0)</formula>
    </cfRule>
  </conditionalFormatting>
  <conditionalFormatting sqref="W753">
    <cfRule type="expression" dxfId="794" priority="2414">
      <formula>OR($S$753 = FALSE, AND($P$753 = FALSE, ReportType &lt;&gt; "Final"), AND($Q$753 = FALSE, ReportType &lt;&gt; "Rough"))</formula>
    </cfRule>
  </conditionalFormatting>
  <conditionalFormatting sqref="W753">
    <cfRule type="expression" dxfId="793" priority="2413">
      <formula>OR($T$753 = TRUE, AND($W$753 = TRUE, $S$753 = FALSE))</formula>
    </cfRule>
  </conditionalFormatting>
  <conditionalFormatting sqref="W755">
    <cfRule type="expression" dxfId="792" priority="2412">
      <formula>AND($R$755,$S$755)</formula>
    </cfRule>
  </conditionalFormatting>
  <conditionalFormatting sqref="W755">
    <cfRule type="expression" dxfId="791" priority="2411">
      <formula>AND(IF($R$755,$W$755,TRUE),LEN(TRIM($W$755))&gt;0)</formula>
    </cfRule>
  </conditionalFormatting>
  <conditionalFormatting sqref="W755">
    <cfRule type="expression" dxfId="790" priority="2410">
      <formula>OR($S$755 = FALSE, AND($P$755 = FALSE, ReportType &lt;&gt; "Final"), AND($Q$755 = FALSE, ReportType &lt;&gt; "Rough"))</formula>
    </cfRule>
  </conditionalFormatting>
  <conditionalFormatting sqref="W755">
    <cfRule type="expression" dxfId="789" priority="2409">
      <formula>OR($T$755 = TRUE, AND($W$755 = TRUE, $S$755 = FALSE))</formula>
    </cfRule>
  </conditionalFormatting>
  <conditionalFormatting sqref="W828">
    <cfRule type="expression" dxfId="788" priority="1994">
      <formula>AND(R828,S828)</formula>
    </cfRule>
  </conditionalFormatting>
  <conditionalFormatting sqref="W828">
    <cfRule type="expression" dxfId="787" priority="1993">
      <formula>NOT(ISBLANK(W828))</formula>
    </cfRule>
  </conditionalFormatting>
  <conditionalFormatting sqref="W828">
    <cfRule type="expression" dxfId="786" priority="1992">
      <formula>OR(S828 = FALSE, AND(P828 = FALSE, ReportType &lt;&gt; "Final"), AND(Q828 = FALSE, ReportType &lt;&gt; "Rough"))</formula>
    </cfRule>
  </conditionalFormatting>
  <conditionalFormatting sqref="W828">
    <cfRule type="expression" dxfId="785" priority="1991">
      <formula>OR(T828 = TRUE, AND(W828 = TRUE, S828 = FALSE))</formula>
    </cfRule>
  </conditionalFormatting>
  <conditionalFormatting sqref="W790">
    <cfRule type="expression" dxfId="784" priority="1891">
      <formula>AND($R$790,$S$790)</formula>
    </cfRule>
  </conditionalFormatting>
  <conditionalFormatting sqref="W790">
    <cfRule type="expression" dxfId="783" priority="1890">
      <formula>AND(IF($R$790,$W$790,TRUE),LEN(TRIM($W$790))&gt;0)</formula>
    </cfRule>
  </conditionalFormatting>
  <conditionalFormatting sqref="W790">
    <cfRule type="expression" dxfId="782" priority="1889">
      <formula>OR($S$790 = FALSE, AND($P$790 = FALSE, ReportType &lt;&gt; "Final"), AND($Q$790 = FALSE, ReportType &lt;&gt; "Rough"))</formula>
    </cfRule>
  </conditionalFormatting>
  <conditionalFormatting sqref="W790">
    <cfRule type="expression" dxfId="781" priority="1888">
      <formula>OR($T$790 = TRUE, AND($W$790 = TRUE, $S$790 = FALSE))</formula>
    </cfRule>
  </conditionalFormatting>
  <conditionalFormatting sqref="W793">
    <cfRule type="expression" dxfId="780" priority="1887">
      <formula>AND($R$793,$S$793)</formula>
    </cfRule>
  </conditionalFormatting>
  <conditionalFormatting sqref="W793">
    <cfRule type="expression" dxfId="779" priority="1886">
      <formula>AND($W$793&lt;&gt;"Not Met",LEN(TRIM($W$793))&gt;0)</formula>
    </cfRule>
  </conditionalFormatting>
  <conditionalFormatting sqref="W793">
    <cfRule type="expression" dxfId="778" priority="1885">
      <formula>OR($S$793 = FALSE, AND($P$793 = FALSE, ReportType &lt;&gt; "Final"), AND($Q$793 = FALSE, ReportType &lt;&gt; "Rough"))</formula>
    </cfRule>
  </conditionalFormatting>
  <conditionalFormatting sqref="W793">
    <cfRule type="expression" dxfId="777" priority="1884">
      <formula>OR($T$793 = TRUE, AND(LEN(TRIM($W$793))&gt;0, $S$793 = FALSE))</formula>
    </cfRule>
  </conditionalFormatting>
  <conditionalFormatting sqref="W799">
    <cfRule type="expression" dxfId="776" priority="1883">
      <formula>AND($R$799,$S$799)</formula>
    </cfRule>
  </conditionalFormatting>
  <conditionalFormatting sqref="W799">
    <cfRule type="expression" dxfId="775" priority="1882">
      <formula>AND(IF($R$799,$W$799,TRUE),LEN(TRIM($W$799))&gt;0)</formula>
    </cfRule>
  </conditionalFormatting>
  <conditionalFormatting sqref="W799">
    <cfRule type="expression" dxfId="774" priority="1881">
      <formula>OR($S$799 = FALSE, AND($P$799 = FALSE, ReportType &lt;&gt; "Final"), AND($Q$799 = FALSE, ReportType &lt;&gt; "Rough"))</formula>
    </cfRule>
  </conditionalFormatting>
  <conditionalFormatting sqref="W799">
    <cfRule type="expression" dxfId="773" priority="1880">
      <formula>OR($T$799 = TRUE, AND($W$799 = TRUE, $S$799 = FALSE))</formula>
    </cfRule>
  </conditionalFormatting>
  <conditionalFormatting sqref="W802">
    <cfRule type="expression" dxfId="772" priority="1879">
      <formula>AND($R$802,$S$802)</formula>
    </cfRule>
  </conditionalFormatting>
  <conditionalFormatting sqref="W802">
    <cfRule type="expression" dxfId="771" priority="1878">
      <formula>AND(IF($R$802,$W$802,TRUE),LEN(TRIM($W$802))&gt;0)</formula>
    </cfRule>
  </conditionalFormatting>
  <conditionalFormatting sqref="W802">
    <cfRule type="expression" dxfId="770" priority="1877">
      <formula>OR($S$802 = FALSE, AND($P$802 = FALSE, ReportType &lt;&gt; "Final"), AND($Q$802 = FALSE, ReportType &lt;&gt; "Rough"))</formula>
    </cfRule>
  </conditionalFormatting>
  <conditionalFormatting sqref="W802">
    <cfRule type="expression" dxfId="769" priority="1876">
      <formula>OR($T$802 = TRUE, AND($W$802 = TRUE, $S$802 = FALSE))</formula>
    </cfRule>
  </conditionalFormatting>
  <conditionalFormatting sqref="W805">
    <cfRule type="expression" dxfId="768" priority="1875">
      <formula>AND($R$805,$S$805)</formula>
    </cfRule>
  </conditionalFormatting>
  <conditionalFormatting sqref="W805">
    <cfRule type="expression" dxfId="767" priority="1874">
      <formula>AND(IF($R$805,$W$805,TRUE),LEN(TRIM($W$805))&gt;0)</formula>
    </cfRule>
  </conditionalFormatting>
  <conditionalFormatting sqref="W805">
    <cfRule type="expression" dxfId="766" priority="1873">
      <formula>OR($S$805 = FALSE, AND($P$805 = FALSE, ReportType &lt;&gt; "Final"), AND($Q$805 = FALSE, ReportType &lt;&gt; "Rough"))</formula>
    </cfRule>
  </conditionalFormatting>
  <conditionalFormatting sqref="W805">
    <cfRule type="expression" dxfId="765" priority="1872">
      <formula>OR($T$805 = TRUE, AND($W$805 = TRUE, $S$805 = FALSE))</formula>
    </cfRule>
  </conditionalFormatting>
  <conditionalFormatting sqref="W809">
    <cfRule type="expression" dxfId="764" priority="1871">
      <formula>AND($R$809,$S$809)</formula>
    </cfRule>
  </conditionalFormatting>
  <conditionalFormatting sqref="W809">
    <cfRule type="expression" dxfId="763" priority="1870">
      <formula>AND(IF($R$809,$W$809,TRUE),LEN(TRIM($W$809))&gt;0)</formula>
    </cfRule>
  </conditionalFormatting>
  <conditionalFormatting sqref="W809">
    <cfRule type="expression" dxfId="762" priority="1869">
      <formula>OR($S$809 = FALSE, AND($P$809 = FALSE, ReportType &lt;&gt; "Final"), AND($Q$809 = FALSE, ReportType &lt;&gt; "Rough"))</formula>
    </cfRule>
  </conditionalFormatting>
  <conditionalFormatting sqref="W809">
    <cfRule type="expression" dxfId="761" priority="1868">
      <formula>OR($T$809 = TRUE, AND($W$809 = TRUE, $S$809 = FALSE))</formula>
    </cfRule>
  </conditionalFormatting>
  <conditionalFormatting sqref="W811">
    <cfRule type="expression" dxfId="760" priority="1867">
      <formula>AND($R$811,$S$811)</formula>
    </cfRule>
  </conditionalFormatting>
  <conditionalFormatting sqref="W811">
    <cfRule type="expression" dxfId="759" priority="1866">
      <formula>AND(IF($R$811,$W$811,TRUE),LEN(TRIM($W$811))&gt;0)</formula>
    </cfRule>
  </conditionalFormatting>
  <conditionalFormatting sqref="W811">
    <cfRule type="expression" dxfId="758" priority="1865">
      <formula>OR($S$811 = FALSE, AND($P$811 = FALSE, ReportType &lt;&gt; "Final"), AND($Q$811 = FALSE, ReportType &lt;&gt; "Rough"))</formula>
    </cfRule>
  </conditionalFormatting>
  <conditionalFormatting sqref="W811">
    <cfRule type="expression" dxfId="757" priority="1864">
      <formula>OR($T$811 = TRUE, AND($W$811 = TRUE, $S$811 = FALSE))</formula>
    </cfRule>
  </conditionalFormatting>
  <conditionalFormatting sqref="W844">
    <cfRule type="expression" dxfId="756" priority="1863">
      <formula>AND($R$844,$S$844)</formula>
    </cfRule>
  </conditionalFormatting>
  <conditionalFormatting sqref="W844">
    <cfRule type="expression" dxfId="755" priority="1862">
      <formula>AND(IF($R$844,$W$844,TRUE),LEN(TRIM($W$844))&gt;0)</formula>
    </cfRule>
  </conditionalFormatting>
  <conditionalFormatting sqref="W844">
    <cfRule type="expression" dxfId="754" priority="1861">
      <formula>OR($S$844 = FALSE, AND($P$844 = FALSE, ReportType &lt;&gt; "Final"), AND($Q$844 = FALSE, ReportType &lt;&gt; "Rough"))</formula>
    </cfRule>
  </conditionalFormatting>
  <conditionalFormatting sqref="W844">
    <cfRule type="expression" dxfId="753" priority="1860">
      <formula>OR($T$844 = TRUE, AND($W$844 = TRUE, $S$844 = FALSE))</formula>
    </cfRule>
  </conditionalFormatting>
  <conditionalFormatting sqref="W847">
    <cfRule type="expression" dxfId="752" priority="1859">
      <formula>AND($R$847,$S$847)</formula>
    </cfRule>
  </conditionalFormatting>
  <conditionalFormatting sqref="W847">
    <cfRule type="expression" dxfId="751" priority="1858">
      <formula>AND(IF($R$847,$W$847,TRUE),LEN(TRIM($W$847))&gt;0)</formula>
    </cfRule>
  </conditionalFormatting>
  <conditionalFormatting sqref="W847">
    <cfRule type="expression" dxfId="750" priority="1857">
      <formula>OR($S$847 = FALSE, AND($P$847 = FALSE, ReportType &lt;&gt; "Final"), AND($Q$847 = FALSE, ReportType &lt;&gt; "Rough"))</formula>
    </cfRule>
  </conditionalFormatting>
  <conditionalFormatting sqref="W847">
    <cfRule type="expression" dxfId="749" priority="1856">
      <formula>OR($T$847 = TRUE, AND($W$847 = TRUE, $S$847 = FALSE))</formula>
    </cfRule>
  </conditionalFormatting>
  <conditionalFormatting sqref="W874">
    <cfRule type="expression" dxfId="748" priority="1855">
      <formula>AND($R$874,$S$874)</formula>
    </cfRule>
  </conditionalFormatting>
  <conditionalFormatting sqref="W874">
    <cfRule type="expression" dxfId="747" priority="1854">
      <formula>AND(IF($R$874,$W$874,TRUE),LEN(TRIM($W$874))&gt;0)</formula>
    </cfRule>
  </conditionalFormatting>
  <conditionalFormatting sqref="W874">
    <cfRule type="expression" dxfId="746" priority="1853">
      <formula>OR($S$874 = FALSE, AND($P$874 = FALSE, ReportType &lt;&gt; "Final"), AND($Q$874 = FALSE, ReportType &lt;&gt; "Rough"))</formula>
    </cfRule>
  </conditionalFormatting>
  <conditionalFormatting sqref="W874">
    <cfRule type="expression" dxfId="745" priority="1852">
      <formula>OR($T$874 = TRUE, AND($W$874 = TRUE, $S$874 = FALSE))</formula>
    </cfRule>
  </conditionalFormatting>
  <conditionalFormatting sqref="W880">
    <cfRule type="expression" dxfId="744" priority="1851">
      <formula>AND($R$880,$S$880)</formula>
    </cfRule>
  </conditionalFormatting>
  <conditionalFormatting sqref="W880">
    <cfRule type="expression" dxfId="743" priority="1850">
      <formula>AND($W$880&lt;&gt;"Not Met",LEN(TRIM($W$880))&gt;0)</formula>
    </cfRule>
  </conditionalFormatting>
  <conditionalFormatting sqref="W880">
    <cfRule type="expression" dxfId="742" priority="1849">
      <formula>OR($S$880 = FALSE, AND($P$880 = FALSE, ReportType &lt;&gt; "Final"), AND($Q$880 = FALSE, ReportType &lt;&gt; "Rough"))</formula>
    </cfRule>
  </conditionalFormatting>
  <conditionalFormatting sqref="W880">
    <cfRule type="expression" dxfId="741" priority="1848">
      <formula>OR($T$880 = TRUE, AND(LEN(TRIM($W$880))&gt;0, $S$880 = FALSE))</formula>
    </cfRule>
  </conditionalFormatting>
  <conditionalFormatting sqref="W888">
    <cfRule type="expression" dxfId="740" priority="1847">
      <formula>AND($R$888,$S$888)</formula>
    </cfRule>
  </conditionalFormatting>
  <conditionalFormatting sqref="W888">
    <cfRule type="expression" dxfId="739" priority="1846">
      <formula>AND(IF($R$888,$W$888,TRUE),LEN(TRIM($W$888))&gt;0)</formula>
    </cfRule>
  </conditionalFormatting>
  <conditionalFormatting sqref="W888">
    <cfRule type="expression" dxfId="738" priority="1845">
      <formula>OR($S$888 = FALSE, AND($P$888 = FALSE, ReportType &lt;&gt; "Final"), AND($Q$888 = FALSE, ReportType &lt;&gt; "Rough"))</formula>
    </cfRule>
  </conditionalFormatting>
  <conditionalFormatting sqref="W888">
    <cfRule type="expression" dxfId="737" priority="1844">
      <formula>OR($T$888 = TRUE, AND($W$888 = TRUE, $S$888 = FALSE))</formula>
    </cfRule>
  </conditionalFormatting>
  <conditionalFormatting sqref="W890">
    <cfRule type="expression" dxfId="736" priority="1843">
      <formula>AND($R$890,$S$890)</formula>
    </cfRule>
  </conditionalFormatting>
  <conditionalFormatting sqref="W890">
    <cfRule type="expression" dxfId="735" priority="1842">
      <formula>AND(IF($R$890,$W$890,TRUE),LEN(TRIM($W$890))&gt;0)</formula>
    </cfRule>
  </conditionalFormatting>
  <conditionalFormatting sqref="W890">
    <cfRule type="expression" dxfId="734" priority="1841">
      <formula>OR($S$890 = FALSE, AND($P$890 = FALSE, ReportType &lt;&gt; "Final"), AND($Q$890 = FALSE, ReportType &lt;&gt; "Rough"))</formula>
    </cfRule>
  </conditionalFormatting>
  <conditionalFormatting sqref="W890">
    <cfRule type="expression" dxfId="733" priority="1840">
      <formula>OR($T$890 = TRUE, AND($W$890 = TRUE, $S$890 = FALSE))</formula>
    </cfRule>
  </conditionalFormatting>
  <conditionalFormatting sqref="W891">
    <cfRule type="expression" dxfId="732" priority="1839">
      <formula>AND($R$891,$S$891)</formula>
    </cfRule>
  </conditionalFormatting>
  <conditionalFormatting sqref="W891">
    <cfRule type="expression" dxfId="731" priority="1838">
      <formula>AND(IF($R$891,$W$891,TRUE),LEN(TRIM($W$891))&gt;0)</formula>
    </cfRule>
  </conditionalFormatting>
  <conditionalFormatting sqref="W891">
    <cfRule type="expression" dxfId="730" priority="1837">
      <formula>OR($S$891 = FALSE, AND($P$891 = FALSE, ReportType &lt;&gt; "Final"), AND($Q$891 = FALSE, ReportType &lt;&gt; "Rough"))</formula>
    </cfRule>
  </conditionalFormatting>
  <conditionalFormatting sqref="W891">
    <cfRule type="expression" dxfId="729" priority="1836">
      <formula>OR($T$891 = TRUE, AND($W$891 = TRUE, $S$891 = FALSE))</formula>
    </cfRule>
  </conditionalFormatting>
  <conditionalFormatting sqref="W1099">
    <cfRule type="expression" dxfId="728" priority="932">
      <formula>AND(R1099,S1099)</formula>
    </cfRule>
  </conditionalFormatting>
  <conditionalFormatting sqref="W1099">
    <cfRule type="expression" dxfId="727" priority="931">
      <formula>AND(IF(R1099,W1099,TRUE),LEN(TRIM(W1099))&gt;0)</formula>
    </cfRule>
  </conditionalFormatting>
  <conditionalFormatting sqref="W1099">
    <cfRule type="expression" dxfId="726" priority="930">
      <formula>OR(S1099 = FALSE, AND(P1099 = FALSE, ReportType &lt;&gt; "Final"), AND(Q1099 = FALSE, ReportType &lt;&gt; "Rough"))</formula>
    </cfRule>
  </conditionalFormatting>
  <conditionalFormatting sqref="W1099">
    <cfRule type="expression" dxfId="725" priority="929">
      <formula>OR(T1099 = TRUE, AND(W1099 = TRUE, S1099 = FALSE))</formula>
    </cfRule>
  </conditionalFormatting>
  <conditionalFormatting sqref="W1101">
    <cfRule type="expression" dxfId="724" priority="928">
      <formula>AND(R1101,S1101)</formula>
    </cfRule>
  </conditionalFormatting>
  <conditionalFormatting sqref="W1101">
    <cfRule type="expression" dxfId="723" priority="927">
      <formula>AND(IF(R1101,W1101,TRUE),LEN(TRIM(W1101))&gt;0)</formula>
    </cfRule>
  </conditionalFormatting>
  <conditionalFormatting sqref="W1101">
    <cfRule type="expression" dxfId="722" priority="926">
      <formula>OR(S1101 = FALSE, AND(P1101 = FALSE, ReportType &lt;&gt; "Final"), AND(Q1101 = FALSE, ReportType &lt;&gt; "Rough"))</formula>
    </cfRule>
  </conditionalFormatting>
  <conditionalFormatting sqref="W1101">
    <cfRule type="expression" dxfId="721" priority="925">
      <formula>OR(T1101 = TRUE, AND(W1101 = TRUE, S1101 = FALSE))</formula>
    </cfRule>
  </conditionalFormatting>
  <conditionalFormatting sqref="W1108">
    <cfRule type="expression" dxfId="720" priority="924">
      <formula>AND(R1108,S1108)</formula>
    </cfRule>
  </conditionalFormatting>
  <conditionalFormatting sqref="W1108">
    <cfRule type="expression" dxfId="719" priority="923">
      <formula>AND(IF(R1108,W1108,TRUE),LEN(TRIM(W1108))&gt;0)</formula>
    </cfRule>
  </conditionalFormatting>
  <conditionalFormatting sqref="W1108">
    <cfRule type="expression" dxfId="718" priority="922">
      <formula>OR(S1108 = FALSE, AND(P1108 = FALSE, ReportType &lt;&gt; "Final"), AND(Q1108 = FALSE, ReportType &lt;&gt; "Rough"))</formula>
    </cfRule>
  </conditionalFormatting>
  <conditionalFormatting sqref="W1108">
    <cfRule type="expression" dxfId="717" priority="921">
      <formula>OR(T1108 = TRUE, AND(W1108 = TRUE, S1108 = FALSE))</formula>
    </cfRule>
  </conditionalFormatting>
  <conditionalFormatting sqref="W1110">
    <cfRule type="expression" dxfId="716" priority="920">
      <formula>AND(R1110,S1110)</formula>
    </cfRule>
  </conditionalFormatting>
  <conditionalFormatting sqref="W1110">
    <cfRule type="expression" dxfId="715" priority="919">
      <formula>AND(IF(R1110,W1110,TRUE),LEN(TRIM(W1110))&gt;0)</formula>
    </cfRule>
  </conditionalFormatting>
  <conditionalFormatting sqref="W1110">
    <cfRule type="expression" dxfId="714" priority="918">
      <formula>OR(S1110 = FALSE, AND(P1110 = FALSE, ReportType &lt;&gt; "Final"), AND(Q1110 = FALSE, ReportType &lt;&gt; "Rough"))</formula>
    </cfRule>
  </conditionalFormatting>
  <conditionalFormatting sqref="W1110">
    <cfRule type="expression" dxfId="713" priority="917">
      <formula>OR(T1110 = TRUE, AND(W1110 = TRUE, S1110 = FALSE))</formula>
    </cfRule>
  </conditionalFormatting>
  <conditionalFormatting sqref="X973:X977">
    <cfRule type="expression" dxfId="712" priority="916">
      <formula>W973="N/A"</formula>
    </cfRule>
  </conditionalFormatting>
  <conditionalFormatting sqref="W913">
    <cfRule type="expression" dxfId="711" priority="911">
      <formula>AND($R$913,$S$913)</formula>
    </cfRule>
  </conditionalFormatting>
  <conditionalFormatting sqref="W913">
    <cfRule type="expression" dxfId="710" priority="910">
      <formula>AND(IF($R$913,$W$913,TRUE),LEN(TRIM($W$913))&gt;0)</formula>
    </cfRule>
  </conditionalFormatting>
  <conditionalFormatting sqref="W913">
    <cfRule type="expression" dxfId="709" priority="909">
      <formula>OR($S$913 = FALSE, AND($P$913 = FALSE, ReportType &lt;&gt; "Final"), AND($Q$913 = FALSE, ReportType &lt;&gt; "Rough"))</formula>
    </cfRule>
  </conditionalFormatting>
  <conditionalFormatting sqref="W913">
    <cfRule type="expression" dxfId="708" priority="908">
      <formula>OR($T$913 = TRUE, AND($W$913 = TRUE, $S$913 = FALSE))</formula>
    </cfRule>
  </conditionalFormatting>
  <conditionalFormatting sqref="W919">
    <cfRule type="expression" dxfId="707" priority="907">
      <formula>AND($R$919,$S$919)</formula>
    </cfRule>
  </conditionalFormatting>
  <conditionalFormatting sqref="W919">
    <cfRule type="expression" dxfId="706" priority="906">
      <formula>AND(IF($R$919,$W$919,TRUE),LEN(TRIM($W$919))&gt;0)</formula>
    </cfRule>
  </conditionalFormatting>
  <conditionalFormatting sqref="W919">
    <cfRule type="expression" dxfId="705" priority="905">
      <formula>OR($S$919 = FALSE, AND($P$919 = FALSE, ReportType &lt;&gt; "Final"), AND($Q$919 = FALSE, ReportType &lt;&gt; "Rough"))</formula>
    </cfRule>
  </conditionalFormatting>
  <conditionalFormatting sqref="W919">
    <cfRule type="expression" dxfId="704" priority="904">
      <formula>OR($T$919 = TRUE, AND($W$919 = TRUE, $S$919 = FALSE))</formula>
    </cfRule>
  </conditionalFormatting>
  <conditionalFormatting sqref="W924">
    <cfRule type="expression" dxfId="703" priority="903">
      <formula>AND($R$924,$S$924)</formula>
    </cfRule>
  </conditionalFormatting>
  <conditionalFormatting sqref="W924">
    <cfRule type="expression" dxfId="702" priority="902">
      <formula>AND($W$924&lt;&gt;"Not Met",LEN(TRIM($W$924))&gt;0)</formula>
    </cfRule>
  </conditionalFormatting>
  <conditionalFormatting sqref="W924">
    <cfRule type="expression" dxfId="701" priority="901">
      <formula>OR($S$924 = FALSE, AND($P$924 = FALSE, ReportType &lt;&gt; "Final"), AND($Q$924 = FALSE, ReportType &lt;&gt; "Rough"))</formula>
    </cfRule>
  </conditionalFormatting>
  <conditionalFormatting sqref="W924">
    <cfRule type="expression" dxfId="700" priority="900">
      <formula>OR($T$924 = TRUE, AND(LEN(TRIM($W$924))&gt;0, $S$924 = FALSE))</formula>
    </cfRule>
  </conditionalFormatting>
  <conditionalFormatting sqref="W927">
    <cfRule type="expression" dxfId="699" priority="899">
      <formula>AND($R$927,$S$927)</formula>
    </cfRule>
  </conditionalFormatting>
  <conditionalFormatting sqref="W927">
    <cfRule type="expression" dxfId="698" priority="898">
      <formula>AND($W$927&lt;&gt;"Not Met",LEN(TRIM($W$927))&gt;0)</formula>
    </cfRule>
  </conditionalFormatting>
  <conditionalFormatting sqref="W927">
    <cfRule type="expression" dxfId="697" priority="897">
      <formula>OR($S$927 = FALSE, AND($P$927 = FALSE, ReportType &lt;&gt; "Final"), AND($Q$927 = FALSE, ReportType &lt;&gt; "Rough"))</formula>
    </cfRule>
  </conditionalFormatting>
  <conditionalFormatting sqref="W927">
    <cfRule type="expression" dxfId="696" priority="896">
      <formula>OR($T$927 = TRUE, AND(LEN(TRIM($W$927))&gt;0, $S$927 = FALSE))</formula>
    </cfRule>
  </conditionalFormatting>
  <conditionalFormatting sqref="W930">
    <cfRule type="expression" dxfId="695" priority="895">
      <formula>AND($R$930,$S$930)</formula>
    </cfRule>
  </conditionalFormatting>
  <conditionalFormatting sqref="W930">
    <cfRule type="expression" dxfId="694" priority="894">
      <formula>AND($W$930&lt;&gt;"Not Met",LEN(TRIM($W$930))&gt;0)</formula>
    </cfRule>
  </conditionalFormatting>
  <conditionalFormatting sqref="W930">
    <cfRule type="expression" dxfId="693" priority="893">
      <formula>OR($S$930 = FALSE, AND($P$930 = FALSE, ReportType &lt;&gt; "Final"), AND($Q$930 = FALSE, ReportType &lt;&gt; "Rough"))</formula>
    </cfRule>
  </conditionalFormatting>
  <conditionalFormatting sqref="W930">
    <cfRule type="expression" dxfId="692" priority="892">
      <formula>OR($T$930 = TRUE, AND(LEN(TRIM($W$930))&gt;0, $S$930 = FALSE))</formula>
    </cfRule>
  </conditionalFormatting>
  <conditionalFormatting sqref="W934">
    <cfRule type="expression" dxfId="691" priority="891">
      <formula>AND($R$934,$S$934)</formula>
    </cfRule>
  </conditionalFormatting>
  <conditionalFormatting sqref="W934">
    <cfRule type="expression" dxfId="690" priority="890">
      <formula>AND(IF($R$934,$W$934,TRUE),LEN(TRIM($W$934))&gt;0)</formula>
    </cfRule>
  </conditionalFormatting>
  <conditionalFormatting sqref="W934">
    <cfRule type="expression" dxfId="689" priority="889">
      <formula>OR($S$934 = FALSE, AND($P$934 = FALSE, ReportType &lt;&gt; "Final"), AND($Q$934 = FALSE, ReportType &lt;&gt; "Rough"))</formula>
    </cfRule>
  </conditionalFormatting>
  <conditionalFormatting sqref="W934">
    <cfRule type="expression" dxfId="688" priority="888">
      <formula>OR($T$934 = TRUE, AND($W$934 = TRUE, $S$934 = FALSE))</formula>
    </cfRule>
  </conditionalFormatting>
  <conditionalFormatting sqref="W937">
    <cfRule type="expression" dxfId="687" priority="887">
      <formula>AND($R$937,$S$937)</formula>
    </cfRule>
  </conditionalFormatting>
  <conditionalFormatting sqref="W937">
    <cfRule type="expression" dxfId="686" priority="886">
      <formula>AND($W$937&lt;&gt;"Not Met",LEN(TRIM($W$937))&gt;0)</formula>
    </cfRule>
  </conditionalFormatting>
  <conditionalFormatting sqref="W937">
    <cfRule type="expression" dxfId="685" priority="885">
      <formula>OR($S$937 = FALSE, AND($P$937 = FALSE, ReportType &lt;&gt; "Final"), AND($Q$937 = FALSE, ReportType &lt;&gt; "Rough"))</formula>
    </cfRule>
  </conditionalFormatting>
  <conditionalFormatting sqref="W937">
    <cfRule type="expression" dxfId="684" priority="884">
      <formula>OR($T$937 = TRUE, AND(LEN(TRIM($W$937))&gt;0, $S$937 = FALSE))</formula>
    </cfRule>
  </conditionalFormatting>
  <conditionalFormatting sqref="W943">
    <cfRule type="expression" dxfId="683" priority="883">
      <formula>AND($R$943,$S$943)</formula>
    </cfRule>
  </conditionalFormatting>
  <conditionalFormatting sqref="W943">
    <cfRule type="expression" dxfId="682" priority="882">
      <formula>AND($W$943&lt;&gt;"Not Met",LEN(TRIM($W$943))&gt;0)</formula>
    </cfRule>
  </conditionalFormatting>
  <conditionalFormatting sqref="W943">
    <cfRule type="expression" dxfId="681" priority="881">
      <formula>OR($S$943 = FALSE, AND($P$943 = FALSE, ReportType &lt;&gt; "Final"), AND($Q$943 = FALSE, ReportType &lt;&gt; "Rough"))</formula>
    </cfRule>
  </conditionalFormatting>
  <conditionalFormatting sqref="W943">
    <cfRule type="expression" dxfId="680" priority="880">
      <formula>OR($T$943 = TRUE, AND(LEN(TRIM($W$943))&gt;0, $S$943 = FALSE,W943&lt;&gt;"N/A"))</formula>
    </cfRule>
  </conditionalFormatting>
  <conditionalFormatting sqref="W946">
    <cfRule type="expression" dxfId="679" priority="879">
      <formula>AND($R$946,$S$946)</formula>
    </cfRule>
  </conditionalFormatting>
  <conditionalFormatting sqref="W946">
    <cfRule type="expression" dxfId="678" priority="878">
      <formula>AND($W$946&lt;&gt;"Not Met",LEN(TRIM($W$946))&gt;0)</formula>
    </cfRule>
  </conditionalFormatting>
  <conditionalFormatting sqref="W946">
    <cfRule type="expression" dxfId="677" priority="877">
      <formula>OR($S$946 = FALSE, AND($P$946 = FALSE, ReportType &lt;&gt; "Final"), AND($Q$946 = FALSE, ReportType &lt;&gt; "Rough"))</formula>
    </cfRule>
  </conditionalFormatting>
  <conditionalFormatting sqref="W946">
    <cfRule type="expression" dxfId="676" priority="876">
      <formula>OR($T$946 = TRUE, AND(LEN(TRIM($W$946))&gt;0, $S$946 = FALSE,W946&lt;&gt;"N/A"))</formula>
    </cfRule>
  </conditionalFormatting>
  <conditionalFormatting sqref="W948">
    <cfRule type="expression" dxfId="675" priority="875">
      <formula>AND($R$948,$S$948)</formula>
    </cfRule>
  </conditionalFormatting>
  <conditionalFormatting sqref="W948">
    <cfRule type="expression" dxfId="674" priority="874">
      <formula>AND($W$948&lt;&gt;"Not Met",LEN(TRIM($W$948))&gt;0)</formula>
    </cfRule>
  </conditionalFormatting>
  <conditionalFormatting sqref="W948">
    <cfRule type="expression" dxfId="673" priority="873">
      <formula>OR($S$948 = FALSE, AND($P$948 = FALSE, ReportType &lt;&gt; "Final"), AND($Q$948 = FALSE, ReportType &lt;&gt; "Rough"))</formula>
    </cfRule>
  </conditionalFormatting>
  <conditionalFormatting sqref="W948">
    <cfRule type="expression" dxfId="672" priority="872">
      <formula>OR($T$948 = TRUE, AND(LEN(TRIM($W$948))&gt;0, $S$948 = FALSE,W948&lt;&gt;"N/A"))</formula>
    </cfRule>
  </conditionalFormatting>
  <conditionalFormatting sqref="W951">
    <cfRule type="expression" dxfId="671" priority="871">
      <formula>AND($R$951,$S$951)</formula>
    </cfRule>
  </conditionalFormatting>
  <conditionalFormatting sqref="W951">
    <cfRule type="expression" dxfId="670" priority="870">
      <formula>AND($W$951&lt;&gt;"Not Met",LEN(TRIM($W$951))&gt;0)</formula>
    </cfRule>
  </conditionalFormatting>
  <conditionalFormatting sqref="W951">
    <cfRule type="expression" dxfId="669" priority="869">
      <formula>OR($S$951 = FALSE, AND($P$951 = FALSE, ReportType &lt;&gt; "Final"), AND($Q$951 = FALSE, ReportType &lt;&gt; "Rough"))</formula>
    </cfRule>
  </conditionalFormatting>
  <conditionalFormatting sqref="W951">
    <cfRule type="expression" dxfId="668" priority="868">
      <formula>OR($T$951 = TRUE, AND(LEN(TRIM($W$951))&gt;0, $S$951 = FALSE,W951&lt;&gt;"N/A"))</formula>
    </cfRule>
  </conditionalFormatting>
  <conditionalFormatting sqref="W953">
    <cfRule type="expression" dxfId="667" priority="867">
      <formula>AND($R$953,$S$953)</formula>
    </cfRule>
  </conditionalFormatting>
  <conditionalFormatting sqref="W953">
    <cfRule type="expression" dxfId="666" priority="866">
      <formula>AND($W$953&lt;&gt;"Not Met",LEN(TRIM($W$953))&gt;0)</formula>
    </cfRule>
  </conditionalFormatting>
  <conditionalFormatting sqref="W953">
    <cfRule type="expression" dxfId="665" priority="865">
      <formula>OR($S$953 = FALSE, AND($P$953 = FALSE, ReportType &lt;&gt; "Final"), AND($Q$953 = FALSE, ReportType &lt;&gt; "Rough"))</formula>
    </cfRule>
  </conditionalFormatting>
  <conditionalFormatting sqref="W953">
    <cfRule type="expression" dxfId="664" priority="864">
      <formula>OR($T$953 = TRUE, AND(LEN(TRIM($W$953))&gt;0, $S$953 = FALSE,W953&lt;&gt;"N/A"))</formula>
    </cfRule>
  </conditionalFormatting>
  <conditionalFormatting sqref="W962">
    <cfRule type="expression" dxfId="663" priority="863">
      <formula>AND($R$962,$S$962)</formula>
    </cfRule>
  </conditionalFormatting>
  <conditionalFormatting sqref="W962">
    <cfRule type="expression" dxfId="662" priority="862">
      <formula>AND(IF($R$962,$W$962,TRUE),LEN(TRIM($W$962))&gt;0)</formula>
    </cfRule>
  </conditionalFormatting>
  <conditionalFormatting sqref="W962">
    <cfRule type="expression" dxfId="661" priority="861">
      <formula>OR($S$962 = FALSE, AND($P$962 = FALSE, ReportType &lt;&gt; "Final"), AND($Q$962 = FALSE, ReportType &lt;&gt; "Rough"))</formula>
    </cfRule>
  </conditionalFormatting>
  <conditionalFormatting sqref="W962">
    <cfRule type="expression" dxfId="660" priority="860">
      <formula>OR($T$962 = TRUE, AND($W$962 = TRUE, $S$962 = FALSE))</formula>
    </cfRule>
  </conditionalFormatting>
  <conditionalFormatting sqref="W968">
    <cfRule type="expression" dxfId="659" priority="859">
      <formula>AND($R$968,$S$968)</formula>
    </cfRule>
  </conditionalFormatting>
  <conditionalFormatting sqref="W968">
    <cfRule type="expression" dxfId="658" priority="858">
      <formula>AND(IF($R$968,$W$968,TRUE),LEN(TRIM($W$968))&gt;0)</formula>
    </cfRule>
  </conditionalFormatting>
  <conditionalFormatting sqref="W968">
    <cfRule type="expression" dxfId="657" priority="857">
      <formula>OR($S$968 = FALSE, AND($P$968 = FALSE, ReportType &lt;&gt; "Final"), AND($Q$968 = FALSE, ReportType &lt;&gt; "Rough"))</formula>
    </cfRule>
  </conditionalFormatting>
  <conditionalFormatting sqref="W968">
    <cfRule type="expression" dxfId="656" priority="856">
      <formula>OR($T$968 = TRUE, AND($W$968 = TRUE, $S$968 = FALSE))</formula>
    </cfRule>
  </conditionalFormatting>
  <conditionalFormatting sqref="W973">
    <cfRule type="expression" dxfId="655" priority="855">
      <formula>AND($R$973,$S$973)</formula>
    </cfRule>
  </conditionalFormatting>
  <conditionalFormatting sqref="W973">
    <cfRule type="expression" dxfId="654" priority="854">
      <formula>AND($W$973&lt;&gt;"Not Met",LEN(TRIM($W$973))&gt;0)</formula>
    </cfRule>
  </conditionalFormatting>
  <conditionalFormatting sqref="W973">
    <cfRule type="expression" dxfId="653" priority="853">
      <formula>OR($S$973 = FALSE, AND($P$973 = FALSE, ReportType &lt;&gt; "Final"), AND($Q$973 = FALSE, ReportType &lt;&gt; "Rough"))</formula>
    </cfRule>
  </conditionalFormatting>
  <conditionalFormatting sqref="W973">
    <cfRule type="expression" dxfId="652" priority="852">
      <formula>OR($T$973 = TRUE, AND(LEN(TRIM($W$973))&gt;0, $S$973 = FALSE))</formula>
    </cfRule>
  </conditionalFormatting>
  <conditionalFormatting sqref="W978">
    <cfRule type="expression" dxfId="651" priority="851">
      <formula>AND($R$978,$S$978)</formula>
    </cfRule>
  </conditionalFormatting>
  <conditionalFormatting sqref="W978">
    <cfRule type="expression" dxfId="650" priority="850">
      <formula>AND($W$978&lt;&gt;"Not Met",LEN(TRIM($W$978))&gt;0)</formula>
    </cfRule>
  </conditionalFormatting>
  <conditionalFormatting sqref="W978">
    <cfRule type="expression" dxfId="649" priority="849">
      <formula>OR($S$978 = FALSE, AND($P$978 = FALSE, ReportType &lt;&gt; "Final"), AND($Q$978 = FALSE, ReportType &lt;&gt; "Rough"))</formula>
    </cfRule>
  </conditionalFormatting>
  <conditionalFormatting sqref="W978">
    <cfRule type="expression" dxfId="648" priority="848">
      <formula>OR($T$978 = TRUE, AND(LEN(TRIM($W$978))&gt;0, $S$978 = FALSE))</formula>
    </cfRule>
  </conditionalFormatting>
  <conditionalFormatting sqref="W979">
    <cfRule type="expression" dxfId="647" priority="847">
      <formula>AND($R$979,$S$979)</formula>
    </cfRule>
  </conditionalFormatting>
  <conditionalFormatting sqref="W979">
    <cfRule type="expression" dxfId="646" priority="846">
      <formula>AND($W$979&lt;&gt;"Not Met",LEN(TRIM($W$979))&gt;0)</formula>
    </cfRule>
  </conditionalFormatting>
  <conditionalFormatting sqref="W979">
    <cfRule type="expression" dxfId="645" priority="845">
      <formula>OR($S$979 = FALSE, AND($P$979 = FALSE, ReportType &lt;&gt; "Final"), AND($Q$979 = FALSE, ReportType &lt;&gt; "Rough"))</formula>
    </cfRule>
  </conditionalFormatting>
  <conditionalFormatting sqref="W979">
    <cfRule type="expression" dxfId="644" priority="844">
      <formula>OR($T$979 = TRUE, AND(LEN(TRIM($W$979))&gt;0, $S$979 = FALSE))</formula>
    </cfRule>
  </conditionalFormatting>
  <conditionalFormatting sqref="W980">
    <cfRule type="expression" dxfId="643" priority="843">
      <formula>AND($R$980,$S$980)</formula>
    </cfRule>
  </conditionalFormatting>
  <conditionalFormatting sqref="W980">
    <cfRule type="expression" dxfId="642" priority="842">
      <formula>AND($W$980&lt;&gt;"Not Met",LEN(TRIM($W$980))&gt;0)</formula>
    </cfRule>
  </conditionalFormatting>
  <conditionalFormatting sqref="W980">
    <cfRule type="expression" dxfId="641" priority="841">
      <formula>OR($S$980 = FALSE, AND($P$980 = FALSE, ReportType &lt;&gt; "Final"), AND($Q$980 = FALSE, ReportType &lt;&gt; "Rough"))</formula>
    </cfRule>
  </conditionalFormatting>
  <conditionalFormatting sqref="W980">
    <cfRule type="expression" dxfId="640" priority="840">
      <formula>OR($T$980 = TRUE, AND(LEN(TRIM($W$980))&gt;0, $S$980 = FALSE))</formula>
    </cfRule>
  </conditionalFormatting>
  <conditionalFormatting sqref="W981">
    <cfRule type="expression" dxfId="639" priority="839">
      <formula>AND($R$981,$S$981)</formula>
    </cfRule>
  </conditionalFormatting>
  <conditionalFormatting sqref="W981">
    <cfRule type="expression" dxfId="638" priority="838">
      <formula>AND($W$981&lt;&gt;"Not Met",LEN(TRIM($W$981))&gt;0)</formula>
    </cfRule>
  </conditionalFormatting>
  <conditionalFormatting sqref="W981">
    <cfRule type="expression" dxfId="637" priority="837">
      <formula>OR($S$981 = FALSE, AND($P$981 = FALSE, ReportType &lt;&gt; "Final"), AND($Q$981 = FALSE, ReportType &lt;&gt; "Rough"))</formula>
    </cfRule>
  </conditionalFormatting>
  <conditionalFormatting sqref="W981">
    <cfRule type="expression" dxfId="636" priority="836">
      <formula>OR($T$981 = TRUE, AND(LEN(TRIM($W$981))&gt;0, $S$981 = FALSE))</formula>
    </cfRule>
  </conditionalFormatting>
  <conditionalFormatting sqref="W992">
    <cfRule type="expression" dxfId="635" priority="835">
      <formula>AND($R$992,$S$992)</formula>
    </cfRule>
  </conditionalFormatting>
  <conditionalFormatting sqref="W992">
    <cfRule type="expression" dxfId="634" priority="834">
      <formula>AND(IF($R$992,$W$992,TRUE),LEN(TRIM($W$992))&gt;0)</formula>
    </cfRule>
  </conditionalFormatting>
  <conditionalFormatting sqref="W992">
    <cfRule type="expression" dxfId="633" priority="833">
      <formula>OR($S$992 = FALSE, AND($P$992 = FALSE, ReportType &lt;&gt; "Final"), AND($Q$992 = FALSE, ReportType &lt;&gt; "Rough"))</formula>
    </cfRule>
  </conditionalFormatting>
  <conditionalFormatting sqref="W992">
    <cfRule type="expression" dxfId="632" priority="832">
      <formula>OR($T$992 = TRUE, AND($W$992 = TRUE, $S$992 = FALSE))</formula>
    </cfRule>
  </conditionalFormatting>
  <conditionalFormatting sqref="W994">
    <cfRule type="expression" dxfId="631" priority="831">
      <formula>AND($R$994,$S$994)</formula>
    </cfRule>
  </conditionalFormatting>
  <conditionalFormatting sqref="W994">
    <cfRule type="expression" dxfId="630" priority="830">
      <formula>AND(IF($R$994,$W$994,TRUE),LEN(TRIM($W$994))&gt;0)</formula>
    </cfRule>
  </conditionalFormatting>
  <conditionalFormatting sqref="W994">
    <cfRule type="expression" dxfId="629" priority="829">
      <formula>OR($S$994 = FALSE, AND($P$994 = FALSE, ReportType &lt;&gt; "Final"), AND($Q$994 = FALSE, ReportType &lt;&gt; "Rough"))</formula>
    </cfRule>
  </conditionalFormatting>
  <conditionalFormatting sqref="W994">
    <cfRule type="expression" dxfId="628" priority="828">
      <formula>OR($T$994 = TRUE, AND($W$994 = TRUE, $S$994 = FALSE))</formula>
    </cfRule>
  </conditionalFormatting>
  <conditionalFormatting sqref="W997">
    <cfRule type="expression" dxfId="627" priority="827">
      <formula>AND($R$997,$S$997)</formula>
    </cfRule>
  </conditionalFormatting>
  <conditionalFormatting sqref="W997">
    <cfRule type="expression" dxfId="626" priority="826">
      <formula>AND(IF($R$997,$W$997,TRUE),LEN(TRIM($W$997))&gt;0)</formula>
    </cfRule>
  </conditionalFormatting>
  <conditionalFormatting sqref="W997">
    <cfRule type="expression" dxfId="625" priority="825">
      <formula>OR($S$997 = FALSE, AND($P$997 = FALSE, ReportType &lt;&gt; "Final"), AND($Q$997 = FALSE, ReportType &lt;&gt; "Rough"))</formula>
    </cfRule>
  </conditionalFormatting>
  <conditionalFormatting sqref="W997">
    <cfRule type="expression" dxfId="624" priority="824">
      <formula>OR($T$997 = TRUE, AND($W$997 = TRUE, $S$997 = FALSE))</formula>
    </cfRule>
  </conditionalFormatting>
  <conditionalFormatting sqref="W1021">
    <cfRule type="expression" dxfId="623" priority="823">
      <formula>AND($R$1021,$S$1021)</formula>
    </cfRule>
  </conditionalFormatting>
  <conditionalFormatting sqref="W1021">
    <cfRule type="expression" dxfId="622" priority="822">
      <formula>AND(IF($R$1021,$W$1021,TRUE),LEN(TRIM($W$1021))&gt;0)</formula>
    </cfRule>
  </conditionalFormatting>
  <conditionalFormatting sqref="W1021">
    <cfRule type="expression" dxfId="621" priority="821">
      <formula>OR($S$1021 = FALSE, AND($P$1021 = FALSE, ReportType &lt;&gt; "Final"), AND($Q$1021 = FALSE, ReportType &lt;&gt; "Rough"))</formula>
    </cfRule>
  </conditionalFormatting>
  <conditionalFormatting sqref="W1021">
    <cfRule type="expression" dxfId="620" priority="820">
      <formula>OR($T$1021 = TRUE, AND($W$1021 = TRUE, $S$1021 = FALSE))</formula>
    </cfRule>
  </conditionalFormatting>
  <conditionalFormatting sqref="W1033">
    <cfRule type="expression" dxfId="619" priority="819">
      <formula>AND($R$1033,$S$1033)</formula>
    </cfRule>
  </conditionalFormatting>
  <conditionalFormatting sqref="W1033">
    <cfRule type="expression" dxfId="618" priority="818">
      <formula>AND(IF($R$1033,$W$1033,TRUE),LEN(TRIM($W$1033))&gt;0)</formula>
    </cfRule>
  </conditionalFormatting>
  <conditionalFormatting sqref="W1033">
    <cfRule type="expression" dxfId="617" priority="817">
      <formula>OR($S$1033 = FALSE, AND($P$1033 = FALSE, ReportType &lt;&gt; "Final"), AND($Q$1033 = FALSE, ReportType &lt;&gt; "Rough"))</formula>
    </cfRule>
  </conditionalFormatting>
  <conditionalFormatting sqref="W1033">
    <cfRule type="expression" dxfId="616" priority="816">
      <formula>OR($T$1033 = TRUE, AND($W$1033 = TRUE, $S$1033 = FALSE))</formula>
    </cfRule>
  </conditionalFormatting>
  <conditionalFormatting sqref="W1035">
    <cfRule type="expression" dxfId="615" priority="815">
      <formula>AND($R$1035,$S$1035)</formula>
    </cfRule>
  </conditionalFormatting>
  <conditionalFormatting sqref="W1035">
    <cfRule type="expression" dxfId="614" priority="814">
      <formula>AND(IF($R$1035,$W$1035,TRUE),LEN(TRIM($W$1035))&gt;0)</formula>
    </cfRule>
  </conditionalFormatting>
  <conditionalFormatting sqref="W1035">
    <cfRule type="expression" dxfId="613" priority="813">
      <formula>OR($S$1035 = FALSE, AND($P$1035 = FALSE, ReportType &lt;&gt; "Final"), AND($Q$1035 = FALSE, ReportType &lt;&gt; "Rough"))</formula>
    </cfRule>
  </conditionalFormatting>
  <conditionalFormatting sqref="W1035">
    <cfRule type="expression" dxfId="612" priority="812">
      <formula>OR($T$1035 = TRUE, AND($W$1035 = TRUE, $S$1035 = FALSE))</formula>
    </cfRule>
  </conditionalFormatting>
  <conditionalFormatting sqref="W1036">
    <cfRule type="expression" dxfId="611" priority="811">
      <formula>AND($R$1036,$S$1036)</formula>
    </cfRule>
  </conditionalFormatting>
  <conditionalFormatting sqref="W1036">
    <cfRule type="expression" dxfId="610" priority="810">
      <formula>AND(IF($R$1036,$W$1036,TRUE),LEN(TRIM($W$1036))&gt;0)</formula>
    </cfRule>
  </conditionalFormatting>
  <conditionalFormatting sqref="W1036">
    <cfRule type="expression" dxfId="609" priority="809">
      <formula>OR($S$1036 = FALSE, AND($P$1036 = FALSE, ReportType &lt;&gt; "Final"), AND($Q$1036 = FALSE, ReportType &lt;&gt; "Rough"))</formula>
    </cfRule>
  </conditionalFormatting>
  <conditionalFormatting sqref="W1036">
    <cfRule type="expression" dxfId="608" priority="808">
      <formula>OR($T$1036 = TRUE, AND($W$1036 = TRUE, $S$1036 = FALSE))</formula>
    </cfRule>
  </conditionalFormatting>
  <conditionalFormatting sqref="W1038">
    <cfRule type="expression" dxfId="607" priority="807">
      <formula>AND($R$1038,$S$1038)</formula>
    </cfRule>
  </conditionalFormatting>
  <conditionalFormatting sqref="W1038">
    <cfRule type="expression" dxfId="606" priority="806">
      <formula>AND(IF($R$1038,$W$1038,TRUE),LEN(TRIM($W$1038))&gt;0)</formula>
    </cfRule>
  </conditionalFormatting>
  <conditionalFormatting sqref="W1038">
    <cfRule type="expression" dxfId="605" priority="805">
      <formula>OR($S$1038 = FALSE, AND($P$1038 = FALSE, ReportType &lt;&gt; "Final"), AND($Q$1038 = FALSE, ReportType &lt;&gt; "Rough"))</formula>
    </cfRule>
  </conditionalFormatting>
  <conditionalFormatting sqref="W1038">
    <cfRule type="expression" dxfId="604" priority="804">
      <formula>OR($T$1038 = TRUE, AND($W$1038 = TRUE, $S$1038 = FALSE))</formula>
    </cfRule>
  </conditionalFormatting>
  <conditionalFormatting sqref="W1043">
    <cfRule type="expression" dxfId="603" priority="803">
      <formula>AND($R$1043,$S$1043)</formula>
    </cfRule>
  </conditionalFormatting>
  <conditionalFormatting sqref="W1043">
    <cfRule type="expression" dxfId="602" priority="802">
      <formula>AND(IF($R$1043,$W$1043,TRUE),LEN(TRIM($W$1043))&gt;0)</formula>
    </cfRule>
  </conditionalFormatting>
  <conditionalFormatting sqref="W1043">
    <cfRule type="expression" dxfId="601" priority="801">
      <formula>OR($S$1043 = FALSE, AND($P$1043 = FALSE, ReportType &lt;&gt; "Final"), AND($Q$1043 = FALSE, ReportType &lt;&gt; "Rough"))</formula>
    </cfRule>
  </conditionalFormatting>
  <conditionalFormatting sqref="W1043">
    <cfRule type="expression" dxfId="600" priority="800">
      <formula>OR($T$1043 = TRUE, AND($W$1043 = TRUE, $S$1043 = FALSE))</formula>
    </cfRule>
  </conditionalFormatting>
  <conditionalFormatting sqref="W1056">
    <cfRule type="expression" dxfId="599" priority="799">
      <formula>AND($R$1056,$S$1056)</formula>
    </cfRule>
  </conditionalFormatting>
  <conditionalFormatting sqref="W1056">
    <cfRule type="expression" dxfId="598" priority="798">
      <formula>AND(IF($R$1056,$W$1056,TRUE),LEN(TRIM($W$1056))&gt;0)</formula>
    </cfRule>
  </conditionalFormatting>
  <conditionalFormatting sqref="W1056">
    <cfRule type="expression" dxfId="597" priority="797">
      <formula>OR($S$1056 = FALSE, AND($P$1056 = FALSE, ReportType &lt;&gt; "Final"), AND($Q$1056 = FALSE, ReportType &lt;&gt; "Rough"))</formula>
    </cfRule>
  </conditionalFormatting>
  <conditionalFormatting sqref="W1056">
    <cfRule type="expression" dxfId="596" priority="796">
      <formula>OR($T$1056 = TRUE, AND($W$1056 = TRUE, $S$1056 = FALSE))</formula>
    </cfRule>
  </conditionalFormatting>
  <conditionalFormatting sqref="W1061">
    <cfRule type="expression" dxfId="595" priority="795">
      <formula>AND($R$1061,$S$1061)</formula>
    </cfRule>
  </conditionalFormatting>
  <conditionalFormatting sqref="W1061">
    <cfRule type="expression" dxfId="594" priority="794">
      <formula>AND(IF($R$1061,$W$1061,TRUE),LEN(TRIM($W$1061))&gt;0)</formula>
    </cfRule>
  </conditionalFormatting>
  <conditionalFormatting sqref="W1061">
    <cfRule type="expression" dxfId="593" priority="793">
      <formula>OR($S$1061 = FALSE, AND($P$1061 = FALSE, ReportType &lt;&gt; "Final"), AND($Q$1061 = FALSE, ReportType &lt;&gt; "Rough"))</formula>
    </cfRule>
  </conditionalFormatting>
  <conditionalFormatting sqref="W1061">
    <cfRule type="expression" dxfId="592" priority="792">
      <formula>OR($T$1061 = TRUE, AND($W$1061 = TRUE, $S$1061 = FALSE))</formula>
    </cfRule>
  </conditionalFormatting>
  <conditionalFormatting sqref="W1062">
    <cfRule type="expression" dxfId="591" priority="791">
      <formula>AND($R$1062,$S$1062)</formula>
    </cfRule>
  </conditionalFormatting>
  <conditionalFormatting sqref="W1062">
    <cfRule type="expression" dxfId="590" priority="790">
      <formula>AND(IF($R$1062,$W$1062,TRUE),LEN(TRIM($W$1062))&gt;0)</formula>
    </cfRule>
  </conditionalFormatting>
  <conditionalFormatting sqref="W1062">
    <cfRule type="expression" dxfId="589" priority="789">
      <formula>OR($S$1062 = FALSE, AND($P$1062 = FALSE, ReportType &lt;&gt; "Final"), AND($Q$1062 = FALSE, ReportType &lt;&gt; "Rough"))</formula>
    </cfRule>
  </conditionalFormatting>
  <conditionalFormatting sqref="W1062">
    <cfRule type="expression" dxfId="588" priority="788">
      <formula>OR($T$1062 = TRUE, AND($W$1062 = TRUE, $S$1062 = FALSE))</formula>
    </cfRule>
  </conditionalFormatting>
  <conditionalFormatting sqref="W1066">
    <cfRule type="expression" dxfId="587" priority="787">
      <formula>AND($R$1066,$S$1066)</formula>
    </cfRule>
  </conditionalFormatting>
  <conditionalFormatting sqref="W1066">
    <cfRule type="expression" dxfId="586" priority="786">
      <formula>AND(IF($R$1066,$W$1066,TRUE),LEN(TRIM($W$1066))&gt;0)</formula>
    </cfRule>
  </conditionalFormatting>
  <conditionalFormatting sqref="W1066">
    <cfRule type="expression" dxfId="585" priority="785">
      <formula>OR($S$1066 = FALSE, AND($P$1066 = FALSE, ReportType &lt;&gt; "Final"), AND($Q$1066 = FALSE, ReportType &lt;&gt; "Rough"))</formula>
    </cfRule>
  </conditionalFormatting>
  <conditionalFormatting sqref="W1066">
    <cfRule type="expression" dxfId="584" priority="784">
      <formula>OR($T$1066 = TRUE, AND($W$1066 = TRUE, $S$1066 = FALSE))</formula>
    </cfRule>
  </conditionalFormatting>
  <conditionalFormatting sqref="W1071">
    <cfRule type="expression" dxfId="583" priority="783">
      <formula>AND($R$1071,$S$1071)</formula>
    </cfRule>
  </conditionalFormatting>
  <conditionalFormatting sqref="W1071">
    <cfRule type="expression" dxfId="582" priority="782">
      <formula>AND($W$1071&lt;&gt;"Not Met",LEN(TRIM($W$1071))&gt;0)</formula>
    </cfRule>
  </conditionalFormatting>
  <conditionalFormatting sqref="W1071">
    <cfRule type="expression" dxfId="581" priority="781">
      <formula>OR($S$1071 = FALSE, AND($P$1071 = FALSE, ReportType &lt;&gt; "Final"), AND($Q$1071 = FALSE, ReportType &lt;&gt; "Rough"))</formula>
    </cfRule>
  </conditionalFormatting>
  <conditionalFormatting sqref="W1071">
    <cfRule type="expression" dxfId="580" priority="780">
      <formula>OR($T$1071 = TRUE, AND(LEN(TRIM($W$1071))&gt;0, $S$1071 = FALSE))</formula>
    </cfRule>
  </conditionalFormatting>
  <conditionalFormatting sqref="W1075">
    <cfRule type="expression" dxfId="579" priority="779">
      <formula>AND($R$1075,$S$1075)</formula>
    </cfRule>
  </conditionalFormatting>
  <conditionalFormatting sqref="W1075">
    <cfRule type="expression" dxfId="578" priority="778">
      <formula>AND(IF($R$1075,$W$1075,TRUE),LEN(TRIM($W$1075))&gt;0)</formula>
    </cfRule>
  </conditionalFormatting>
  <conditionalFormatting sqref="W1075">
    <cfRule type="expression" dxfId="577" priority="777">
      <formula>OR($S$1075 = FALSE, AND($P$1075 = FALSE, ReportType &lt;&gt; "Final"), AND($Q$1075 = FALSE, ReportType &lt;&gt; "Rough"))</formula>
    </cfRule>
  </conditionalFormatting>
  <conditionalFormatting sqref="W1075">
    <cfRule type="expression" dxfId="576" priority="776">
      <formula>OR($T$1075 = TRUE, AND($W$1075 = TRUE, $S$1075 = FALSE))</formula>
    </cfRule>
  </conditionalFormatting>
  <conditionalFormatting sqref="W1076">
    <cfRule type="expression" dxfId="575" priority="775">
      <formula>AND($R$1076,$S$1076)</formula>
    </cfRule>
  </conditionalFormatting>
  <conditionalFormatting sqref="W1076">
    <cfRule type="expression" dxfId="574" priority="774">
      <formula>AND(IF($R$1076,$W$1076,TRUE),LEN(TRIM($W$1076))&gt;0)</formula>
    </cfRule>
  </conditionalFormatting>
  <conditionalFormatting sqref="W1076">
    <cfRule type="expression" dxfId="573" priority="773">
      <formula>OR($S$1076 = FALSE, AND($P$1076 = FALSE, ReportType &lt;&gt; "Final"), AND($Q$1076 = FALSE, ReportType &lt;&gt; "Rough"))</formula>
    </cfRule>
  </conditionalFormatting>
  <conditionalFormatting sqref="W1076">
    <cfRule type="expression" dxfId="572" priority="772">
      <formula>OR($T$1076 = TRUE, AND($W$1076 = TRUE, $S$1076 = FALSE))</formula>
    </cfRule>
  </conditionalFormatting>
  <conditionalFormatting sqref="W1079">
    <cfRule type="expression" dxfId="571" priority="771">
      <formula>AND($R$1079,$S$1079)</formula>
    </cfRule>
  </conditionalFormatting>
  <conditionalFormatting sqref="W1079">
    <cfRule type="expression" dxfId="570" priority="770">
      <formula>AND(IF($R$1079,$W$1079,TRUE),LEN(TRIM($W$1079))&gt;0)</formula>
    </cfRule>
  </conditionalFormatting>
  <conditionalFormatting sqref="W1079">
    <cfRule type="expression" dxfId="569" priority="769">
      <formula>OR($S$1079 = FALSE, AND($P$1079 = FALSE, ReportType &lt;&gt; "Final"), AND($Q$1079 = FALSE, ReportType &lt;&gt; "Rough"))</formula>
    </cfRule>
  </conditionalFormatting>
  <conditionalFormatting sqref="W1079">
    <cfRule type="expression" dxfId="568" priority="768">
      <formula>OR($T$1079 = TRUE, AND($W$1079 = TRUE, $S$1079 = FALSE))</formula>
    </cfRule>
  </conditionalFormatting>
  <conditionalFormatting sqref="W1081">
    <cfRule type="expression" dxfId="567" priority="767">
      <formula>AND($R$1081,$S$1081)</formula>
    </cfRule>
  </conditionalFormatting>
  <conditionalFormatting sqref="W1081">
    <cfRule type="expression" dxfId="566" priority="766">
      <formula>AND(IF($R$1081,$W$1081,TRUE),LEN(TRIM($W$1081))&gt;0)</formula>
    </cfRule>
  </conditionalFormatting>
  <conditionalFormatting sqref="W1081">
    <cfRule type="expression" dxfId="565" priority="765">
      <formula>OR($S$1081 = FALSE, AND($P$1081 = FALSE, ReportType &lt;&gt; "Final"), AND($Q$1081 = FALSE, ReportType &lt;&gt; "Rough"))</formula>
    </cfRule>
  </conditionalFormatting>
  <conditionalFormatting sqref="W1081">
    <cfRule type="expression" dxfId="564" priority="764">
      <formula>OR($T$1081 = TRUE, AND($W$1081 = TRUE, $S$1081 = FALSE))</formula>
    </cfRule>
  </conditionalFormatting>
  <conditionalFormatting sqref="W1089">
    <cfRule type="expression" dxfId="563" priority="763">
      <formula>AND($R$1089,$S$1089)</formula>
    </cfRule>
  </conditionalFormatting>
  <conditionalFormatting sqref="W1089">
    <cfRule type="expression" dxfId="562" priority="762">
      <formula>AND(IF($R$1089,$W$1089,TRUE),LEN(TRIM($W$1089))&gt;0)</formula>
    </cfRule>
  </conditionalFormatting>
  <conditionalFormatting sqref="W1089">
    <cfRule type="expression" dxfId="561" priority="761">
      <formula>OR($S$1089 = FALSE, AND($P$1089 = FALSE, ReportType &lt;&gt; "Final"), AND($Q$1089 = FALSE, ReportType &lt;&gt; "Rough"))</formula>
    </cfRule>
  </conditionalFormatting>
  <conditionalFormatting sqref="W1089">
    <cfRule type="expression" dxfId="560" priority="760">
      <formula>OR($T$1089 = TRUE, AND($W$1089 = TRUE, $S$1089 = FALSE))</formula>
    </cfRule>
  </conditionalFormatting>
  <conditionalFormatting sqref="W1091">
    <cfRule type="expression" dxfId="559" priority="759">
      <formula>AND($R$1091,$S$1091)</formula>
    </cfRule>
  </conditionalFormatting>
  <conditionalFormatting sqref="W1091">
    <cfRule type="expression" dxfId="558" priority="758">
      <formula>AND(IF($R$1091,$W$1091,TRUE),LEN(TRIM($W$1091))&gt;0)</formula>
    </cfRule>
  </conditionalFormatting>
  <conditionalFormatting sqref="W1091">
    <cfRule type="expression" dxfId="557" priority="757">
      <formula>OR($S$1091 = FALSE, AND($P$1091 = FALSE, ReportType &lt;&gt; "Final"), AND($Q$1091 = FALSE, ReportType &lt;&gt; "Rough"))</formula>
    </cfRule>
  </conditionalFormatting>
  <conditionalFormatting sqref="W1091">
    <cfRule type="expression" dxfId="556" priority="756">
      <formula>OR($T$1091 = TRUE, AND($W$1091 = TRUE, $S$1091 = FALSE))</formula>
    </cfRule>
  </conditionalFormatting>
  <conditionalFormatting sqref="W1093">
    <cfRule type="expression" dxfId="555" priority="755">
      <formula>AND($R$1093,$S$1093)</formula>
    </cfRule>
  </conditionalFormatting>
  <conditionalFormatting sqref="W1093">
    <cfRule type="expression" dxfId="554" priority="754">
      <formula>AND($W$1093&lt;&gt;"Not Met",LEN(TRIM($W$1093))&gt;0)</formula>
    </cfRule>
  </conditionalFormatting>
  <conditionalFormatting sqref="W1093">
    <cfRule type="expression" dxfId="553" priority="753">
      <formula>OR($S$1093 = FALSE, AND($P$1093 = FALSE, ReportType &lt;&gt; "Final"), AND($Q$1093 = FALSE, ReportType &lt;&gt; "Rough"))</formula>
    </cfRule>
  </conditionalFormatting>
  <conditionalFormatting sqref="W1093">
    <cfRule type="expression" dxfId="552" priority="752">
      <formula>OR($T$1093 = TRUE, AND(LEN(TRIM($W$1093))&gt;0, $S$1093 = FALSE))</formula>
    </cfRule>
  </conditionalFormatting>
  <conditionalFormatting sqref="W1095">
    <cfRule type="expression" dxfId="551" priority="751">
      <formula>AND($R$1095,$S$1095)</formula>
    </cfRule>
  </conditionalFormatting>
  <conditionalFormatting sqref="W1095">
    <cfRule type="expression" dxfId="550" priority="750">
      <formula>AND(IF($R$1095,$W$1095,TRUE),LEN(TRIM($W$1095))&gt;0)</formula>
    </cfRule>
  </conditionalFormatting>
  <conditionalFormatting sqref="W1095">
    <cfRule type="expression" dxfId="549" priority="749">
      <formula>OR($S$1095 = FALSE, AND($P$1095 = FALSE, ReportType &lt;&gt; "Final"), AND($Q$1095 = FALSE, ReportType &lt;&gt; "Rough"))</formula>
    </cfRule>
  </conditionalFormatting>
  <conditionalFormatting sqref="W1095">
    <cfRule type="expression" dxfId="548" priority="748">
      <formula>OR($T$1095 = TRUE, AND($W$1095 = TRUE, $S$1095 = FALSE))</formula>
    </cfRule>
  </conditionalFormatting>
  <conditionalFormatting sqref="W1102">
    <cfRule type="expression" dxfId="547" priority="747">
      <formula>AND($R$1102,$S$1102)</formula>
    </cfRule>
  </conditionalFormatting>
  <conditionalFormatting sqref="W1102">
    <cfRule type="expression" dxfId="546" priority="746">
      <formula>AND(IF($R$1102,$W$1102,TRUE),LEN(TRIM($W$1102))&gt;0)</formula>
    </cfRule>
  </conditionalFormatting>
  <conditionalFormatting sqref="W1102">
    <cfRule type="expression" dxfId="545" priority="745">
      <formula>OR($S$1102 = FALSE, AND($P$1102 = FALSE, ReportType &lt;&gt; "Final"), AND($Q$1102 = FALSE, ReportType &lt;&gt; "Rough"))</formula>
    </cfRule>
  </conditionalFormatting>
  <conditionalFormatting sqref="W1102">
    <cfRule type="expression" dxfId="544" priority="744">
      <formula>OR($T$1102 = TRUE, AND($W$1102 = TRUE, $S$1102 = FALSE))</formula>
    </cfRule>
  </conditionalFormatting>
  <conditionalFormatting sqref="W1113">
    <cfRule type="expression" dxfId="543" priority="743">
      <formula>AND($R$1113,$S$1113)</formula>
    </cfRule>
  </conditionalFormatting>
  <conditionalFormatting sqref="W1113">
    <cfRule type="expression" dxfId="542" priority="742">
      <formula>AND(IF($R$1113,$W$1113,TRUE),LEN(TRIM($W$1113))&gt;0)</formula>
    </cfRule>
  </conditionalFormatting>
  <conditionalFormatting sqref="W1113">
    <cfRule type="expression" dxfId="541" priority="741">
      <formula>OR($S$1113 = FALSE, AND($P$1113 = FALSE, ReportType &lt;&gt; "Final"), AND($Q$1113 = FALSE, ReportType &lt;&gt; "Rough"))</formula>
    </cfRule>
  </conditionalFormatting>
  <conditionalFormatting sqref="W1113">
    <cfRule type="expression" dxfId="540" priority="740">
      <formula>OR($T$1113 = TRUE, AND($W$1113 = TRUE, $S$1113 = FALSE))</formula>
    </cfRule>
  </conditionalFormatting>
  <conditionalFormatting sqref="W1115">
    <cfRule type="expression" dxfId="539" priority="739">
      <formula>AND($R$1115,$S$1115)</formula>
    </cfRule>
  </conditionalFormatting>
  <conditionalFormatting sqref="W1115">
    <cfRule type="expression" dxfId="538" priority="738">
      <formula>AND(IF($R$1115,$W$1115,TRUE),LEN(TRIM($W$1115))&gt;0)</formula>
    </cfRule>
  </conditionalFormatting>
  <conditionalFormatting sqref="W1115">
    <cfRule type="expression" dxfId="537" priority="737">
      <formula>OR($S$1115 = FALSE, AND($P$1115 = FALSE, ReportType &lt;&gt; "Final"), AND($Q$1115 = FALSE, ReportType &lt;&gt; "Rough"))</formula>
    </cfRule>
  </conditionalFormatting>
  <conditionalFormatting sqref="W1115">
    <cfRule type="expression" dxfId="536" priority="736">
      <formula>OR($T$1115 = TRUE, AND($W$1115 = TRUE, $S$1115 = FALSE))</formula>
    </cfRule>
  </conditionalFormatting>
  <conditionalFormatting sqref="W1117">
    <cfRule type="expression" dxfId="535" priority="735">
      <formula>AND($R$1117,$S$1117)</formula>
    </cfRule>
  </conditionalFormatting>
  <conditionalFormatting sqref="W1117">
    <cfRule type="expression" dxfId="534" priority="734">
      <formula>AND(IF($R$1117,$W$1117,TRUE),LEN(TRIM($W$1117))&gt;0)</formula>
    </cfRule>
  </conditionalFormatting>
  <conditionalFormatting sqref="W1117">
    <cfRule type="expression" dxfId="533" priority="733">
      <formula>OR($S$1117 = FALSE, AND($P$1117 = FALSE, ReportType &lt;&gt; "Final"), AND($Q$1117 = FALSE, ReportType &lt;&gt; "Rough"))</formula>
    </cfRule>
  </conditionalFormatting>
  <conditionalFormatting sqref="W1117">
    <cfRule type="expression" dxfId="532" priority="732">
      <formula>OR($T$1117 = TRUE, AND($W$1117 = TRUE, $S$1117 = FALSE))</formula>
    </cfRule>
  </conditionalFormatting>
  <conditionalFormatting sqref="W1121">
    <cfRule type="expression" dxfId="531" priority="731">
      <formula>AND($R$1121,$S$1121)</formula>
    </cfRule>
  </conditionalFormatting>
  <conditionalFormatting sqref="W1121">
    <cfRule type="expression" dxfId="530" priority="730">
      <formula>AND($W$1121&lt;&gt;"Not Met",LEN(TRIM($W$1121))&gt;0)</formula>
    </cfRule>
  </conditionalFormatting>
  <conditionalFormatting sqref="W1121">
    <cfRule type="expression" dxfId="529" priority="729">
      <formula>OR($S$1121 = FALSE, AND($P$1121 = FALSE, ReportType &lt;&gt; "Final"), AND($Q$1121 = FALSE, ReportType &lt;&gt; "Rough"))</formula>
    </cfRule>
  </conditionalFormatting>
  <conditionalFormatting sqref="W1121">
    <cfRule type="expression" dxfId="528" priority="728">
      <formula>OR($T$1121 = TRUE, AND(LEN(TRIM($W$1121))&gt;0, $S$1121 = FALSE))</formula>
    </cfRule>
  </conditionalFormatting>
  <conditionalFormatting sqref="W1131">
    <cfRule type="expression" dxfId="527" priority="727">
      <formula>AND($R$1131,$S$1131)</formula>
    </cfRule>
  </conditionalFormatting>
  <conditionalFormatting sqref="W1131">
    <cfRule type="expression" dxfId="526" priority="726">
      <formula>AND(IF($R$1131,$W$1131,TRUE),LEN(TRIM($W$1131))&gt;0)</formula>
    </cfRule>
  </conditionalFormatting>
  <conditionalFormatting sqref="W1131">
    <cfRule type="expression" dxfId="525" priority="725">
      <formula>OR($S$1131 = FALSE, AND($P$1131 = FALSE, ReportType &lt;&gt; "Final"), AND($Q$1131 = FALSE, ReportType &lt;&gt; "Rough"))</formula>
    </cfRule>
  </conditionalFormatting>
  <conditionalFormatting sqref="W1131">
    <cfRule type="expression" dxfId="524" priority="724">
      <formula>OR($T$1131 = TRUE, AND($W$1131 = TRUE, $S$1131 = FALSE))</formula>
    </cfRule>
  </conditionalFormatting>
  <conditionalFormatting sqref="W1133">
    <cfRule type="expression" dxfId="523" priority="723">
      <formula>AND($R$1133,$S$1133)</formula>
    </cfRule>
  </conditionalFormatting>
  <conditionalFormatting sqref="W1133">
    <cfRule type="expression" dxfId="522" priority="722">
      <formula>AND(IF($R$1133,$W$1133,TRUE),LEN(TRIM($W$1133))&gt;0)</formula>
    </cfRule>
  </conditionalFormatting>
  <conditionalFormatting sqref="W1133">
    <cfRule type="expression" dxfId="521" priority="721">
      <formula>OR($S$1133 = FALSE, AND($P$1133 = FALSE, ReportType &lt;&gt; "Final"), AND($Q$1133 = FALSE, ReportType &lt;&gt; "Rough"))</formula>
    </cfRule>
  </conditionalFormatting>
  <conditionalFormatting sqref="W1133">
    <cfRule type="expression" dxfId="520" priority="720">
      <formula>OR($T$1133 = TRUE, AND($W$1133 = TRUE, $S$1133 = FALSE))</formula>
    </cfRule>
  </conditionalFormatting>
  <conditionalFormatting sqref="W1136">
    <cfRule type="expression" dxfId="519" priority="719">
      <formula>AND($R$1136,$S$1136)</formula>
    </cfRule>
  </conditionalFormatting>
  <conditionalFormatting sqref="W1136">
    <cfRule type="expression" dxfId="518" priority="718">
      <formula>AND(IF($R$1136,$W$1136,TRUE),LEN(TRIM($W$1136))&gt;0)</formula>
    </cfRule>
  </conditionalFormatting>
  <conditionalFormatting sqref="W1136">
    <cfRule type="expression" dxfId="517" priority="717">
      <formula>OR($S$1136 = FALSE, AND($P$1136 = FALSE, ReportType &lt;&gt; "Final"), AND($Q$1136 = FALSE, ReportType &lt;&gt; "Rough"))</formula>
    </cfRule>
  </conditionalFormatting>
  <conditionalFormatting sqref="W1136">
    <cfRule type="expression" dxfId="516" priority="716">
      <formula>OR($T$1136 = TRUE, AND($W$1136 = TRUE, $S$1136 = FALSE))</formula>
    </cfRule>
  </conditionalFormatting>
  <conditionalFormatting sqref="W1142">
    <cfRule type="expression" dxfId="515" priority="715">
      <formula>AND($R$1142,$S$1142)</formula>
    </cfRule>
  </conditionalFormatting>
  <conditionalFormatting sqref="W1142">
    <cfRule type="expression" dxfId="514" priority="714">
      <formula>AND($W$1142&lt;&gt;"Not Met",LEN(TRIM($W$1142))&gt;0)</formula>
    </cfRule>
  </conditionalFormatting>
  <conditionalFormatting sqref="W1142">
    <cfRule type="expression" dxfId="513" priority="713">
      <formula>OR($S$1142 = FALSE, AND($P$1142 = FALSE, ReportType &lt;&gt; "Final"), AND($Q$1142 = FALSE, ReportType &lt;&gt; "Rough"))</formula>
    </cfRule>
  </conditionalFormatting>
  <conditionalFormatting sqref="W1142">
    <cfRule type="expression" dxfId="512" priority="712">
      <formula>OR($T$1142 = TRUE, AND(LEN(TRIM($W$1142))&gt;0, $S$1142 = FALSE))</formula>
    </cfRule>
  </conditionalFormatting>
  <conditionalFormatting sqref="W1146">
    <cfRule type="expression" dxfId="511" priority="711">
      <formula>AND($R$1146,$S$1146)</formula>
    </cfRule>
  </conditionalFormatting>
  <conditionalFormatting sqref="W1146">
    <cfRule type="expression" dxfId="510" priority="710">
      <formula>AND(IF($R$1146,$W$1146,TRUE),LEN(TRIM($W$1146))&gt;0)</formula>
    </cfRule>
  </conditionalFormatting>
  <conditionalFormatting sqref="W1146">
    <cfRule type="expression" dxfId="509" priority="709">
      <formula>OR($S$1146 = FALSE, AND($P$1146 = FALSE, ReportType &lt;&gt; "Final"), AND($Q$1146 = FALSE, ReportType &lt;&gt; "Rough"))</formula>
    </cfRule>
  </conditionalFormatting>
  <conditionalFormatting sqref="W1146">
    <cfRule type="expression" dxfId="508" priority="708">
      <formula>OR($T$1146 = TRUE, AND($W$1146 = TRUE, $S$1146 = FALSE))</formula>
    </cfRule>
  </conditionalFormatting>
  <conditionalFormatting sqref="W1149">
    <cfRule type="expression" dxfId="507" priority="707">
      <formula>AND($R$1149,$S$1149)</formula>
    </cfRule>
  </conditionalFormatting>
  <conditionalFormatting sqref="W1149">
    <cfRule type="expression" dxfId="506" priority="706">
      <formula>AND(IF($R$1149,$W$1149,TRUE),LEN(TRIM($W$1149))&gt;0)</formula>
    </cfRule>
  </conditionalFormatting>
  <conditionalFormatting sqref="W1149">
    <cfRule type="expression" dxfId="505" priority="705">
      <formula>OR($S$1149 = FALSE, AND($P$1149 = FALSE, ReportType &lt;&gt; "Final"), AND($Q$1149 = FALSE, ReportType &lt;&gt; "Rough"))</formula>
    </cfRule>
  </conditionalFormatting>
  <conditionalFormatting sqref="W1149">
    <cfRule type="expression" dxfId="504" priority="704">
      <formula>OR($T$1149 = TRUE, AND($W$1149 = TRUE, $S$1149 = FALSE))</formula>
    </cfRule>
  </conditionalFormatting>
  <conditionalFormatting sqref="W1151">
    <cfRule type="expression" dxfId="503" priority="703">
      <formula>AND($R$1151,$S$1151)</formula>
    </cfRule>
  </conditionalFormatting>
  <conditionalFormatting sqref="W1151">
    <cfRule type="expression" dxfId="502" priority="702">
      <formula>AND(IF($R$1151,$W$1151,TRUE),LEN(TRIM($W$1151))&gt;0)</formula>
    </cfRule>
  </conditionalFormatting>
  <conditionalFormatting sqref="W1151">
    <cfRule type="expression" dxfId="501" priority="701">
      <formula>OR($S$1151 = FALSE, AND($P$1151 = FALSE, ReportType &lt;&gt; "Final"), AND($Q$1151 = FALSE, ReportType &lt;&gt; "Rough"))</formula>
    </cfRule>
  </conditionalFormatting>
  <conditionalFormatting sqref="W1151">
    <cfRule type="expression" dxfId="500" priority="700">
      <formula>OR($T$1151 = TRUE, AND($W$1151 = TRUE, $S$1151 = FALSE))</formula>
    </cfRule>
  </conditionalFormatting>
  <conditionalFormatting sqref="W1154">
    <cfRule type="expression" dxfId="499" priority="699">
      <formula>AND($R$1154,$S$1154)</formula>
    </cfRule>
  </conditionalFormatting>
  <conditionalFormatting sqref="W1154">
    <cfRule type="expression" dxfId="498" priority="698">
      <formula>AND(IF($R$1154,$W$1154,TRUE),LEN(TRIM($W$1154))&gt;0)</formula>
    </cfRule>
  </conditionalFormatting>
  <conditionalFormatting sqref="W1154">
    <cfRule type="expression" dxfId="497" priority="697">
      <formula>OR($S$1154 = FALSE, AND($P$1154 = FALSE, ReportType &lt;&gt; "Final"), AND($Q$1154 = FALSE, ReportType &lt;&gt; "Rough"))</formula>
    </cfRule>
  </conditionalFormatting>
  <conditionalFormatting sqref="W1154">
    <cfRule type="expression" dxfId="496" priority="696">
      <formula>OR($T$1154 = TRUE, AND($W$1154 = TRUE, $S$1154 = FALSE))</formula>
    </cfRule>
  </conditionalFormatting>
  <conditionalFormatting sqref="W1156">
    <cfRule type="expression" dxfId="495" priority="695">
      <formula>AND($R$1156,$S$1156)</formula>
    </cfRule>
  </conditionalFormatting>
  <conditionalFormatting sqref="W1156">
    <cfRule type="expression" dxfId="494" priority="694">
      <formula>AND(IF($R$1156,$W$1156,TRUE),LEN(TRIM($W$1156))&gt;0)</formula>
    </cfRule>
  </conditionalFormatting>
  <conditionalFormatting sqref="W1156">
    <cfRule type="expression" dxfId="493" priority="693">
      <formula>OR($S$1156 = FALSE, AND($P$1156 = FALSE, ReportType &lt;&gt; "Final"), AND($Q$1156 = FALSE, ReportType &lt;&gt; "Rough"))</formula>
    </cfRule>
  </conditionalFormatting>
  <conditionalFormatting sqref="W1156">
    <cfRule type="expression" dxfId="492" priority="692">
      <formula>OR($T$1156 = TRUE, AND($W$1156 = TRUE, $S$1156 = FALSE))</formula>
    </cfRule>
  </conditionalFormatting>
  <conditionalFormatting sqref="W1160">
    <cfRule type="expression" dxfId="491" priority="691">
      <formula>AND($R$1160,$S$1160)</formula>
    </cfRule>
  </conditionalFormatting>
  <conditionalFormatting sqref="W1160">
    <cfRule type="expression" dxfId="490" priority="690">
      <formula>AND($W$1160&lt;&gt;"Not Met",LEN(TRIM($W$1160))&gt;0)</formula>
    </cfRule>
  </conditionalFormatting>
  <conditionalFormatting sqref="W1160">
    <cfRule type="expression" dxfId="489" priority="689">
      <formula>OR($S$1160 = FALSE, AND($P$1160 = FALSE, ReportType &lt;&gt; "Final"), AND($Q$1160 = FALSE, ReportType &lt;&gt; "Rough"))</formula>
    </cfRule>
  </conditionalFormatting>
  <conditionalFormatting sqref="W1160">
    <cfRule type="expression" dxfId="488" priority="688">
      <formula>OR($T$1160 = TRUE, AND(LEN(TRIM($W$1160))&gt;0, $S$1160 = FALSE))</formula>
    </cfRule>
  </conditionalFormatting>
  <conditionalFormatting sqref="W1164">
    <cfRule type="expression" dxfId="487" priority="687">
      <formula>AND($R$1164,$S$1164)</formula>
    </cfRule>
  </conditionalFormatting>
  <conditionalFormatting sqref="W1164">
    <cfRule type="expression" dxfId="486" priority="686">
      <formula>AND($W$1164&lt;&gt;"Not Met",LEN(TRIM($W$1164))&gt;0)</formula>
    </cfRule>
  </conditionalFormatting>
  <conditionalFormatting sqref="W1164">
    <cfRule type="expression" dxfId="485" priority="685">
      <formula>OR($S$1164 = FALSE, AND($P$1164 = FALSE, ReportType &lt;&gt; "Final"), AND($Q$1164 = FALSE, ReportType &lt;&gt; "Rough"))</formula>
    </cfRule>
  </conditionalFormatting>
  <conditionalFormatting sqref="W1164">
    <cfRule type="expression" dxfId="484" priority="684">
      <formula>OR($T$1164 = TRUE, AND(LEN(TRIM($W$1164))&gt;0, $S$1164 = FALSE))</formula>
    </cfRule>
  </conditionalFormatting>
  <conditionalFormatting sqref="W1170">
    <cfRule type="expression" dxfId="483" priority="683">
      <formula>AND($R$1170,$S$1170)</formula>
    </cfRule>
  </conditionalFormatting>
  <conditionalFormatting sqref="W1170">
    <cfRule type="expression" dxfId="482" priority="682">
      <formula>AND(IF($R$1170,$W$1170,TRUE),LEN(TRIM($W$1170))&gt;0)</formula>
    </cfRule>
  </conditionalFormatting>
  <conditionalFormatting sqref="W1170">
    <cfRule type="expression" dxfId="481" priority="681">
      <formula>OR($S$1170 = FALSE, AND($P$1170 = FALSE, ReportType &lt;&gt; "Final"), AND($Q$1170 = FALSE, ReportType &lt;&gt; "Rough"))</formula>
    </cfRule>
  </conditionalFormatting>
  <conditionalFormatting sqref="W1170">
    <cfRule type="expression" dxfId="480" priority="680">
      <formula>OR($T$1170 = TRUE, AND($W$1170 = TRUE, $S$1170 = FALSE))</formula>
    </cfRule>
  </conditionalFormatting>
  <conditionalFormatting sqref="W1171">
    <cfRule type="expression" dxfId="479" priority="679">
      <formula>AND($R$1171,$S$1171)</formula>
    </cfRule>
  </conditionalFormatting>
  <conditionalFormatting sqref="W1171">
    <cfRule type="expression" dxfId="478" priority="678">
      <formula>AND(IF($R$1171,$W$1171,TRUE),LEN(TRIM($W$1171))&gt;0)</formula>
    </cfRule>
  </conditionalFormatting>
  <conditionalFormatting sqref="W1171">
    <cfRule type="expression" dxfId="477" priority="677">
      <formula>OR($S$1171 = FALSE, AND($P$1171 = FALSE, ReportType &lt;&gt; "Final"), AND($Q$1171 = FALSE, ReportType &lt;&gt; "Rough"))</formula>
    </cfRule>
  </conditionalFormatting>
  <conditionalFormatting sqref="W1171">
    <cfRule type="expression" dxfId="476" priority="676">
      <formula>OR($T$1171 = TRUE, AND($W$1171 = TRUE, $S$1171 = FALSE))</formula>
    </cfRule>
  </conditionalFormatting>
  <conditionalFormatting sqref="W1176">
    <cfRule type="expression" dxfId="475" priority="675">
      <formula>AND($R$1176,$S$1176)</formula>
    </cfRule>
  </conditionalFormatting>
  <conditionalFormatting sqref="W1176">
    <cfRule type="expression" dxfId="474" priority="674">
      <formula>AND(IF($R$1176,$W$1176,TRUE),LEN(TRIM($W$1176))&gt;0)</formula>
    </cfRule>
  </conditionalFormatting>
  <conditionalFormatting sqref="W1176">
    <cfRule type="expression" dxfId="473" priority="673">
      <formula>OR($S$1176 = FALSE, AND($P$1176 = FALSE, ReportType &lt;&gt; "Final"), AND($Q$1176 = FALSE, ReportType &lt;&gt; "Rough"))</formula>
    </cfRule>
  </conditionalFormatting>
  <conditionalFormatting sqref="W1176">
    <cfRule type="expression" dxfId="472" priority="672">
      <formula>OR($T$1176 = TRUE, AND($W$1176 = TRUE, $S$1176 = FALSE))</formula>
    </cfRule>
  </conditionalFormatting>
  <conditionalFormatting sqref="W1181">
    <cfRule type="expression" dxfId="471" priority="671">
      <formula>AND($R$1181,$S$1181)</formula>
    </cfRule>
  </conditionalFormatting>
  <conditionalFormatting sqref="W1181">
    <cfRule type="expression" dxfId="470" priority="670">
      <formula>AND(IF($R$1181,$W$1181,TRUE),LEN(TRIM($W$1181))&gt;0)</formula>
    </cfRule>
  </conditionalFormatting>
  <conditionalFormatting sqref="W1181">
    <cfRule type="expression" dxfId="469" priority="669">
      <formula>OR($S$1181 = FALSE, AND($P$1181 = FALSE, ReportType &lt;&gt; "Final"), AND($Q$1181 = FALSE, ReportType &lt;&gt; "Rough"))</formula>
    </cfRule>
  </conditionalFormatting>
  <conditionalFormatting sqref="W1181">
    <cfRule type="expression" dxfId="468" priority="668">
      <formula>OR($T$1181 = TRUE, AND($W$1181 = TRUE, $S$1181 = FALSE))</formula>
    </cfRule>
  </conditionalFormatting>
  <conditionalFormatting sqref="W1185">
    <cfRule type="expression" dxfId="467" priority="667">
      <formula>AND($R$1185,$S$1185)</formula>
    </cfRule>
  </conditionalFormatting>
  <conditionalFormatting sqref="W1185">
    <cfRule type="expression" dxfId="466" priority="666">
      <formula>AND(IF($R$1185,$W$1185,TRUE),LEN(TRIM($W$1185))&gt;0)</formula>
    </cfRule>
  </conditionalFormatting>
  <conditionalFormatting sqref="W1185">
    <cfRule type="expression" dxfId="465" priority="665">
      <formula>OR($S$1185 = FALSE, AND($P$1185 = FALSE, ReportType &lt;&gt; "Final"), AND($Q$1185 = FALSE, ReportType &lt;&gt; "Rough"))</formula>
    </cfRule>
  </conditionalFormatting>
  <conditionalFormatting sqref="W1185">
    <cfRule type="expression" dxfId="464" priority="664">
      <formula>OR($T$1185 = TRUE, AND($W$1185 = TRUE, $S$1185 = FALSE))</formula>
    </cfRule>
  </conditionalFormatting>
  <conditionalFormatting sqref="W1190">
    <cfRule type="expression" dxfId="463" priority="663">
      <formula>AND($R$1190,$S$1190)</formula>
    </cfRule>
  </conditionalFormatting>
  <conditionalFormatting sqref="W1190">
    <cfRule type="expression" dxfId="462" priority="662">
      <formula>AND(IF($R$1190,$W$1190,TRUE),LEN(TRIM($W$1190))&gt;0)</formula>
    </cfRule>
  </conditionalFormatting>
  <conditionalFormatting sqref="W1190">
    <cfRule type="expression" dxfId="461" priority="661">
      <formula>OR($S$1190 = FALSE, AND($P$1190 = FALSE, ReportType &lt;&gt; "Final"), AND($Q$1190 = FALSE, ReportType &lt;&gt; "Rough"))</formula>
    </cfRule>
  </conditionalFormatting>
  <conditionalFormatting sqref="W1190">
    <cfRule type="expression" dxfId="460" priority="660">
      <formula>OR($T$1190 = TRUE, AND($W$1190 = TRUE, $S$1190 = FALSE))</formula>
    </cfRule>
  </conditionalFormatting>
  <conditionalFormatting sqref="O1308:O1311">
    <cfRule type="cellIs" dxfId="459" priority="659" operator="greaterThan">
      <formula>0</formula>
    </cfRule>
  </conditionalFormatting>
  <conditionalFormatting sqref="O1281:O1284">
    <cfRule type="cellIs" dxfId="458" priority="658" operator="greaterThan">
      <formula>0</formula>
    </cfRule>
  </conditionalFormatting>
  <conditionalFormatting sqref="O1263:O1265">
    <cfRule type="cellIs" dxfId="457" priority="657" operator="greaterThan">
      <formula>0</formula>
    </cfRule>
  </conditionalFormatting>
  <conditionalFormatting sqref="W1198">
    <cfRule type="expression" dxfId="456" priority="416">
      <formula>AND($R$1198,$S$1198)</formula>
    </cfRule>
  </conditionalFormatting>
  <conditionalFormatting sqref="W1198">
    <cfRule type="expression" dxfId="455" priority="415">
      <formula>AND(IF($R$1198,$W$1198,TRUE),LEN(TRIM($W$1198))&gt;0)</formula>
    </cfRule>
  </conditionalFormatting>
  <conditionalFormatting sqref="W1198">
    <cfRule type="expression" dxfId="454" priority="414">
      <formula>OR($S$1198 = FALSE, AND($P$1198 = FALSE, ReportType &lt;&gt; "Final"), AND($Q$1198 = FALSE, ReportType &lt;&gt; "Rough"))</formula>
    </cfRule>
  </conditionalFormatting>
  <conditionalFormatting sqref="W1198">
    <cfRule type="expression" dxfId="453" priority="413">
      <formula>OR($T$1198 = TRUE, AND($W$1198 = TRUE, $S$1198 = FALSE))</formula>
    </cfRule>
  </conditionalFormatting>
  <conditionalFormatting sqref="W1199">
    <cfRule type="expression" dxfId="452" priority="412">
      <formula>AND($R$1199,$S$1199)</formula>
    </cfRule>
  </conditionalFormatting>
  <conditionalFormatting sqref="W1199">
    <cfRule type="expression" dxfId="451" priority="411">
      <formula>AND(IF($R$1199,$W$1199,TRUE),LEN(TRIM($W$1199))&gt;0)</formula>
    </cfRule>
  </conditionalFormatting>
  <conditionalFormatting sqref="W1199">
    <cfRule type="expression" dxfId="450" priority="410">
      <formula>OR($S$1199 = FALSE, AND($P$1199 = FALSE, ReportType &lt;&gt; "Final"), AND($Q$1199 = FALSE, ReportType &lt;&gt; "Rough"))</formula>
    </cfRule>
  </conditionalFormatting>
  <conditionalFormatting sqref="W1199">
    <cfRule type="expression" dxfId="449" priority="409">
      <formula>OR($T$1199 = TRUE, AND($W$1199 = TRUE, $S$1199 = FALSE))</formula>
    </cfRule>
  </conditionalFormatting>
  <conditionalFormatting sqref="W1200">
    <cfRule type="expression" dxfId="448" priority="408">
      <formula>AND($R$1200,$S$1200)</formula>
    </cfRule>
  </conditionalFormatting>
  <conditionalFormatting sqref="W1200">
    <cfRule type="expression" dxfId="447" priority="407">
      <formula>AND(IF($R$1200,$W$1200,TRUE),LEN(TRIM($W$1200))&gt;0)</formula>
    </cfRule>
  </conditionalFormatting>
  <conditionalFormatting sqref="W1200">
    <cfRule type="expression" dxfId="446" priority="406">
      <formula>OR($S$1200 = FALSE, AND($P$1200 = FALSE, ReportType &lt;&gt; "Final"), AND($Q$1200 = FALSE, ReportType &lt;&gt; "Rough"))</formula>
    </cfRule>
  </conditionalFormatting>
  <conditionalFormatting sqref="W1200">
    <cfRule type="expression" dxfId="445" priority="405">
      <formula>OR($T$1200 = TRUE, AND($W$1200 = TRUE, $S$1200 = FALSE))</formula>
    </cfRule>
  </conditionalFormatting>
  <conditionalFormatting sqref="W1204">
    <cfRule type="expression" dxfId="444" priority="404">
      <formula>AND($R$1204,$S$1204)</formula>
    </cfRule>
  </conditionalFormatting>
  <conditionalFormatting sqref="W1204">
    <cfRule type="expression" dxfId="443" priority="403">
      <formula>AND(IF($R$1204,$W$1204,TRUE),LEN(TRIM($W$1204))&gt;0)</formula>
    </cfRule>
  </conditionalFormatting>
  <conditionalFormatting sqref="W1204">
    <cfRule type="expression" dxfId="442" priority="402">
      <formula>OR($S$1204 = FALSE, AND($P$1204 = FALSE, ReportType &lt;&gt; "Final"), AND($Q$1204 = FALSE, ReportType &lt;&gt; "Rough"))</formula>
    </cfRule>
  </conditionalFormatting>
  <conditionalFormatting sqref="W1204">
    <cfRule type="expression" dxfId="441" priority="401">
      <formula>OR($T$1204 = TRUE, AND($W$1204 = TRUE, $S$1204 = FALSE))</formula>
    </cfRule>
  </conditionalFormatting>
  <conditionalFormatting sqref="W1205">
    <cfRule type="expression" dxfId="440" priority="400">
      <formula>AND($R$1205,$S$1205)</formula>
    </cfRule>
  </conditionalFormatting>
  <conditionalFormatting sqref="W1205">
    <cfRule type="expression" dxfId="439" priority="399">
      <formula>AND(IF($R$1205,$W$1205,TRUE),LEN(TRIM($W$1205))&gt;0)</formula>
    </cfRule>
  </conditionalFormatting>
  <conditionalFormatting sqref="W1205">
    <cfRule type="expression" dxfId="438" priority="398">
      <formula>OR($S$1205 = FALSE, AND($P$1205 = FALSE, ReportType &lt;&gt; "Final"), AND($Q$1205 = FALSE, ReportType &lt;&gt; "Rough"))</formula>
    </cfRule>
  </conditionalFormatting>
  <conditionalFormatting sqref="W1205">
    <cfRule type="expression" dxfId="437" priority="397">
      <formula>OR($T$1205 = TRUE, AND($W$1205 = TRUE, $S$1205 = FALSE))</formula>
    </cfRule>
  </conditionalFormatting>
  <conditionalFormatting sqref="W1206">
    <cfRule type="expression" dxfId="436" priority="396">
      <formula>AND($R$1206,$S$1206)</formula>
    </cfRule>
  </conditionalFormatting>
  <conditionalFormatting sqref="W1206">
    <cfRule type="expression" dxfId="435" priority="395">
      <formula>AND(IF($R$1206,$W$1206,TRUE),LEN(TRIM($W$1206))&gt;0)</formula>
    </cfRule>
  </conditionalFormatting>
  <conditionalFormatting sqref="W1206">
    <cfRule type="expression" dxfId="434" priority="394">
      <formula>OR($S$1206 = FALSE, AND($P$1206 = FALSE, ReportType &lt;&gt; "Final"), AND($Q$1206 = FALSE, ReportType &lt;&gt; "Rough"))</formula>
    </cfRule>
  </conditionalFormatting>
  <conditionalFormatting sqref="W1206">
    <cfRule type="expression" dxfId="433" priority="393">
      <formula>OR($T$1206 = TRUE, AND($W$1206 = TRUE, $S$1206 = FALSE))</formula>
    </cfRule>
  </conditionalFormatting>
  <conditionalFormatting sqref="W1208">
    <cfRule type="expression" dxfId="432" priority="392">
      <formula>AND($R$1208,$S$1208)</formula>
    </cfRule>
  </conditionalFormatting>
  <conditionalFormatting sqref="W1208">
    <cfRule type="expression" dxfId="431" priority="391">
      <formula>AND(IF($R$1208,$W$1208,TRUE),LEN(TRIM($W$1208))&gt;0)</formula>
    </cfRule>
  </conditionalFormatting>
  <conditionalFormatting sqref="W1208">
    <cfRule type="expression" dxfId="430" priority="390">
      <formula>OR($S$1208 = FALSE, AND($P$1208 = FALSE, ReportType &lt;&gt; "Final"), AND($Q$1208 = FALSE, ReportType &lt;&gt; "Rough"))</formula>
    </cfRule>
  </conditionalFormatting>
  <conditionalFormatting sqref="W1208">
    <cfRule type="expression" dxfId="429" priority="389">
      <formula>OR($T$1208 = TRUE, AND($W$1208 = TRUE, $S$1208 = FALSE))</formula>
    </cfRule>
  </conditionalFormatting>
  <conditionalFormatting sqref="W1210">
    <cfRule type="expression" dxfId="428" priority="388">
      <formula>AND($R$1210,$S$1210)</formula>
    </cfRule>
  </conditionalFormatting>
  <conditionalFormatting sqref="W1210">
    <cfRule type="expression" dxfId="427" priority="387">
      <formula>AND(IF($R$1210,$W$1210,TRUE),LEN(TRIM($W$1210))&gt;0)</formula>
    </cfRule>
  </conditionalFormatting>
  <conditionalFormatting sqref="W1210">
    <cfRule type="expression" dxfId="426" priority="386">
      <formula>OR($S$1210 = FALSE, AND($P$1210 = FALSE, ReportType &lt;&gt; "Final"), AND($Q$1210 = FALSE, ReportType &lt;&gt; "Rough"))</formula>
    </cfRule>
  </conditionalFormatting>
  <conditionalFormatting sqref="W1210">
    <cfRule type="expression" dxfId="425" priority="385">
      <formula>OR($T$1210 = TRUE, AND($W$1210 = TRUE, $S$1210 = FALSE))</formula>
    </cfRule>
  </conditionalFormatting>
  <conditionalFormatting sqref="W1211">
    <cfRule type="expression" dxfId="424" priority="384">
      <formula>AND($R$1211,$S$1211)</formula>
    </cfRule>
  </conditionalFormatting>
  <conditionalFormatting sqref="W1211">
    <cfRule type="expression" dxfId="423" priority="383">
      <formula>AND(IF($R$1211,$W$1211,TRUE),LEN(TRIM($W$1211))&gt;0)</formula>
    </cfRule>
  </conditionalFormatting>
  <conditionalFormatting sqref="W1211">
    <cfRule type="expression" dxfId="422" priority="382">
      <formula>OR($S$1211 = FALSE, AND($P$1211 = FALSE, ReportType &lt;&gt; "Final"), AND($Q$1211 = FALSE, ReportType &lt;&gt; "Rough"))</formula>
    </cfRule>
  </conditionalFormatting>
  <conditionalFormatting sqref="W1211">
    <cfRule type="expression" dxfId="421" priority="381">
      <formula>OR($T$1211 = TRUE, AND($W$1211 = TRUE, $S$1211 = FALSE))</formula>
    </cfRule>
  </conditionalFormatting>
  <conditionalFormatting sqref="W1213">
    <cfRule type="expression" dxfId="420" priority="380">
      <formula>AND($R$1213,$S$1213)</formula>
    </cfRule>
  </conditionalFormatting>
  <conditionalFormatting sqref="W1213">
    <cfRule type="expression" dxfId="419" priority="379">
      <formula>AND(IF($R$1213,$W$1213,TRUE),LEN(TRIM($W$1213))&gt;0)</formula>
    </cfRule>
  </conditionalFormatting>
  <conditionalFormatting sqref="W1213">
    <cfRule type="expression" dxfId="418" priority="378">
      <formula>OR($S$1213 = FALSE, AND($P$1213 = FALSE, ReportType &lt;&gt; "Final"), AND($Q$1213 = FALSE, ReportType &lt;&gt; "Rough"))</formula>
    </cfRule>
  </conditionalFormatting>
  <conditionalFormatting sqref="W1213">
    <cfRule type="expression" dxfId="417" priority="377">
      <formula>OR($T$1213 = TRUE, AND($W$1213 = TRUE, $S$1213 = FALSE))</formula>
    </cfRule>
  </conditionalFormatting>
  <conditionalFormatting sqref="W1214">
    <cfRule type="expression" dxfId="416" priority="376">
      <formula>AND($R$1214,$S$1214)</formula>
    </cfRule>
  </conditionalFormatting>
  <conditionalFormatting sqref="W1214">
    <cfRule type="expression" dxfId="415" priority="375">
      <formula>AND(IF($R$1214,$W$1214,TRUE),LEN(TRIM($W$1214))&gt;0)</formula>
    </cfRule>
  </conditionalFormatting>
  <conditionalFormatting sqref="W1214">
    <cfRule type="expression" dxfId="414" priority="374">
      <formula>OR($S$1214 = FALSE, AND($P$1214 = FALSE, ReportType &lt;&gt; "Final"), AND($Q$1214 = FALSE, ReportType &lt;&gt; "Rough"))</formula>
    </cfRule>
  </conditionalFormatting>
  <conditionalFormatting sqref="W1214">
    <cfRule type="expression" dxfId="413" priority="373">
      <formula>OR($T$1214 = TRUE, AND($W$1214 = TRUE, $S$1214 = FALSE))</formula>
    </cfRule>
  </conditionalFormatting>
  <conditionalFormatting sqref="W1215">
    <cfRule type="expression" dxfId="412" priority="372">
      <formula>AND($R$1215,$S$1215)</formula>
    </cfRule>
  </conditionalFormatting>
  <conditionalFormatting sqref="W1215">
    <cfRule type="expression" dxfId="411" priority="371">
      <formula>AND(IF($R$1215,$W$1215,TRUE),LEN(TRIM($W$1215))&gt;0)</formula>
    </cfRule>
  </conditionalFormatting>
  <conditionalFormatting sqref="W1215">
    <cfRule type="expression" dxfId="410" priority="370">
      <formula>OR($S$1215 = FALSE, AND($P$1215 = FALSE, ReportType &lt;&gt; "Final"), AND($Q$1215 = FALSE, ReportType &lt;&gt; "Rough"))</formula>
    </cfRule>
  </conditionalFormatting>
  <conditionalFormatting sqref="W1215">
    <cfRule type="expression" dxfId="409" priority="369">
      <formula>OR($T$1215 = TRUE, AND($W$1215 = TRUE, $S$1215 = FALSE))</formula>
    </cfRule>
  </conditionalFormatting>
  <conditionalFormatting sqref="W1221">
    <cfRule type="expression" dxfId="408" priority="368">
      <formula>AND($R$1221,$S$1221)</formula>
    </cfRule>
  </conditionalFormatting>
  <conditionalFormatting sqref="W1221">
    <cfRule type="expression" dxfId="407" priority="367">
      <formula>AND(IF($R$1221,$W$1221,TRUE),LEN(TRIM($W$1221))&gt;0)</formula>
    </cfRule>
  </conditionalFormatting>
  <conditionalFormatting sqref="W1221">
    <cfRule type="expression" dxfId="406" priority="366">
      <formula>OR($S$1221 = FALSE, AND($P$1221 = FALSE, ReportType &lt;&gt; "Final"), AND($Q$1221 = FALSE, ReportType &lt;&gt; "Rough"))</formula>
    </cfRule>
  </conditionalFormatting>
  <conditionalFormatting sqref="W1221">
    <cfRule type="expression" dxfId="405" priority="365">
      <formula>OR($T$1221 = TRUE, AND($W$1221 = TRUE, $S$1221 = FALSE))</formula>
    </cfRule>
  </conditionalFormatting>
  <conditionalFormatting sqref="W1225">
    <cfRule type="expression" dxfId="404" priority="364">
      <formula>AND($R$1225,$S$1225)</formula>
    </cfRule>
  </conditionalFormatting>
  <conditionalFormatting sqref="W1225">
    <cfRule type="expression" dxfId="403" priority="363">
      <formula>AND(IF($R$1225,$W$1225,TRUE),LEN(TRIM($W$1225))&gt;0)</formula>
    </cfRule>
  </conditionalFormatting>
  <conditionalFormatting sqref="W1225">
    <cfRule type="expression" dxfId="402" priority="362">
      <formula>OR($S$1225 = FALSE, AND($P$1225 = FALSE, ReportType &lt;&gt; "Final"), AND($Q$1225 = FALSE, ReportType &lt;&gt; "Rough"))</formula>
    </cfRule>
  </conditionalFormatting>
  <conditionalFormatting sqref="W1225">
    <cfRule type="expression" dxfId="401" priority="361">
      <formula>OR($T$1225 = TRUE, AND($W$1225 = TRUE, $S$1225 = FALSE))</formula>
    </cfRule>
  </conditionalFormatting>
  <conditionalFormatting sqref="W1227">
    <cfRule type="expression" dxfId="400" priority="360">
      <formula>AND($R$1227,$S$1227)</formula>
    </cfRule>
  </conditionalFormatting>
  <conditionalFormatting sqref="W1227">
    <cfRule type="expression" dxfId="399" priority="359">
      <formula>AND(IF($R$1227,$W$1227,TRUE),LEN(TRIM($W$1227))&gt;0)</formula>
    </cfRule>
  </conditionalFormatting>
  <conditionalFormatting sqref="W1227">
    <cfRule type="expression" dxfId="398" priority="358">
      <formula>OR($S$1227 = FALSE, AND($P$1227 = FALSE, ReportType &lt;&gt; "Final"), AND($Q$1227 = FALSE, ReportType &lt;&gt; "Rough"))</formula>
    </cfRule>
  </conditionalFormatting>
  <conditionalFormatting sqref="W1227">
    <cfRule type="expression" dxfId="397" priority="357">
      <formula>OR($T$1227 = TRUE, AND($W$1227 = TRUE, $S$1227 = FALSE))</formula>
    </cfRule>
  </conditionalFormatting>
  <conditionalFormatting sqref="W1229">
    <cfRule type="expression" dxfId="396" priority="356">
      <formula>AND($R$1229,$S$1229)</formula>
    </cfRule>
  </conditionalFormatting>
  <conditionalFormatting sqref="W1229">
    <cfRule type="expression" dxfId="395" priority="355">
      <formula>AND(IF($R$1229,$W$1229,TRUE),LEN(TRIM($W$1229))&gt;0)</formula>
    </cfRule>
  </conditionalFormatting>
  <conditionalFormatting sqref="W1229">
    <cfRule type="expression" dxfId="394" priority="354">
      <formula>OR($S$1229 = FALSE, AND($P$1229 = FALSE, ReportType &lt;&gt; "Final"), AND($Q$1229 = FALSE, ReportType &lt;&gt; "Rough"))</formula>
    </cfRule>
  </conditionalFormatting>
  <conditionalFormatting sqref="W1229">
    <cfRule type="expression" dxfId="393" priority="353">
      <formula>OR($T$1229 = TRUE, AND($W$1229 = TRUE, $S$1229 = FALSE))</formula>
    </cfRule>
  </conditionalFormatting>
  <conditionalFormatting sqref="W1230">
    <cfRule type="expression" dxfId="392" priority="352">
      <formula>AND($R$1230,$S$1230)</formula>
    </cfRule>
  </conditionalFormatting>
  <conditionalFormatting sqref="W1230">
    <cfRule type="expression" dxfId="391" priority="351">
      <formula>AND(IF($R$1230,$W$1230,TRUE),LEN(TRIM($W$1230))&gt;0)</formula>
    </cfRule>
  </conditionalFormatting>
  <conditionalFormatting sqref="W1230">
    <cfRule type="expression" dxfId="390" priority="350">
      <formula>OR($S$1230 = FALSE, AND($P$1230 = FALSE, ReportType &lt;&gt; "Final"), AND($Q$1230 = FALSE, ReportType &lt;&gt; "Rough"))</formula>
    </cfRule>
  </conditionalFormatting>
  <conditionalFormatting sqref="W1230">
    <cfRule type="expression" dxfId="389" priority="349">
      <formula>OR($T$1230 = TRUE, AND($W$1230 = TRUE, $S$1230 = FALSE))</formula>
    </cfRule>
  </conditionalFormatting>
  <conditionalFormatting sqref="W1232">
    <cfRule type="expression" dxfId="388" priority="348">
      <formula>AND($R$1232,$S$1232)</formula>
    </cfRule>
  </conditionalFormatting>
  <conditionalFormatting sqref="W1232">
    <cfRule type="expression" dxfId="387" priority="347">
      <formula>AND(IF($R$1232,$W$1232,TRUE),LEN(TRIM($W$1232))&gt;0)</formula>
    </cfRule>
  </conditionalFormatting>
  <conditionalFormatting sqref="W1232">
    <cfRule type="expression" dxfId="386" priority="346">
      <formula>OR($S$1232 = FALSE, AND($P$1232 = FALSE, ReportType &lt;&gt; "Final"), AND($Q$1232 = FALSE, ReportType &lt;&gt; "Rough"))</formula>
    </cfRule>
  </conditionalFormatting>
  <conditionalFormatting sqref="W1232">
    <cfRule type="expression" dxfId="385" priority="345">
      <formula>OR($T$1232 = TRUE, AND($W$1232 = TRUE, $S$1232 = FALSE))</formula>
    </cfRule>
  </conditionalFormatting>
  <conditionalFormatting sqref="W1234">
    <cfRule type="expression" dxfId="384" priority="344">
      <formula>AND($R$1234,$S$1234)</formula>
    </cfRule>
  </conditionalFormatting>
  <conditionalFormatting sqref="W1234">
    <cfRule type="expression" dxfId="383" priority="343">
      <formula>AND(IF($R$1234,$W$1234,TRUE),LEN(TRIM($W$1234))&gt;0)</formula>
    </cfRule>
  </conditionalFormatting>
  <conditionalFormatting sqref="W1234">
    <cfRule type="expression" dxfId="382" priority="342">
      <formula>OR($S$1234 = FALSE, AND($P$1234 = FALSE, ReportType &lt;&gt; "Final"), AND($Q$1234 = FALSE, ReportType &lt;&gt; "Rough"))</formula>
    </cfRule>
  </conditionalFormatting>
  <conditionalFormatting sqref="W1234">
    <cfRule type="expression" dxfId="381" priority="341">
      <formula>OR($T$1234 = TRUE, AND($W$1234 = TRUE, $S$1234 = FALSE))</formula>
    </cfRule>
  </conditionalFormatting>
  <conditionalFormatting sqref="W1235">
    <cfRule type="expression" dxfId="380" priority="340">
      <formula>AND($R$1235,$S$1235)</formula>
    </cfRule>
  </conditionalFormatting>
  <conditionalFormatting sqref="W1235">
    <cfRule type="expression" dxfId="379" priority="339">
      <formula>AND(IF($R$1235,$W$1235,TRUE),LEN(TRIM($W$1235))&gt;0)</formula>
    </cfRule>
  </conditionalFormatting>
  <conditionalFormatting sqref="W1235">
    <cfRule type="expression" dxfId="378" priority="338">
      <formula>OR($S$1235 = FALSE, AND($P$1235 = FALSE, ReportType &lt;&gt; "Final"), AND($Q$1235 = FALSE, ReportType &lt;&gt; "Rough"))</formula>
    </cfRule>
  </conditionalFormatting>
  <conditionalFormatting sqref="W1235">
    <cfRule type="expression" dxfId="377" priority="337">
      <formula>OR($T$1235 = TRUE, AND($W$1235 = TRUE, $S$1235 = FALSE))</formula>
    </cfRule>
  </conditionalFormatting>
  <conditionalFormatting sqref="W1237">
    <cfRule type="expression" dxfId="376" priority="336">
      <formula>AND($R$1237,$S$1237)</formula>
    </cfRule>
  </conditionalFormatting>
  <conditionalFormatting sqref="W1237">
    <cfRule type="expression" dxfId="375" priority="335">
      <formula>AND(IF($R$1237,$W$1237,TRUE),LEN(TRIM($W$1237))&gt;0)</formula>
    </cfRule>
  </conditionalFormatting>
  <conditionalFormatting sqref="W1237">
    <cfRule type="expression" dxfId="374" priority="334">
      <formula>OR($S$1237 = FALSE, AND($P$1237 = FALSE, ReportType &lt;&gt; "Final"), AND($Q$1237 = FALSE, ReportType &lt;&gt; "Rough"))</formula>
    </cfRule>
  </conditionalFormatting>
  <conditionalFormatting sqref="W1237">
    <cfRule type="expression" dxfId="373" priority="333">
      <formula>OR($T$1237 = TRUE, AND($W$1237 = TRUE, $S$1237 = FALSE))</formula>
    </cfRule>
  </conditionalFormatting>
  <conditionalFormatting sqref="W1239">
    <cfRule type="expression" dxfId="372" priority="332">
      <formula>AND($R$1239,$S$1239)</formula>
    </cfRule>
  </conditionalFormatting>
  <conditionalFormatting sqref="W1239">
    <cfRule type="expression" dxfId="371" priority="331">
      <formula>AND(IF($R$1239,$W$1239,TRUE),LEN(TRIM($W$1239))&gt;0)</formula>
    </cfRule>
  </conditionalFormatting>
  <conditionalFormatting sqref="W1239">
    <cfRule type="expression" dxfId="370" priority="330">
      <formula>OR($S$1239 = FALSE, AND($P$1239 = FALSE, ReportType &lt;&gt; "Final"), AND($Q$1239 = FALSE, ReportType &lt;&gt; "Rough"))</formula>
    </cfRule>
  </conditionalFormatting>
  <conditionalFormatting sqref="W1239">
    <cfRule type="expression" dxfId="369" priority="329">
      <formula>OR($T$1239 = TRUE, AND($W$1239 = TRUE, $S$1239 = FALSE))</formula>
    </cfRule>
  </conditionalFormatting>
  <conditionalFormatting sqref="W1245">
    <cfRule type="expression" dxfId="368" priority="320">
      <formula>AND($R$1245,$S$1245)</formula>
    </cfRule>
  </conditionalFormatting>
  <conditionalFormatting sqref="W1245">
    <cfRule type="expression" dxfId="367" priority="319">
      <formula>AND(IF($R$1245,$W$1245,TRUE),LEN(TRIM($W$1245))&gt;0)</formula>
    </cfRule>
  </conditionalFormatting>
  <conditionalFormatting sqref="W1245">
    <cfRule type="expression" dxfId="366" priority="318">
      <formula>OR($S$1245 = FALSE, AND($P$1245 = FALSE, ReportType &lt;&gt; "Final"), AND($Q$1245 = FALSE, ReportType &lt;&gt; "Rough"))</formula>
    </cfRule>
  </conditionalFormatting>
  <conditionalFormatting sqref="W1245">
    <cfRule type="expression" dxfId="365" priority="317">
      <formula>OR($T$1245 = TRUE, AND($W$1245 = TRUE, $S$1245 = FALSE))</formula>
    </cfRule>
  </conditionalFormatting>
  <conditionalFormatting sqref="W1266">
    <cfRule type="expression" dxfId="364" priority="316">
      <formula>AND($R$1266,$S$1266)</formula>
    </cfRule>
  </conditionalFormatting>
  <conditionalFormatting sqref="W1266">
    <cfRule type="expression" dxfId="363" priority="315">
      <formula>AND(IF($R$1266,$W$1266,TRUE),LEN(TRIM($W$1266))&gt;0)</formula>
    </cfRule>
  </conditionalFormatting>
  <conditionalFormatting sqref="W1266">
    <cfRule type="expression" dxfId="362" priority="314">
      <formula>OR($S$1266 = FALSE, AND($P$1266 = FALSE, ReportType &lt;&gt; "Final"), AND($Q$1266 = FALSE, ReportType &lt;&gt; "Rough"))</formula>
    </cfRule>
  </conditionalFormatting>
  <conditionalFormatting sqref="W1266">
    <cfRule type="expression" dxfId="361" priority="313">
      <formula>OR($T$1266 = TRUE, AND($W$1266 = TRUE, $S$1266 = FALSE))</formula>
    </cfRule>
  </conditionalFormatting>
  <conditionalFormatting sqref="W1269">
    <cfRule type="expression" dxfId="360" priority="312">
      <formula>AND($R$1269,$S$1269)</formula>
    </cfRule>
  </conditionalFormatting>
  <conditionalFormatting sqref="W1269">
    <cfRule type="expression" dxfId="359" priority="311">
      <formula>AND(IF($R$1269,$W$1269,TRUE),LEN(TRIM($W$1269))&gt;0)</formula>
    </cfRule>
  </conditionalFormatting>
  <conditionalFormatting sqref="W1269">
    <cfRule type="expression" dxfId="358" priority="310">
      <formula>OR($S$1269 = FALSE, AND($P$1269 = FALSE, ReportType &lt;&gt; "Final"), AND($Q$1269 = FALSE, ReportType &lt;&gt; "Rough"))</formula>
    </cfRule>
  </conditionalFormatting>
  <conditionalFormatting sqref="W1269">
    <cfRule type="expression" dxfId="357" priority="309">
      <formula>OR($T$1269 = TRUE, AND($W$1269 = TRUE, $S$1269 = FALSE))</formula>
    </cfRule>
  </conditionalFormatting>
  <conditionalFormatting sqref="W1272">
    <cfRule type="expression" dxfId="356" priority="308">
      <formula>AND($R$1272,$S$1272)</formula>
    </cfRule>
  </conditionalFormatting>
  <conditionalFormatting sqref="W1272">
    <cfRule type="expression" dxfId="355" priority="307">
      <formula>AND(IF($R$1272,$W$1272,TRUE),LEN(TRIM($W$1272))&gt;0)</formula>
    </cfRule>
  </conditionalFormatting>
  <conditionalFormatting sqref="W1272">
    <cfRule type="expression" dxfId="354" priority="306">
      <formula>OR($S$1272 = FALSE, AND($P$1272 = FALSE, ReportType &lt;&gt; "Final"), AND($Q$1272 = FALSE, ReportType &lt;&gt; "Rough"))</formula>
    </cfRule>
  </conditionalFormatting>
  <conditionalFormatting sqref="W1272">
    <cfRule type="expression" dxfId="353" priority="305">
      <formula>OR($T$1272 = TRUE, AND($W$1272 = TRUE, $S$1272 = FALSE))</formula>
    </cfRule>
  </conditionalFormatting>
  <conditionalFormatting sqref="W1274">
    <cfRule type="expression" dxfId="352" priority="304">
      <formula>AND($R$1274,$S$1274)</formula>
    </cfRule>
  </conditionalFormatting>
  <conditionalFormatting sqref="W1274">
    <cfRule type="expression" dxfId="351" priority="303">
      <formula>AND(IF($R$1274,$W$1274,TRUE),LEN(TRIM($W$1274))&gt;0)</formula>
    </cfRule>
  </conditionalFormatting>
  <conditionalFormatting sqref="W1274">
    <cfRule type="expression" dxfId="350" priority="302">
      <formula>OR($S$1274 = FALSE, AND($P$1274 = FALSE, ReportType &lt;&gt; "Final"), AND($Q$1274 = FALSE, ReportType &lt;&gt; "Rough"))</formula>
    </cfRule>
  </conditionalFormatting>
  <conditionalFormatting sqref="W1274">
    <cfRule type="expression" dxfId="349" priority="301">
      <formula>OR($T$1274 = TRUE, AND($W$1274 = TRUE, $S$1274 = FALSE))</formula>
    </cfRule>
  </conditionalFormatting>
  <conditionalFormatting sqref="W1275">
    <cfRule type="expression" dxfId="348" priority="300">
      <formula>AND($R$1275,$S$1275)</formula>
    </cfRule>
  </conditionalFormatting>
  <conditionalFormatting sqref="W1275">
    <cfRule type="expression" dxfId="347" priority="299">
      <formula>AND(IF($R$1275,$W$1275,TRUE),LEN(TRIM($W$1275))&gt;0)</formula>
    </cfRule>
  </conditionalFormatting>
  <conditionalFormatting sqref="W1275">
    <cfRule type="expression" dxfId="346" priority="298">
      <formula>OR($S$1275 = FALSE, AND($P$1275 = FALSE, ReportType &lt;&gt; "Final"), AND($Q$1275 = FALSE, ReportType &lt;&gt; "Rough"))</formula>
    </cfRule>
  </conditionalFormatting>
  <conditionalFormatting sqref="W1275">
    <cfRule type="expression" dxfId="345" priority="297">
      <formula>OR($T$1275 = TRUE, AND($W$1275 = TRUE, $S$1275 = FALSE))</formula>
    </cfRule>
  </conditionalFormatting>
  <conditionalFormatting sqref="W1277">
    <cfRule type="expression" dxfId="344" priority="296">
      <formula>AND($R$1277,$S$1277)</formula>
    </cfRule>
  </conditionalFormatting>
  <conditionalFormatting sqref="W1277">
    <cfRule type="expression" dxfId="343" priority="295">
      <formula>AND(IF($R$1277,$W$1277,TRUE),LEN(TRIM($W$1277))&gt;0)</formula>
    </cfRule>
  </conditionalFormatting>
  <conditionalFormatting sqref="W1277">
    <cfRule type="expression" dxfId="342" priority="294">
      <formula>OR($S$1277 = FALSE, AND($P$1277 = FALSE, ReportType &lt;&gt; "Final"), AND($Q$1277 = FALSE, ReportType &lt;&gt; "Rough"))</formula>
    </cfRule>
  </conditionalFormatting>
  <conditionalFormatting sqref="W1277">
    <cfRule type="expression" dxfId="341" priority="293">
      <formula>OR($T$1277 = TRUE, AND($W$1277 = TRUE, $S$1277 = FALSE))</formula>
    </cfRule>
  </conditionalFormatting>
  <conditionalFormatting sqref="W1278">
    <cfRule type="expression" dxfId="340" priority="292">
      <formula>AND($R$1278,$S$1278)</formula>
    </cfRule>
  </conditionalFormatting>
  <conditionalFormatting sqref="W1278">
    <cfRule type="expression" dxfId="339" priority="291">
      <formula>AND(IF($R$1278,$W$1278,TRUE),LEN(TRIM($W$1278))&gt;0)</formula>
    </cfRule>
  </conditionalFormatting>
  <conditionalFormatting sqref="W1278">
    <cfRule type="expression" dxfId="338" priority="290">
      <formula>OR($S$1278 = FALSE, AND($P$1278 = FALSE, ReportType &lt;&gt; "Final"), AND($Q$1278 = FALSE, ReportType &lt;&gt; "Rough"))</formula>
    </cfRule>
  </conditionalFormatting>
  <conditionalFormatting sqref="W1278">
    <cfRule type="expression" dxfId="337" priority="289">
      <formula>OR($T$1278 = TRUE, AND($W$1278 = TRUE, $S$1278 = FALSE))</formula>
    </cfRule>
  </conditionalFormatting>
  <conditionalFormatting sqref="W1279">
    <cfRule type="expression" dxfId="336" priority="288">
      <formula>AND($R$1279,$S$1279)</formula>
    </cfRule>
  </conditionalFormatting>
  <conditionalFormatting sqref="W1279">
    <cfRule type="expression" dxfId="335" priority="287">
      <formula>AND(IF($R$1279,$W$1279,TRUE),LEN(TRIM($W$1279))&gt;0)</formula>
    </cfRule>
  </conditionalFormatting>
  <conditionalFormatting sqref="W1279">
    <cfRule type="expression" dxfId="334" priority="286">
      <formula>OR($S$1279 = FALSE, AND($P$1279 = FALSE, ReportType &lt;&gt; "Final"), AND($Q$1279 = FALSE, ReportType &lt;&gt; "Rough"))</formula>
    </cfRule>
  </conditionalFormatting>
  <conditionalFormatting sqref="W1279">
    <cfRule type="expression" dxfId="333" priority="285">
      <formula>OR($T$1279 = TRUE, AND($W$1279 = TRUE, $S$1279 = FALSE))</formula>
    </cfRule>
  </conditionalFormatting>
  <conditionalFormatting sqref="W1285">
    <cfRule type="expression" dxfId="332" priority="284">
      <formula>AND($R$1285,$S$1285)</formula>
    </cfRule>
  </conditionalFormatting>
  <conditionalFormatting sqref="W1285">
    <cfRule type="expression" dxfId="331" priority="283">
      <formula>AND(IF($R$1285,$W$1285,TRUE),LEN(TRIM($W$1285))&gt;0)</formula>
    </cfRule>
  </conditionalFormatting>
  <conditionalFormatting sqref="W1285">
    <cfRule type="expression" dxfId="330" priority="282">
      <formula>OR($S$1285 = FALSE, AND($P$1285 = FALSE, ReportType &lt;&gt; "Final"), AND($Q$1285 = FALSE, ReportType &lt;&gt; "Rough"))</formula>
    </cfRule>
  </conditionalFormatting>
  <conditionalFormatting sqref="W1285">
    <cfRule type="expression" dxfId="329" priority="281">
      <formula>OR($T$1285 = TRUE, AND($W$1285 = TRUE, $S$1285 = FALSE))</formula>
    </cfRule>
  </conditionalFormatting>
  <conditionalFormatting sqref="W1287">
    <cfRule type="expression" dxfId="328" priority="280">
      <formula>AND($R$1287,$S$1287)</formula>
    </cfRule>
  </conditionalFormatting>
  <conditionalFormatting sqref="W1287">
    <cfRule type="expression" dxfId="327" priority="279">
      <formula>AND(IF($R$1287,$W$1287,TRUE),LEN(TRIM($W$1287))&gt;0)</formula>
    </cfRule>
  </conditionalFormatting>
  <conditionalFormatting sqref="W1287">
    <cfRule type="expression" dxfId="326" priority="278">
      <formula>OR($S$1287 = FALSE, AND($P$1287 = FALSE, ReportType &lt;&gt; "Final"), AND($Q$1287 = FALSE, ReportType &lt;&gt; "Rough"))</formula>
    </cfRule>
  </conditionalFormatting>
  <conditionalFormatting sqref="W1287">
    <cfRule type="expression" dxfId="325" priority="277">
      <formula>OR($T$1287 = TRUE, AND($W$1287 = TRUE, $S$1287 = FALSE))</formula>
    </cfRule>
  </conditionalFormatting>
  <conditionalFormatting sqref="W1290">
    <cfRule type="expression" dxfId="324" priority="276">
      <formula>AND($R$1290,$S$1290)</formula>
    </cfRule>
  </conditionalFormatting>
  <conditionalFormatting sqref="W1290">
    <cfRule type="expression" dxfId="323" priority="275">
      <formula>AND(IF($R$1290,$W$1290,TRUE),LEN(TRIM($W$1290))&gt;0)</formula>
    </cfRule>
  </conditionalFormatting>
  <conditionalFormatting sqref="W1290">
    <cfRule type="expression" dxfId="322" priority="274">
      <formula>OR($S$1290 = FALSE, AND($P$1290 = FALSE, ReportType &lt;&gt; "Final"), AND($Q$1290 = FALSE, ReportType &lt;&gt; "Rough"))</formula>
    </cfRule>
  </conditionalFormatting>
  <conditionalFormatting sqref="W1290">
    <cfRule type="expression" dxfId="321" priority="273">
      <formula>OR($T$1290 = TRUE, AND($W$1290 = TRUE, $S$1290 = FALSE))</formula>
    </cfRule>
  </conditionalFormatting>
  <conditionalFormatting sqref="W1292">
    <cfRule type="expression" dxfId="320" priority="272">
      <formula>AND($R$1292,$S$1292)</formula>
    </cfRule>
  </conditionalFormatting>
  <conditionalFormatting sqref="W1292">
    <cfRule type="expression" dxfId="319" priority="271">
      <formula>AND(IF($R$1292,$W$1292,TRUE),LEN(TRIM($W$1292))&gt;0)</formula>
    </cfRule>
  </conditionalFormatting>
  <conditionalFormatting sqref="W1292">
    <cfRule type="expression" dxfId="318" priority="270">
      <formula>OR($S$1292 = FALSE, AND($P$1292 = FALSE, ReportType &lt;&gt; "Final"), AND($Q$1292 = FALSE, ReportType &lt;&gt; "Rough"))</formula>
    </cfRule>
  </conditionalFormatting>
  <conditionalFormatting sqref="W1292">
    <cfRule type="expression" dxfId="317" priority="269">
      <formula>OR($T$1292 = TRUE, AND($W$1292 = TRUE, $S$1292 = FALSE))</formula>
    </cfRule>
  </conditionalFormatting>
  <conditionalFormatting sqref="W1295">
    <cfRule type="expression" dxfId="316" priority="268">
      <formula>AND($R$1295,$S$1295)</formula>
    </cfRule>
  </conditionalFormatting>
  <conditionalFormatting sqref="W1295">
    <cfRule type="expression" dxfId="315" priority="267">
      <formula>AND(IF($R$1295,$W$1295,TRUE),LEN(TRIM($W$1295))&gt;0)</formula>
    </cfRule>
  </conditionalFormatting>
  <conditionalFormatting sqref="W1295">
    <cfRule type="expression" dxfId="314" priority="266">
      <formula>OR($S$1295 = FALSE, AND($P$1295 = FALSE, ReportType &lt;&gt; "Final"), AND($Q$1295 = FALSE, ReportType &lt;&gt; "Rough"))</formula>
    </cfRule>
  </conditionalFormatting>
  <conditionalFormatting sqref="W1295">
    <cfRule type="expression" dxfId="313" priority="265">
      <formula>OR($T$1295 = TRUE, AND($W$1295 = TRUE, $S$1295 = FALSE))</formula>
    </cfRule>
  </conditionalFormatting>
  <conditionalFormatting sqref="W1297">
    <cfRule type="expression" dxfId="312" priority="264">
      <formula>AND($R$1297,$S$1297)</formula>
    </cfRule>
  </conditionalFormatting>
  <conditionalFormatting sqref="W1297">
    <cfRule type="expression" dxfId="311" priority="263">
      <formula>AND(IF($R$1297,$W$1297,TRUE),LEN(TRIM($W$1297))&gt;0)</formula>
    </cfRule>
  </conditionalFormatting>
  <conditionalFormatting sqref="W1297">
    <cfRule type="expression" dxfId="310" priority="262">
      <formula>OR($S$1297 = FALSE, AND($P$1297 = FALSE, ReportType &lt;&gt; "Final"), AND($Q$1297 = FALSE, ReportType &lt;&gt; "Rough"))</formula>
    </cfRule>
  </conditionalFormatting>
  <conditionalFormatting sqref="W1297">
    <cfRule type="expression" dxfId="309" priority="261">
      <formula>OR($T$1297 = TRUE, AND($W$1297 = TRUE, $S$1297 = FALSE))</formula>
    </cfRule>
  </conditionalFormatting>
  <conditionalFormatting sqref="W1298">
    <cfRule type="expression" dxfId="308" priority="260">
      <formula>AND($R$1298,$S$1298)</formula>
    </cfRule>
  </conditionalFormatting>
  <conditionalFormatting sqref="W1298">
    <cfRule type="expression" dxfId="307" priority="259">
      <formula>AND(IF($R$1298,$W$1298,TRUE),LEN(TRIM($W$1298))&gt;0)</formula>
    </cfRule>
  </conditionalFormatting>
  <conditionalFormatting sqref="W1298">
    <cfRule type="expression" dxfId="306" priority="258">
      <formula>OR($S$1298 = FALSE, AND($P$1298 = FALSE, ReportType &lt;&gt; "Final"), AND($Q$1298 = FALSE, ReportType &lt;&gt; "Rough"))</formula>
    </cfRule>
  </conditionalFormatting>
  <conditionalFormatting sqref="W1298">
    <cfRule type="expression" dxfId="305" priority="257">
      <formula>OR($T$1298 = TRUE, AND($W$1298 = TRUE, $S$1298 = FALSE))</formula>
    </cfRule>
  </conditionalFormatting>
  <conditionalFormatting sqref="W1300">
    <cfRule type="expression" dxfId="304" priority="256">
      <formula>AND($R$1300,$S$1300)</formula>
    </cfRule>
  </conditionalFormatting>
  <conditionalFormatting sqref="W1300">
    <cfRule type="expression" dxfId="303" priority="255">
      <formula>AND(IF($R$1300,$W$1300,TRUE),LEN(TRIM($W$1300))&gt;0)</formula>
    </cfRule>
  </conditionalFormatting>
  <conditionalFormatting sqref="W1300">
    <cfRule type="expression" dxfId="302" priority="254">
      <formula>OR($S$1300 = FALSE, AND($P$1300 = FALSE, ReportType &lt;&gt; "Final"), AND($Q$1300 = FALSE, ReportType &lt;&gt; "Rough"))</formula>
    </cfRule>
  </conditionalFormatting>
  <conditionalFormatting sqref="W1300">
    <cfRule type="expression" dxfId="301" priority="253">
      <formula>OR($T$1300 = TRUE, AND($W$1300 = TRUE, $S$1300 = FALSE))</formula>
    </cfRule>
  </conditionalFormatting>
  <conditionalFormatting sqref="W1302">
    <cfRule type="expression" dxfId="300" priority="252">
      <formula>AND($R$1302,$S$1302)</formula>
    </cfRule>
  </conditionalFormatting>
  <conditionalFormatting sqref="W1302">
    <cfRule type="expression" dxfId="299" priority="251">
      <formula>AND(IF($R$1302,$W$1302,TRUE),LEN(TRIM($W$1302))&gt;0)</formula>
    </cfRule>
  </conditionalFormatting>
  <conditionalFormatting sqref="W1302">
    <cfRule type="expression" dxfId="298" priority="250">
      <formula>OR($S$1302 = FALSE, AND($P$1302 = FALSE, ReportType &lt;&gt; "Final"), AND($Q$1302 = FALSE, ReportType &lt;&gt; "Rough"))</formula>
    </cfRule>
  </conditionalFormatting>
  <conditionalFormatting sqref="W1302">
    <cfRule type="expression" dxfId="297" priority="249">
      <formula>OR($T$1302 = TRUE, AND($W$1302 = TRUE, $S$1302 = FALSE))</formula>
    </cfRule>
  </conditionalFormatting>
  <conditionalFormatting sqref="W1303">
    <cfRule type="expression" dxfId="296" priority="248">
      <formula>AND($R$1303,$S$1303)</formula>
    </cfRule>
  </conditionalFormatting>
  <conditionalFormatting sqref="W1303">
    <cfRule type="expression" dxfId="295" priority="247">
      <formula>AND(IF($R$1303,$W$1303,TRUE),LEN(TRIM($W$1303))&gt;0)</formula>
    </cfRule>
  </conditionalFormatting>
  <conditionalFormatting sqref="W1303">
    <cfRule type="expression" dxfId="294" priority="246">
      <formula>OR($S$1303 = FALSE, AND($P$1303 = FALSE, ReportType &lt;&gt; "Final"), AND($Q$1303 = FALSE, ReportType &lt;&gt; "Rough"))</formula>
    </cfRule>
  </conditionalFormatting>
  <conditionalFormatting sqref="W1303">
    <cfRule type="expression" dxfId="293" priority="245">
      <formula>OR($T$1303 = TRUE, AND($W$1303 = TRUE, $S$1303 = FALSE))</formula>
    </cfRule>
  </conditionalFormatting>
  <conditionalFormatting sqref="W1306">
    <cfRule type="expression" dxfId="292" priority="244">
      <formula>AND($R$1306,$S$1306)</formula>
    </cfRule>
  </conditionalFormatting>
  <conditionalFormatting sqref="W1306">
    <cfRule type="expression" dxfId="291" priority="243">
      <formula>AND(IF($R$1306,$W$1306,TRUE),LEN(TRIM($W$1306))&gt;0)</formula>
    </cfRule>
  </conditionalFormatting>
  <conditionalFormatting sqref="W1306">
    <cfRule type="expression" dxfId="290" priority="242">
      <formula>OR($S$1306 = FALSE, AND($P$1306 = FALSE, ReportType &lt;&gt; "Final"), AND($Q$1306 = FALSE, ReportType &lt;&gt; "Rough"))</formula>
    </cfRule>
  </conditionalFormatting>
  <conditionalFormatting sqref="W1306">
    <cfRule type="expression" dxfId="289" priority="241">
      <formula>OR($T$1306 = TRUE, AND($W$1306 = TRUE, $S$1306 = FALSE))</formula>
    </cfRule>
  </conditionalFormatting>
  <conditionalFormatting sqref="W1312">
    <cfRule type="expression" dxfId="288" priority="240">
      <formula>AND($R$1312,$S$1312)</formula>
    </cfRule>
  </conditionalFormatting>
  <conditionalFormatting sqref="W1312">
    <cfRule type="expression" dxfId="287" priority="239">
      <formula>AND(IF($R$1312,$W$1312,TRUE),LEN(TRIM($W$1312))&gt;0)</formula>
    </cfRule>
  </conditionalFormatting>
  <conditionalFormatting sqref="W1312">
    <cfRule type="expression" dxfId="286" priority="238">
      <formula>OR($S$1312 = FALSE, AND($P$1312 = FALSE, ReportType &lt;&gt; "Final"), AND($Q$1312 = FALSE, ReportType &lt;&gt; "Rough"))</formula>
    </cfRule>
  </conditionalFormatting>
  <conditionalFormatting sqref="W1312">
    <cfRule type="expression" dxfId="285" priority="237">
      <formula>OR($T$1312 = TRUE, AND($W$1312 = TRUE, $S$1312 = FALSE))</formula>
    </cfRule>
  </conditionalFormatting>
  <conditionalFormatting sqref="W1314">
    <cfRule type="expression" dxfId="284" priority="236">
      <formula>AND($R$1314,$S$1314)</formula>
    </cfRule>
  </conditionalFormatting>
  <conditionalFormatting sqref="W1314">
    <cfRule type="expression" dxfId="283" priority="235">
      <formula>AND(IF($R$1314,$W$1314,TRUE),LEN(TRIM($W$1314))&gt;0)</formula>
    </cfRule>
  </conditionalFormatting>
  <conditionalFormatting sqref="W1314">
    <cfRule type="expression" dxfId="282" priority="234">
      <formula>OR($S$1314 = FALSE, AND($P$1314 = FALSE, ReportType &lt;&gt; "Final"), AND($Q$1314 = FALSE, ReportType &lt;&gt; "Rough"))</formula>
    </cfRule>
  </conditionalFormatting>
  <conditionalFormatting sqref="W1314">
    <cfRule type="expression" dxfId="281" priority="233">
      <formula>OR($T$1314 = TRUE, AND($W$1314 = TRUE, $S$1314 = FALSE))</formula>
    </cfRule>
  </conditionalFormatting>
  <conditionalFormatting sqref="W1318">
    <cfRule type="expression" dxfId="280" priority="232">
      <formula>AND($R$1318,$S$1318)</formula>
    </cfRule>
  </conditionalFormatting>
  <conditionalFormatting sqref="W1318">
    <cfRule type="expression" dxfId="279" priority="231">
      <formula>AND(IF($R$1318,$W$1318,TRUE),LEN(TRIM($W$1318))&gt;0)</formula>
    </cfRule>
  </conditionalFormatting>
  <conditionalFormatting sqref="W1318">
    <cfRule type="expression" dxfId="278" priority="230">
      <formula>OR($S$1318 = FALSE, AND($P$1318 = FALSE, ReportType &lt;&gt; "Final"), AND($Q$1318 = FALSE, ReportType &lt;&gt; "Rough"))</formula>
    </cfRule>
  </conditionalFormatting>
  <conditionalFormatting sqref="W1318">
    <cfRule type="expression" dxfId="277" priority="229">
      <formula>OR($T$1318 = TRUE, AND($W$1318 = TRUE, $S$1318 = FALSE))</formula>
    </cfRule>
  </conditionalFormatting>
  <conditionalFormatting sqref="W1325">
    <cfRule type="expression" dxfId="276" priority="228">
      <formula>AND($R$1325,$S$1325)</formula>
    </cfRule>
  </conditionalFormatting>
  <conditionalFormatting sqref="W1325">
    <cfRule type="expression" dxfId="275" priority="227">
      <formula>AND(IF($R$1325,$W$1325,TRUE),LEN(TRIM($W$1325))&gt;0)</formula>
    </cfRule>
  </conditionalFormatting>
  <conditionalFormatting sqref="W1325">
    <cfRule type="expression" dxfId="274" priority="226">
      <formula>OR($S$1325 = FALSE, AND($P$1325 = FALSE, ReportType &lt;&gt; "Final"), AND($Q$1325 = FALSE, ReportType &lt;&gt; "Rough"))</formula>
    </cfRule>
  </conditionalFormatting>
  <conditionalFormatting sqref="W1325">
    <cfRule type="expression" dxfId="273" priority="225">
      <formula>OR($T$1325 = TRUE, AND($W$1325 = TRUE, $S$1325 = FALSE))</formula>
    </cfRule>
  </conditionalFormatting>
  <conditionalFormatting sqref="W1327">
    <cfRule type="expression" dxfId="272" priority="224">
      <formula>AND($R$1327,$S$1327)</formula>
    </cfRule>
  </conditionalFormatting>
  <conditionalFormatting sqref="W1327">
    <cfRule type="expression" dxfId="271" priority="223">
      <formula>AND(IF($R$1327,$W$1327,TRUE),LEN(TRIM($W$1327))&gt;0)</formula>
    </cfRule>
  </conditionalFormatting>
  <conditionalFormatting sqref="W1327">
    <cfRule type="expression" dxfId="270" priority="222">
      <formula>OR($S$1327 = FALSE, AND($P$1327 = FALSE, ReportType &lt;&gt; "Final"), AND($Q$1327 = FALSE, ReportType &lt;&gt; "Rough"))</formula>
    </cfRule>
  </conditionalFormatting>
  <conditionalFormatting sqref="W1327">
    <cfRule type="expression" dxfId="269" priority="221">
      <formula>OR($T$1327 = TRUE, AND($W$1327 = TRUE, $S$1327 = FALSE))</formula>
    </cfRule>
  </conditionalFormatting>
  <conditionalFormatting sqref="W1328">
    <cfRule type="expression" dxfId="268" priority="220">
      <formula>AND($R$1328,$S$1328)</formula>
    </cfRule>
  </conditionalFormatting>
  <conditionalFormatting sqref="W1328">
    <cfRule type="expression" dxfId="267" priority="219">
      <formula>AND(IF($R$1328,$W$1328,TRUE),LEN(TRIM($W$1328))&gt;0)</formula>
    </cfRule>
  </conditionalFormatting>
  <conditionalFormatting sqref="W1328">
    <cfRule type="expression" dxfId="266" priority="218">
      <formula>OR($S$1328 = FALSE, AND($P$1328 = FALSE, ReportType &lt;&gt; "Final"), AND($Q$1328 = FALSE, ReportType &lt;&gt; "Rough"))</formula>
    </cfRule>
  </conditionalFormatting>
  <conditionalFormatting sqref="W1328">
    <cfRule type="expression" dxfId="265" priority="217">
      <formula>OR($T$1328 = TRUE, AND($W$1328 = TRUE, $S$1328 = FALSE))</formula>
    </cfRule>
  </conditionalFormatting>
  <conditionalFormatting sqref="W1330">
    <cfRule type="expression" dxfId="264" priority="216">
      <formula>AND($R$1330,$S$1330)</formula>
    </cfRule>
  </conditionalFormatting>
  <conditionalFormatting sqref="W1330">
    <cfRule type="expression" dxfId="263" priority="215">
      <formula>AND(IF($R$1330,$W$1330,TRUE),LEN(TRIM($W$1330))&gt;0)</formula>
    </cfRule>
  </conditionalFormatting>
  <conditionalFormatting sqref="W1330">
    <cfRule type="expression" dxfId="262" priority="214">
      <formula>OR($S$1330 = FALSE, AND($P$1330 = FALSE, ReportType &lt;&gt; "Final"), AND($Q$1330 = FALSE, ReportType &lt;&gt; "Rough"))</formula>
    </cfRule>
  </conditionalFormatting>
  <conditionalFormatting sqref="W1330">
    <cfRule type="expression" dxfId="261" priority="213">
      <formula>OR($T$1330 = TRUE, AND($W$1330 = TRUE, $S$1330 = FALSE))</formula>
    </cfRule>
  </conditionalFormatting>
  <conditionalFormatting sqref="W1331">
    <cfRule type="expression" dxfId="260" priority="212">
      <formula>AND($R$1331,$S$1331)</formula>
    </cfRule>
  </conditionalFormatting>
  <conditionalFormatting sqref="W1331">
    <cfRule type="expression" dxfId="259" priority="211">
      <formula>AND(IF($R$1331,$W$1331,TRUE),LEN(TRIM($W$1331))&gt;0)</formula>
    </cfRule>
  </conditionalFormatting>
  <conditionalFormatting sqref="W1331">
    <cfRule type="expression" dxfId="258" priority="210">
      <formula>OR($S$1331 = FALSE, AND($P$1331 = FALSE, ReportType &lt;&gt; "Final"), AND($Q$1331 = FALSE, ReportType &lt;&gt; "Rough"))</formula>
    </cfRule>
  </conditionalFormatting>
  <conditionalFormatting sqref="W1331">
    <cfRule type="expression" dxfId="257" priority="209">
      <formula>OR($T$1331 = TRUE, AND($W$1331 = TRUE, $S$1331 = FALSE))</formula>
    </cfRule>
  </conditionalFormatting>
  <conditionalFormatting sqref="W1332">
    <cfRule type="expression" dxfId="256" priority="208">
      <formula>AND($R$1332,$S$1332)</formula>
    </cfRule>
  </conditionalFormatting>
  <conditionalFormatting sqref="W1332">
    <cfRule type="expression" dxfId="255" priority="207">
      <formula>AND(IF($R$1332,$W$1332,TRUE),LEN(TRIM($W$1332))&gt;0)</formula>
    </cfRule>
  </conditionalFormatting>
  <conditionalFormatting sqref="W1332">
    <cfRule type="expression" dxfId="254" priority="206">
      <formula>OR($S$1332 = FALSE, AND($P$1332 = FALSE, ReportType &lt;&gt; "Final"), AND($Q$1332 = FALSE, ReportType &lt;&gt; "Rough"))</formula>
    </cfRule>
  </conditionalFormatting>
  <conditionalFormatting sqref="W1332">
    <cfRule type="expression" dxfId="253" priority="205">
      <formula>OR($T$1332 = TRUE, AND($W$1332 = TRUE, $S$1332 = FALSE))</formula>
    </cfRule>
  </conditionalFormatting>
  <conditionalFormatting sqref="W1333">
    <cfRule type="expression" dxfId="252" priority="204">
      <formula>AND($R$1333,$S$1333)</formula>
    </cfRule>
  </conditionalFormatting>
  <conditionalFormatting sqref="W1333">
    <cfRule type="expression" dxfId="251" priority="203">
      <formula>AND(IF($R$1333,$W$1333,TRUE),LEN(TRIM($W$1333))&gt;0)</formula>
    </cfRule>
  </conditionalFormatting>
  <conditionalFormatting sqref="W1333">
    <cfRule type="expression" dxfId="250" priority="202">
      <formula>OR($S$1333 = FALSE, AND($P$1333 = FALSE, ReportType &lt;&gt; "Final"), AND($Q$1333 = FALSE, ReportType &lt;&gt; "Rough"))</formula>
    </cfRule>
  </conditionalFormatting>
  <conditionalFormatting sqref="W1333">
    <cfRule type="expression" dxfId="249" priority="201">
      <formula>OR($T$1333 = TRUE, AND($W$1333 = TRUE, $S$1333 = FALSE))</formula>
    </cfRule>
  </conditionalFormatting>
  <conditionalFormatting sqref="W1334">
    <cfRule type="expression" dxfId="248" priority="200">
      <formula>AND($R$1334,$S$1334)</formula>
    </cfRule>
  </conditionalFormatting>
  <conditionalFormatting sqref="W1334">
    <cfRule type="expression" dxfId="247" priority="199">
      <formula>AND(IF($R$1334,$W$1334,TRUE),LEN(TRIM($W$1334))&gt;0)</formula>
    </cfRule>
  </conditionalFormatting>
  <conditionalFormatting sqref="W1334">
    <cfRule type="expression" dxfId="246" priority="198">
      <formula>OR($S$1334 = FALSE, AND($P$1334 = FALSE, ReportType &lt;&gt; "Final"), AND($Q$1334 = FALSE, ReportType &lt;&gt; "Rough"))</formula>
    </cfRule>
  </conditionalFormatting>
  <conditionalFormatting sqref="W1334">
    <cfRule type="expression" dxfId="245" priority="197">
      <formula>OR($T$1334 = TRUE, AND($W$1334 = TRUE, $S$1334 = FALSE))</formula>
    </cfRule>
  </conditionalFormatting>
  <conditionalFormatting sqref="W1351">
    <cfRule type="expression" dxfId="244" priority="196">
      <formula>AND($R$1351,$S$1351)</formula>
    </cfRule>
  </conditionalFormatting>
  <conditionalFormatting sqref="W1351">
    <cfRule type="expression" dxfId="243" priority="195">
      <formula>AND(IF($R$1351,$W$1351,TRUE),LEN(TRIM($W$1351))&gt;0)</formula>
    </cfRule>
  </conditionalFormatting>
  <conditionalFormatting sqref="W1351">
    <cfRule type="expression" dxfId="242" priority="194">
      <formula>OR($S$1351 = FALSE, AND($P$1351 = FALSE, ReportType &lt;&gt; "Final"), AND($Q$1351 = FALSE, ReportType &lt;&gt; "Rough"))</formula>
    </cfRule>
  </conditionalFormatting>
  <conditionalFormatting sqref="W1351">
    <cfRule type="expression" dxfId="241" priority="193">
      <formula>OR($T$1351 = TRUE, AND($W$1351 = TRUE, $S$1351 = FALSE))</formula>
    </cfRule>
  </conditionalFormatting>
  <conditionalFormatting sqref="W1353">
    <cfRule type="expression" dxfId="240" priority="192">
      <formula>AND($R$1353,$S$1353)</formula>
    </cfRule>
  </conditionalFormatting>
  <conditionalFormatting sqref="W1353">
    <cfRule type="expression" dxfId="239" priority="191">
      <formula>AND(IF($R$1353,$W$1353,TRUE),LEN(TRIM($W$1353))&gt;0)</formula>
    </cfRule>
  </conditionalFormatting>
  <conditionalFormatting sqref="W1353">
    <cfRule type="expression" dxfId="238" priority="190">
      <formula>OR($S$1353 = FALSE, AND($P$1353 = FALSE, ReportType &lt;&gt; "Final"), AND($Q$1353 = FALSE, ReportType &lt;&gt; "Rough"))</formula>
    </cfRule>
  </conditionalFormatting>
  <conditionalFormatting sqref="W1353">
    <cfRule type="expression" dxfId="237" priority="189">
      <formula>OR($T$1353 = TRUE, AND($W$1353 = TRUE, $S$1353 = FALSE))</formula>
    </cfRule>
  </conditionalFormatting>
  <conditionalFormatting sqref="W1356">
    <cfRule type="expression" dxfId="236" priority="188">
      <formula>AND($R$1356,$S$1356)</formula>
    </cfRule>
  </conditionalFormatting>
  <conditionalFormatting sqref="W1356">
    <cfRule type="expression" dxfId="235" priority="187">
      <formula>AND(IF($R$1356,$W$1356,TRUE),LEN(TRIM($W$1356))&gt;0)</formula>
    </cfRule>
  </conditionalFormatting>
  <conditionalFormatting sqref="W1356">
    <cfRule type="expression" dxfId="234" priority="186">
      <formula>OR($S$1356 = FALSE, AND($P$1356 = FALSE, ReportType &lt;&gt; "Final"), AND($Q$1356 = FALSE, ReportType &lt;&gt; "Rough"))</formula>
    </cfRule>
  </conditionalFormatting>
  <conditionalFormatting sqref="W1356">
    <cfRule type="expression" dxfId="233" priority="185">
      <formula>OR($T$1356 = TRUE, AND($W$1356 = TRUE, $S$1356 = FALSE))</formula>
    </cfRule>
  </conditionalFormatting>
  <conditionalFormatting sqref="W1006">
    <cfRule type="expression" dxfId="232" priority="176">
      <formula>AND(R1006,S1006)</formula>
    </cfRule>
  </conditionalFormatting>
  <conditionalFormatting sqref="W1006">
    <cfRule type="expression" dxfId="231" priority="175">
      <formula>NOT(ISBLANK(W1006))</formula>
    </cfRule>
  </conditionalFormatting>
  <conditionalFormatting sqref="W1006">
    <cfRule type="expression" dxfId="230" priority="174">
      <formula>OR(S1006 = FALSE, AND(P1006 = FALSE, ReportType &lt;&gt; "Final"), AND(Q1006 = FALSE, ReportType &lt;&gt; "Rough"))</formula>
    </cfRule>
  </conditionalFormatting>
  <conditionalFormatting sqref="W1006">
    <cfRule type="expression" dxfId="229" priority="173">
      <formula>OR(T1006 = TRUE, AND(W1006 = TRUE, S1006 = FALSE))</formula>
    </cfRule>
  </conditionalFormatting>
  <conditionalFormatting sqref="W1017">
    <cfRule type="expression" dxfId="228" priority="172">
      <formula>AND(R1017,S1017)</formula>
    </cfRule>
  </conditionalFormatting>
  <conditionalFormatting sqref="W1017">
    <cfRule type="expression" dxfId="227" priority="171">
      <formula>NOT(ISBLANK(W1017))</formula>
    </cfRule>
  </conditionalFormatting>
  <conditionalFormatting sqref="W1017">
    <cfRule type="expression" dxfId="226" priority="170">
      <formula>OR(S1017 = FALSE, AND(P1017 = FALSE, ReportType &lt;&gt; "Final"), AND(Q1017 = FALSE, ReportType &lt;&gt; "Rough"))</formula>
    </cfRule>
  </conditionalFormatting>
  <conditionalFormatting sqref="W1017">
    <cfRule type="expression" dxfId="225" priority="169">
      <formula>OR(T1017 = TRUE, AND(W1017 = TRUE, S1017 = FALSE))</formula>
    </cfRule>
  </conditionalFormatting>
  <conditionalFormatting sqref="W1018">
    <cfRule type="expression" dxfId="224" priority="168">
      <formula>AND(R1018,S1018)</formula>
    </cfRule>
  </conditionalFormatting>
  <conditionalFormatting sqref="W1018">
    <cfRule type="expression" dxfId="223" priority="167">
      <formula>NOT(ISBLANK(W1018))</formula>
    </cfRule>
  </conditionalFormatting>
  <conditionalFormatting sqref="W1018">
    <cfRule type="expression" dxfId="222" priority="166">
      <formula>OR(S1018 = FALSE, AND(P1018 = FALSE, ReportType &lt;&gt; "Final"), AND(Q1018 = FALSE, ReportType &lt;&gt; "Rough"))</formula>
    </cfRule>
  </conditionalFormatting>
  <conditionalFormatting sqref="W1018">
    <cfRule type="expression" dxfId="221" priority="165">
      <formula>OR(T1018 = TRUE, AND(W1018 = TRUE, S1018 = FALSE))</formula>
    </cfRule>
  </conditionalFormatting>
  <conditionalFormatting sqref="W958">
    <cfRule type="expression" dxfId="220" priority="160">
      <formula>AND($R$958,$S$958)</formula>
    </cfRule>
  </conditionalFormatting>
  <conditionalFormatting sqref="W958">
    <cfRule type="expression" dxfId="219" priority="159">
      <formula>AND($W$958&lt;&gt;"Not Met",LEN(TRIM($W$958))&gt;0)</formula>
    </cfRule>
  </conditionalFormatting>
  <conditionalFormatting sqref="W958">
    <cfRule type="expression" dxfId="218" priority="158">
      <formula>OR($S$958 = FALSE, AND($P$958 = FALSE, ReportType &lt;&gt; "Final"), AND($Q$958 = FALSE, ReportType &lt;&gt; "Rough"))</formula>
    </cfRule>
  </conditionalFormatting>
  <conditionalFormatting sqref="W958">
    <cfRule type="expression" dxfId="217" priority="157">
      <formula>OR($T$958 = TRUE, AND($W$958="Met", $S$958 = FALSE))</formula>
    </cfRule>
  </conditionalFormatting>
  <conditionalFormatting sqref="W960">
    <cfRule type="expression" dxfId="216" priority="156">
      <formula>AND($R$960,$S$960)</formula>
    </cfRule>
  </conditionalFormatting>
  <conditionalFormatting sqref="W960">
    <cfRule type="expression" dxfId="215" priority="155">
      <formula>AND($W$960&lt;&gt;"Not Met",LEN(TRIM($W$960))&gt;0)</formula>
    </cfRule>
  </conditionalFormatting>
  <conditionalFormatting sqref="W960">
    <cfRule type="expression" dxfId="214" priority="154">
      <formula>OR($S$960 = FALSE, AND($P$960 = FALSE, ReportType &lt;&gt; "Final"), AND($Q$960 = FALSE, ReportType &lt;&gt; "Rough"))</formula>
    </cfRule>
  </conditionalFormatting>
  <conditionalFormatting sqref="W960">
    <cfRule type="expression" dxfId="213" priority="153">
      <formula>OR($T$960 = TRUE, AND($W$960="Met", $S$960 = FALSE))</formula>
    </cfRule>
  </conditionalFormatting>
  <conditionalFormatting sqref="X1">
    <cfRule type="expression" dxfId="212" priority="4848">
      <formula>verStartError</formula>
    </cfRule>
  </conditionalFormatting>
  <conditionalFormatting sqref="W955">
    <cfRule type="expression" dxfId="211" priority="152">
      <formula>AND($R$955,$S$955)</formula>
    </cfRule>
  </conditionalFormatting>
  <conditionalFormatting sqref="W955">
    <cfRule type="expression" dxfId="210" priority="151">
      <formula>AND(IF($R$955,$W$955,TRUE),LEN(TRIM($W$955))&gt;0)</formula>
    </cfRule>
  </conditionalFormatting>
  <conditionalFormatting sqref="W955">
    <cfRule type="expression" dxfId="209" priority="150">
      <formula>OR($S$955 = FALSE, AND($P$955 = FALSE, ReportType &lt;&gt; "Final"), AND($Q$955 = FALSE, ReportType &lt;&gt; "Rough"))</formula>
    </cfRule>
  </conditionalFormatting>
  <conditionalFormatting sqref="W955">
    <cfRule type="expression" dxfId="208" priority="149">
      <formula>OR($T$955 = TRUE, AND($W$955 = TRUE, $S$955 = FALSE))</formula>
    </cfRule>
  </conditionalFormatting>
  <conditionalFormatting sqref="W831">
    <cfRule type="expression" dxfId="207" priority="143">
      <formula>AND(R831,S831)</formula>
    </cfRule>
  </conditionalFormatting>
  <conditionalFormatting sqref="W831">
    <cfRule type="expression" dxfId="206" priority="142">
      <formula>NOT(ISBLANK(W831))</formula>
    </cfRule>
  </conditionalFormatting>
  <conditionalFormatting sqref="W831">
    <cfRule type="expression" dxfId="205" priority="141">
      <formula>S831 = FALSE</formula>
    </cfRule>
  </conditionalFormatting>
  <conditionalFormatting sqref="W831">
    <cfRule type="expression" dxfId="204" priority="140">
      <formula>OR(T831 = TRUE, AND(W831 = TRUE, S831 = FALSE))</formula>
    </cfRule>
  </conditionalFormatting>
  <conditionalFormatting sqref="Z13:Z338 Z1245:Z1363 Z340:Z350 Z352:Z362 Z364:Z372 Z375:Z432 Z435:Z466 Z538:Z779 Z790:Z802 Z805:Z891 Z910:Z1048 Z469:Z535 Z1085:Z1240 Z1055:Z1082 Z1052:Z1053">
    <cfRule type="notContainsBlanks" dxfId="203" priority="135">
      <formula>LEN(TRIM(Z13))&gt;0</formula>
    </cfRule>
  </conditionalFormatting>
  <conditionalFormatting sqref="Z177:Z181 Z206 Z229 Z232 Z253 Z300 Z411:Z412 Z469 Z478 Z480:Z481 Z492 Z496 Z501 Z503 Z734 Z955 Z968">
    <cfRule type="expression" dxfId="202" priority="7926">
      <formula>AA177=$AA$7</formula>
    </cfRule>
  </conditionalFormatting>
  <conditionalFormatting sqref="Z60:Z72">
    <cfRule type="expression" dxfId="201" priority="7927">
      <formula>$AA$60=$AA$7</formula>
    </cfRule>
  </conditionalFormatting>
  <conditionalFormatting sqref="Z103:Z107">
    <cfRule type="expression" dxfId="200" priority="7928">
      <formula>$AA$103=$AA$7</formula>
    </cfRule>
  </conditionalFormatting>
  <conditionalFormatting sqref="Z118:Z119">
    <cfRule type="expression" dxfId="199" priority="7929">
      <formula>$AA$118=$AA$7</formula>
    </cfRule>
  </conditionalFormatting>
  <conditionalFormatting sqref="Z124:Z128">
    <cfRule type="expression" dxfId="198" priority="7930">
      <formula>$AA$124=$AA$7</formula>
    </cfRule>
    <cfRule type="expression" dxfId="197" priority="7931">
      <formula>$AA$124=$AA$7</formula>
    </cfRule>
  </conditionalFormatting>
  <conditionalFormatting sqref="Z129">
    <cfRule type="expression" dxfId="196" priority="7932">
      <formula>$AA$129=$AA$7</formula>
    </cfRule>
  </conditionalFormatting>
  <conditionalFormatting sqref="Z130:Z134">
    <cfRule type="expression" dxfId="195" priority="7933">
      <formula>$AA$130=$AA$7</formula>
    </cfRule>
  </conditionalFormatting>
  <conditionalFormatting sqref="Z219:Z228">
    <cfRule type="expression" dxfId="194" priority="7952">
      <formula>OR($AA$221=$AA$7,$AA$224=$AA$7)</formula>
    </cfRule>
  </conditionalFormatting>
  <conditionalFormatting sqref="Z305:Z322">
    <cfRule type="expression" dxfId="193" priority="7953">
      <formula>OR($AA$309=$AA$7,$AA$310=$AA$7,$AA$316=$AA$7)</formula>
    </cfRule>
  </conditionalFormatting>
  <conditionalFormatting sqref="Z453:Z464">
    <cfRule type="expression" dxfId="192" priority="101">
      <formula>$AA$452=$AA$7</formula>
    </cfRule>
  </conditionalFormatting>
  <conditionalFormatting sqref="Z943 Z946 Z948 Z951 Z953">
    <cfRule type="expression" dxfId="191" priority="100">
      <formula>$AA$941=$AA$7</formula>
    </cfRule>
  </conditionalFormatting>
  <conditionalFormatting sqref="Z958 Z960 Z962">
    <cfRule type="expression" dxfId="190" priority="99">
      <formula>$AA$957=$AA$7</formula>
    </cfRule>
  </conditionalFormatting>
  <conditionalFormatting sqref="Z1243:Z1244">
    <cfRule type="notContainsBlanks" dxfId="189" priority="89">
      <formula>LEN(TRIM(Z1243))&gt;0</formula>
    </cfRule>
  </conditionalFormatting>
  <conditionalFormatting sqref="W1243">
    <cfRule type="expression" dxfId="188" priority="86">
      <formula>AND($R$1243,$S$1243)</formula>
    </cfRule>
  </conditionalFormatting>
  <conditionalFormatting sqref="W1243">
    <cfRule type="expression" dxfId="187" priority="85">
      <formula>AND(IF($R$1243,$W$1243,TRUE),LEN(TRIM($W$1243))&gt;0)</formula>
    </cfRule>
  </conditionalFormatting>
  <conditionalFormatting sqref="W1243">
    <cfRule type="expression" dxfId="186" priority="84">
      <formula>OR($S$1243 = FALSE, AND($P$1243 = FALSE, ReportType &lt;&gt; "Final"), AND($Q$1243 = FALSE, ReportType &lt;&gt; "Rough"))</formula>
    </cfRule>
  </conditionalFormatting>
  <conditionalFormatting sqref="W1243">
    <cfRule type="expression" dxfId="185" priority="83">
      <formula>OR($T$1243 = TRUE, AND($W$1243 = TRUE, $S$1243 = FALSE))</formula>
    </cfRule>
  </conditionalFormatting>
  <conditionalFormatting sqref="W1244">
    <cfRule type="expression" dxfId="184" priority="82">
      <formula>AND($R$1244,$S$1244)</formula>
    </cfRule>
  </conditionalFormatting>
  <conditionalFormatting sqref="W1244">
    <cfRule type="expression" dxfId="183" priority="81">
      <formula>AND(IF($R$1244,$W$1244,TRUE),LEN(TRIM($W$1244))&gt;0)</formula>
    </cfRule>
  </conditionalFormatting>
  <conditionalFormatting sqref="W1244">
    <cfRule type="expression" dxfId="182" priority="80">
      <formula>OR($S$1244 = FALSE, AND($P$1244 = FALSE, ReportType &lt;&gt; "Final"), AND($Q$1244 = FALSE, ReportType &lt;&gt; "Rough"))</formula>
    </cfRule>
  </conditionalFormatting>
  <conditionalFormatting sqref="W1244">
    <cfRule type="expression" dxfId="181" priority="79">
      <formula>OR($T$1244 = TRUE, AND($W$1244 = TRUE, $S$1244 = FALSE))</formula>
    </cfRule>
  </conditionalFormatting>
  <conditionalFormatting sqref="W336">
    <cfRule type="expression" dxfId="180" priority="78">
      <formula>AND($R$336,$S$336)</formula>
    </cfRule>
  </conditionalFormatting>
  <conditionalFormatting sqref="W336">
    <cfRule type="expression" dxfId="179" priority="77">
      <formula>AND($W$336&lt;&gt;"Not Met",LEN(TRIM($W$336))&gt;0)</formula>
    </cfRule>
  </conditionalFormatting>
  <conditionalFormatting sqref="W336">
    <cfRule type="expression" dxfId="178" priority="76">
      <formula>OR($S$336 = FALSE, AND($P$336 = FALSE, ReportType &lt;&gt; "Final"), AND($Q$336 = FALSE, ReportType &lt;&gt; "Rough"))</formula>
    </cfRule>
  </conditionalFormatting>
  <conditionalFormatting sqref="W336">
    <cfRule type="expression" dxfId="177" priority="75">
      <formula>OR($T$336 = TRUE, AND(LEN(TRIM($W$336))&gt;0, $S$336 = FALSE))</formula>
    </cfRule>
  </conditionalFormatting>
  <conditionalFormatting sqref="W349">
    <cfRule type="expression" dxfId="176" priority="74">
      <formula>AND($R$349,$S$349)</formula>
    </cfRule>
  </conditionalFormatting>
  <conditionalFormatting sqref="W349">
    <cfRule type="expression" dxfId="175" priority="73">
      <formula>AND($W$349&lt;&gt;"Not Met",LEN(TRIM($W$349))&gt;0)</formula>
    </cfRule>
  </conditionalFormatting>
  <conditionalFormatting sqref="W349">
    <cfRule type="expression" dxfId="174" priority="72">
      <formula>OR($S$349 = FALSE, AND($P$349 = FALSE, ReportType &lt;&gt; "Final"), AND($Q$349 = FALSE, ReportType &lt;&gt; "Rough"))</formula>
    </cfRule>
  </conditionalFormatting>
  <conditionalFormatting sqref="W349">
    <cfRule type="expression" dxfId="173" priority="71">
      <formula>OR($T$349 = TRUE, AND(LEN(TRIM($W$349))&gt;0, $S$349 = FALSE))</formula>
    </cfRule>
  </conditionalFormatting>
  <conditionalFormatting sqref="W423">
    <cfRule type="expression" dxfId="172" priority="70">
      <formula>AND($R$423,$S$423)</formula>
    </cfRule>
  </conditionalFormatting>
  <conditionalFormatting sqref="W423">
    <cfRule type="expression" dxfId="171" priority="69">
      <formula>AND($W$423&lt;&gt;"Not Met",LEN(TRIM($W$423))&gt;0)</formula>
    </cfRule>
  </conditionalFormatting>
  <conditionalFormatting sqref="W423">
    <cfRule type="expression" dxfId="170" priority="68">
      <formula>OR($S$423 = FALSE, AND($P$423 = FALSE, ReportType &lt;&gt; "Final"), AND($Q$423 = FALSE, ReportType &lt;&gt; "Rough"))</formula>
    </cfRule>
  </conditionalFormatting>
  <conditionalFormatting sqref="W423">
    <cfRule type="expression" dxfId="169" priority="67">
      <formula>OR($T$423 = TRUE, AND(LEN(TRIM($W$423))&gt;0, $S$423 = FALSE))</formula>
    </cfRule>
  </conditionalFormatting>
  <conditionalFormatting sqref="W535">
    <cfRule type="expression" dxfId="168" priority="66">
      <formula>AND($R$535,$S$535)</formula>
    </cfRule>
  </conditionalFormatting>
  <conditionalFormatting sqref="W535">
    <cfRule type="expression" dxfId="167" priority="65">
      <formula>AND(IF($R$535,$W$535,TRUE),LEN(TRIM($W$535))&gt;0)</formula>
    </cfRule>
  </conditionalFormatting>
  <conditionalFormatting sqref="W535">
    <cfRule type="expression" dxfId="166" priority="64">
      <formula>OR($S$535 = FALSE, AND($P$535 = FALSE, ReportType &lt;&gt; "Final"), AND($Q$535 = FALSE, ReportType &lt;&gt; "Rough"))</formula>
    </cfRule>
  </conditionalFormatting>
  <conditionalFormatting sqref="W535">
    <cfRule type="expression" dxfId="165" priority="63">
      <formula>OR($T$535 = TRUE, AND($W$535 = TRUE, $S$535 = FALSE))</formula>
    </cfRule>
  </conditionalFormatting>
  <conditionalFormatting sqref="W783">
    <cfRule type="expression" dxfId="164" priority="62">
      <formula>AND($R$783,$S$783)</formula>
    </cfRule>
  </conditionalFormatting>
  <conditionalFormatting sqref="W783">
    <cfRule type="expression" dxfId="163" priority="61">
      <formula>AND(IF($R$783,$W$783,TRUE),LEN(TRIM($W$783))&gt;0)</formula>
    </cfRule>
  </conditionalFormatting>
  <conditionalFormatting sqref="W783">
    <cfRule type="expression" dxfId="162" priority="60">
      <formula>OR($S$783 = FALSE, AND($P$783 = FALSE, ReportType &lt;&gt; "Final"), AND($Q$783 = FALSE, ReportType &lt;&gt; "Rough"))</formula>
    </cfRule>
  </conditionalFormatting>
  <conditionalFormatting sqref="W783">
    <cfRule type="expression" dxfId="161" priority="59">
      <formula>OR($T$783 = TRUE, AND($W$783 = TRUE, $S$783 = FALSE))</formula>
    </cfRule>
  </conditionalFormatting>
  <conditionalFormatting sqref="Z783:Z785">
    <cfRule type="notContainsBlanks" dxfId="160" priority="58">
      <formula>LEN(TRIM(Z783))&gt;0</formula>
    </cfRule>
  </conditionalFormatting>
  <conditionalFormatting sqref="W893">
    <cfRule type="expression" dxfId="159" priority="55">
      <formula>AND($R$893,$S$893)</formula>
    </cfRule>
  </conditionalFormatting>
  <conditionalFormatting sqref="W893">
    <cfRule type="expression" dxfId="158" priority="54">
      <formula>AND(IF($R$893,$W$893,TRUE),LEN(TRIM($W$893))&gt;0)</formula>
    </cfRule>
  </conditionalFormatting>
  <conditionalFormatting sqref="W893">
    <cfRule type="expression" dxfId="157" priority="53">
      <formula>OR($S$893 = FALSE, AND($P$893 = FALSE, ReportType &lt;&gt; "Final"), AND($Q$893 = FALSE, ReportType &lt;&gt; "Rough"))</formula>
    </cfRule>
  </conditionalFormatting>
  <conditionalFormatting sqref="W893">
    <cfRule type="expression" dxfId="156" priority="52">
      <formula>OR($T$893 = TRUE, AND($W$893 = TRUE, $S$893 = FALSE))</formula>
    </cfRule>
  </conditionalFormatting>
  <conditionalFormatting sqref="W897">
    <cfRule type="expression" dxfId="155" priority="51">
      <formula>AND($R$897,$S$897)</formula>
    </cfRule>
  </conditionalFormatting>
  <conditionalFormatting sqref="W897">
    <cfRule type="expression" dxfId="154" priority="50">
      <formula>AND(IF($R$897,$W$897,TRUE),LEN(TRIM($W$897))&gt;0)</formula>
    </cfRule>
  </conditionalFormatting>
  <conditionalFormatting sqref="W897">
    <cfRule type="expression" dxfId="153" priority="49">
      <formula>OR($S$897 = FALSE, AND($P$897 = FALSE, ReportType &lt;&gt; "Final"), AND($Q$897 = FALSE, ReportType &lt;&gt; "Rough"))</formula>
    </cfRule>
  </conditionalFormatting>
  <conditionalFormatting sqref="W897">
    <cfRule type="expression" dxfId="152" priority="48">
      <formula>OR($T$897 = TRUE, AND($W$897 = TRUE, $S$897 = FALSE))</formula>
    </cfRule>
  </conditionalFormatting>
  <conditionalFormatting sqref="Z893:Z894">
    <cfRule type="notContainsBlanks" dxfId="151" priority="47">
      <formula>LEN(TRIM(Z893))&gt;0</formula>
    </cfRule>
  </conditionalFormatting>
  <conditionalFormatting sqref="Z897:Z898">
    <cfRule type="notContainsBlanks" dxfId="150" priority="46">
      <formula>LEN(TRIM(Z897))&gt;0</formula>
    </cfRule>
  </conditionalFormatting>
  <conditionalFormatting sqref="Z1083:Z1084">
    <cfRule type="notContainsBlanks" dxfId="149" priority="41">
      <formula>LEN(TRIM(Z1083))&gt;0</formula>
    </cfRule>
  </conditionalFormatting>
  <conditionalFormatting sqref="Z1054">
    <cfRule type="notContainsBlanks" dxfId="148" priority="40">
      <formula>LEN(TRIM(Z1054))&gt;0</formula>
    </cfRule>
  </conditionalFormatting>
  <conditionalFormatting sqref="Z1241:Z1242">
    <cfRule type="notContainsBlanks" dxfId="147" priority="38">
      <formula>LEN(TRIM(Z1241))&gt;0</formula>
    </cfRule>
  </conditionalFormatting>
  <conditionalFormatting sqref="W1241">
    <cfRule type="expression" dxfId="146" priority="37">
      <formula>AND($R$1241,$S$1241)</formula>
    </cfRule>
  </conditionalFormatting>
  <conditionalFormatting sqref="W1241">
    <cfRule type="expression" dxfId="145" priority="36">
      <formula>AND(IF($R$1241,$W$1241,TRUE),LEN(TRIM($W$1241))&gt;0)</formula>
    </cfRule>
  </conditionalFormatting>
  <conditionalFormatting sqref="W1241">
    <cfRule type="expression" dxfId="144" priority="35">
      <formula>OR($S$1241 = FALSE, AND($P$1241 = FALSE, ReportType &lt;&gt; "Final"), AND($Q$1241 = FALSE, ReportType &lt;&gt; "Rough"))</formula>
    </cfRule>
  </conditionalFormatting>
  <conditionalFormatting sqref="W1241">
    <cfRule type="expression" dxfId="143" priority="34">
      <formula>OR($T$1241 = TRUE, AND($W$1241 = TRUE, $S$1241 = FALSE))</formula>
    </cfRule>
  </conditionalFormatting>
  <conditionalFormatting sqref="Z1049:Z1050">
    <cfRule type="notContainsBlanks" dxfId="142" priority="32">
      <formula>LEN(TRIM(Z1049))&gt;0</formula>
    </cfRule>
  </conditionalFormatting>
  <conditionalFormatting sqref="W1049">
    <cfRule type="expression" dxfId="141" priority="27">
      <formula>AND($R$1049,$S$1049)</formula>
    </cfRule>
  </conditionalFormatting>
  <conditionalFormatting sqref="W1049">
    <cfRule type="expression" dxfId="140" priority="26">
      <formula>AND($W$1049&lt;&gt;"Not Met",LEN(TRIM($W$1049))&gt;0)</formula>
    </cfRule>
  </conditionalFormatting>
  <conditionalFormatting sqref="W1049">
    <cfRule type="expression" dxfId="139" priority="25">
      <formula>OR($S$1049 = FALSE, AND($P$1049 = FALSE, ReportType &lt;&gt; "Final"), AND($Q$1049 = FALSE, ReportType &lt;&gt; "Rough"))</formula>
    </cfRule>
  </conditionalFormatting>
  <conditionalFormatting sqref="W1049">
    <cfRule type="expression" dxfId="138" priority="24">
      <formula>OR($T$1049 = TRUE, AND(LEN(TRIM($W$1049))&gt;0, $S$1049 = FALSE))</formula>
    </cfRule>
  </conditionalFormatting>
  <conditionalFormatting sqref="W1083">
    <cfRule type="expression" dxfId="137" priority="23">
      <formula>AND($R$1083,$S$1083)</formula>
    </cfRule>
  </conditionalFormatting>
  <conditionalFormatting sqref="W1083">
    <cfRule type="expression" dxfId="136" priority="22">
      <formula>AND(IF($R$1083,$W$1083,TRUE),LEN(TRIM($W$1083))&gt;0)</formula>
    </cfRule>
  </conditionalFormatting>
  <conditionalFormatting sqref="W1083">
    <cfRule type="expression" dxfId="135" priority="21">
      <formula>OR($S$1083 = FALSE, AND($P$1083 = FALSE, ReportType &lt;&gt; "Final"), AND($Q$1083 = FALSE, ReportType &lt;&gt; "Rough"))</formula>
    </cfRule>
  </conditionalFormatting>
  <conditionalFormatting sqref="W1083">
    <cfRule type="expression" dxfId="134" priority="20">
      <formula>OR($T$1083 = TRUE, AND($W$1083 = TRUE, $S$1083 = FALSE))</formula>
    </cfRule>
  </conditionalFormatting>
  <conditionalFormatting sqref="Z906">
    <cfRule type="notContainsBlanks" dxfId="133" priority="19">
      <formula>LEN(TRIM(Z906))&gt;0</formula>
    </cfRule>
  </conditionalFormatting>
  <conditionalFormatting sqref="Z902">
    <cfRule type="notContainsBlanks" dxfId="132" priority="18">
      <formula>LEN(TRIM(Z902))&gt;0</formula>
    </cfRule>
  </conditionalFormatting>
  <conditionalFormatting sqref="W826">
    <cfRule type="expression" dxfId="131" priority="17">
      <formula>AND($R$826,$S$826)</formula>
    </cfRule>
  </conditionalFormatting>
  <conditionalFormatting sqref="W826">
    <cfRule type="expression" dxfId="130" priority="16">
      <formula>AND(IF($R$826,$W$826,TRUE),LEN(TRIM($W$826))&gt;0)</formula>
    </cfRule>
  </conditionalFormatting>
  <conditionalFormatting sqref="W826">
    <cfRule type="expression" dxfId="129" priority="15">
      <formula>OR($S$826 = FALSE, AND($P$826 = FALSE, ReportType &lt;&gt; "Final"), AND($Q$826 = FALSE, ReportType &lt;&gt; "Rough"))</formula>
    </cfRule>
  </conditionalFormatting>
  <conditionalFormatting sqref="W826">
    <cfRule type="expression" dxfId="128" priority="14">
      <formula>OR($T$826 = TRUE, AND($W$826 = TRUE, $S$826 = FALSE))</formula>
    </cfRule>
  </conditionalFormatting>
  <conditionalFormatting sqref="X780:X782">
    <cfRule type="expression" dxfId="127" priority="9">
      <formula>R781</formula>
    </cfRule>
  </conditionalFormatting>
  <conditionalFormatting sqref="W781">
    <cfRule type="expression" dxfId="126" priority="4">
      <formula>AND($R$781,$S$781)</formula>
    </cfRule>
  </conditionalFormatting>
  <conditionalFormatting sqref="W781">
    <cfRule type="expression" dxfId="125" priority="3">
      <formula>AND($W$781&lt;&gt;"Not Met",LEN(TRIM($W$781))&gt;0)</formula>
    </cfRule>
  </conditionalFormatting>
  <conditionalFormatting sqref="W781">
    <cfRule type="expression" dxfId="124" priority="2">
      <formula>OR($S$781 = FALSE, AND($P$781 = FALSE, ReportType &lt;&gt; "Final"), AND($Q$781 = FALSE, ReportType &lt;&gt; "Rough"))</formula>
    </cfRule>
  </conditionalFormatting>
  <conditionalFormatting sqref="W781">
    <cfRule type="expression" dxfId="123" priority="1">
      <formula>OR($T$781 = TRUE, AND(LEN(TRIM($W$781))&gt;0, $S$781 = FALSE))</formula>
    </cfRule>
  </conditionalFormatting>
  <dataValidations count="89">
    <dataValidation type="list" allowBlank="1" showInputMessage="1" showErrorMessage="1" sqref="L5" xr:uid="{00000000-0002-0000-0D00-000000000000}">
      <formula1>"Rough, Final"</formula1>
    </dataValidation>
    <dataValidation type="decimal" allowBlank="1" showDropDown="1" showInputMessage="1" showErrorMessage="1" error="Enter Percentage" prompt="Enter Percentage" sqref="W61" xr:uid="{00000000-0002-0000-0D00-000001000000}">
      <formula1>0</formula1>
      <formula2>1</formula2>
    </dataValidation>
    <dataValidation type="whole" allowBlank="1" showDropDown="1" showInputMessage="1" showErrorMessage="1" error="Enter a whole number" prompt="Enter number of products" sqref="W773 W763" xr:uid="{00000000-0002-0000-0D00-000002000000}">
      <formula1>0</formula1>
      <formula2>20</formula2>
    </dataValidation>
    <dataValidation type="decimal" allowBlank="1" showDropDown="1" showInputMessage="1" showErrorMessage="1" error="Enter a percentage" prompt="Enter a percentage" sqref="W513 W525 W527 W529 W531 W1006 W1017:W1018" xr:uid="{00000000-0002-0000-0D00-000003000000}">
      <formula1>0</formula1>
      <formula2>1</formula2>
    </dataValidation>
    <dataValidation type="whole" allowBlank="1" showDropDown="1" showInputMessage="1" showErrorMessage="1" error="Enter a number" prompt="Enter number of square feet" sqref="W507" xr:uid="{00000000-0002-0000-0D00-000004000000}">
      <formula1>0</formula1>
      <formula2>10000</formula2>
    </dataValidation>
    <dataValidation type="list" allowBlank="1" showInputMessage="1" showErrorMessage="1" error="Please use the dropdown." sqref="W31" xr:uid="{00000000-0002-0000-0D00-000005000000}">
      <formula1>INDIRECT($U$31)</formula1>
    </dataValidation>
    <dataValidation type="list" allowBlank="1" showInputMessage="1" showErrorMessage="1" error="Please use the dropdown." sqref="W65" xr:uid="{00000000-0002-0000-0D00-000006000000}">
      <formula1>INDIRECT($U$65)</formula1>
    </dataValidation>
    <dataValidation type="list" allowBlank="1" showInputMessage="1" showErrorMessage="1" error="Please use the dropdown." sqref="W96" xr:uid="{00000000-0002-0000-0D00-000007000000}">
      <formula1>INDIRECT($U$96)</formula1>
    </dataValidation>
    <dataValidation type="list" allowBlank="1" showInputMessage="1" showErrorMessage="1" error="Please use the dropdown." sqref="W103" xr:uid="{00000000-0002-0000-0D00-000008000000}">
      <formula1>INDIRECT($U$103)</formula1>
    </dataValidation>
    <dataValidation type="list" allowBlank="1" showInputMessage="1" showErrorMessage="1" error="Please use the dropdown." sqref="W110" xr:uid="{00000000-0002-0000-0D00-000009000000}">
      <formula1>INDIRECT($U$110)</formula1>
    </dataValidation>
    <dataValidation type="list" allowBlank="1" showInputMessage="1" showErrorMessage="1" error="Please use the dropdown." sqref="W112" xr:uid="{00000000-0002-0000-0D00-00000A000000}">
      <formula1>INDIRECT($U$112)</formula1>
    </dataValidation>
    <dataValidation type="list" allowBlank="1" showInputMessage="1" showErrorMessage="1" error="Please use the dropdown." sqref="W124" xr:uid="{00000000-0002-0000-0D00-00000B000000}">
      <formula1>INDIRECT($U$124)</formula1>
    </dataValidation>
    <dataValidation type="list" allowBlank="1" showInputMessage="1" showErrorMessage="1" error="Please use the dropdown." sqref="W209" xr:uid="{00000000-0002-0000-0D00-00000C000000}">
      <formula1>INDIRECT($U$209)</formula1>
    </dataValidation>
    <dataValidation type="list" allowBlank="1" showInputMessage="1" showErrorMessage="1" error="Please use the dropdown." sqref="W213" xr:uid="{00000000-0002-0000-0D00-00000D000000}">
      <formula1>INDIRECT($U$213)</formula1>
    </dataValidation>
    <dataValidation type="list" allowBlank="1" showInputMessage="1" showErrorMessage="1" error="Please use the dropdown." sqref="W232" xr:uid="{00000000-0002-0000-0D00-00000E000000}">
      <formula1>INDIRECT($U$232)</formula1>
    </dataValidation>
    <dataValidation type="list" allowBlank="1" showInputMessage="1" showErrorMessage="1" error="Please use the dropdown." sqref="W301" xr:uid="{00000000-0002-0000-0D00-00000F000000}">
      <formula1>INDIRECT($U$301)</formula1>
    </dataValidation>
    <dataValidation type="list" allowBlank="1" showInputMessage="1" showErrorMessage="1" error="Please use the dropdown." sqref="W308" xr:uid="{00000000-0002-0000-0D00-000010000000}">
      <formula1>INDIRECT($U$308)</formula1>
    </dataValidation>
    <dataValidation type="list" allowBlank="1" showInputMessage="1" showErrorMessage="1" error="Please use the dropdown." sqref="W309" xr:uid="{00000000-0002-0000-0D00-000011000000}">
      <formula1>INDIRECT($U$309)</formula1>
    </dataValidation>
    <dataValidation type="list" allowBlank="1" showInputMessage="1" showErrorMessage="1" error="Please use the dropdown." sqref="W310" xr:uid="{00000000-0002-0000-0D00-000012000000}">
      <formula1>INDIRECT($U$310)</formula1>
    </dataValidation>
    <dataValidation type="list" allowBlank="1" showInputMessage="1" showErrorMessage="1" error="Please use the dropdown." sqref="W314" xr:uid="{00000000-0002-0000-0D00-000013000000}">
      <formula1>INDIRECT($U$314)</formula1>
    </dataValidation>
    <dataValidation type="list" allowBlank="1" showInputMessage="1" showErrorMessage="1" error="Please use the dropdown." sqref="W316" xr:uid="{00000000-0002-0000-0D00-000014000000}">
      <formula1>INDIRECT($U$316)</formula1>
    </dataValidation>
    <dataValidation type="list" allowBlank="1" showInputMessage="1" showErrorMessage="1" error="Please use the dropdown." sqref="W376" xr:uid="{00000000-0002-0000-0D00-000015000000}">
      <formula1>INDIRECT($U$376)</formula1>
    </dataValidation>
    <dataValidation type="list" allowBlank="1" showInputMessage="1" showErrorMessage="1" error="Please use the dropdown." sqref="W443" xr:uid="{00000000-0002-0000-0D00-000016000000}">
      <formula1>INDIRECT($U$443)</formula1>
    </dataValidation>
    <dataValidation type="list" allowBlank="1" showInputMessage="1" showErrorMessage="1" error="Please use the dropdown." sqref="W453" xr:uid="{00000000-0002-0000-0D00-000017000000}">
      <formula1>INDIRECT($U$453)</formula1>
    </dataValidation>
    <dataValidation type="list" allowBlank="1" showInputMessage="1" showErrorMessage="1" error="Please use the dropdown." sqref="W579" xr:uid="{00000000-0002-0000-0D00-000018000000}">
      <formula1>INDIRECT($U$579)</formula1>
    </dataValidation>
    <dataValidation type="list" allowBlank="1" showInputMessage="1" showErrorMessage="1" error="Please use the dropdown." sqref="W580" xr:uid="{00000000-0002-0000-0D00-000019000000}">
      <formula1>INDIRECT($U$580)</formula1>
    </dataValidation>
    <dataValidation type="list" allowBlank="1" showInputMessage="1" showErrorMessage="1" error="Please use the dropdown." sqref="W581" xr:uid="{00000000-0002-0000-0D00-00001A000000}">
      <formula1>INDIRECT($U$581)</formula1>
    </dataValidation>
    <dataValidation type="list" allowBlank="1" showInputMessage="1" showErrorMessage="1" error="Please use the dropdown." sqref="W582" xr:uid="{00000000-0002-0000-0D00-00001B000000}">
      <formula1>INDIRECT($U$582)</formula1>
    </dataValidation>
    <dataValidation type="list" allowBlank="1" showInputMessage="1" showErrorMessage="1" error="Please use the dropdown." sqref="W583" xr:uid="{00000000-0002-0000-0D00-00001C000000}">
      <formula1>INDIRECT($U$583)</formula1>
    </dataValidation>
    <dataValidation type="list" allowBlank="1" showInputMessage="1" showErrorMessage="1" error="Please use the dropdown." sqref="W584" xr:uid="{00000000-0002-0000-0D00-00001D000000}">
      <formula1>INDIRECT($U$584)</formula1>
    </dataValidation>
    <dataValidation type="list" allowBlank="1" showInputMessage="1" showErrorMessage="1" error="Please use the dropdown." sqref="W585" xr:uid="{00000000-0002-0000-0D00-00001E000000}">
      <formula1>INDIRECT($U$585)</formula1>
    </dataValidation>
    <dataValidation type="list" allowBlank="1" showInputMessage="1" showErrorMessage="1" error="Please use the dropdown." sqref="W586" xr:uid="{00000000-0002-0000-0D00-00001F000000}">
      <formula1>INDIRECT($U$586)</formula1>
    </dataValidation>
    <dataValidation type="list" allowBlank="1" showInputMessage="1" showErrorMessage="1" error="Please use the dropdown." sqref="W606" xr:uid="{00000000-0002-0000-0D00-000020000000}">
      <formula1>INDIRECT($U$606)</formula1>
    </dataValidation>
    <dataValidation type="list" allowBlank="1" showInputMessage="1" showErrorMessage="1" error="Please use the dropdown." sqref="W607" xr:uid="{00000000-0002-0000-0D00-000021000000}">
      <formula1>INDIRECT($U$607)</formula1>
    </dataValidation>
    <dataValidation type="list" allowBlank="1" showInputMessage="1" showErrorMessage="1" error="Please use the dropdown." sqref="W609" xr:uid="{00000000-0002-0000-0D00-000022000000}">
      <formula1>INDIRECT($U$609)</formula1>
    </dataValidation>
    <dataValidation type="list" allowBlank="1" showInputMessage="1" showErrorMessage="1" error="Please use the dropdown." sqref="W610" xr:uid="{00000000-0002-0000-0D00-000023000000}">
      <formula1>INDIRECT($U$610)</formula1>
    </dataValidation>
    <dataValidation type="list" allowBlank="1" showInputMessage="1" showErrorMessage="1" error="Please use the dropdown." sqref="W612" xr:uid="{00000000-0002-0000-0D00-000024000000}">
      <formula1>INDIRECT($U$612)</formula1>
    </dataValidation>
    <dataValidation type="list" allowBlank="1" showInputMessage="1" showErrorMessage="1" error="Please use the dropdown." sqref="W627" xr:uid="{00000000-0002-0000-0D00-000025000000}">
      <formula1>INDIRECT($U$627)</formula1>
    </dataValidation>
    <dataValidation type="list" allowBlank="1" showInputMessage="1" showErrorMessage="1" error="Please use the dropdown." sqref="W637" xr:uid="{00000000-0002-0000-0D00-000026000000}">
      <formula1>INDIRECT($U$637)</formula1>
    </dataValidation>
    <dataValidation type="list" allowBlank="1" showInputMessage="1" showErrorMessage="1" error="Please use the dropdown." sqref="W640" xr:uid="{00000000-0002-0000-0D00-000027000000}">
      <formula1>INDIRECT($U$640)</formula1>
    </dataValidation>
    <dataValidation type="list" allowBlank="1" showInputMessage="1" showErrorMessage="1" error="Please use the dropdown." sqref="W676" xr:uid="{00000000-0002-0000-0D00-000028000000}">
      <formula1>INDIRECT($U$676)</formula1>
    </dataValidation>
    <dataValidation type="list" allowBlank="1" showInputMessage="1" showErrorMessage="1" error="Please use the dropdown." sqref="W683" xr:uid="{00000000-0002-0000-0D00-000029000000}">
      <formula1>INDIRECT($U$683)</formula1>
    </dataValidation>
    <dataValidation type="list" allowBlank="1" showInputMessage="1" showErrorMessage="1" error="Please use the dropdown." sqref="W689" xr:uid="{00000000-0002-0000-0D00-00002A000000}">
      <formula1>INDIRECT($U$689)</formula1>
    </dataValidation>
    <dataValidation type="list" allowBlank="1" showInputMessage="1" showErrorMessage="1" error="Please use the dropdown." sqref="W695" xr:uid="{00000000-0002-0000-0D00-00002B000000}">
      <formula1>INDIRECT($U$695)</formula1>
    </dataValidation>
    <dataValidation type="list" allowBlank="1" showInputMessage="1" showErrorMessage="1" error="Please use the dropdown." sqref="W701" xr:uid="{00000000-0002-0000-0D00-00002C000000}">
      <formula1>INDIRECT($U$701)</formula1>
    </dataValidation>
    <dataValidation type="list" allowBlank="1" showInputMessage="1" showErrorMessage="1" error="Please use the dropdown." sqref="W707" xr:uid="{00000000-0002-0000-0D00-00002D000000}">
      <formula1>INDIRECT($U$707)</formula1>
    </dataValidation>
    <dataValidation type="list" allowBlank="1" showInputMessage="1" showErrorMessage="1" error="Please use the dropdown." sqref="W713" xr:uid="{00000000-0002-0000-0D00-00002E000000}">
      <formula1>INDIRECT($U$713)</formula1>
    </dataValidation>
    <dataValidation type="list" allowBlank="1" showInputMessage="1" showErrorMessage="1" error="Please use the dropdown." sqref="W362" xr:uid="{00000000-0002-0000-0D00-00002F000000}">
      <formula1>INDIRECT($U$362)</formula1>
    </dataValidation>
    <dataValidation type="list" allowBlank="1" showInputMessage="1" showErrorMessage="1" error="Please use the dropdown." sqref="W371" xr:uid="{00000000-0002-0000-0D00-000030000000}">
      <formula1>INDIRECT($U$371)</formula1>
    </dataValidation>
    <dataValidation type="list" allowBlank="1" showInputMessage="1" showErrorMessage="1" error="Please use the dropdown." sqref="W400" xr:uid="{00000000-0002-0000-0D00-000031000000}">
      <formula1>INDIRECT($U$400)</formula1>
    </dataValidation>
    <dataValidation type="list" allowBlank="1" showInputMessage="1" showErrorMessage="1" error="Please use the dropdown." sqref="W411" xr:uid="{00000000-0002-0000-0D00-000032000000}">
      <formula1>INDIRECT($U$411)</formula1>
    </dataValidation>
    <dataValidation type="list" allowBlank="1" showInputMessage="1" showErrorMessage="1" error="Please use the dropdown." sqref="W465" xr:uid="{00000000-0002-0000-0D00-000033000000}">
      <formula1>INDIRECT($U$465)</formula1>
    </dataValidation>
    <dataValidation type="list" allowBlank="1" showInputMessage="1" showErrorMessage="1" error="Please use the dropdown." sqref="W472" xr:uid="{00000000-0002-0000-0D00-000034000000}">
      <formula1>INDIRECT($U$472)</formula1>
    </dataValidation>
    <dataValidation type="list" allowBlank="1" showInputMessage="1" showErrorMessage="1" error="Please use the dropdown." sqref="W478" xr:uid="{00000000-0002-0000-0D00-000035000000}">
      <formula1>INDIRECT($U$478)</formula1>
    </dataValidation>
    <dataValidation type="list" allowBlank="1" showDropDown="1" showInputMessage="1" showErrorMessage="1" error="Use Checkbox" prompt="Use Checkbox" sqref="W755 W753 W747:W749 W745 W743 W739 W734 W724:W730 W668 W661 W652 W623:W624 W621 W566:W574 W553 W551 W538 W520 W503 W501 W496 W492 W488:W489 W486 W480:W481 W469 W451 W449 W438:W439 W435 W790 W407 W405 W403 W398 W393 W389 W385 W379 W377 W369 W360 W340 W1210:W1211 W346:W347 W238:W239 W1243:W1245 W323 W296:W299 W283:W288 W277 W274 W271 W242 W1241 W228:W229 W224 W221 W208 W206 W193:W198 W191 W188 W184 W182 W179:W180 W177 W172 W169:W170 W162 W157 W155 W152 W148:W150 W144 W142 W140 W137 W135 W129:W130 W122 W120 W118 W93 W83:W85 W80:W81 W76 W72 W70 W62:W63 W58 W54:W56 W52 W49:W50 W37 W28 W19 W17 W15 W1356 W1353 W1351 W1330:W1334 W1327:W1328 W1325 W1318 W1314 W1312 W1306 W1302:W1303 W1300 W1297:W1298 W1295 W1292 W1290 W1287 W1285 W1277:W1279 W1274:W1275 W1272 W1269 W1266 W1239 W1237 W1234:W1235 W1232 W1229:W1230 W1227 W1225 W1221 W955 W1208 W1204:W1206 W1198:W1200 W1190 W1185 W1181 W1176 W1170:W1171 W1156 W1154 W1151 W1149 W1146 W1136 W1133 W1131 W1117 W1115 W1113 W1102 W1095 W1091 W1089 W1081 W1079 W1075:W1076 W1066 W1061:W1062 W1056 W1043 W1038 W1035:W1036 W1033 W1021 W997 W994 W992 W968 W962 W934 W919 W913 W1213:W1215 W805 W888 W874 W847 W844 W352 W809 W783 W799 W535 W802 W890:W891 W897 W893 W811 W1083 W826" xr:uid="{00000000-0002-0000-0D00-000036000000}">
      <formula1>TorF</formula1>
    </dataValidation>
    <dataValidation type="decimal" allowBlank="1" showDropDown="1" showInputMessage="1" showErrorMessage="1" prompt="Enter the ACH50" sqref="W828" xr:uid="{00000000-0002-0000-0D00-000037000000}">
      <formula1>0</formula1>
      <formula2>50</formula2>
    </dataValidation>
    <dataValidation type="list" allowBlank="1" showInputMessage="1" showErrorMessage="1" error="Please use the dropdown." sqref="W793" xr:uid="{00000000-0002-0000-0D00-000038000000}">
      <formula1>INDIRECT($U$793)</formula1>
    </dataValidation>
    <dataValidation type="list" allowBlank="1" showInputMessage="1" showErrorMessage="1" error="Please use the dropdown." sqref="W880" xr:uid="{00000000-0002-0000-0D00-000039000000}">
      <formula1>INDIRECT($U$880)</formula1>
    </dataValidation>
    <dataValidation type="whole" allowBlank="1" showDropDown="1" showInputMessage="1" showErrorMessage="1" error="Enter a whole number" prompt="Enter number of humidistats" sqref="W1101" xr:uid="{00000000-0002-0000-0D00-00003A000000}">
      <formula1>0</formula1>
      <formula2>10</formula2>
    </dataValidation>
    <dataValidation type="whole" allowBlank="1" showDropDown="1" showInputMessage="1" showErrorMessage="1" error="Enter a whole number" prompt="Enter number of timers" sqref="W1099" xr:uid="{00000000-0002-0000-0D00-00003B000000}">
      <formula1>0</formula1>
      <formula2>10</formula2>
    </dataValidation>
    <dataValidation type="list" allowBlank="1" showInputMessage="1" showErrorMessage="1" error="Please use the dropdown." sqref="W924" xr:uid="{00000000-0002-0000-0D00-00003C000000}">
      <formula1>INDIRECT($U$924)</formula1>
    </dataValidation>
    <dataValidation type="list" allowBlank="1" showInputMessage="1" showErrorMessage="1" error="Please use the dropdown." sqref="W927" xr:uid="{00000000-0002-0000-0D00-00003D000000}">
      <formula1>INDIRECT($U$927)</formula1>
    </dataValidation>
    <dataValidation type="list" allowBlank="1" showInputMessage="1" showErrorMessage="1" error="Please use the dropdown." sqref="W930" xr:uid="{00000000-0002-0000-0D00-00003E000000}">
      <formula1>INDIRECT($U$930)</formula1>
    </dataValidation>
    <dataValidation type="list" allowBlank="1" showInputMessage="1" showErrorMessage="1" error="Please use the dropdown." sqref="W937" xr:uid="{00000000-0002-0000-0D00-00003F000000}">
      <formula1>INDIRECT($U$937)</formula1>
    </dataValidation>
    <dataValidation type="list" allowBlank="1" showInputMessage="1" showErrorMessage="1" error="Please use the dropdown." sqref="W943" xr:uid="{00000000-0002-0000-0D00-000040000000}">
      <formula1>INDIRECT($U$943)</formula1>
    </dataValidation>
    <dataValidation type="list" allowBlank="1" showInputMessage="1" showErrorMessage="1" error="Please use the dropdown." sqref="W946" xr:uid="{00000000-0002-0000-0D00-000041000000}">
      <formula1>INDIRECT($U$946)</formula1>
    </dataValidation>
    <dataValidation type="list" allowBlank="1" showInputMessage="1" showErrorMessage="1" error="Please use the dropdown." sqref="W948" xr:uid="{00000000-0002-0000-0D00-000042000000}">
      <formula1>INDIRECT($U$948)</formula1>
    </dataValidation>
    <dataValidation type="list" allowBlank="1" showInputMessage="1" showErrorMessage="1" error="Please use the dropdown." sqref="W951" xr:uid="{00000000-0002-0000-0D00-000043000000}">
      <formula1>INDIRECT($U$951)</formula1>
    </dataValidation>
    <dataValidation type="list" allowBlank="1" showInputMessage="1" showErrorMessage="1" error="Please use the dropdown." sqref="W953" xr:uid="{00000000-0002-0000-0D00-000044000000}">
      <formula1>INDIRECT($U$953)</formula1>
    </dataValidation>
    <dataValidation type="list" allowBlank="1" showInputMessage="1" showErrorMessage="1" error="Please use the dropdown." sqref="W973" xr:uid="{00000000-0002-0000-0D00-000045000000}">
      <formula1>INDIRECT($U$973)</formula1>
    </dataValidation>
    <dataValidation type="list" allowBlank="1" showInputMessage="1" showErrorMessage="1" error="Please use the dropdown." sqref="W978" xr:uid="{00000000-0002-0000-0D00-000046000000}">
      <formula1>INDIRECT($U$978)</formula1>
    </dataValidation>
    <dataValidation type="list" allowBlank="1" showInputMessage="1" showErrorMessage="1" error="Please use the dropdown." sqref="W979" xr:uid="{00000000-0002-0000-0D00-000047000000}">
      <formula1>INDIRECT($U$979)</formula1>
    </dataValidation>
    <dataValidation type="list" allowBlank="1" showInputMessage="1" showErrorMessage="1" error="Please use the dropdown." sqref="W980" xr:uid="{00000000-0002-0000-0D00-000048000000}">
      <formula1>INDIRECT($U$980)</formula1>
    </dataValidation>
    <dataValidation type="list" allowBlank="1" showInputMessage="1" showErrorMessage="1" error="Please use the dropdown." sqref="W981" xr:uid="{00000000-0002-0000-0D00-000049000000}">
      <formula1>INDIRECT($U$981)</formula1>
    </dataValidation>
    <dataValidation type="list" allowBlank="1" showInputMessage="1" showErrorMessage="1" error="Please use the dropdown." sqref="W1071" xr:uid="{00000000-0002-0000-0D00-00004A000000}">
      <formula1>INDIRECT($U$1071)</formula1>
    </dataValidation>
    <dataValidation type="list" allowBlank="1" showInputMessage="1" showErrorMessage="1" error="Please use the dropdown." sqref="W1093" xr:uid="{00000000-0002-0000-0D00-00004B000000}">
      <formula1>INDIRECT($U$1093)</formula1>
    </dataValidation>
    <dataValidation type="list" allowBlank="1" showInputMessage="1" showErrorMessage="1" error="Please use the dropdown." sqref="W1121" xr:uid="{00000000-0002-0000-0D00-00004C000000}">
      <formula1>INDIRECT($U$1121)</formula1>
    </dataValidation>
    <dataValidation type="list" allowBlank="1" showInputMessage="1" showErrorMessage="1" error="Please use the dropdown." sqref="W1142" xr:uid="{00000000-0002-0000-0D00-00004D000000}">
      <formula1>INDIRECT($U$1142)</formula1>
    </dataValidation>
    <dataValidation type="list" allowBlank="1" showInputMessage="1" showErrorMessage="1" error="Please use the dropdown." sqref="W1160" xr:uid="{00000000-0002-0000-0D00-00004E000000}">
      <formula1>INDIRECT($U$1160)</formula1>
    </dataValidation>
    <dataValidation type="list" allowBlank="1" showInputMessage="1" showErrorMessage="1" error="Please use the dropdown." sqref="W1164" xr:uid="{00000000-0002-0000-0D00-00004F000000}">
      <formula1>INDIRECT($U$1164)</formula1>
    </dataValidation>
    <dataValidation type="list" allowBlank="1" showInputMessage="1" showErrorMessage="1" error="Please use the dropdown." sqref="W958" xr:uid="{00000000-0002-0000-0D00-000050000000}">
      <formula1>INDIRECT($U$958)</formula1>
    </dataValidation>
    <dataValidation type="list" allowBlank="1" showInputMessage="1" showErrorMessage="1" error="Please use the dropdown." sqref="W960" xr:uid="{00000000-0002-0000-0D00-000051000000}">
      <formula1>INDIRECT($U$960)</formula1>
    </dataValidation>
    <dataValidation type="whole" allowBlank="1" showDropDown="1" showInputMessage="1" showErrorMessage="1" error="Enter a whole number" prompt="Enter number of fans" sqref="W1108 W1110" xr:uid="{00000000-0002-0000-0D00-000052000000}">
      <formula1>0</formula1>
      <formula2>10</formula2>
    </dataValidation>
    <dataValidation type="decimal" allowBlank="1" showDropDown="1" showInputMessage="1" showErrorMessage="1" prompt="Enter the ELR50" sqref="W831" xr:uid="{00000000-0002-0000-0D00-000053000000}">
      <formula1>0</formula1>
      <formula2>1</formula2>
    </dataValidation>
    <dataValidation type="list" allowBlank="1" showInputMessage="1" showErrorMessage="1" error="Please use the dropdown." sqref="W336" xr:uid="{00000000-0002-0000-0D00-000054000000}">
      <formula1>INDIRECT($U$336)</formula1>
    </dataValidation>
    <dataValidation type="list" allowBlank="1" showInputMessage="1" showErrorMessage="1" error="Please use the dropdown." sqref="W349" xr:uid="{00000000-0002-0000-0D00-000055000000}">
      <formula1>INDIRECT($U$349)</formula1>
    </dataValidation>
    <dataValidation type="list" allowBlank="1" showInputMessage="1" showErrorMessage="1" error="Please use the dropdown." sqref="W423" xr:uid="{00000000-0002-0000-0D00-000056000000}">
      <formula1>INDIRECT($U$423)</formula1>
    </dataValidation>
    <dataValidation type="list" allowBlank="1" showInputMessage="1" showErrorMessage="1" error="Please use the dropdown." sqref="W1049" xr:uid="{00000000-0002-0000-0D00-000057000000}">
      <formula1>INDIRECT($U$1049)</formula1>
    </dataValidation>
    <dataValidation type="list" allowBlank="1" showInputMessage="1" showErrorMessage="1" error="Please use the dropdown." sqref="W781" xr:uid="{61729BA3-C9DF-4BBB-852F-96D61E3E8793}">
      <formula1>INDIRECT($U$781)</formula1>
    </dataValidation>
  </dataValidations>
  <hyperlinks>
    <hyperlink ref="L384" location="'Figure 6(3)'!A1" display="See Figure 6(3)" xr:uid="{00000000-0004-0000-0D00-000000000000}"/>
    <hyperlink ref="L376" location="'Figure 6(3)'!A1" display="See Figure 6(3)" xr:uid="{00000000-0004-0000-0D00-000001000000}"/>
    <hyperlink ref="L471" location="'Table 602.1.12'!A1" display="See Table 602.1.12" xr:uid="{00000000-0004-0000-0D00-000002000000}"/>
    <hyperlink ref="L527" location="'Table 604.1'!A1" display="See Table 604.1" xr:uid="{00000000-0004-0000-0D00-000003000000}"/>
    <hyperlink ref="M674:M687" location="'Table 610.1.2.1'!A1" display="per Table 610.1.2.1           10 Max" xr:uid="{00000000-0004-0000-0D00-000004000000}"/>
    <hyperlink ref="M688:M711" location="'Table 610.1.2.2'!A1" display="'Table 610.1.2.2'!A1" xr:uid="{00000000-0004-0000-0D00-000005000000}"/>
    <hyperlink ref="L846" location="'Table 701.4.3.2(2)'!A1" display="See Table 701.4.3.2(2)" xr:uid="{00000000-0004-0000-0D00-000006000000}"/>
    <hyperlink ref="L1037" location="'Table 901.9.1'!A1" display="See Table 901.9.1" xr:uid="{00000000-0004-0000-0D00-000007000000}"/>
    <hyperlink ref="L1042" location="'Table 901.9.2'!A1" display="See Table 901.9.2" xr:uid="{00000000-0004-0000-0D00-000008000000}"/>
    <hyperlink ref="L1065" location="'Table 901.10(3)'!A1" display="See Table 901.10(3)" xr:uid="{00000000-0004-0000-0D00-000009000000}"/>
    <hyperlink ref="L909" location="'Verification (Ch.8)'!G32" display="GO TO WATER EFFICIENCY VERIFICATION PAGE" xr:uid="{00000000-0004-0000-0D00-00000A000000}"/>
    <hyperlink ref="L905" location="'Verification (Ch. 7)'!W26" display="GO TO ENERGY EFFICIENCY VERIFICATION PAGE" xr:uid="{00000000-0004-0000-0D00-00000B000000}"/>
    <hyperlink ref="L901" location="'Table 703.2.5.1'!A1" display="See Table 703.2.5.1" xr:uid="{A768B5AD-38B6-4A44-BAF0-28D817DA6C89}"/>
    <hyperlink ref="L896" location="'Table 703.2.5.1'!A1" display="See Table 703.2.5.1" xr:uid="{8877293E-0FB9-4371-B915-4A623833F1E3}"/>
  </hyperlinks>
  <pageMargins left="0.7" right="0.7" top="0.75" bottom="0.75" header="0.3" footer="0.3"/>
  <pageSetup scale="43" fitToHeight="0" orientation="portrait" r:id="rId1"/>
  <rowBreaks count="4" manualBreakCount="4">
    <brk id="247" max="16383" man="1"/>
    <brk id="777" max="16383" man="1"/>
    <brk id="909" max="16383" man="1"/>
    <brk id="1191"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408" id="{BB2F8BB8-2FEF-47B1-8DD9-E71EF9527CE9}">
            <xm:f>'Ch5'!W16=TRUE</xm:f>
            <x14:dxf>
              <fill>
                <patternFill>
                  <bgColor rgb="FF92D050"/>
                </patternFill>
              </fill>
            </x14:dxf>
          </x14:cfRule>
          <xm:sqref>L242 L206 L208 L221 L224 L228:L229 L238:L240 L49:L59 L62:L64 L70:L72 L76 L80:L85 L93:L95 L129:L145 L148:L152 L155:L158 L118:L123 L169:L173 L177:L191 L193:L198 L162 L15:L22 L37 L28</xm:sqref>
        </x14:conditionalFormatting>
        <x14:conditionalFormatting xmlns:xm="http://schemas.microsoft.com/office/excel/2006/main">
          <x14:cfRule type="expression" priority="2407" id="{6EC2BB1B-771D-4C25-A41F-A1DCFAF4F4FC}">
            <xm:f>'Ch6'!W32=TRUE</xm:f>
            <x14:dxf>
              <fill>
                <patternFill>
                  <bgColor rgb="FF92D050"/>
                </patternFill>
              </fill>
            </x14:dxf>
          </x14:cfRule>
          <xm:sqref>L538 L551 L553 L566:L574 L621:L625 L652 L661 L668 L724:L731 L734:L756 L469 L480:L481 L486:L494 L496:L503 L520 L435:L442 L449:L451 L423 L377:L381 L385:L395 L398 L403:L410 L369 L360 L352:L353 L346:L347 L349 L336:L338 L296:L299 L323 L283:L290 L271:L277 L340:L342</xm:sqref>
        </x14:conditionalFormatting>
        <x14:conditionalFormatting xmlns:xm="http://schemas.microsoft.com/office/excel/2006/main">
          <x14:cfRule type="expression" priority="164" id="{93677D41-7F00-4C78-8834-BCF35814BA27}">
            <xm:f>OR('Ch7'!W21=TRUE,AND(NOT('Ch7'!W21=FALSE),LEN('Ch7'!W21)&gt;0))</xm:f>
            <x14:dxf>
              <fill>
                <patternFill>
                  <bgColor rgb="FF92D050"/>
                </patternFill>
              </fill>
            </x14:dxf>
          </x14:cfRule>
          <xm:sqref>L897 L844 L847 L874 L888:L891 L893 L790 L799 L802 L805</xm:sqref>
        </x14:conditionalFormatting>
        <x14:conditionalFormatting xmlns:xm="http://schemas.microsoft.com/office/excel/2006/main">
          <x14:cfRule type="expression" priority="162" id="{557CD0EB-83E3-480F-A4FC-A366FC522D01}">
            <xm:f>'Ch9'!W12=TRUE</xm:f>
            <x14:dxf>
              <fill>
                <patternFill>
                  <bgColor rgb="FF92D050"/>
                </patternFill>
              </fill>
            </x14:dxf>
          </x14:cfRule>
          <xm:sqref>L1146 L1149:L1157 L1170:L1172 L1176 L1181 L1185:L1191 L1131:L1138 L1089:L1092 L1095 L1102 L1113:L1119 L1056 L1061:L1062 L1066 L1075:L1076 L1079:L1082 L1033:L1036 L1038 L1043 L1021 L992 L994 L913 L919 L934 L955 L962 L968 L1049</xm:sqref>
        </x14:conditionalFormatting>
        <x14:conditionalFormatting xmlns:xm="http://schemas.microsoft.com/office/excel/2006/main">
          <x14:cfRule type="expression" priority="161" id="{439536BB-F1EC-48F6-A150-4394A0B41C59}">
            <xm:f>'Ch10'!W15=TRUE</xm:f>
            <x14:dxf>
              <fill>
                <patternFill>
                  <bgColor rgb="FF92D050"/>
                </patternFill>
              </fill>
            </x14:dxf>
          </x14:cfRule>
          <xm:sqref>L1266:L1280 L1285:L1307 L1312:L1318 L1325:L1333 L1351:L1358 L1198:L1216 L1221:L1244</xm:sqref>
        </x14:conditionalFormatting>
        <x14:conditionalFormatting xmlns:xm="http://schemas.microsoft.com/office/excel/2006/main">
          <x14:cfRule type="expression" priority="144" id="{9964C645-554E-4CBB-8F6C-1C1B51E706B0}">
            <xm:f>LEN('Ch6'!W69)&gt;0</xm:f>
            <x14:dxf>
              <fill>
                <patternFill>
                  <bgColor rgb="FF92D050"/>
                </patternFill>
              </fill>
            </x14:dxf>
          </x14:cfRule>
          <xm:sqref>L308:L310 L314 L316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58000000}">
          <x14:formula1>
            <xm:f>Points!$C$14:$F$14</xm:f>
          </x14:formula1>
          <xm:sqref>L1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pageSetUpPr fitToPage="1"/>
  </sheetPr>
  <dimension ref="A1:BI54"/>
  <sheetViews>
    <sheetView showGridLines="0" topLeftCell="G1" zoomScaleNormal="100" workbookViewId="0">
      <pane ySplit="7" topLeftCell="A8" activePane="bottomLeft" state="frozen"/>
      <selection activeCell="E7" sqref="E7:F7"/>
      <selection pane="bottomLeft" activeCell="W26" sqref="W26"/>
    </sheetView>
  </sheetViews>
  <sheetFormatPr baseColWidth="10" defaultColWidth="9.1640625" defaultRowHeight="15" x14ac:dyDescent="0.2"/>
  <cols>
    <col min="1" max="1" width="3.33203125" style="13" customWidth="1"/>
    <col min="2" max="2" width="9.6640625" style="13" customWidth="1"/>
    <col min="3" max="6" width="4.5" style="13" customWidth="1"/>
    <col min="7" max="8" width="3.1640625" style="13" customWidth="1"/>
    <col min="9" max="9" width="10.5" style="501" customWidth="1"/>
    <col min="10" max="11" width="3.83203125" style="501" customWidth="1"/>
    <col min="12" max="12" width="71.6640625" style="501" customWidth="1"/>
    <col min="13" max="13" width="13.5" style="502" customWidth="1"/>
    <col min="14" max="14" width="7.6640625" style="501" customWidth="1"/>
    <col min="15" max="15" width="7.6640625" style="502" customWidth="1"/>
    <col min="16" max="21" width="8.83203125" style="501" hidden="1" customWidth="1"/>
    <col min="22" max="22" width="3" style="501" hidden="1" customWidth="1"/>
    <col min="23" max="23" width="21.5" style="501" customWidth="1"/>
    <col min="24" max="24" width="69" style="501" customWidth="1"/>
    <col min="25" max="26" width="34.83203125" style="501" hidden="1" customWidth="1"/>
    <col min="27" max="37" width="9.1640625" style="501" hidden="1" customWidth="1"/>
    <col min="38" max="38" width="19.1640625" style="501" hidden="1" customWidth="1"/>
    <col min="39" max="39" width="2.1640625" style="501" hidden="1" customWidth="1"/>
    <col min="40" max="40" width="16.33203125" style="501" hidden="1" customWidth="1"/>
    <col min="41" max="41" width="2.1640625" style="501" hidden="1" customWidth="1"/>
    <col min="42" max="42" width="16.5" style="501" hidden="1" customWidth="1"/>
    <col min="43" max="43" width="2.1640625" style="501" hidden="1" customWidth="1"/>
    <col min="44" max="44" width="18.6640625" style="501" hidden="1" customWidth="1"/>
    <col min="45" max="45" width="2.1640625" style="501" hidden="1" customWidth="1"/>
    <col min="46" max="61" width="9.1640625" style="501" hidden="1" customWidth="1"/>
    <col min="62" max="16384" width="9.1640625" style="501"/>
  </cols>
  <sheetData>
    <row r="1" spans="1:61" x14ac:dyDescent="0.2">
      <c r="H1" s="805"/>
      <c r="I1" s="768" t="str">
        <f>"Chapter Level: "&amp;AI1</f>
        <v>Chapter Level: None</v>
      </c>
      <c r="J1" s="768"/>
      <c r="K1" s="768"/>
      <c r="L1" s="768"/>
      <c r="M1" s="1021"/>
      <c r="N1" s="1022"/>
      <c r="O1" s="1023"/>
      <c r="P1" s="21"/>
      <c r="Q1" s="21"/>
      <c r="R1" s="21"/>
      <c r="S1" s="21"/>
      <c r="T1" s="21"/>
      <c r="U1" s="21"/>
      <c r="V1" s="21"/>
      <c r="W1" s="1032" t="s">
        <v>46</v>
      </c>
      <c r="X1" s="337" t="s">
        <v>3730</v>
      </c>
      <c r="Y1" s="562"/>
      <c r="Z1" s="451"/>
      <c r="AA1" s="562"/>
      <c r="AB1" s="562"/>
      <c r="AC1" s="562"/>
      <c r="AD1" s="562"/>
      <c r="AE1" s="562"/>
      <c r="AF1" s="594" t="s">
        <v>3731</v>
      </c>
      <c r="AG1" s="562">
        <f ca="1">Ch5PointsFinal</f>
        <v>0</v>
      </c>
      <c r="AH1" s="562" t="e">
        <f ca="1">Ch6PointsFinal</f>
        <v>#REF!</v>
      </c>
      <c r="AI1" s="562" t="str">
        <f>Ch7LevelFinal</f>
        <v>None</v>
      </c>
      <c r="AJ1" s="562" t="str">
        <f>Ch8LevelFinal</f>
        <v>None</v>
      </c>
      <c r="AK1" s="562">
        <f ca="1">Ch9PointsFinal</f>
        <v>0</v>
      </c>
      <c r="AL1" s="562">
        <f>Ch10PointsFinal</f>
        <v>0</v>
      </c>
      <c r="AM1" s="562" t="s">
        <v>3732</v>
      </c>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x14ac:dyDescent="0.2">
      <c r="H2" s="805"/>
      <c r="I2" s="769" t="str">
        <f>IF(OR(AG3,AI3),"Errors on page, no Level reached","Total Project Points: "&amp;Vpoints)</f>
        <v>Errors on page, no Level reached</v>
      </c>
      <c r="J2" s="769"/>
      <c r="K2" s="769"/>
      <c r="L2" s="769"/>
      <c r="M2" s="1024"/>
      <c r="N2" s="1025"/>
      <c r="O2" s="1026"/>
      <c r="P2" s="21"/>
      <c r="Q2" s="21"/>
      <c r="R2" s="21"/>
      <c r="S2" s="21"/>
      <c r="T2" s="21"/>
      <c r="U2" s="21"/>
      <c r="V2" s="21"/>
      <c r="W2" s="1032"/>
      <c r="X2" s="337" t="s">
        <v>3733</v>
      </c>
      <c r="Y2" s="562"/>
      <c r="Z2" s="451"/>
      <c r="AA2" s="562"/>
      <c r="AB2" s="562"/>
      <c r="AC2" s="562"/>
      <c r="AD2" s="562"/>
      <c r="AE2" s="562"/>
      <c r="AF2" s="594"/>
      <c r="AG2" s="562"/>
      <c r="AH2" s="562"/>
      <c r="AI2" s="562"/>
      <c r="AJ2" s="562"/>
      <c r="AK2" s="562"/>
      <c r="AL2" s="562"/>
      <c r="AM2" s="562" t="str">
        <f ca="1">Points!N22</f>
        <v>None</v>
      </c>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H3" s="805"/>
      <c r="I3" s="769" t="str">
        <f>IF(OR(AG3,AI3),"Errors on page, no Level reached","Total Project Level: "&amp;Vlevel)</f>
        <v>Errors on page, no Level reached</v>
      </c>
      <c r="J3" s="769"/>
      <c r="K3" s="769"/>
      <c r="L3" s="769"/>
      <c r="M3" s="1024"/>
      <c r="N3" s="1025"/>
      <c r="O3" s="1026"/>
      <c r="P3" s="21"/>
      <c r="Q3" s="21"/>
      <c r="R3" s="21"/>
      <c r="S3" s="21"/>
      <c r="T3" s="21"/>
      <c r="U3" s="21"/>
      <c r="V3" s="21"/>
      <c r="W3" s="1033"/>
      <c r="X3" s="337" t="s">
        <v>3734</v>
      </c>
      <c r="Y3" s="562"/>
      <c r="Z3" s="451"/>
      <c r="AA3" s="562"/>
      <c r="AB3" s="562"/>
      <c r="AC3" s="562"/>
      <c r="AD3" s="562"/>
      <c r="AE3" s="562"/>
      <c r="AF3" s="594" t="s">
        <v>3735</v>
      </c>
      <c r="AG3" s="562" t="b">
        <f>OR(ReportType="",IF(ReportType="Rough",OR(AF:AF,'Verification (Ch. 7)'!AF:AF),OR(AE:AE)))</f>
        <v>1</v>
      </c>
      <c r="AH3" s="594" t="s">
        <v>3736</v>
      </c>
      <c r="AI3" s="562" t="b">
        <f>OR(AD:AD)</f>
        <v>0</v>
      </c>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x14ac:dyDescent="0.2">
      <c r="H4" s="805"/>
      <c r="I4" s="778"/>
      <c r="J4" s="779"/>
      <c r="K4" s="779"/>
      <c r="L4" s="780"/>
      <c r="M4" s="1024"/>
      <c r="N4" s="1025"/>
      <c r="O4" s="1026"/>
      <c r="P4" s="21"/>
      <c r="Q4" s="21"/>
      <c r="R4" s="21"/>
      <c r="S4" s="21"/>
      <c r="T4" s="21"/>
      <c r="U4" s="21"/>
      <c r="V4" s="21"/>
      <c r="W4" s="213" t="s">
        <v>3739</v>
      </c>
      <c r="X4" s="682" t="str">
        <f>IF('Overview (Verification)'!P11="","",'Overview (Verification)'!P9&amp;", "&amp;'Overview (Verification)'!P11&amp;", "&amp;'Overview (Verification)'!P12&amp;"  "&amp;'Overview (Verification)'!P14)</f>
        <v>6666 Oak St., Raleigh, North Carolina  99999</v>
      </c>
      <c r="Y4" s="562"/>
      <c r="Z4" s="452"/>
      <c r="AA4" s="562"/>
      <c r="AB4" s="562"/>
      <c r="AC4" s="562"/>
      <c r="AD4" s="562"/>
      <c r="AE4" s="562"/>
      <c r="AF4" s="594"/>
      <c r="AG4" s="562"/>
      <c r="AH4" s="594"/>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x14ac:dyDescent="0.2">
      <c r="H5" s="805"/>
      <c r="I5" s="781" t="str">
        <f>"Revision Date:  "&amp;TEXT('Info &amp; Intro'!E7,"m/d/yyyy")</f>
        <v>Revision Date:  11/30/2020</v>
      </c>
      <c r="J5" s="782"/>
      <c r="K5" s="782"/>
      <c r="L5" s="783"/>
      <c r="M5" s="1027"/>
      <c r="N5" s="1028"/>
      <c r="O5" s="1029"/>
      <c r="P5" s="21"/>
      <c r="Q5" s="21"/>
      <c r="R5" s="21"/>
      <c r="S5" s="21"/>
      <c r="T5" s="21"/>
      <c r="U5" s="21"/>
      <c r="V5" s="21"/>
      <c r="W5" s="212" t="s">
        <v>58</v>
      </c>
      <c r="X5" s="683" t="str">
        <f>IF('Overview (Verification)'!P10="","",'Overview (Verification)'!P10)</f>
        <v/>
      </c>
      <c r="Y5" s="562"/>
      <c r="Z5" s="452"/>
      <c r="AA5" s="562"/>
      <c r="AB5" s="562"/>
      <c r="AC5" s="562"/>
      <c r="AD5" s="562"/>
      <c r="AE5" s="562"/>
      <c r="AF5" s="594"/>
      <c r="AG5" s="562"/>
      <c r="AH5" s="594"/>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x14ac:dyDescent="0.2">
      <c r="H6" s="805"/>
      <c r="I6" s="788" t="s">
        <v>2157</v>
      </c>
      <c r="J6" s="789"/>
      <c r="K6" s="790"/>
      <c r="L6" s="784" t="s">
        <v>2805</v>
      </c>
      <c r="M6" s="871"/>
      <c r="N6" s="784"/>
      <c r="O6" s="23"/>
      <c r="P6" s="784" t="s">
        <v>2161</v>
      </c>
      <c r="Q6" s="784" t="s">
        <v>2162</v>
      </c>
      <c r="R6" s="784" t="s">
        <v>2163</v>
      </c>
      <c r="S6" s="784" t="s">
        <v>2164</v>
      </c>
      <c r="T6" s="784" t="s">
        <v>2165</v>
      </c>
      <c r="U6" s="784" t="s">
        <v>2166</v>
      </c>
      <c r="V6" s="784"/>
      <c r="W6" s="784"/>
      <c r="X6" s="770" t="s">
        <v>2168</v>
      </c>
      <c r="Y6" s="562"/>
      <c r="Z6" s="562"/>
      <c r="AA6" s="562"/>
      <c r="AB6" s="562"/>
      <c r="AC6" s="588" t="s">
        <v>2169</v>
      </c>
      <c r="AD6" s="588" t="s">
        <v>2165</v>
      </c>
      <c r="AE6" s="588" t="s">
        <v>2170</v>
      </c>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x14ac:dyDescent="0.2">
      <c r="H7" s="805"/>
      <c r="I7" s="788"/>
      <c r="J7" s="789"/>
      <c r="K7" s="790"/>
      <c r="L7" s="785"/>
      <c r="M7" s="872"/>
      <c r="N7" s="785"/>
      <c r="O7" s="23"/>
      <c r="P7" s="785"/>
      <c r="Q7" s="785"/>
      <c r="R7" s="785"/>
      <c r="S7" s="785"/>
      <c r="T7" s="785"/>
      <c r="U7" s="785"/>
      <c r="V7" s="785"/>
      <c r="W7" s="785"/>
      <c r="X7" s="771"/>
      <c r="Y7" s="562"/>
      <c r="Z7" s="562"/>
      <c r="AA7" s="562"/>
      <c r="AB7" s="562"/>
      <c r="AC7" s="588" t="s">
        <v>2169</v>
      </c>
      <c r="AD7" s="588" t="s">
        <v>2165</v>
      </c>
      <c r="AE7" s="588" t="s">
        <v>2170</v>
      </c>
      <c r="AF7" s="594" t="s">
        <v>3750</v>
      </c>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hidden="1" x14ac:dyDescent="0.2">
      <c r="I8" s="604"/>
      <c r="J8" s="604"/>
      <c r="K8" s="604"/>
      <c r="L8" s="602"/>
      <c r="M8" s="643"/>
      <c r="N8" s="602"/>
      <c r="O8" s="23"/>
      <c r="P8" s="602"/>
      <c r="Q8" s="602"/>
      <c r="R8" s="602"/>
      <c r="S8" s="602"/>
      <c r="T8" s="602"/>
      <c r="U8" s="602"/>
      <c r="V8" s="602"/>
      <c r="W8" s="602"/>
      <c r="X8" s="604"/>
      <c r="Y8" s="562"/>
      <c r="Z8" s="562"/>
      <c r="AA8" s="562"/>
      <c r="AB8" s="562"/>
      <c r="AC8" s="588"/>
      <c r="AD8" s="588"/>
      <c r="AE8" s="588"/>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ht="15.75" customHeight="1" x14ac:dyDescent="0.2">
      <c r="A9" s="562"/>
      <c r="B9" s="561" t="s">
        <v>48</v>
      </c>
      <c r="C9" s="561" t="s">
        <v>48</v>
      </c>
      <c r="D9" s="561" t="s">
        <v>48</v>
      </c>
      <c r="E9" s="561" t="s">
        <v>48</v>
      </c>
      <c r="F9" s="561" t="s">
        <v>48</v>
      </c>
      <c r="G9" s="561"/>
      <c r="H9" s="562"/>
      <c r="I9" s="99" t="s">
        <v>2910</v>
      </c>
      <c r="J9" s="598"/>
      <c r="K9" s="598"/>
      <c r="L9" s="791" t="s">
        <v>2915</v>
      </c>
      <c r="M9" s="64"/>
      <c r="N9" s="64"/>
      <c r="O9" s="64"/>
      <c r="P9" s="309" t="s">
        <v>48</v>
      </c>
      <c r="Q9" s="309" t="s">
        <v>48</v>
      </c>
      <c r="R9" s="309" t="s">
        <v>48</v>
      </c>
      <c r="S9" s="309" t="s">
        <v>48</v>
      </c>
      <c r="T9" s="309" t="s">
        <v>48</v>
      </c>
      <c r="U9" s="309" t="s">
        <v>48</v>
      </c>
      <c r="V9" s="309" t="s">
        <v>48</v>
      </c>
      <c r="W9" s="64"/>
      <c r="X9" s="64"/>
      <c r="Y9" s="561" t="s">
        <v>48</v>
      </c>
      <c r="Z9" s="561" t="s">
        <v>48</v>
      </c>
      <c r="AA9" s="561" t="s">
        <v>48</v>
      </c>
      <c r="AB9" s="561" t="s">
        <v>48</v>
      </c>
      <c r="AC9" s="561" t="s">
        <v>48</v>
      </c>
      <c r="AD9" s="561" t="s">
        <v>48</v>
      </c>
      <c r="AE9" s="561" t="s">
        <v>48</v>
      </c>
      <c r="AF9" s="561" t="s">
        <v>48</v>
      </c>
      <c r="AG9" s="561" t="s">
        <v>48</v>
      </c>
      <c r="AH9" s="561" t="s">
        <v>48</v>
      </c>
      <c r="AI9" s="561" t="s">
        <v>48</v>
      </c>
      <c r="AJ9" s="561" t="s">
        <v>48</v>
      </c>
      <c r="AK9" s="561" t="s">
        <v>48</v>
      </c>
      <c r="AL9" s="561" t="s">
        <v>48</v>
      </c>
      <c r="AM9" s="561" t="s">
        <v>48</v>
      </c>
      <c r="AN9" s="561" t="s">
        <v>48</v>
      </c>
      <c r="AO9" s="561" t="s">
        <v>48</v>
      </c>
      <c r="AP9" s="561" t="s">
        <v>48</v>
      </c>
      <c r="AQ9" s="561" t="s">
        <v>48</v>
      </c>
      <c r="AR9" s="561" t="s">
        <v>48</v>
      </c>
      <c r="AS9" s="561" t="s">
        <v>48</v>
      </c>
      <c r="AT9" s="561" t="s">
        <v>48</v>
      </c>
      <c r="AU9" s="561" t="s">
        <v>48</v>
      </c>
      <c r="AV9" s="561" t="s">
        <v>48</v>
      </c>
      <c r="AW9" s="561" t="s">
        <v>48</v>
      </c>
      <c r="AX9" s="561" t="s">
        <v>48</v>
      </c>
      <c r="AY9" s="561" t="s">
        <v>48</v>
      </c>
      <c r="AZ9" s="561" t="s">
        <v>48</v>
      </c>
      <c r="BA9" s="561" t="s">
        <v>48</v>
      </c>
      <c r="BB9" s="561" t="s">
        <v>48</v>
      </c>
      <c r="BC9" s="561" t="s">
        <v>48</v>
      </c>
      <c r="BD9" s="561" t="s">
        <v>48</v>
      </c>
      <c r="BE9" s="561" t="s">
        <v>48</v>
      </c>
      <c r="BF9" s="561" t="s">
        <v>48</v>
      </c>
      <c r="BG9" s="561" t="s">
        <v>48</v>
      </c>
      <c r="BH9" s="561" t="s">
        <v>48</v>
      </c>
      <c r="BI9" s="561" t="s">
        <v>48</v>
      </c>
    </row>
    <row r="10" spans="1:61" x14ac:dyDescent="0.2">
      <c r="A10" s="562"/>
      <c r="B10" s="562"/>
      <c r="C10" s="562"/>
      <c r="D10" s="562"/>
      <c r="E10" s="562"/>
      <c r="F10" s="562"/>
      <c r="G10" s="562"/>
      <c r="H10" s="562"/>
      <c r="I10" s="99"/>
      <c r="J10" s="598"/>
      <c r="K10" s="598"/>
      <c r="L10" s="791"/>
      <c r="M10" s="64"/>
      <c r="N10" s="64"/>
      <c r="O10" s="64"/>
      <c r="P10" s="64"/>
      <c r="Q10" s="64"/>
      <c r="R10" s="64"/>
      <c r="S10" s="64"/>
      <c r="T10" s="64"/>
      <c r="U10" s="64"/>
      <c r="V10" s="64"/>
      <c r="W10" s="64"/>
      <c r="X10" s="64"/>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x14ac:dyDescent="0.2">
      <c r="A11" s="562"/>
      <c r="B11" s="562"/>
      <c r="C11" s="562"/>
      <c r="D11" s="562"/>
      <c r="E11" s="562"/>
      <c r="F11" s="562"/>
      <c r="G11" s="562"/>
      <c r="H11" s="562"/>
      <c r="I11" s="98"/>
      <c r="J11" s="598"/>
      <c r="K11" s="598"/>
      <c r="L11" s="275" t="s">
        <v>3777</v>
      </c>
      <c r="M11" s="64"/>
      <c r="N11" s="64"/>
      <c r="O11" s="64"/>
      <c r="P11" s="64"/>
      <c r="Q11" s="64"/>
      <c r="R11" s="64"/>
      <c r="S11" s="64"/>
      <c r="T11" s="64"/>
      <c r="U11" s="64"/>
      <c r="V11" s="64"/>
      <c r="W11" s="64"/>
      <c r="X11" s="64"/>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row>
    <row r="12" spans="1:61" ht="15" customHeight="1" x14ac:dyDescent="0.2">
      <c r="A12" s="562"/>
      <c r="B12" s="358" t="s">
        <v>2917</v>
      </c>
      <c r="C12" s="562"/>
      <c r="D12" s="562"/>
      <c r="E12" s="562"/>
      <c r="F12" s="562"/>
      <c r="G12" s="562"/>
      <c r="H12" s="562"/>
      <c r="I12" s="145" t="s">
        <v>2917</v>
      </c>
      <c r="J12" s="638"/>
      <c r="K12" s="638"/>
      <c r="L12" s="831" t="s">
        <v>2918</v>
      </c>
      <c r="M12" s="64"/>
      <c r="N12" s="64"/>
      <c r="O12" s="64"/>
      <c r="P12" s="64"/>
      <c r="Q12" s="64"/>
      <c r="R12" s="64"/>
      <c r="S12" s="64"/>
      <c r="T12" s="64"/>
      <c r="U12" s="64"/>
      <c r="V12" s="64"/>
      <c r="W12" s="64"/>
      <c r="X12" s="64"/>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row>
    <row r="13" spans="1:61" ht="15" customHeight="1" x14ac:dyDescent="0.2">
      <c r="A13" s="562"/>
      <c r="B13" s="358" t="s">
        <v>2917</v>
      </c>
      <c r="C13" s="562"/>
      <c r="D13" s="562"/>
      <c r="E13" s="562"/>
      <c r="F13" s="562"/>
      <c r="G13" s="562"/>
      <c r="H13" s="562"/>
      <c r="I13" s="99"/>
      <c r="J13" s="598"/>
      <c r="K13" s="598"/>
      <c r="L13" s="791"/>
      <c r="M13" s="64"/>
      <c r="N13" s="64"/>
      <c r="O13" s="64"/>
      <c r="P13" s="64"/>
      <c r="Q13" s="64"/>
      <c r="R13" s="64"/>
      <c r="S13" s="64"/>
      <c r="T13" s="64"/>
      <c r="U13" s="64"/>
      <c r="V13" s="64"/>
      <c r="W13" s="64"/>
      <c r="X13" s="64"/>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row>
    <row r="14" spans="1:61" ht="15" customHeight="1" x14ac:dyDescent="0.2">
      <c r="A14" s="562"/>
      <c r="B14" s="358" t="s">
        <v>2917</v>
      </c>
      <c r="C14" s="562"/>
      <c r="D14" s="562"/>
      <c r="E14" s="562"/>
      <c r="F14" s="562"/>
      <c r="G14" s="562"/>
      <c r="H14" s="562"/>
      <c r="I14" s="99"/>
      <c r="J14" s="598"/>
      <c r="K14" s="598"/>
      <c r="L14" s="791"/>
      <c r="M14" s="64"/>
      <c r="N14" s="64"/>
      <c r="O14" s="64"/>
      <c r="P14" s="64"/>
      <c r="Q14" s="64"/>
      <c r="R14" s="64"/>
      <c r="S14" s="64"/>
      <c r="T14" s="64"/>
      <c r="U14" s="64"/>
      <c r="V14" s="64"/>
      <c r="W14" s="64"/>
      <c r="X14" s="64"/>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row>
    <row r="15" spans="1:61" ht="15" customHeight="1" x14ac:dyDescent="0.2">
      <c r="A15" s="562"/>
      <c r="B15" s="358" t="s">
        <v>2917</v>
      </c>
      <c r="C15" s="562"/>
      <c r="D15" s="562"/>
      <c r="E15" s="562"/>
      <c r="F15" s="562"/>
      <c r="G15" s="562"/>
      <c r="H15" s="562"/>
      <c r="I15" s="99"/>
      <c r="J15" s="598"/>
      <c r="K15" s="598"/>
      <c r="L15" s="791"/>
      <c r="M15" s="64"/>
      <c r="N15" s="64"/>
      <c r="O15" s="64"/>
      <c r="P15" s="64"/>
      <c r="Q15" s="64"/>
      <c r="R15" s="64"/>
      <c r="S15" s="64"/>
      <c r="T15" s="64"/>
      <c r="U15" s="64"/>
      <c r="V15" s="64"/>
      <c r="W15" s="64"/>
      <c r="X15" s="64"/>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row>
    <row r="16" spans="1:61" x14ac:dyDescent="0.2">
      <c r="A16" s="562"/>
      <c r="B16" s="358" t="s">
        <v>2917</v>
      </c>
      <c r="C16" s="562"/>
      <c r="D16" s="562"/>
      <c r="E16" s="562"/>
      <c r="F16" s="562"/>
      <c r="G16" s="562"/>
      <c r="H16" s="562"/>
      <c r="I16" s="64"/>
      <c r="J16" s="64"/>
      <c r="K16" s="64"/>
      <c r="L16" s="791"/>
      <c r="M16" s="64"/>
      <c r="N16" s="64"/>
      <c r="O16" s="64"/>
      <c r="P16" s="64"/>
      <c r="Q16" s="64"/>
      <c r="R16" s="64"/>
      <c r="S16" s="64"/>
      <c r="T16" s="64"/>
      <c r="U16" s="64"/>
      <c r="V16" s="64"/>
      <c r="W16" s="64"/>
      <c r="X16" s="64"/>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row>
    <row r="17" spans="1:45" ht="15" customHeight="1" x14ac:dyDescent="0.2">
      <c r="A17" s="562"/>
      <c r="B17" s="358" t="s">
        <v>2917</v>
      </c>
      <c r="C17" s="562"/>
      <c r="D17" s="562"/>
      <c r="E17" s="562"/>
      <c r="F17" s="562"/>
      <c r="G17" s="562"/>
      <c r="H17" s="562"/>
      <c r="I17" s="64"/>
      <c r="J17" s="64"/>
      <c r="K17" s="64"/>
      <c r="L17" s="870" t="s">
        <v>2919</v>
      </c>
      <c r="M17" s="64"/>
      <c r="N17" s="64"/>
      <c r="O17" s="64"/>
      <c r="P17" s="64"/>
      <c r="Q17" s="64"/>
      <c r="R17" s="64"/>
      <c r="S17" s="64"/>
      <c r="T17" s="64"/>
      <c r="U17" s="64"/>
      <c r="V17" s="64"/>
      <c r="W17" s="64"/>
      <c r="X17" s="64"/>
      <c r="Y17" s="562"/>
      <c r="Z17" s="562"/>
      <c r="AA17" s="562"/>
      <c r="AB17" s="562"/>
      <c r="AC17" s="562"/>
      <c r="AD17" s="562"/>
      <c r="AE17" s="562"/>
      <c r="AF17" s="562"/>
      <c r="AG17" s="562"/>
      <c r="AH17" s="562"/>
      <c r="AI17" s="562"/>
      <c r="AJ17" s="562"/>
      <c r="AK17" s="562"/>
      <c r="AL17" s="562"/>
      <c r="AM17" s="562"/>
      <c r="AN17" s="562"/>
      <c r="AO17" s="562"/>
      <c r="AP17" s="562"/>
      <c r="AQ17" s="562"/>
      <c r="AR17" s="562"/>
      <c r="AS17" s="562"/>
    </row>
    <row r="18" spans="1:45" x14ac:dyDescent="0.2">
      <c r="A18" s="562"/>
      <c r="B18" s="358" t="s">
        <v>2917</v>
      </c>
      <c r="C18" s="562"/>
      <c r="D18" s="562"/>
      <c r="E18" s="562"/>
      <c r="F18" s="562"/>
      <c r="G18" s="562"/>
      <c r="H18" s="562"/>
      <c r="I18" s="64"/>
      <c r="J18" s="64"/>
      <c r="K18" s="64"/>
      <c r="L18" s="870"/>
      <c r="M18" s="64"/>
      <c r="N18" s="64"/>
      <c r="O18" s="64"/>
      <c r="P18" s="64"/>
      <c r="Q18" s="64"/>
      <c r="R18" s="64"/>
      <c r="S18" s="64"/>
      <c r="T18" s="64"/>
      <c r="U18" s="64"/>
      <c r="V18" s="64"/>
      <c r="W18" s="64"/>
      <c r="X18" s="64"/>
      <c r="Y18" s="562"/>
      <c r="Z18" s="562"/>
      <c r="AA18" s="562"/>
      <c r="AB18" s="562"/>
      <c r="AC18" s="562"/>
      <c r="AD18" s="562"/>
      <c r="AE18" s="562"/>
      <c r="AF18" s="562"/>
      <c r="AG18" s="562"/>
      <c r="AH18" s="562"/>
      <c r="AI18" s="562"/>
      <c r="AJ18" s="562"/>
      <c r="AK18" s="562"/>
      <c r="AL18" s="562"/>
      <c r="AM18" s="562"/>
      <c r="AN18" s="562"/>
      <c r="AO18" s="562"/>
      <c r="AP18" s="562"/>
      <c r="AQ18" s="562"/>
      <c r="AR18" s="562"/>
      <c r="AS18" s="562"/>
    </row>
    <row r="19" spans="1:45" ht="15" customHeight="1" x14ac:dyDescent="0.2">
      <c r="A19" s="562"/>
      <c r="B19" s="358" t="s">
        <v>2917</v>
      </c>
      <c r="C19" s="562"/>
      <c r="D19" s="562"/>
      <c r="E19" s="562"/>
      <c r="F19" s="562"/>
      <c r="G19" s="562"/>
      <c r="H19" s="562"/>
      <c r="I19" s="64"/>
      <c r="J19" s="64"/>
      <c r="K19" s="64"/>
      <c r="L19" s="791" t="s">
        <v>2920</v>
      </c>
      <c r="M19" s="64"/>
      <c r="N19" s="64"/>
      <c r="O19" s="64"/>
      <c r="P19" s="64"/>
      <c r="Q19" s="64"/>
      <c r="R19" s="64"/>
      <c r="S19" s="64"/>
      <c r="T19" s="64"/>
      <c r="U19" s="64"/>
      <c r="V19" s="64"/>
      <c r="W19" s="64"/>
      <c r="X19" s="64"/>
      <c r="Y19" s="562"/>
      <c r="Z19" s="562"/>
      <c r="AA19" s="562"/>
      <c r="AB19" s="562"/>
      <c r="AC19" s="562"/>
      <c r="AD19" s="562"/>
      <c r="AE19" s="562"/>
      <c r="AF19" s="562"/>
      <c r="AG19" s="562"/>
      <c r="AH19" s="562"/>
      <c r="AI19" s="562"/>
      <c r="AJ19" s="562"/>
      <c r="AK19" s="562"/>
      <c r="AL19" s="562"/>
      <c r="AM19" s="562"/>
      <c r="AN19" s="562"/>
      <c r="AO19" s="562"/>
      <c r="AP19" s="562"/>
      <c r="AQ19" s="562"/>
      <c r="AR19" s="562"/>
      <c r="AS19" s="562"/>
    </row>
    <row r="20" spans="1:45" x14ac:dyDescent="0.2">
      <c r="A20" s="562"/>
      <c r="B20" s="358" t="s">
        <v>2917</v>
      </c>
      <c r="C20" s="562"/>
      <c r="D20" s="562"/>
      <c r="E20" s="562"/>
      <c r="F20" s="562"/>
      <c r="G20" s="562"/>
      <c r="H20" s="562"/>
      <c r="I20" s="64"/>
      <c r="J20" s="64"/>
      <c r="K20" s="64"/>
      <c r="L20" s="791"/>
      <c r="M20" s="64"/>
      <c r="N20" s="64"/>
      <c r="O20" s="64"/>
      <c r="P20" s="64"/>
      <c r="Q20" s="64"/>
      <c r="R20" s="64"/>
      <c r="S20" s="64"/>
      <c r="T20" s="64"/>
      <c r="U20" s="64"/>
      <c r="V20" s="64"/>
      <c r="W20" s="64"/>
      <c r="X20" s="64"/>
      <c r="Y20" s="562"/>
      <c r="Z20" s="562"/>
      <c r="AA20" s="562"/>
      <c r="AB20" s="562"/>
      <c r="AC20" s="562"/>
      <c r="AD20" s="562"/>
      <c r="AE20" s="562"/>
      <c r="AF20" s="562"/>
      <c r="AG20" s="562"/>
      <c r="AH20" s="562"/>
      <c r="AI20" s="562"/>
      <c r="AJ20" s="562"/>
      <c r="AK20" s="562"/>
      <c r="AL20" s="562"/>
      <c r="AM20" s="562"/>
      <c r="AN20" s="562"/>
      <c r="AO20" s="562"/>
      <c r="AP20" s="562"/>
      <c r="AQ20" s="562"/>
      <c r="AR20" s="562"/>
      <c r="AS20" s="562"/>
    </row>
    <row r="21" spans="1:45" x14ac:dyDescent="0.2">
      <c r="A21" s="562"/>
      <c r="B21" s="358" t="s">
        <v>2917</v>
      </c>
      <c r="C21" s="562"/>
      <c r="D21" s="562"/>
      <c r="E21" s="562"/>
      <c r="F21" s="562"/>
      <c r="G21" s="562"/>
      <c r="H21" s="562"/>
      <c r="I21" s="64"/>
      <c r="J21" s="64"/>
      <c r="K21" s="64"/>
      <c r="L21" s="791"/>
      <c r="M21" s="64"/>
      <c r="N21" s="64"/>
      <c r="O21" s="64"/>
      <c r="P21" s="64"/>
      <c r="Q21" s="64"/>
      <c r="R21" s="64"/>
      <c r="S21" s="64"/>
      <c r="T21" s="64"/>
      <c r="U21" s="64"/>
      <c r="V21" s="64"/>
      <c r="W21" s="64"/>
      <c r="X21" s="64"/>
      <c r="Y21" s="562"/>
      <c r="Z21" s="562"/>
      <c r="AA21" s="562"/>
      <c r="AB21" s="562"/>
      <c r="AC21" s="562"/>
      <c r="AD21" s="562"/>
      <c r="AE21" s="562"/>
      <c r="AF21" s="562"/>
      <c r="AG21" s="562"/>
      <c r="AH21" s="562"/>
      <c r="AI21" s="562"/>
      <c r="AJ21" s="562"/>
      <c r="AK21" s="562"/>
      <c r="AL21" s="562"/>
      <c r="AM21" s="562"/>
      <c r="AN21" s="562"/>
      <c r="AO21" s="562"/>
      <c r="AP21" s="562"/>
      <c r="AQ21" s="562"/>
      <c r="AR21" s="562"/>
      <c r="AS21" s="562"/>
    </row>
    <row r="22" spans="1:45" x14ac:dyDescent="0.2">
      <c r="A22" s="562"/>
      <c r="B22" s="358" t="s">
        <v>2917</v>
      </c>
      <c r="C22" s="562"/>
      <c r="D22" s="562"/>
      <c r="E22" s="562"/>
      <c r="F22" s="562"/>
      <c r="G22" s="562"/>
      <c r="H22" s="562"/>
      <c r="I22" s="64"/>
      <c r="J22" s="64"/>
      <c r="K22" s="64"/>
      <c r="L22" s="791"/>
      <c r="M22" s="64"/>
      <c r="N22" s="64"/>
      <c r="O22" s="64"/>
      <c r="P22" s="64"/>
      <c r="Q22" s="64"/>
      <c r="R22" s="64"/>
      <c r="S22" s="64"/>
      <c r="T22" s="64"/>
      <c r="U22" s="64"/>
      <c r="V22" s="64"/>
      <c r="W22" s="64"/>
      <c r="X22" s="64"/>
      <c r="Y22" s="562"/>
      <c r="Z22" s="562"/>
      <c r="AA22" s="562"/>
      <c r="AB22" s="562"/>
      <c r="AC22" s="562"/>
      <c r="AD22" s="562"/>
      <c r="AE22" s="562"/>
      <c r="AF22" s="562"/>
      <c r="AG22" s="562"/>
      <c r="AH22" s="562"/>
      <c r="AI22" s="562"/>
      <c r="AJ22" s="562"/>
      <c r="AK22" s="562"/>
      <c r="AL22" s="562"/>
      <c r="AM22" s="562"/>
      <c r="AN22" s="562"/>
      <c r="AO22" s="562"/>
      <c r="AP22" s="562"/>
      <c r="AQ22" s="562"/>
      <c r="AR22" s="562"/>
      <c r="AS22" s="562"/>
    </row>
    <row r="23" spans="1:45" x14ac:dyDescent="0.2">
      <c r="A23" s="562"/>
      <c r="B23" s="358" t="s">
        <v>2917</v>
      </c>
      <c r="C23" s="562"/>
      <c r="D23" s="562"/>
      <c r="E23" s="562"/>
      <c r="F23" s="562"/>
      <c r="G23" s="562"/>
      <c r="H23" s="562"/>
      <c r="I23" s="64"/>
      <c r="J23" s="64"/>
      <c r="K23" s="64"/>
      <c r="L23" s="791"/>
      <c r="M23" s="64"/>
      <c r="N23" s="64"/>
      <c r="O23" s="64"/>
      <c r="P23" s="64"/>
      <c r="Q23" s="64"/>
      <c r="R23" s="64"/>
      <c r="S23" s="64"/>
      <c r="T23" s="64"/>
      <c r="U23" s="64"/>
      <c r="V23" s="64"/>
      <c r="W23" s="64"/>
      <c r="X23" s="64"/>
      <c r="Y23" s="562"/>
      <c r="Z23" s="562"/>
      <c r="AA23" s="562"/>
      <c r="AB23" s="562"/>
      <c r="AC23" s="562"/>
      <c r="AD23" s="562"/>
      <c r="AE23" s="562"/>
      <c r="AF23" s="562"/>
      <c r="AG23" s="562"/>
      <c r="AH23" s="562"/>
      <c r="AI23" s="562"/>
      <c r="AJ23" s="562"/>
      <c r="AK23" s="562"/>
      <c r="AL23" s="562"/>
      <c r="AM23" s="562"/>
      <c r="AN23" s="562"/>
      <c r="AO23" s="562"/>
      <c r="AP23" s="562"/>
      <c r="AQ23" s="562"/>
      <c r="AR23" s="562"/>
      <c r="AS23" s="562"/>
    </row>
    <row r="24" spans="1:45" x14ac:dyDescent="0.2">
      <c r="A24" s="562"/>
      <c r="B24" s="358" t="s">
        <v>2917</v>
      </c>
      <c r="C24" s="562"/>
      <c r="D24" s="562"/>
      <c r="E24" s="562"/>
      <c r="F24" s="562"/>
      <c r="G24" s="562"/>
      <c r="H24" s="562"/>
      <c r="I24" s="64"/>
      <c r="J24" s="64"/>
      <c r="K24" s="64"/>
      <c r="L24" s="791"/>
      <c r="M24" s="64"/>
      <c r="N24" s="64"/>
      <c r="O24" s="64"/>
      <c r="P24" s="562" t="b">
        <v>1</v>
      </c>
      <c r="Q24" s="562" t="b">
        <v>0</v>
      </c>
      <c r="R24" s="562" t="b">
        <v>1</v>
      </c>
      <c r="S24" s="562" t="b">
        <v>1</v>
      </c>
      <c r="T24" s="562" t="b">
        <v>0</v>
      </c>
      <c r="U24" s="562" t="str">
        <f>SUBSTITUTE(SUBSTITUTE(SUBSTITUTE("dd"&amp;B24&amp;C24&amp;D24&amp;E24&amp;F24,".","_"),"(","_"),")","")</f>
        <v>dd305_3_5_1</v>
      </c>
      <c r="V24" s="64"/>
      <c r="W24" s="6"/>
      <c r="X24" s="64"/>
      <c r="Y24" s="562"/>
      <c r="Z24" s="562"/>
      <c r="AA24" s="562"/>
      <c r="AB24" s="562"/>
      <c r="AC24" s="492" t="b">
        <f>OR(AD24:AE24)</f>
        <v>1</v>
      </c>
      <c r="AD24" s="492" t="b">
        <f>T24</f>
        <v>0</v>
      </c>
      <c r="AE24" s="492" t="b">
        <f>AND(R24,NOT(LEN(W24)&gt;0))</f>
        <v>1</v>
      </c>
      <c r="AF24" s="492" t="b">
        <f>AND(AE24,NOT(Q24))</f>
        <v>1</v>
      </c>
      <c r="AG24" s="562"/>
      <c r="AH24" s="562"/>
      <c r="AI24" s="562"/>
      <c r="AJ24" s="562"/>
      <c r="AK24" s="562"/>
      <c r="AL24" s="562"/>
      <c r="AM24" s="562"/>
      <c r="AN24" s="562"/>
      <c r="AO24" s="562"/>
      <c r="AP24" s="493" t="str">
        <f>SUBSTITUTE(SUBSTITUTE(SUBSTITUTE("vch"&amp;$B24&amp;$C24&amp;$D24&amp;$E24&amp;$F24,".","_"),"(","_"),")","")</f>
        <v>vch305_3_5_1</v>
      </c>
      <c r="AQ24" s="508">
        <f>W24</f>
        <v>0</v>
      </c>
      <c r="AR24" s="562"/>
      <c r="AS24" s="562"/>
    </row>
    <row r="25" spans="1:45" x14ac:dyDescent="0.2">
      <c r="A25" s="562"/>
      <c r="B25" s="358" t="s">
        <v>2917</v>
      </c>
      <c r="C25" s="562"/>
      <c r="D25" s="562"/>
      <c r="E25" s="562"/>
      <c r="F25" s="562"/>
      <c r="G25" s="562"/>
      <c r="H25" s="562"/>
      <c r="I25" s="64"/>
      <c r="J25" s="64"/>
      <c r="K25" s="64"/>
      <c r="L25" s="64"/>
      <c r="M25" s="64"/>
      <c r="N25" s="64"/>
      <c r="O25" s="64"/>
      <c r="P25" s="64"/>
      <c r="Q25" s="64"/>
      <c r="R25" s="64"/>
      <c r="S25" s="64"/>
      <c r="T25" s="64"/>
      <c r="U25" s="64"/>
      <c r="V25" s="64"/>
      <c r="W25" s="64"/>
      <c r="X25" s="64"/>
      <c r="Y25" s="562"/>
      <c r="Z25" s="562"/>
      <c r="AA25" s="562"/>
      <c r="AB25" s="562"/>
      <c r="AC25" s="562"/>
      <c r="AD25" s="562"/>
      <c r="AE25" s="562"/>
      <c r="AF25" s="562"/>
      <c r="AG25" s="562"/>
      <c r="AH25" s="562"/>
      <c r="AI25" s="562"/>
      <c r="AJ25" s="562"/>
      <c r="AK25" s="562"/>
      <c r="AL25" s="562"/>
      <c r="AM25" s="562"/>
      <c r="AN25" s="562"/>
      <c r="AO25" s="562"/>
      <c r="AP25" s="562"/>
      <c r="AQ25" s="562"/>
      <c r="AR25" s="562"/>
      <c r="AS25" s="562"/>
    </row>
    <row r="26" spans="1:45" x14ac:dyDescent="0.2">
      <c r="A26" s="562"/>
      <c r="B26" s="358" t="s">
        <v>2917</v>
      </c>
      <c r="C26" s="562"/>
      <c r="D26" s="14" t="s">
        <v>2181</v>
      </c>
      <c r="E26" s="14" t="s">
        <v>2196</v>
      </c>
      <c r="F26" s="562"/>
      <c r="G26" s="562"/>
      <c r="H26" s="562"/>
      <c r="I26" s="562"/>
      <c r="J26" s="562"/>
      <c r="K26" s="562"/>
      <c r="L26" s="594" t="s">
        <v>2921</v>
      </c>
      <c r="M26" s="594"/>
      <c r="N26" s="562"/>
      <c r="O26" s="562"/>
      <c r="P26" s="562" t="b">
        <v>1</v>
      </c>
      <c r="Q26" s="562" t="b">
        <v>0</v>
      </c>
      <c r="R26" s="562" t="b">
        <v>1</v>
      </c>
      <c r="S26" s="562" t="b">
        <v>1</v>
      </c>
      <c r="T26" s="562" t="b">
        <v>0</v>
      </c>
      <c r="U26" s="562"/>
      <c r="V26" s="562"/>
      <c r="W26" s="6"/>
      <c r="X26" s="563"/>
      <c r="Y26" s="562"/>
      <c r="Z26" s="562"/>
      <c r="AA26" s="562"/>
      <c r="AB26" s="562"/>
      <c r="AC26" s="492" t="b">
        <f>OR(AD26:AE26)</f>
        <v>1</v>
      </c>
      <c r="AD26" s="492" t="b">
        <f>T26</f>
        <v>0</v>
      </c>
      <c r="AE26" s="492" t="b">
        <f>AND(R26,NOT(W26))</f>
        <v>1</v>
      </c>
      <c r="AF26" s="492" t="b">
        <f>AND(AE26,NOT(Q26))</f>
        <v>1</v>
      </c>
      <c r="AG26" s="562"/>
      <c r="AH26" s="562"/>
      <c r="AI26" s="562"/>
      <c r="AJ26" s="562"/>
      <c r="AK26" s="562"/>
      <c r="AL26" s="562"/>
      <c r="AM26" s="562"/>
      <c r="AN26" s="217"/>
      <c r="AO26" s="562"/>
      <c r="AP26" s="493" t="str">
        <f>SUBSTITUTE(SUBSTITUTE(SUBSTITUTE("vch"&amp;$B26&amp;$C26&amp;$D26&amp;$E26&amp;$F26,".","_"),"(","_"),")","")</f>
        <v>vch305_3_5_1_1_a</v>
      </c>
      <c r="AQ26" s="508">
        <f>W26</f>
        <v>0</v>
      </c>
      <c r="AR26" s="493" t="str">
        <f>SUBSTITUTE(SUBSTITUTE(SUBSTITUTE("vnt"&amp;$B26&amp;$C26&amp;$D26&amp;$E26&amp;$F26,".","_"),"(","_"),")","")</f>
        <v>vnt305_3_5_1_1_a</v>
      </c>
      <c r="AS26" s="493">
        <f>X26</f>
        <v>0</v>
      </c>
    </row>
    <row r="27" spans="1:45" x14ac:dyDescent="0.2">
      <c r="A27" s="562"/>
      <c r="B27" s="358" t="s">
        <v>2917</v>
      </c>
      <c r="C27" s="562"/>
      <c r="D27" s="14" t="s">
        <v>2181</v>
      </c>
      <c r="E27" s="14"/>
      <c r="F27" s="562"/>
      <c r="G27" s="562"/>
      <c r="H27" s="562"/>
      <c r="I27" s="562"/>
      <c r="J27" s="562"/>
      <c r="K27" s="562"/>
      <c r="L27" s="594"/>
      <c r="M27" s="594"/>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row>
    <row r="28" spans="1:45" x14ac:dyDescent="0.2">
      <c r="A28" s="562"/>
      <c r="B28" s="358" t="s">
        <v>2917</v>
      </c>
      <c r="C28" s="562"/>
      <c r="D28" s="14" t="s">
        <v>2181</v>
      </c>
      <c r="E28" s="14" t="s">
        <v>2198</v>
      </c>
      <c r="F28" s="562"/>
      <c r="G28" s="562"/>
      <c r="H28" s="562"/>
      <c r="I28" s="562"/>
      <c r="J28" s="562"/>
      <c r="K28" s="562"/>
      <c r="L28" s="592" t="s">
        <v>2922</v>
      </c>
      <c r="M28" s="594"/>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row>
    <row r="29" spans="1:45" x14ac:dyDescent="0.2">
      <c r="A29" s="562"/>
      <c r="B29" s="358" t="s">
        <v>2917</v>
      </c>
      <c r="C29" s="562"/>
      <c r="D29" s="14" t="s">
        <v>2181</v>
      </c>
      <c r="E29" s="19" t="s">
        <v>2200</v>
      </c>
      <c r="F29" s="562"/>
      <c r="G29" s="562"/>
      <c r="H29" s="562"/>
      <c r="I29" s="562"/>
      <c r="J29" s="562"/>
      <c r="K29" s="562"/>
      <c r="L29" s="594"/>
      <c r="M29" s="594" t="str">
        <f ca="1">IF(W24=INDEX(INDIRECT(U24),1),"Heating Energy","Cost of Heating Energy")</f>
        <v>Cost of Heating Energy</v>
      </c>
      <c r="N29" s="562"/>
      <c r="O29" s="562"/>
      <c r="P29" s="562" t="b">
        <v>1</v>
      </c>
      <c r="Q29" s="562" t="b">
        <v>0</v>
      </c>
      <c r="R29" s="562" t="b">
        <v>1</v>
      </c>
      <c r="S29" s="562" t="b">
        <v>1</v>
      </c>
      <c r="T29" s="562" t="b">
        <v>0</v>
      </c>
      <c r="U29" s="562"/>
      <c r="V29" s="562"/>
      <c r="W29" s="6"/>
      <c r="X29" s="563"/>
      <c r="Y29" s="562"/>
      <c r="Z29" s="562"/>
      <c r="AA29" s="562"/>
      <c r="AB29" s="562"/>
      <c r="AC29" s="492" t="b">
        <f>OR(AD29:AE29)</f>
        <v>1</v>
      </c>
      <c r="AD29" s="492" t="b">
        <f>T29</f>
        <v>0</v>
      </c>
      <c r="AE29" s="492" t="b">
        <f>AND(R29,NOT(W29))</f>
        <v>1</v>
      </c>
      <c r="AF29" s="492" t="b">
        <f t="shared" ref="AF29:AF33" si="0">AND(AE29,NOT(Q29))</f>
        <v>1</v>
      </c>
      <c r="AG29" s="562"/>
      <c r="AH29" s="562"/>
      <c r="AI29" s="562"/>
      <c r="AJ29" s="562"/>
      <c r="AK29" s="562"/>
      <c r="AL29" s="562"/>
      <c r="AM29" s="562"/>
      <c r="AN29" s="217"/>
      <c r="AO29" s="562"/>
      <c r="AP29" s="493" t="str">
        <f t="shared" ref="AP29:AP33" si="1">SUBSTITUTE(SUBSTITUTE(SUBSTITUTE("vch"&amp;$B29&amp;$C29&amp;$D29&amp;$E29&amp;$F29,".","_"),"(","_"),")","")</f>
        <v>vch305_3_5_1_1_c</v>
      </c>
      <c r="AQ29" s="508">
        <f t="shared" ref="AQ29:AQ33" si="2">W29</f>
        <v>0</v>
      </c>
      <c r="AR29" s="493" t="str">
        <f t="shared" ref="AR29:AR33" si="3">SUBSTITUTE(SUBSTITUTE(SUBSTITUTE("vnt"&amp;$B29&amp;$C29&amp;$D29&amp;$E29&amp;$F29,".","_"),"(","_"),")","")</f>
        <v>vnt305_3_5_1_1_c</v>
      </c>
      <c r="AS29" s="493">
        <f t="shared" ref="AS29:AS33" si="4">X29</f>
        <v>0</v>
      </c>
    </row>
    <row r="30" spans="1:45" x14ac:dyDescent="0.2">
      <c r="A30" s="562"/>
      <c r="B30" s="358" t="s">
        <v>2917</v>
      </c>
      <c r="C30" s="562"/>
      <c r="D30" s="14" t="s">
        <v>2181</v>
      </c>
      <c r="E30" s="14" t="s">
        <v>2247</v>
      </c>
      <c r="F30" s="562"/>
      <c r="G30" s="562"/>
      <c r="H30" s="562"/>
      <c r="I30" s="562"/>
      <c r="J30" s="562"/>
      <c r="K30" s="562"/>
      <c r="L30" s="594"/>
      <c r="M30" s="594" t="str">
        <f ca="1">IF(W24=INDEX(INDIRECT(U24),1),"Cooling Energy","Cost of Cooling Energy")</f>
        <v>Cost of Cooling Energy</v>
      </c>
      <c r="N30" s="562"/>
      <c r="O30" s="562"/>
      <c r="P30" s="562" t="b">
        <v>1</v>
      </c>
      <c r="Q30" s="562" t="b">
        <v>0</v>
      </c>
      <c r="R30" s="562" t="b">
        <v>1</v>
      </c>
      <c r="S30" s="562" t="b">
        <v>1</v>
      </c>
      <c r="T30" s="562" t="b">
        <v>0</v>
      </c>
      <c r="U30" s="562"/>
      <c r="V30" s="562"/>
      <c r="W30" s="6"/>
      <c r="X30" s="563"/>
      <c r="Y30" s="562"/>
      <c r="Z30" s="562"/>
      <c r="AA30" s="562"/>
      <c r="AB30" s="562"/>
      <c r="AC30" s="492" t="b">
        <f>OR(AD30:AE30)</f>
        <v>1</v>
      </c>
      <c r="AD30" s="492" t="b">
        <f>T30</f>
        <v>0</v>
      </c>
      <c r="AE30" s="492" t="b">
        <f>AND(R30,NOT(W30))</f>
        <v>1</v>
      </c>
      <c r="AF30" s="492" t="b">
        <f t="shared" si="0"/>
        <v>1</v>
      </c>
      <c r="AG30" s="562"/>
      <c r="AH30" s="562"/>
      <c r="AI30" s="562"/>
      <c r="AJ30" s="562"/>
      <c r="AK30" s="562"/>
      <c r="AL30" s="562"/>
      <c r="AM30" s="562"/>
      <c r="AN30" s="217"/>
      <c r="AO30" s="562"/>
      <c r="AP30" s="493" t="str">
        <f t="shared" si="1"/>
        <v>vch305_3_5_1_1_d</v>
      </c>
      <c r="AQ30" s="508">
        <f t="shared" si="2"/>
        <v>0</v>
      </c>
      <c r="AR30" s="493" t="str">
        <f t="shared" si="3"/>
        <v>vnt305_3_5_1_1_d</v>
      </c>
      <c r="AS30" s="493">
        <f t="shared" si="4"/>
        <v>0</v>
      </c>
    </row>
    <row r="31" spans="1:45" x14ac:dyDescent="0.2">
      <c r="A31" s="562"/>
      <c r="B31" s="358" t="s">
        <v>2917</v>
      </c>
      <c r="C31" s="562"/>
      <c r="D31" s="14" t="s">
        <v>2181</v>
      </c>
      <c r="E31" s="14" t="s">
        <v>2444</v>
      </c>
      <c r="F31" s="562"/>
      <c r="G31" s="562"/>
      <c r="H31" s="562"/>
      <c r="I31" s="562"/>
      <c r="J31" s="562"/>
      <c r="K31" s="562"/>
      <c r="L31" s="594"/>
      <c r="M31" s="594" t="str">
        <f ca="1">IF(W24=INDEX(INDIRECT(U24),1),"Water Heating Energy","Cost of Water Heating Energy")</f>
        <v>Cost of Water Heating Energy</v>
      </c>
      <c r="N31" s="562"/>
      <c r="O31" s="562"/>
      <c r="P31" s="562" t="b">
        <v>1</v>
      </c>
      <c r="Q31" s="562" t="b">
        <v>0</v>
      </c>
      <c r="R31" s="562" t="b">
        <v>1</v>
      </c>
      <c r="S31" s="562" t="b">
        <v>1</v>
      </c>
      <c r="T31" s="562" t="b">
        <v>0</v>
      </c>
      <c r="U31" s="562"/>
      <c r="V31" s="562"/>
      <c r="W31" s="6"/>
      <c r="X31" s="563"/>
      <c r="Y31" s="562"/>
      <c r="Z31" s="562"/>
      <c r="AA31" s="562"/>
      <c r="AB31" s="562"/>
      <c r="AC31" s="492" t="b">
        <f>OR(AD31:AE31)</f>
        <v>1</v>
      </c>
      <c r="AD31" s="492" t="b">
        <f>T31</f>
        <v>0</v>
      </c>
      <c r="AE31" s="492" t="b">
        <f>AND(R31,NOT(W31))</f>
        <v>1</v>
      </c>
      <c r="AF31" s="492" t="b">
        <f t="shared" si="0"/>
        <v>1</v>
      </c>
      <c r="AG31" s="562"/>
      <c r="AH31" s="562"/>
      <c r="AI31" s="562"/>
      <c r="AJ31" s="562"/>
      <c r="AK31" s="562"/>
      <c r="AL31" s="562"/>
      <c r="AM31" s="562"/>
      <c r="AN31" s="217"/>
      <c r="AO31" s="562"/>
      <c r="AP31" s="493" t="str">
        <f t="shared" si="1"/>
        <v>vch305_3_5_1_1_e</v>
      </c>
      <c r="AQ31" s="508">
        <f t="shared" si="2"/>
        <v>0</v>
      </c>
      <c r="AR31" s="493" t="str">
        <f t="shared" si="3"/>
        <v>vnt305_3_5_1_1_e</v>
      </c>
      <c r="AS31" s="493">
        <f t="shared" si="4"/>
        <v>0</v>
      </c>
    </row>
    <row r="32" spans="1:45" x14ac:dyDescent="0.2">
      <c r="A32" s="562"/>
      <c r="B32" s="358" t="s">
        <v>2917</v>
      </c>
      <c r="C32" s="562"/>
      <c r="D32" s="14" t="s">
        <v>2181</v>
      </c>
      <c r="E32" s="19" t="s">
        <v>2540</v>
      </c>
      <c r="F32" s="562"/>
      <c r="G32" s="562"/>
      <c r="H32" s="562"/>
      <c r="I32" s="562"/>
      <c r="J32" s="562"/>
      <c r="K32" s="562"/>
      <c r="L32" s="594"/>
      <c r="M32" s="594" t="str">
        <f ca="1">IF(W24=INDEX(INDIRECT(U24),1),"Energy for Lighting","Cost of Energy for Lighting")</f>
        <v>Cost of Energy for Lighting</v>
      </c>
      <c r="N32" s="562"/>
      <c r="O32" s="562"/>
      <c r="P32" s="562" t="b">
        <v>1</v>
      </c>
      <c r="Q32" s="562" t="b">
        <v>0</v>
      </c>
      <c r="R32" s="562" t="b">
        <v>1</v>
      </c>
      <c r="S32" s="562" t="b">
        <v>1</v>
      </c>
      <c r="T32" s="562" t="b">
        <v>0</v>
      </c>
      <c r="U32" s="562"/>
      <c r="V32" s="562"/>
      <c r="W32" s="6"/>
      <c r="X32" s="563"/>
      <c r="Y32" s="562"/>
      <c r="Z32" s="562"/>
      <c r="AA32" s="562"/>
      <c r="AB32" s="562"/>
      <c r="AC32" s="492" t="b">
        <f>OR(AD32:AE32)</f>
        <v>1</v>
      </c>
      <c r="AD32" s="492" t="b">
        <f>T32</f>
        <v>0</v>
      </c>
      <c r="AE32" s="492" t="b">
        <f>AND(R32,NOT(W32))</f>
        <v>1</v>
      </c>
      <c r="AF32" s="492" t="b">
        <f t="shared" si="0"/>
        <v>1</v>
      </c>
      <c r="AG32" s="562"/>
      <c r="AH32" s="562"/>
      <c r="AI32" s="562"/>
      <c r="AJ32" s="562"/>
      <c r="AK32" s="562"/>
      <c r="AL32" s="562"/>
      <c r="AM32" s="562"/>
      <c r="AN32" s="217"/>
      <c r="AO32" s="562"/>
      <c r="AP32" s="493" t="str">
        <f t="shared" si="1"/>
        <v>vch305_3_5_1_1_f</v>
      </c>
      <c r="AQ32" s="508">
        <f t="shared" si="2"/>
        <v>0</v>
      </c>
      <c r="AR32" s="493" t="str">
        <f t="shared" si="3"/>
        <v>vnt305_3_5_1_1_f</v>
      </c>
      <c r="AS32" s="493">
        <f t="shared" si="4"/>
        <v>0</v>
      </c>
    </row>
    <row r="33" spans="1:45" x14ac:dyDescent="0.2">
      <c r="A33" s="562"/>
      <c r="B33" s="358" t="s">
        <v>2917</v>
      </c>
      <c r="C33" s="562"/>
      <c r="D33" s="14" t="s">
        <v>2181</v>
      </c>
      <c r="E33" s="14" t="s">
        <v>2542</v>
      </c>
      <c r="F33" s="562"/>
      <c r="G33" s="562"/>
      <c r="H33" s="562"/>
      <c r="I33" s="562"/>
      <c r="J33" s="562"/>
      <c r="K33" s="562"/>
      <c r="L33" s="594"/>
      <c r="M33" s="594" t="str">
        <f ca="1">IF(W24=INDEX(INDIRECT(U24),1),"Energy for Appliances","Cost of Energy for Appliances")</f>
        <v>Cost of Energy for Appliances</v>
      </c>
      <c r="N33" s="562"/>
      <c r="O33" s="562"/>
      <c r="P33" s="562" t="b">
        <v>1</v>
      </c>
      <c r="Q33" s="562" t="b">
        <v>0</v>
      </c>
      <c r="R33" s="562" t="b">
        <v>1</v>
      </c>
      <c r="S33" s="562" t="b">
        <v>1</v>
      </c>
      <c r="T33" s="562" t="b">
        <v>0</v>
      </c>
      <c r="U33" s="562"/>
      <c r="V33" s="562"/>
      <c r="W33" s="6"/>
      <c r="X33" s="563"/>
      <c r="Y33" s="562"/>
      <c r="Z33" s="562"/>
      <c r="AA33" s="562"/>
      <c r="AB33" s="562"/>
      <c r="AC33" s="492" t="b">
        <f>OR(AD33:AE33)</f>
        <v>1</v>
      </c>
      <c r="AD33" s="492" t="b">
        <f>T33</f>
        <v>0</v>
      </c>
      <c r="AE33" s="492" t="b">
        <f>AND(R33,NOT(W33))</f>
        <v>1</v>
      </c>
      <c r="AF33" s="492" t="b">
        <f t="shared" si="0"/>
        <v>1</v>
      </c>
      <c r="AG33" s="562"/>
      <c r="AH33" s="562"/>
      <c r="AI33" s="562"/>
      <c r="AJ33" s="562"/>
      <c r="AK33" s="562"/>
      <c r="AL33" s="562"/>
      <c r="AM33" s="562"/>
      <c r="AN33" s="217"/>
      <c r="AO33" s="562"/>
      <c r="AP33" s="493" t="str">
        <f t="shared" si="1"/>
        <v>vch305_3_5_1_1_g</v>
      </c>
      <c r="AQ33" s="508">
        <f t="shared" si="2"/>
        <v>0</v>
      </c>
      <c r="AR33" s="493" t="str">
        <f t="shared" si="3"/>
        <v>vnt305_3_5_1_1_g</v>
      </c>
      <c r="AS33" s="493">
        <f t="shared" si="4"/>
        <v>0</v>
      </c>
    </row>
    <row r="34" spans="1:45" x14ac:dyDescent="0.2">
      <c r="A34" s="562"/>
      <c r="B34" s="358" t="s">
        <v>2917</v>
      </c>
      <c r="C34" s="562"/>
      <c r="D34" s="14" t="s">
        <v>2181</v>
      </c>
      <c r="E34" s="14" t="s">
        <v>2544</v>
      </c>
      <c r="F34" s="562"/>
      <c r="G34" s="562"/>
      <c r="H34" s="562"/>
      <c r="I34" s="562"/>
      <c r="J34" s="562"/>
      <c r="K34" s="562"/>
      <c r="L34" s="594"/>
      <c r="M34" s="594" t="str">
        <f ca="1">IF(W24=INDEX(INDIRECT(U24),1),"Miscellaneous Energy Usage (other)","Miscellaneous Energy Cost (other)")</f>
        <v>Miscellaneous Energy Cost (other)</v>
      </c>
      <c r="N34" s="562"/>
      <c r="O34" s="562"/>
      <c r="P34" s="562" t="b">
        <v>1</v>
      </c>
      <c r="Q34" s="562" t="b">
        <v>0</v>
      </c>
      <c r="R34" s="562" t="b">
        <v>0</v>
      </c>
      <c r="S34" s="562" t="b">
        <v>1</v>
      </c>
      <c r="T34" s="562" t="b">
        <f t="shared" ref="T34" si="5">AND(LEN(W46)&gt;0,LEN(W34)=0)</f>
        <v>0</v>
      </c>
      <c r="U34" s="562"/>
      <c r="V34" s="562"/>
      <c r="W34" s="6"/>
      <c r="X34" s="563"/>
      <c r="Y34" s="562"/>
      <c r="Z34" s="562"/>
      <c r="AA34" s="562"/>
      <c r="AB34" s="562"/>
      <c r="AC34" s="562"/>
      <c r="AD34" s="562"/>
      <c r="AE34" s="562"/>
      <c r="AF34" s="562"/>
      <c r="AG34" s="562"/>
      <c r="AH34" s="562"/>
      <c r="AI34" s="562"/>
      <c r="AJ34" s="562"/>
      <c r="AK34" s="562"/>
      <c r="AL34" s="562"/>
      <c r="AM34" s="562"/>
      <c r="AN34" s="562"/>
      <c r="AO34" s="562"/>
      <c r="AP34" s="562"/>
      <c r="AQ34" s="562"/>
      <c r="AR34" s="562"/>
      <c r="AS34" s="562"/>
    </row>
    <row r="35" spans="1:45" x14ac:dyDescent="0.2">
      <c r="A35" s="562"/>
      <c r="B35" s="358" t="s">
        <v>2917</v>
      </c>
      <c r="C35" s="562"/>
      <c r="D35" s="14" t="s">
        <v>2181</v>
      </c>
      <c r="E35" s="14" t="s">
        <v>2657</v>
      </c>
      <c r="F35" s="562"/>
      <c r="G35" s="562"/>
      <c r="H35" s="562"/>
      <c r="I35" s="562"/>
      <c r="J35" s="562"/>
      <c r="K35" s="562"/>
      <c r="L35" s="594"/>
      <c r="M35" s="592" t="s">
        <v>2923</v>
      </c>
      <c r="N35" s="562"/>
      <c r="O35" s="562"/>
      <c r="P35" s="562"/>
      <c r="Q35" s="562"/>
      <c r="R35" s="562"/>
      <c r="S35" s="562"/>
      <c r="T35" s="562"/>
      <c r="U35" s="562"/>
      <c r="V35" s="562"/>
      <c r="W35" s="562">
        <f>SUM(W29:W34)</f>
        <v>0</v>
      </c>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row>
    <row r="36" spans="1:45" x14ac:dyDescent="0.2">
      <c r="A36" s="562"/>
      <c r="B36" s="358" t="s">
        <v>2917</v>
      </c>
      <c r="C36" s="562"/>
      <c r="D36" s="562"/>
      <c r="E36" s="562"/>
      <c r="F36" s="562"/>
      <c r="G36" s="562"/>
      <c r="H36" s="562"/>
      <c r="I36" s="562"/>
      <c r="J36" s="562"/>
      <c r="K36" s="562"/>
      <c r="L36" s="594"/>
      <c r="M36" s="592" t="s">
        <v>2924</v>
      </c>
      <c r="N36" s="562"/>
      <c r="O36" s="562"/>
      <c r="P36" s="562"/>
      <c r="Q36" s="562"/>
      <c r="R36" s="562"/>
      <c r="S36" s="562"/>
      <c r="T36" s="562"/>
      <c r="U36" s="562"/>
      <c r="V36" s="562"/>
      <c r="W36" s="473">
        <f>IFERROR(W35/W26,0)</f>
        <v>0</v>
      </c>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row>
    <row r="37" spans="1:45" x14ac:dyDescent="0.2">
      <c r="A37" s="562"/>
      <c r="B37" s="358" t="s">
        <v>2917</v>
      </c>
      <c r="C37" s="562"/>
      <c r="D37" s="562"/>
      <c r="E37" s="562"/>
      <c r="F37" s="562"/>
      <c r="G37" s="562"/>
      <c r="H37" s="562"/>
      <c r="I37" s="562"/>
      <c r="J37" s="562"/>
      <c r="K37" s="562"/>
      <c r="L37" s="509" t="s">
        <v>2925</v>
      </c>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row>
    <row r="38" spans="1:45" x14ac:dyDescent="0.2">
      <c r="A38" s="562"/>
      <c r="B38" s="358" t="s">
        <v>2917</v>
      </c>
      <c r="C38" s="562"/>
      <c r="D38" s="14" t="s">
        <v>2183</v>
      </c>
      <c r="E38" s="14" t="s">
        <v>2196</v>
      </c>
      <c r="F38" s="562"/>
      <c r="G38" s="562"/>
      <c r="H38" s="562"/>
      <c r="I38" s="562"/>
      <c r="J38" s="562"/>
      <c r="K38" s="562"/>
      <c r="L38" s="594" t="s">
        <v>2926</v>
      </c>
      <c r="M38" s="594"/>
      <c r="N38" s="562"/>
      <c r="O38" s="562"/>
      <c r="P38" s="562" t="b">
        <v>1</v>
      </c>
      <c r="Q38" s="562" t="b">
        <v>1</v>
      </c>
      <c r="R38" s="562" t="b">
        <f>ReportType="Final"</f>
        <v>0</v>
      </c>
      <c r="S38" s="562" t="b">
        <v>1</v>
      </c>
      <c r="T38" s="562" t="b">
        <v>0</v>
      </c>
      <c r="U38" s="562"/>
      <c r="V38" s="562"/>
      <c r="W38" s="6"/>
      <c r="X38" s="563"/>
      <c r="Y38" s="562"/>
      <c r="Z38" s="562"/>
      <c r="AA38" s="562"/>
      <c r="AB38" s="562"/>
      <c r="AC38" s="492" t="b">
        <f>OR(AD38:AE38)</f>
        <v>0</v>
      </c>
      <c r="AD38" s="492" t="b">
        <f>T38</f>
        <v>0</v>
      </c>
      <c r="AE38" s="492" t="b">
        <f>AND(R38,NOT(W38))</f>
        <v>0</v>
      </c>
      <c r="AF38" s="492" t="b">
        <f>AND(AE38,NOT(Q38))</f>
        <v>0</v>
      </c>
      <c r="AG38" s="562"/>
      <c r="AH38" s="562"/>
      <c r="AI38" s="562"/>
      <c r="AJ38" s="562"/>
      <c r="AK38" s="562"/>
      <c r="AL38" s="562"/>
      <c r="AM38" s="562"/>
      <c r="AN38" s="217"/>
      <c r="AO38" s="562"/>
      <c r="AP38" s="493" t="str">
        <f>SUBSTITUTE(SUBSTITUTE(SUBSTITUTE("vch"&amp;$B38&amp;$C38&amp;$D38&amp;$E38&amp;$F38,".","_"),"(","_"),")","")</f>
        <v>vch305_3_5_1_2_a</v>
      </c>
      <c r="AQ38" s="508">
        <f>W38</f>
        <v>0</v>
      </c>
      <c r="AR38" s="493" t="str">
        <f>SUBSTITUTE(SUBSTITUTE(SUBSTITUTE("vnt"&amp;$B38&amp;$C38&amp;$D38&amp;$E38&amp;$F38,".","_"),"(","_"),")","")</f>
        <v>vnt305_3_5_1_2_a</v>
      </c>
      <c r="AS38" s="493">
        <f>X38</f>
        <v>0</v>
      </c>
    </row>
    <row r="39" spans="1:45" x14ac:dyDescent="0.2">
      <c r="A39" s="562"/>
      <c r="B39" s="358" t="s">
        <v>2917</v>
      </c>
      <c r="C39" s="562"/>
      <c r="D39" s="14" t="s">
        <v>2183</v>
      </c>
      <c r="E39" s="14"/>
      <c r="F39" s="562"/>
      <c r="G39" s="562"/>
      <c r="H39" s="562"/>
      <c r="I39" s="562"/>
      <c r="J39" s="562"/>
      <c r="K39" s="562"/>
      <c r="L39" s="594"/>
      <c r="M39" s="594"/>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row>
    <row r="40" spans="1:45" x14ac:dyDescent="0.2">
      <c r="A40" s="562"/>
      <c r="B40" s="358" t="s">
        <v>2917</v>
      </c>
      <c r="C40" s="562"/>
      <c r="D40" s="14" t="s">
        <v>2183</v>
      </c>
      <c r="E40" s="14" t="s">
        <v>2198</v>
      </c>
      <c r="F40" s="562"/>
      <c r="G40" s="562"/>
      <c r="H40" s="562"/>
      <c r="I40" s="562"/>
      <c r="J40" s="562"/>
      <c r="K40" s="562"/>
      <c r="L40" s="592" t="s">
        <v>2927</v>
      </c>
      <c r="M40" s="594"/>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row>
    <row r="41" spans="1:45" x14ac:dyDescent="0.2">
      <c r="A41" s="562"/>
      <c r="B41" s="358" t="s">
        <v>2917</v>
      </c>
      <c r="C41" s="562"/>
      <c r="D41" s="14" t="s">
        <v>2183</v>
      </c>
      <c r="E41" s="19" t="s">
        <v>2200</v>
      </c>
      <c r="F41" s="562"/>
      <c r="G41" s="562"/>
      <c r="H41" s="562"/>
      <c r="I41" s="562"/>
      <c r="J41" s="562"/>
      <c r="K41" s="562"/>
      <c r="L41" s="594"/>
      <c r="M41" s="594" t="str">
        <f ca="1">IF(W24=INDEX(INDIRECT(U24),1),"Heating Energy","Cost of Heating Energy")</f>
        <v>Cost of Heating Energy</v>
      </c>
      <c r="N41" s="562"/>
      <c r="O41" s="562"/>
      <c r="P41" s="562" t="b">
        <v>1</v>
      </c>
      <c r="Q41" s="562" t="b">
        <v>1</v>
      </c>
      <c r="R41" s="562" t="b">
        <f>ReportType="Final"</f>
        <v>0</v>
      </c>
      <c r="S41" s="562" t="b">
        <v>1</v>
      </c>
      <c r="T41" s="562" t="b">
        <v>0</v>
      </c>
      <c r="U41" s="562"/>
      <c r="V41" s="562"/>
      <c r="W41" s="6"/>
      <c r="X41" s="563"/>
      <c r="Y41" s="562"/>
      <c r="Z41" s="562"/>
      <c r="AA41" s="562"/>
      <c r="AB41" s="562"/>
      <c r="AC41" s="492" t="b">
        <f>OR(AD41:AE41)</f>
        <v>0</v>
      </c>
      <c r="AD41" s="492" t="b">
        <f>T41</f>
        <v>0</v>
      </c>
      <c r="AE41" s="492" t="b">
        <f>AND(R41,NOT(W41))</f>
        <v>0</v>
      </c>
      <c r="AF41" s="492" t="b">
        <f t="shared" ref="AF41:AF45" si="6">AND(AE41,NOT(Q41))</f>
        <v>0</v>
      </c>
      <c r="AG41" s="562"/>
      <c r="AH41" s="562"/>
      <c r="AI41" s="562"/>
      <c r="AJ41" s="562"/>
      <c r="AK41" s="562"/>
      <c r="AL41" s="562"/>
      <c r="AM41" s="562"/>
      <c r="AN41" s="217"/>
      <c r="AO41" s="562"/>
      <c r="AP41" s="493" t="str">
        <f t="shared" ref="AP41:AP45" si="7">SUBSTITUTE(SUBSTITUTE(SUBSTITUTE("vch"&amp;$B41&amp;$C41&amp;$D41&amp;$E41&amp;$F41,".","_"),"(","_"),")","")</f>
        <v>vch305_3_5_1_2_c</v>
      </c>
      <c r="AQ41" s="508">
        <f t="shared" ref="AQ41:AQ45" si="8">W41</f>
        <v>0</v>
      </c>
      <c r="AR41" s="493" t="str">
        <f t="shared" ref="AR41:AR45" si="9">SUBSTITUTE(SUBSTITUTE(SUBSTITUTE("vnt"&amp;$B41&amp;$C41&amp;$D41&amp;$E41&amp;$F41,".","_"),"(","_"),")","")</f>
        <v>vnt305_3_5_1_2_c</v>
      </c>
      <c r="AS41" s="493">
        <f t="shared" ref="AS41:AS45" si="10">X41</f>
        <v>0</v>
      </c>
    </row>
    <row r="42" spans="1:45" x14ac:dyDescent="0.2">
      <c r="A42" s="562"/>
      <c r="B42" s="358" t="s">
        <v>2917</v>
      </c>
      <c r="C42" s="562"/>
      <c r="D42" s="14" t="s">
        <v>2183</v>
      </c>
      <c r="E42" s="14" t="s">
        <v>2247</v>
      </c>
      <c r="F42" s="562"/>
      <c r="G42" s="562"/>
      <c r="H42" s="562"/>
      <c r="I42" s="562"/>
      <c r="J42" s="562"/>
      <c r="K42" s="562"/>
      <c r="L42" s="594"/>
      <c r="M42" s="594" t="str">
        <f ca="1">IF(W24=INDEX(INDIRECT(U24),1),"Cooling Energy","Cost of Cooling Energy")</f>
        <v>Cost of Cooling Energy</v>
      </c>
      <c r="N42" s="562"/>
      <c r="O42" s="562"/>
      <c r="P42" s="562" t="b">
        <v>1</v>
      </c>
      <c r="Q42" s="562" t="b">
        <v>1</v>
      </c>
      <c r="R42" s="562" t="b">
        <f>ReportType="Final"</f>
        <v>0</v>
      </c>
      <c r="S42" s="562" t="b">
        <v>1</v>
      </c>
      <c r="T42" s="562" t="b">
        <v>0</v>
      </c>
      <c r="U42" s="562"/>
      <c r="V42" s="562"/>
      <c r="W42" s="6"/>
      <c r="X42" s="563"/>
      <c r="Y42" s="562"/>
      <c r="Z42" s="562"/>
      <c r="AA42" s="562"/>
      <c r="AB42" s="562"/>
      <c r="AC42" s="492" t="b">
        <f>OR(AD42:AE42)</f>
        <v>0</v>
      </c>
      <c r="AD42" s="492" t="b">
        <f>T42</f>
        <v>0</v>
      </c>
      <c r="AE42" s="492" t="b">
        <f>AND(R42,NOT(W42))</f>
        <v>0</v>
      </c>
      <c r="AF42" s="492" t="b">
        <f t="shared" si="6"/>
        <v>0</v>
      </c>
      <c r="AG42" s="562"/>
      <c r="AH42" s="562"/>
      <c r="AI42" s="562"/>
      <c r="AJ42" s="562"/>
      <c r="AK42" s="562"/>
      <c r="AL42" s="562"/>
      <c r="AM42" s="562"/>
      <c r="AN42" s="217"/>
      <c r="AO42" s="562"/>
      <c r="AP42" s="493" t="str">
        <f t="shared" si="7"/>
        <v>vch305_3_5_1_2_d</v>
      </c>
      <c r="AQ42" s="508">
        <f t="shared" si="8"/>
        <v>0</v>
      </c>
      <c r="AR42" s="493" t="str">
        <f t="shared" si="9"/>
        <v>vnt305_3_5_1_2_d</v>
      </c>
      <c r="AS42" s="493">
        <f t="shared" si="10"/>
        <v>0</v>
      </c>
    </row>
    <row r="43" spans="1:45" x14ac:dyDescent="0.2">
      <c r="A43" s="562"/>
      <c r="B43" s="358" t="s">
        <v>2917</v>
      </c>
      <c r="C43" s="562"/>
      <c r="D43" s="14" t="s">
        <v>2183</v>
      </c>
      <c r="E43" s="14" t="s">
        <v>2444</v>
      </c>
      <c r="F43" s="562"/>
      <c r="G43" s="562"/>
      <c r="H43" s="562"/>
      <c r="I43" s="562"/>
      <c r="J43" s="562"/>
      <c r="K43" s="562"/>
      <c r="L43" s="594"/>
      <c r="M43" s="594" t="str">
        <f ca="1">IF(W24=INDEX(INDIRECT(U24),1),"Water Heating Energy","Cost of Water Heating Energy")</f>
        <v>Cost of Water Heating Energy</v>
      </c>
      <c r="N43" s="562"/>
      <c r="O43" s="562"/>
      <c r="P43" s="562" t="b">
        <v>1</v>
      </c>
      <c r="Q43" s="562" t="b">
        <v>1</v>
      </c>
      <c r="R43" s="562" t="b">
        <f>ReportType="Final"</f>
        <v>0</v>
      </c>
      <c r="S43" s="562" t="b">
        <v>1</v>
      </c>
      <c r="T43" s="562" t="b">
        <v>0</v>
      </c>
      <c r="U43" s="562"/>
      <c r="V43" s="562"/>
      <c r="W43" s="6"/>
      <c r="X43" s="563"/>
      <c r="Y43" s="562"/>
      <c r="Z43" s="562"/>
      <c r="AA43" s="562"/>
      <c r="AB43" s="562"/>
      <c r="AC43" s="492" t="b">
        <f>OR(AD43:AE43)</f>
        <v>0</v>
      </c>
      <c r="AD43" s="492" t="b">
        <f>T43</f>
        <v>0</v>
      </c>
      <c r="AE43" s="492" t="b">
        <f>AND(R43,NOT(W43))</f>
        <v>0</v>
      </c>
      <c r="AF43" s="492" t="b">
        <f t="shared" si="6"/>
        <v>0</v>
      </c>
      <c r="AG43" s="562"/>
      <c r="AH43" s="562"/>
      <c r="AI43" s="562"/>
      <c r="AJ43" s="562"/>
      <c r="AK43" s="562"/>
      <c r="AL43" s="562"/>
      <c r="AM43" s="562"/>
      <c r="AN43" s="217"/>
      <c r="AO43" s="562"/>
      <c r="AP43" s="493" t="str">
        <f t="shared" si="7"/>
        <v>vch305_3_5_1_2_e</v>
      </c>
      <c r="AQ43" s="508">
        <f t="shared" si="8"/>
        <v>0</v>
      </c>
      <c r="AR43" s="493" t="str">
        <f t="shared" si="9"/>
        <v>vnt305_3_5_1_2_e</v>
      </c>
      <c r="AS43" s="493">
        <f t="shared" si="10"/>
        <v>0</v>
      </c>
    </row>
    <row r="44" spans="1:45" x14ac:dyDescent="0.2">
      <c r="A44" s="562"/>
      <c r="B44" s="358" t="s">
        <v>2917</v>
      </c>
      <c r="C44" s="562"/>
      <c r="D44" s="14" t="s">
        <v>2183</v>
      </c>
      <c r="E44" s="19" t="s">
        <v>2540</v>
      </c>
      <c r="F44" s="562"/>
      <c r="G44" s="562"/>
      <c r="H44" s="562"/>
      <c r="I44" s="562"/>
      <c r="J44" s="562"/>
      <c r="K44" s="562"/>
      <c r="L44" s="594"/>
      <c r="M44" s="594" t="str">
        <f ca="1">IF(W24=INDEX(INDIRECT(U24),1),"Energy for Lighting","Cost of Energy for Lighting")</f>
        <v>Cost of Energy for Lighting</v>
      </c>
      <c r="N44" s="562"/>
      <c r="O44" s="562"/>
      <c r="P44" s="562" t="b">
        <v>1</v>
      </c>
      <c r="Q44" s="562" t="b">
        <v>1</v>
      </c>
      <c r="R44" s="562" t="b">
        <f>ReportType="Final"</f>
        <v>0</v>
      </c>
      <c r="S44" s="562" t="b">
        <v>1</v>
      </c>
      <c r="T44" s="562" t="b">
        <v>0</v>
      </c>
      <c r="U44" s="562"/>
      <c r="V44" s="562"/>
      <c r="W44" s="6"/>
      <c r="X44" s="563"/>
      <c r="Y44" s="562"/>
      <c r="Z44" s="562"/>
      <c r="AA44" s="562"/>
      <c r="AB44" s="562"/>
      <c r="AC44" s="492" t="b">
        <f>OR(AD44:AE44)</f>
        <v>0</v>
      </c>
      <c r="AD44" s="492" t="b">
        <f>T44</f>
        <v>0</v>
      </c>
      <c r="AE44" s="492" t="b">
        <f>AND(R44,NOT(W44))</f>
        <v>0</v>
      </c>
      <c r="AF44" s="492" t="b">
        <f t="shared" si="6"/>
        <v>0</v>
      </c>
      <c r="AG44" s="562"/>
      <c r="AH44" s="562"/>
      <c r="AI44" s="562"/>
      <c r="AJ44" s="562"/>
      <c r="AK44" s="562"/>
      <c r="AL44" s="562"/>
      <c r="AM44" s="562"/>
      <c r="AN44" s="217"/>
      <c r="AO44" s="562"/>
      <c r="AP44" s="493" t="str">
        <f t="shared" si="7"/>
        <v>vch305_3_5_1_2_f</v>
      </c>
      <c r="AQ44" s="508">
        <f t="shared" si="8"/>
        <v>0</v>
      </c>
      <c r="AR44" s="493" t="str">
        <f t="shared" si="9"/>
        <v>vnt305_3_5_1_2_f</v>
      </c>
      <c r="AS44" s="493">
        <f t="shared" si="10"/>
        <v>0</v>
      </c>
    </row>
    <row r="45" spans="1:45" x14ac:dyDescent="0.2">
      <c r="A45" s="562"/>
      <c r="B45" s="358" t="s">
        <v>2917</v>
      </c>
      <c r="C45" s="562"/>
      <c r="D45" s="14" t="s">
        <v>2183</v>
      </c>
      <c r="E45" s="14" t="s">
        <v>2542</v>
      </c>
      <c r="F45" s="562"/>
      <c r="G45" s="562"/>
      <c r="H45" s="562"/>
      <c r="I45" s="562"/>
      <c r="J45" s="562"/>
      <c r="K45" s="562"/>
      <c r="L45" s="594"/>
      <c r="M45" s="594" t="str">
        <f ca="1">IF(W24=INDEX(INDIRECT(U24),1),"Energy for Appliances","Cost of Energy for Appliances")</f>
        <v>Cost of Energy for Appliances</v>
      </c>
      <c r="N45" s="562"/>
      <c r="O45" s="562"/>
      <c r="P45" s="562" t="b">
        <v>1</v>
      </c>
      <c r="Q45" s="562" t="b">
        <v>1</v>
      </c>
      <c r="R45" s="562" t="b">
        <f>ReportType="Final"</f>
        <v>0</v>
      </c>
      <c r="S45" s="562" t="b">
        <v>1</v>
      </c>
      <c r="T45" s="562" t="b">
        <v>0</v>
      </c>
      <c r="U45" s="562"/>
      <c r="V45" s="562"/>
      <c r="W45" s="6"/>
      <c r="X45" s="563"/>
      <c r="Y45" s="562"/>
      <c r="Z45" s="562"/>
      <c r="AA45" s="562"/>
      <c r="AB45" s="562"/>
      <c r="AC45" s="492" t="b">
        <f>OR(AD45:AE45)</f>
        <v>0</v>
      </c>
      <c r="AD45" s="492" t="b">
        <f>T45</f>
        <v>0</v>
      </c>
      <c r="AE45" s="492" t="b">
        <f>AND(R45,NOT(W45))</f>
        <v>0</v>
      </c>
      <c r="AF45" s="492" t="b">
        <f t="shared" si="6"/>
        <v>0</v>
      </c>
      <c r="AG45" s="562"/>
      <c r="AH45" s="562"/>
      <c r="AI45" s="562"/>
      <c r="AJ45" s="562"/>
      <c r="AK45" s="562"/>
      <c r="AL45" s="562"/>
      <c r="AM45" s="562"/>
      <c r="AN45" s="217"/>
      <c r="AO45" s="562"/>
      <c r="AP45" s="493" t="str">
        <f t="shared" si="7"/>
        <v>vch305_3_5_1_2_g</v>
      </c>
      <c r="AQ45" s="508">
        <f t="shared" si="8"/>
        <v>0</v>
      </c>
      <c r="AR45" s="493" t="str">
        <f t="shared" si="9"/>
        <v>vnt305_3_5_1_2_g</v>
      </c>
      <c r="AS45" s="493">
        <f t="shared" si="10"/>
        <v>0</v>
      </c>
    </row>
    <row r="46" spans="1:45" x14ac:dyDescent="0.2">
      <c r="A46" s="562"/>
      <c r="B46" s="358" t="s">
        <v>2917</v>
      </c>
      <c r="C46" s="562"/>
      <c r="D46" s="14" t="s">
        <v>2183</v>
      </c>
      <c r="E46" s="14" t="s">
        <v>2544</v>
      </c>
      <c r="F46" s="562"/>
      <c r="G46" s="562"/>
      <c r="H46" s="562"/>
      <c r="I46" s="562"/>
      <c r="J46" s="562"/>
      <c r="K46" s="562"/>
      <c r="L46" s="594"/>
      <c r="M46" s="594" t="str">
        <f ca="1">IF(W24=INDEX(INDIRECT(U24),1),"Miscellaneous Energy Usage (other)","Miscellaneous Energy Cost (other)")</f>
        <v>Miscellaneous Energy Cost (other)</v>
      </c>
      <c r="N46" s="562"/>
      <c r="O46" s="562"/>
      <c r="P46" s="562" t="b">
        <v>1</v>
      </c>
      <c r="Q46" s="562" t="b">
        <v>1</v>
      </c>
      <c r="R46" s="562" t="b">
        <v>0</v>
      </c>
      <c r="S46" s="562" t="b">
        <v>1</v>
      </c>
      <c r="T46" s="562" t="b">
        <f t="shared" ref="T46" si="11">AND(LEN(W34)&gt;0,LEN(W46)=0)</f>
        <v>0</v>
      </c>
      <c r="U46" s="562"/>
      <c r="V46" s="562"/>
      <c r="W46" s="6"/>
      <c r="X46" s="563"/>
      <c r="Y46" s="562"/>
      <c r="Z46" s="562"/>
      <c r="AA46" s="562"/>
      <c r="AB46" s="562"/>
      <c r="AC46" s="562"/>
      <c r="AD46" s="562"/>
      <c r="AE46" s="562"/>
      <c r="AF46" s="562"/>
      <c r="AG46" s="562"/>
      <c r="AH46" s="562"/>
      <c r="AI46" s="562"/>
      <c r="AJ46" s="562"/>
      <c r="AK46" s="562"/>
      <c r="AL46" s="562"/>
      <c r="AM46" s="562"/>
      <c r="AN46" s="562"/>
      <c r="AO46" s="562"/>
      <c r="AP46" s="562"/>
      <c r="AQ46" s="562"/>
      <c r="AR46" s="562"/>
      <c r="AS46" s="562"/>
    </row>
    <row r="47" spans="1:45" x14ac:dyDescent="0.2">
      <c r="A47" s="562"/>
      <c r="B47" s="358" t="s">
        <v>2917</v>
      </c>
      <c r="C47" s="562"/>
      <c r="D47" s="14" t="s">
        <v>2183</v>
      </c>
      <c r="E47" s="14" t="s">
        <v>2657</v>
      </c>
      <c r="F47" s="562"/>
      <c r="G47" s="562"/>
      <c r="H47" s="562"/>
      <c r="I47" s="562"/>
      <c r="J47" s="562"/>
      <c r="K47" s="562"/>
      <c r="L47" s="562"/>
      <c r="M47" s="592" t="s">
        <v>2923</v>
      </c>
      <c r="N47" s="562"/>
      <c r="O47" s="562"/>
      <c r="P47" s="562"/>
      <c r="Q47" s="562"/>
      <c r="R47" s="562"/>
      <c r="S47" s="562"/>
      <c r="T47" s="562"/>
      <c r="U47" s="562"/>
      <c r="V47" s="562"/>
      <c r="W47" s="562">
        <f>SUM(W41:W46)</f>
        <v>0</v>
      </c>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row>
    <row r="48" spans="1:45" x14ac:dyDescent="0.2">
      <c r="A48" s="562"/>
      <c r="B48" s="358" t="s">
        <v>2917</v>
      </c>
      <c r="C48" s="562"/>
      <c r="D48" s="562"/>
      <c r="E48" s="562"/>
      <c r="F48" s="562"/>
      <c r="G48" s="562"/>
      <c r="H48" s="562"/>
      <c r="I48" s="562"/>
      <c r="J48" s="562"/>
      <c r="K48" s="562"/>
      <c r="L48" s="562"/>
      <c r="M48" s="592" t="s">
        <v>2924</v>
      </c>
      <c r="N48" s="562"/>
      <c r="O48" s="562"/>
      <c r="P48" s="562"/>
      <c r="Q48" s="562"/>
      <c r="R48" s="562"/>
      <c r="S48" s="562"/>
      <c r="T48" s="562"/>
      <c r="U48" s="562"/>
      <c r="V48" s="562"/>
      <c r="W48" s="473">
        <f>IFERROR(W47/W38,0)</f>
        <v>0</v>
      </c>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row>
    <row r="49" spans="1:45" x14ac:dyDescent="0.2">
      <c r="A49" s="562"/>
      <c r="B49" s="358" t="s">
        <v>2917</v>
      </c>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row>
    <row r="50" spans="1:45" x14ac:dyDescent="0.2">
      <c r="A50" s="562"/>
      <c r="B50" s="358" t="s">
        <v>2917</v>
      </c>
      <c r="C50" s="562"/>
      <c r="D50" s="562"/>
      <c r="E50" s="562"/>
      <c r="F50" s="562"/>
      <c r="G50" s="562"/>
      <c r="H50" s="562"/>
      <c r="I50" s="562"/>
      <c r="J50" s="562"/>
      <c r="K50" s="562"/>
      <c r="L50" s="562"/>
      <c r="M50" s="592" t="s">
        <v>2928</v>
      </c>
      <c r="N50" s="562"/>
      <c r="O50" s="562"/>
      <c r="P50" s="562"/>
      <c r="Q50" s="562"/>
      <c r="R50" s="562"/>
      <c r="S50" s="562"/>
      <c r="T50" s="562"/>
      <c r="U50" s="562"/>
      <c r="V50" s="562"/>
      <c r="W50" s="477">
        <f>IFERROR((W36-W48)/W36,0)</f>
        <v>0</v>
      </c>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row>
    <row r="51" spans="1:45" x14ac:dyDescent="0.2">
      <c r="A51" s="562"/>
      <c r="B51" s="358" t="s">
        <v>2917</v>
      </c>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row>
    <row r="52" spans="1:45" ht="16" thickBot="1" x14ac:dyDescent="0.25">
      <c r="A52" s="562"/>
      <c r="B52" s="358" t="s">
        <v>2917</v>
      </c>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row>
    <row r="53" spans="1:45" ht="17" thickTop="1" thickBot="1" x14ac:dyDescent="0.25">
      <c r="I53" s="154" t="s">
        <v>2929</v>
      </c>
      <c r="J53" s="155"/>
      <c r="K53" s="155"/>
      <c r="L53" s="155"/>
      <c r="M53" s="156"/>
      <c r="N53" s="155"/>
      <c r="O53" s="157"/>
      <c r="P53" s="155"/>
      <c r="Q53" s="155"/>
      <c r="R53" s="155"/>
      <c r="S53" s="155"/>
      <c r="T53" s="155"/>
      <c r="U53" s="155"/>
      <c r="V53" s="155"/>
      <c r="W53" s="155"/>
      <c r="X53" s="194" t="s">
        <v>2930</v>
      </c>
      <c r="Y53" s="562"/>
      <c r="Z53" s="562"/>
      <c r="AA53" s="562"/>
      <c r="AB53" s="562"/>
      <c r="AC53" s="562"/>
      <c r="AD53" s="562"/>
      <c r="AE53" s="562"/>
      <c r="AF53" s="562"/>
      <c r="AG53" s="562"/>
      <c r="AH53" s="562"/>
      <c r="AI53" s="562"/>
      <c r="AJ53" s="562"/>
      <c r="AK53" s="562"/>
      <c r="AL53" s="562"/>
      <c r="AM53" s="562"/>
      <c r="AN53" s="562"/>
      <c r="AO53" s="562"/>
      <c r="AP53" s="562"/>
      <c r="AQ53" s="562"/>
      <c r="AR53" s="562"/>
      <c r="AS53" s="562"/>
    </row>
    <row r="54" spans="1:45" ht="16" thickTop="1" x14ac:dyDescent="0.2">
      <c r="I54" s="562"/>
      <c r="J54" s="562"/>
      <c r="K54" s="562"/>
      <c r="L54" s="562"/>
      <c r="M54" s="648"/>
      <c r="N54" s="562"/>
      <c r="O54" s="648"/>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row>
  </sheetData>
  <sheetProtection algorithmName="SHA-512" hashValue="olIfzCqy+SuNCKmjK3VqpZK02OxiRzLfsznygGqA0XuL5AUwJo5soVPZ29ljSsmsQO1z/e0AAjAwr3TEyR9tMQ==" saltValue="AoqZ2/qiOZ631m+Uq5qydg==" spinCount="100000" sheet="1" objects="1" scenarios="1" selectLockedCells="1"/>
  <mergeCells count="25">
    <mergeCell ref="L9:L10"/>
    <mergeCell ref="L12:L16"/>
    <mergeCell ref="L17:L18"/>
    <mergeCell ref="L19:L24"/>
    <mergeCell ref="X6:X7"/>
    <mergeCell ref="P6:P7"/>
    <mergeCell ref="Q6:Q7"/>
    <mergeCell ref="R6:R7"/>
    <mergeCell ref="S6:S7"/>
    <mergeCell ref="W1:W3"/>
    <mergeCell ref="H1:H7"/>
    <mergeCell ref="I1:L1"/>
    <mergeCell ref="I2:L2"/>
    <mergeCell ref="I3:L3"/>
    <mergeCell ref="I4:L4"/>
    <mergeCell ref="T6:T7"/>
    <mergeCell ref="U6:U7"/>
    <mergeCell ref="V6:V7"/>
    <mergeCell ref="W6:W7"/>
    <mergeCell ref="I5:L5"/>
    <mergeCell ref="I6:K7"/>
    <mergeCell ref="L6:L7"/>
    <mergeCell ref="M6:M7"/>
    <mergeCell ref="N6:N7"/>
    <mergeCell ref="M1:O5"/>
  </mergeCells>
  <conditionalFormatting sqref="I1">
    <cfRule type="expression" dxfId="116" priority="136">
      <formula>$AG$1="Gold"</formula>
    </cfRule>
    <cfRule type="expression" dxfId="115" priority="137">
      <formula>$AG$1="Silver"</formula>
    </cfRule>
    <cfRule type="expression" dxfId="114" priority="138">
      <formula>$AG$1="Bronze"</formula>
    </cfRule>
    <cfRule type="expression" dxfId="113" priority="139">
      <formula>$AG$1="Emerald"</formula>
    </cfRule>
  </conditionalFormatting>
  <conditionalFormatting sqref="W24">
    <cfRule type="expression" dxfId="112" priority="80">
      <formula>OR($T24 = TRUE, AND(LEN(TRIM($W24))&gt;0, $S24 = FALSE))</formula>
    </cfRule>
    <cfRule type="expression" dxfId="111" priority="81">
      <formula>OR($S24 = FALSE, AND($P24 = FALSE, ReportType &lt;&gt; "Final"), AND($Q24 = FALSE, ReportType &lt;&gt; "Rough"))</formula>
    </cfRule>
    <cfRule type="expression" dxfId="110" priority="82">
      <formula>AND($W24&lt;&gt;"Not Met",LEN(TRIM($W24))&gt;0)</formula>
    </cfRule>
    <cfRule type="expression" dxfId="109" priority="83">
      <formula>AND($R24,$S24)</formula>
    </cfRule>
  </conditionalFormatting>
  <conditionalFormatting sqref="W26">
    <cfRule type="expression" dxfId="108" priority="72">
      <formula>OR($T26 = TRUE, AND(LEN(TRIM($W26))&gt;0, $S26 = FALSE))</formula>
    </cfRule>
    <cfRule type="expression" dxfId="107" priority="73">
      <formula>OR($S26 = FALSE, AND($P26 = FALSE, ReportType &lt;&gt; "Final"), AND($Q26 = FALSE, ReportType &lt;&gt; "Rough"))</formula>
    </cfRule>
    <cfRule type="expression" dxfId="106" priority="74">
      <formula>AND($W26&lt;&gt;"Not Met",LEN(TRIM($W26))&gt;0)</formula>
    </cfRule>
    <cfRule type="expression" dxfId="105" priority="75">
      <formula>AND($R26,$S26)</formula>
    </cfRule>
  </conditionalFormatting>
  <conditionalFormatting sqref="L37">
    <cfRule type="expression" dxfId="104" priority="16">
      <formula>ReportType="Rough"</formula>
    </cfRule>
  </conditionalFormatting>
  <conditionalFormatting sqref="X2">
    <cfRule type="expression" dxfId="103" priority="13">
      <formula>verMandError</formula>
    </cfRule>
  </conditionalFormatting>
  <conditionalFormatting sqref="X3">
    <cfRule type="expression" dxfId="102" priority="14">
      <formula>verError</formula>
    </cfRule>
  </conditionalFormatting>
  <conditionalFormatting sqref="X1">
    <cfRule type="expression" dxfId="101" priority="15">
      <formula>verStartError</formula>
    </cfRule>
  </conditionalFormatting>
  <conditionalFormatting sqref="W29:W34">
    <cfRule type="expression" dxfId="100" priority="9">
      <formula>OR($T29 = TRUE, AND(LEN(TRIM($W29))&gt;0, $S29 = FALSE))</formula>
    </cfRule>
    <cfRule type="expression" dxfId="99" priority="10">
      <formula>OR($S29 = FALSE, AND($P29 = FALSE, ReportType &lt;&gt; "Final"), AND($Q29 = FALSE, ReportType &lt;&gt; "Rough"))</formula>
    </cfRule>
    <cfRule type="expression" dxfId="98" priority="11">
      <formula>AND($W29&lt;&gt;"Not Met",LEN(TRIM($W29))&gt;0)</formula>
    </cfRule>
    <cfRule type="expression" dxfId="97" priority="12">
      <formula>AND($R29,$S29)</formula>
    </cfRule>
  </conditionalFormatting>
  <conditionalFormatting sqref="W38">
    <cfRule type="expression" dxfId="96" priority="5">
      <formula>OR($T38 = TRUE, AND(LEN(TRIM($W38))&gt;0, $S38 = FALSE))</formula>
    </cfRule>
    <cfRule type="expression" dxfId="95" priority="6">
      <formula>OR($S38 = FALSE, AND($P38 = FALSE, ReportType &lt;&gt; "Final"), AND($Q38 = FALSE, ReportType &lt;&gt; "Rough"))</formula>
    </cfRule>
    <cfRule type="expression" dxfId="94" priority="7">
      <formula>AND($W38&lt;&gt;"Not Met",LEN(TRIM($W38))&gt;0)</formula>
    </cfRule>
    <cfRule type="expression" dxfId="93" priority="8">
      <formula>AND($R38,$S38)</formula>
    </cfRule>
  </conditionalFormatting>
  <conditionalFormatting sqref="W41:W46">
    <cfRule type="expression" dxfId="92" priority="1">
      <formula>OR($T41 = TRUE, AND(LEN(TRIM($W41))&gt;0, $S41 = FALSE))</formula>
    </cfRule>
    <cfRule type="expression" dxfId="91" priority="2">
      <formula>OR($S41 = FALSE, AND($P41 = FALSE, ReportType &lt;&gt; "Final"), AND($Q41 = FALSE, ReportType &lt;&gt; "Rough"))</formula>
    </cfRule>
    <cfRule type="expression" dxfId="90" priority="3">
      <formula>AND($W41&lt;&gt;"Not Met",LEN(TRIM($W41))&gt;0)</formula>
    </cfRule>
    <cfRule type="expression" dxfId="89" priority="4">
      <formula>AND($R41,$S41)</formula>
    </cfRule>
  </conditionalFormatting>
  <dataValidations count="3">
    <dataValidation type="list" allowBlank="1" showInputMessage="1" showErrorMessage="1" error="Please use the dropdown." sqref="W24" xr:uid="{00000000-0002-0000-0E00-000000000000}">
      <formula1>INDIRECT($U$24)</formula1>
    </dataValidation>
    <dataValidation type="decimal" allowBlank="1" showDropDown="1" showErrorMessage="1" sqref="W41:W46 W29:W34" xr:uid="{00000000-0002-0000-0E00-000001000000}">
      <formula1>0</formula1>
      <formula2>500000</formula2>
    </dataValidation>
    <dataValidation type="decimal" allowBlank="1" showDropDown="1" showErrorMessage="1" sqref="W26 W38" xr:uid="{34CB58F3-B098-4373-8756-ED79BE59BB6A}">
      <formula1>0</formula1>
      <formula2>1000000</formula2>
    </dataValidation>
  </dataValidations>
  <hyperlinks>
    <hyperlink ref="X53" location="'Verification (Ch.8)'!A1" display="CLICK TO PROCEED TO CHAPTER 8 &gt;&gt;" xr:uid="{00000000-0004-0000-0E00-000000000000}"/>
    <hyperlink ref="L11" location="'Table 305.3.5'!A1" display="See Table Table 305.3.5" xr:uid="{00000000-0004-0000-0E00-000001000000}"/>
  </hyperlinks>
  <pageMargins left="0.7" right="0.7" top="0.75" bottom="0.75" header="0.3" footer="0.3"/>
  <pageSetup scale="43"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pageSetUpPr fitToPage="1"/>
  </sheetPr>
  <dimension ref="A1:BI110"/>
  <sheetViews>
    <sheetView showGridLines="0" zoomScaleNormal="100" zoomScaleSheetLayoutView="70" workbookViewId="0">
      <pane ySplit="7" topLeftCell="A8" activePane="bottomLeft" state="frozen"/>
      <selection activeCell="E7" sqref="E7:F7"/>
      <selection pane="bottomLeft" activeCell="I32" sqref="I32"/>
    </sheetView>
  </sheetViews>
  <sheetFormatPr baseColWidth="10" defaultColWidth="9.1640625" defaultRowHeight="15" x14ac:dyDescent="0.2"/>
  <cols>
    <col min="1" max="1" width="3.33203125" style="13" customWidth="1"/>
    <col min="2" max="3" width="3.1640625" style="13" customWidth="1"/>
    <col min="4" max="5" width="8.6640625" style="501" customWidth="1"/>
    <col min="6" max="12" width="10" style="501" customWidth="1"/>
    <col min="13" max="14" width="10.83203125" style="42" customWidth="1"/>
    <col min="15" max="15" width="10.83203125" style="502" customWidth="1"/>
    <col min="16" max="16" width="21.5" style="501" customWidth="1"/>
    <col min="17" max="17" width="69" style="501" customWidth="1"/>
    <col min="18" max="19" width="34.83203125" style="501" hidden="1" customWidth="1"/>
    <col min="20" max="28" width="9.1640625" style="501" hidden="1" customWidth="1"/>
    <col min="29" max="29" width="8.6640625" style="501" hidden="1" customWidth="1"/>
    <col min="30" max="30" width="4" style="501" hidden="1" customWidth="1"/>
    <col min="31" max="33" width="3" style="501" hidden="1" customWidth="1"/>
    <col min="34" max="34" width="2.1640625" style="501" hidden="1" customWidth="1"/>
    <col min="35" max="38" width="3.1640625" style="507" hidden="1" customWidth="1"/>
    <col min="39" max="39" width="16.83203125" style="501" hidden="1" customWidth="1"/>
    <col min="40" max="40" width="2.1640625" style="501" hidden="1" customWidth="1"/>
    <col min="41" max="41" width="16.83203125" style="501" hidden="1" customWidth="1"/>
    <col min="42" max="42" width="2.1640625" style="501" hidden="1" customWidth="1"/>
    <col min="43" max="43" width="16.83203125" style="501" hidden="1" customWidth="1"/>
    <col min="44" max="44" width="2.1640625" style="501" hidden="1" customWidth="1"/>
    <col min="45" max="45" width="14.83203125" style="501" hidden="1" customWidth="1"/>
    <col min="46" max="46" width="2.1640625" style="501" hidden="1" customWidth="1"/>
    <col min="47" max="47" width="17" style="501" hidden="1" customWidth="1"/>
    <col min="48" max="48" width="2.1640625" style="501" hidden="1" customWidth="1"/>
    <col min="49" max="49" width="17" style="501" hidden="1" customWidth="1"/>
    <col min="50" max="50" width="2.1640625" style="501" hidden="1" customWidth="1"/>
    <col min="51" max="51" width="14.6640625" style="501" hidden="1" customWidth="1"/>
    <col min="52" max="52" width="2.1640625" style="501" hidden="1" customWidth="1"/>
    <col min="53" max="56" width="9.1640625" style="501" hidden="1" customWidth="1"/>
    <col min="57" max="61" width="0" style="501" hidden="1" customWidth="1"/>
    <col min="62" max="16384" width="9.1640625" style="501"/>
  </cols>
  <sheetData>
    <row r="1" spans="1:61" ht="15" customHeight="1" x14ac:dyDescent="0.2">
      <c r="C1" s="805"/>
      <c r="D1" s="768" t="str">
        <f>IF(OR(Z3,AB3),"Errors on page, no Level reached","Chapter Level: "&amp;AC1)</f>
        <v>Errors on page, no Level reached</v>
      </c>
      <c r="E1" s="768"/>
      <c r="F1" s="768"/>
      <c r="G1" s="768"/>
      <c r="H1" s="768"/>
      <c r="I1" s="768"/>
      <c r="J1" s="768"/>
      <c r="K1" s="768"/>
      <c r="L1" s="768"/>
      <c r="M1" s="1021"/>
      <c r="N1" s="1022"/>
      <c r="O1" s="1023"/>
      <c r="P1" s="1032" t="s">
        <v>46</v>
      </c>
      <c r="Q1" s="337" t="s">
        <v>3730</v>
      </c>
      <c r="R1" s="562"/>
      <c r="S1" s="562"/>
      <c r="T1" s="562"/>
      <c r="U1" s="562"/>
      <c r="V1" s="562"/>
      <c r="W1" s="562"/>
      <c r="X1" s="562"/>
      <c r="Y1" s="594" t="s">
        <v>3731</v>
      </c>
      <c r="Z1" s="562">
        <f ca="1">Ch5PointsFinal</f>
        <v>0</v>
      </c>
      <c r="AA1" s="562" t="e">
        <f ca="1">Ch6PointsFinal</f>
        <v>#REF!</v>
      </c>
      <c r="AB1" s="562" t="str">
        <f>Ch7LevelFinal</f>
        <v>None</v>
      </c>
      <c r="AC1" s="562" t="str">
        <f>Ch8LevelFinal</f>
        <v>None</v>
      </c>
      <c r="AD1" s="562">
        <f ca="1">Ch9PointsFinal</f>
        <v>0</v>
      </c>
      <c r="AE1" s="562">
        <f>Ch10PointsFinal</f>
        <v>0</v>
      </c>
      <c r="AF1" s="562"/>
      <c r="AG1" s="562"/>
      <c r="AH1" s="562"/>
      <c r="AI1" s="562"/>
      <c r="AJ1" s="562"/>
      <c r="AK1" s="562"/>
      <c r="AL1" s="562"/>
      <c r="AM1" s="562"/>
      <c r="AN1" s="562"/>
      <c r="AO1" s="562"/>
      <c r="AP1" s="562"/>
      <c r="AQ1" s="562"/>
      <c r="AR1" s="562"/>
      <c r="AS1" s="562"/>
      <c r="AT1" s="562"/>
      <c r="AU1" s="562"/>
      <c r="AV1" s="562"/>
      <c r="AW1" s="562"/>
      <c r="AX1" s="562"/>
      <c r="AY1" s="562"/>
      <c r="AZ1" s="562"/>
      <c r="BA1" s="562"/>
      <c r="BB1" s="562"/>
      <c r="BC1" s="562"/>
      <c r="BD1" s="562"/>
      <c r="BE1" s="562"/>
      <c r="BF1" s="562"/>
      <c r="BG1" s="562"/>
      <c r="BH1" s="562"/>
      <c r="BI1" s="562"/>
    </row>
    <row r="2" spans="1:61" x14ac:dyDescent="0.2">
      <c r="C2" s="805"/>
      <c r="D2" s="769" t="str">
        <f>IF(OR(Z3,AB3),"Errors on page, no Level reached","Total Project Points: "&amp;Vpoints)</f>
        <v>Errors on page, no Level reached</v>
      </c>
      <c r="E2" s="769"/>
      <c r="F2" s="769"/>
      <c r="G2" s="769"/>
      <c r="H2" s="769"/>
      <c r="I2" s="769"/>
      <c r="J2" s="769"/>
      <c r="K2" s="769"/>
      <c r="L2" s="769"/>
      <c r="M2" s="1024"/>
      <c r="N2" s="1025"/>
      <c r="O2" s="1026"/>
      <c r="P2" s="1032"/>
      <c r="Q2" s="337" t="s">
        <v>3733</v>
      </c>
      <c r="R2" s="562"/>
      <c r="S2" s="562"/>
      <c r="T2" s="562"/>
      <c r="U2" s="562"/>
      <c r="V2" s="562"/>
      <c r="W2" s="562"/>
      <c r="X2" s="562"/>
      <c r="Y2" s="594"/>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x14ac:dyDescent="0.2">
      <c r="C3" s="805"/>
      <c r="D3" s="769" t="str">
        <f>IF(OR(Z3,AB3),"Errors on page, no Level reached","Total Project Level: "&amp;Vlevel)</f>
        <v>Errors on page, no Level reached</v>
      </c>
      <c r="E3" s="769"/>
      <c r="F3" s="769"/>
      <c r="G3" s="769"/>
      <c r="H3" s="769"/>
      <c r="I3" s="769"/>
      <c r="J3" s="769"/>
      <c r="K3" s="769"/>
      <c r="L3" s="769"/>
      <c r="M3" s="1024"/>
      <c r="N3" s="1025"/>
      <c r="O3" s="1026"/>
      <c r="P3" s="1033"/>
      <c r="Q3" s="337" t="s">
        <v>3734</v>
      </c>
      <c r="R3" s="562"/>
      <c r="S3" s="562"/>
      <c r="T3" s="562"/>
      <c r="U3" s="562"/>
      <c r="V3" s="562"/>
      <c r="W3" s="562"/>
      <c r="X3" s="562"/>
      <c r="Y3" s="594" t="s">
        <v>3735</v>
      </c>
      <c r="Z3" s="562" t="b">
        <f>OR(ReportType="",IF(ReportType="Rough",OR(Y:Y,'Verification (Ch. 7)'!Y:Y),OR(X:X)))</f>
        <v>1</v>
      </c>
      <c r="AA3" s="594" t="s">
        <v>3736</v>
      </c>
      <c r="AB3" s="562" t="b">
        <f>OR(W:W)</f>
        <v>0</v>
      </c>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row>
    <row r="4" spans="1:61" x14ac:dyDescent="0.2">
      <c r="C4" s="805"/>
      <c r="D4" s="778"/>
      <c r="E4" s="779"/>
      <c r="F4" s="779"/>
      <c r="G4" s="779"/>
      <c r="H4" s="779"/>
      <c r="I4" s="779"/>
      <c r="J4" s="779"/>
      <c r="K4" s="779"/>
      <c r="L4" s="780"/>
      <c r="M4" s="1024"/>
      <c r="N4" s="1025"/>
      <c r="O4" s="1026"/>
      <c r="P4" s="213" t="s">
        <v>3739</v>
      </c>
      <c r="Q4" s="682" t="str">
        <f>IF('Overview (Verification)'!G11="","",'Overview (Verification)'!G9&amp;", "&amp;'Overview (Verification)'!G11&amp;", "&amp;'Overview (Verification)'!G12&amp;"  "&amp;'Overview (Verification)'!G14)</f>
        <v/>
      </c>
      <c r="R4" s="562"/>
      <c r="S4" s="562"/>
      <c r="T4" s="562"/>
      <c r="U4" s="562"/>
      <c r="V4" s="562"/>
      <c r="W4" s="562"/>
      <c r="X4" s="562"/>
      <c r="Y4" s="594"/>
      <c r="Z4" s="562"/>
      <c r="AA4" s="594"/>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x14ac:dyDescent="0.2">
      <c r="C5" s="805"/>
      <c r="D5" s="781" t="str">
        <f>"Revision Date:  "&amp;TEXT('Info &amp; Intro'!E7,"m/d/yyyy")</f>
        <v>Revision Date:  11/30/2020</v>
      </c>
      <c r="E5" s="877"/>
      <c r="F5" s="877"/>
      <c r="G5" s="877"/>
      <c r="H5" s="877"/>
      <c r="I5" s="877"/>
      <c r="J5" s="877"/>
      <c r="K5" s="782"/>
      <c r="L5" s="783"/>
      <c r="M5" s="1027"/>
      <c r="N5" s="1028"/>
      <c r="O5" s="1029"/>
      <c r="P5" s="212" t="s">
        <v>58</v>
      </c>
      <c r="Q5" s="683" t="str">
        <f>IF('Overview (Verification)'!G10="","",'Overview (Verification)'!G10)</f>
        <v/>
      </c>
      <c r="R5" s="562"/>
      <c r="S5" s="562"/>
      <c r="T5" s="562"/>
      <c r="U5" s="562"/>
      <c r="V5" s="562"/>
      <c r="W5" s="562"/>
      <c r="X5" s="562"/>
      <c r="Y5" s="594"/>
      <c r="Z5" s="562"/>
      <c r="AA5" s="594"/>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row>
    <row r="6" spans="1:61" x14ac:dyDescent="0.2">
      <c r="C6" s="805"/>
      <c r="D6" s="1038" t="s">
        <v>2157</v>
      </c>
      <c r="E6" s="878"/>
      <c r="F6" s="878" t="s">
        <v>2936</v>
      </c>
      <c r="G6" s="878"/>
      <c r="H6" s="878"/>
      <c r="I6" s="878"/>
      <c r="J6" s="878"/>
      <c r="K6" s="878"/>
      <c r="L6" s="879"/>
      <c r="M6" s="784"/>
      <c r="N6" s="601"/>
      <c r="O6" s="23"/>
      <c r="P6" s="784"/>
      <c r="Q6" s="770"/>
      <c r="R6" s="562"/>
      <c r="S6" s="562"/>
      <c r="T6" s="562"/>
      <c r="U6" s="562"/>
      <c r="V6" s="588"/>
      <c r="W6" s="588"/>
      <c r="X6" s="588"/>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x14ac:dyDescent="0.2">
      <c r="C7" s="805"/>
      <c r="D7" s="788"/>
      <c r="E7" s="789"/>
      <c r="F7" s="789"/>
      <c r="G7" s="789"/>
      <c r="H7" s="789"/>
      <c r="I7" s="789"/>
      <c r="J7" s="789"/>
      <c r="K7" s="789"/>
      <c r="L7" s="790"/>
      <c r="M7" s="785"/>
      <c r="N7" s="602"/>
      <c r="O7" s="23"/>
      <c r="P7" s="785"/>
      <c r="Q7" s="771"/>
      <c r="R7" s="562"/>
      <c r="S7" s="562"/>
      <c r="T7" s="562"/>
      <c r="U7" s="562"/>
      <c r="V7" s="588" t="s">
        <v>2169</v>
      </c>
      <c r="W7" s="588" t="s">
        <v>2165</v>
      </c>
      <c r="X7" s="588" t="s">
        <v>2170</v>
      </c>
      <c r="Y7" s="594" t="s">
        <v>3750</v>
      </c>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row>
    <row r="8" spans="1:61" ht="15" hidden="1" customHeight="1" x14ac:dyDescent="0.2">
      <c r="D8" s="604"/>
      <c r="E8" s="604"/>
      <c r="F8" s="604"/>
      <c r="G8" s="604"/>
      <c r="H8" s="604"/>
      <c r="I8" s="604"/>
      <c r="J8" s="604"/>
      <c r="K8" s="604"/>
      <c r="L8" s="602"/>
      <c r="M8" s="602"/>
      <c r="N8" s="602"/>
      <c r="O8" s="23"/>
      <c r="P8" s="602"/>
      <c r="Q8" s="604"/>
      <c r="R8" s="562"/>
      <c r="S8" s="562"/>
      <c r="T8" s="562"/>
      <c r="U8" s="562"/>
      <c r="V8" s="588"/>
      <c r="W8" s="588"/>
      <c r="X8" s="588"/>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ht="15" customHeight="1" x14ac:dyDescent="0.2">
      <c r="A9" s="562"/>
      <c r="B9" s="561"/>
      <c r="C9" s="562"/>
      <c r="D9" s="99" t="s">
        <v>2937</v>
      </c>
      <c r="E9" s="598"/>
      <c r="F9" s="791" t="s">
        <v>2938</v>
      </c>
      <c r="G9" s="791"/>
      <c r="H9" s="791"/>
      <c r="I9" s="791"/>
      <c r="J9" s="791"/>
      <c r="K9" s="791"/>
      <c r="L9" s="791"/>
      <c r="M9" s="562"/>
      <c r="N9" s="562"/>
      <c r="O9" s="562"/>
      <c r="P9" s="562"/>
      <c r="Q9" s="562"/>
      <c r="R9" s="561" t="s">
        <v>48</v>
      </c>
      <c r="S9" s="561" t="s">
        <v>48</v>
      </c>
      <c r="T9" s="561" t="s">
        <v>48</v>
      </c>
      <c r="U9" s="561" t="s">
        <v>48</v>
      </c>
      <c r="V9" s="561" t="s">
        <v>48</v>
      </c>
      <c r="W9" s="561" t="s">
        <v>48</v>
      </c>
      <c r="X9" s="561" t="s">
        <v>48</v>
      </c>
      <c r="Y9" s="561" t="s">
        <v>48</v>
      </c>
      <c r="Z9" s="561" t="s">
        <v>48</v>
      </c>
      <c r="AA9" s="561" t="s">
        <v>48</v>
      </c>
      <c r="AB9" s="561" t="s">
        <v>48</v>
      </c>
      <c r="AC9" s="561" t="s">
        <v>48</v>
      </c>
      <c r="AD9" s="561" t="s">
        <v>48</v>
      </c>
      <c r="AE9" s="561" t="s">
        <v>48</v>
      </c>
      <c r="AF9" s="561" t="s">
        <v>48</v>
      </c>
      <c r="AG9" s="561" t="s">
        <v>48</v>
      </c>
      <c r="AH9" s="561" t="s">
        <v>48</v>
      </c>
      <c r="AI9" s="561" t="s">
        <v>48</v>
      </c>
      <c r="AJ9" s="561" t="s">
        <v>48</v>
      </c>
      <c r="AK9" s="561" t="s">
        <v>48</v>
      </c>
      <c r="AL9" s="561" t="s">
        <v>48</v>
      </c>
      <c r="AM9" s="561" t="s">
        <v>48</v>
      </c>
      <c r="AN9" s="561" t="s">
        <v>48</v>
      </c>
      <c r="AO9" s="561" t="s">
        <v>48</v>
      </c>
      <c r="AP9" s="561" t="s">
        <v>48</v>
      </c>
      <c r="AQ9" s="561" t="s">
        <v>48</v>
      </c>
      <c r="AR9" s="561" t="s">
        <v>48</v>
      </c>
      <c r="AS9" s="561" t="s">
        <v>48</v>
      </c>
      <c r="AT9" s="561" t="s">
        <v>48</v>
      </c>
      <c r="AU9" s="561" t="s">
        <v>48</v>
      </c>
      <c r="AV9" s="561" t="s">
        <v>48</v>
      </c>
      <c r="AW9" s="561" t="s">
        <v>48</v>
      </c>
      <c r="AX9" s="561" t="s">
        <v>48</v>
      </c>
      <c r="AY9" s="561" t="s">
        <v>48</v>
      </c>
      <c r="AZ9" s="561" t="s">
        <v>48</v>
      </c>
      <c r="BA9" s="561" t="s">
        <v>48</v>
      </c>
      <c r="BB9" s="561" t="s">
        <v>48</v>
      </c>
      <c r="BC9" s="561" t="s">
        <v>48</v>
      </c>
      <c r="BD9" s="561" t="s">
        <v>48</v>
      </c>
      <c r="BE9" s="561" t="s">
        <v>48</v>
      </c>
      <c r="BF9" s="561" t="s">
        <v>48</v>
      </c>
      <c r="BG9" s="561" t="s">
        <v>48</v>
      </c>
      <c r="BH9" s="561" t="s">
        <v>48</v>
      </c>
      <c r="BI9" s="561" t="s">
        <v>48</v>
      </c>
    </row>
    <row r="10" spans="1:61" x14ac:dyDescent="0.2">
      <c r="A10" s="562"/>
      <c r="B10" s="562"/>
      <c r="C10" s="562"/>
      <c r="D10" s="99"/>
      <c r="E10" s="598"/>
      <c r="F10" s="791"/>
      <c r="G10" s="791"/>
      <c r="H10" s="791"/>
      <c r="I10" s="791"/>
      <c r="J10" s="791"/>
      <c r="K10" s="791"/>
      <c r="L10" s="791"/>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x14ac:dyDescent="0.2">
      <c r="A11" s="562"/>
      <c r="B11" s="562"/>
      <c r="C11" s="562"/>
      <c r="D11" s="99"/>
      <c r="E11" s="598"/>
      <c r="F11" s="791"/>
      <c r="G11" s="791"/>
      <c r="H11" s="791"/>
      <c r="I11" s="791"/>
      <c r="J11" s="791"/>
      <c r="K11" s="791"/>
      <c r="L11" s="791"/>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row>
    <row r="12" spans="1:61" x14ac:dyDescent="0.2">
      <c r="A12" s="562"/>
      <c r="B12" s="562"/>
      <c r="C12" s="562"/>
      <c r="D12" s="98"/>
      <c r="E12" s="598"/>
      <c r="F12" s="880" t="s">
        <v>2939</v>
      </c>
      <c r="G12" s="880"/>
      <c r="H12" s="880"/>
      <c r="I12" s="880"/>
      <c r="J12" s="880"/>
      <c r="K12" s="880"/>
      <c r="L12" s="880"/>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row>
    <row r="13" spans="1:61" x14ac:dyDescent="0.2">
      <c r="A13" s="562"/>
      <c r="B13" s="562"/>
      <c r="C13" s="562"/>
      <c r="D13" s="145" t="s">
        <v>2940</v>
      </c>
      <c r="E13" s="638"/>
      <c r="F13" s="831" t="s">
        <v>2941</v>
      </c>
      <c r="G13" s="831"/>
      <c r="H13" s="831"/>
      <c r="I13" s="831"/>
      <c r="J13" s="831"/>
      <c r="K13" s="831"/>
      <c r="L13" s="831"/>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row>
    <row r="14" spans="1:61" x14ac:dyDescent="0.2">
      <c r="A14" s="562"/>
      <c r="B14" s="562"/>
      <c r="C14" s="562"/>
      <c r="D14" s="99"/>
      <c r="E14" s="598"/>
      <c r="F14" s="791"/>
      <c r="G14" s="791"/>
      <c r="H14" s="791"/>
      <c r="I14" s="791"/>
      <c r="J14" s="791"/>
      <c r="K14" s="791"/>
      <c r="L14" s="791"/>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row>
    <row r="15" spans="1:61" x14ac:dyDescent="0.2">
      <c r="A15" s="562"/>
      <c r="B15" s="562"/>
      <c r="C15" s="562"/>
      <c r="D15" s="99"/>
      <c r="E15" s="598"/>
      <c r="F15" s="791"/>
      <c r="G15" s="791"/>
      <c r="H15" s="791"/>
      <c r="I15" s="791"/>
      <c r="J15" s="791"/>
      <c r="K15" s="791"/>
      <c r="L15" s="791"/>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row>
    <row r="16" spans="1:61" x14ac:dyDescent="0.2">
      <c r="A16" s="562"/>
      <c r="B16" s="562"/>
      <c r="C16" s="562"/>
      <c r="D16" s="64"/>
      <c r="E16" s="64"/>
      <c r="F16" s="791"/>
      <c r="G16" s="791"/>
      <c r="H16" s="791"/>
      <c r="I16" s="791"/>
      <c r="J16" s="791"/>
      <c r="K16" s="791"/>
      <c r="L16" s="791"/>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row>
    <row r="17" spans="1:53" x14ac:dyDescent="0.2">
      <c r="A17" s="562"/>
      <c r="B17" s="562"/>
      <c r="C17" s="562"/>
      <c r="D17" s="64"/>
      <c r="E17" s="64"/>
      <c r="F17" s="870" t="s">
        <v>2942</v>
      </c>
      <c r="G17" s="870"/>
      <c r="H17" s="870"/>
      <c r="I17" s="870"/>
      <c r="J17" s="870"/>
      <c r="K17" s="870"/>
      <c r="L17" s="870"/>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row>
    <row r="18" spans="1:53" x14ac:dyDescent="0.2">
      <c r="A18" s="562"/>
      <c r="B18" s="562"/>
      <c r="C18" s="562"/>
      <c r="D18" s="64"/>
      <c r="E18" s="64"/>
      <c r="F18" s="870"/>
      <c r="G18" s="870"/>
      <c r="H18" s="870"/>
      <c r="I18" s="870"/>
      <c r="J18" s="870"/>
      <c r="K18" s="870"/>
      <c r="L18" s="870"/>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row>
    <row r="19" spans="1:53" x14ac:dyDescent="0.2">
      <c r="A19" s="562"/>
      <c r="B19" s="562"/>
      <c r="C19" s="562"/>
      <c r="D19" s="64"/>
      <c r="E19" s="64"/>
      <c r="F19" s="791" t="s">
        <v>2943</v>
      </c>
      <c r="G19" s="791"/>
      <c r="H19" s="791"/>
      <c r="I19" s="791"/>
      <c r="J19" s="791"/>
      <c r="K19" s="791"/>
      <c r="L19" s="791"/>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row>
    <row r="20" spans="1:53" x14ac:dyDescent="0.2">
      <c r="A20" s="562"/>
      <c r="B20" s="562"/>
      <c r="C20" s="562"/>
      <c r="D20" s="64"/>
      <c r="E20" s="64"/>
      <c r="F20" s="791"/>
      <c r="G20" s="791"/>
      <c r="H20" s="791"/>
      <c r="I20" s="791"/>
      <c r="J20" s="791"/>
      <c r="K20" s="791"/>
      <c r="L20" s="791"/>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row>
    <row r="21" spans="1:53" x14ac:dyDescent="0.2">
      <c r="A21" s="562"/>
      <c r="B21" s="562"/>
      <c r="C21" s="562"/>
      <c r="D21" s="64"/>
      <c r="E21" s="64"/>
      <c r="F21" s="791"/>
      <c r="G21" s="791"/>
      <c r="H21" s="791"/>
      <c r="I21" s="791"/>
      <c r="J21" s="791"/>
      <c r="K21" s="791"/>
      <c r="L21" s="791"/>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row>
    <row r="22" spans="1:53" x14ac:dyDescent="0.2">
      <c r="A22" s="562"/>
      <c r="B22" s="562"/>
      <c r="C22" s="562"/>
      <c r="D22" s="64"/>
      <c r="E22" s="64"/>
      <c r="F22" s="791"/>
      <c r="G22" s="791"/>
      <c r="H22" s="791"/>
      <c r="I22" s="791"/>
      <c r="J22" s="791"/>
      <c r="K22" s="791"/>
      <c r="L22" s="791"/>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row>
    <row r="23" spans="1:53" x14ac:dyDescent="0.2">
      <c r="A23" s="562"/>
      <c r="B23" s="562"/>
      <c r="C23" s="562"/>
      <c r="D23" s="64"/>
      <c r="E23" s="64"/>
      <c r="F23" s="791"/>
      <c r="G23" s="791"/>
      <c r="H23" s="791"/>
      <c r="I23" s="791"/>
      <c r="J23" s="791"/>
      <c r="K23" s="791"/>
      <c r="L23" s="791"/>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row>
    <row r="24" spans="1:53" x14ac:dyDescent="0.2">
      <c r="A24" s="562"/>
      <c r="B24" s="562"/>
      <c r="C24" s="562"/>
      <c r="D24" s="64"/>
      <c r="E24" s="64"/>
      <c r="F24" s="791"/>
      <c r="G24" s="791"/>
      <c r="H24" s="791"/>
      <c r="I24" s="791"/>
      <c r="J24" s="791"/>
      <c r="K24" s="791"/>
      <c r="L24" s="791"/>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row>
    <row r="25" spans="1:53" x14ac:dyDescent="0.2">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row>
    <row r="26" spans="1:53" x14ac:dyDescent="0.2">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row>
    <row r="27" spans="1:53" x14ac:dyDescent="0.2">
      <c r="A27" s="562"/>
      <c r="B27" s="562"/>
      <c r="C27" s="562"/>
      <c r="D27" s="562"/>
      <c r="E27" s="562"/>
      <c r="F27" s="874" t="s">
        <v>2944</v>
      </c>
      <c r="G27" s="874"/>
      <c r="H27" s="874"/>
      <c r="I27" s="874" t="s">
        <v>2945</v>
      </c>
      <c r="J27" s="874"/>
      <c r="K27" s="874"/>
      <c r="L27" s="562"/>
      <c r="M27" s="874" t="s">
        <v>2946</v>
      </c>
      <c r="N27" s="874"/>
      <c r="O27" s="874"/>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row>
    <row r="28" spans="1:53" x14ac:dyDescent="0.2">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row>
    <row r="29" spans="1:53" ht="15" customHeight="1" x14ac:dyDescent="0.2">
      <c r="A29" s="562"/>
      <c r="B29" s="562"/>
      <c r="C29" s="562"/>
      <c r="D29" s="562"/>
      <c r="E29" s="562"/>
      <c r="F29" s="562"/>
      <c r="G29" s="562"/>
      <c r="H29" s="592"/>
      <c r="I29" s="873" t="s">
        <v>2947</v>
      </c>
      <c r="J29" s="873" t="s">
        <v>2948</v>
      </c>
      <c r="K29" s="873" t="s">
        <v>2949</v>
      </c>
      <c r="L29" s="562"/>
      <c r="M29" s="873" t="s">
        <v>2947</v>
      </c>
      <c r="N29" s="873" t="s">
        <v>2948</v>
      </c>
      <c r="O29" s="873" t="s">
        <v>2949</v>
      </c>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row>
    <row r="30" spans="1:53" x14ac:dyDescent="0.2">
      <c r="A30" s="562"/>
      <c r="B30" s="562"/>
      <c r="C30" s="562"/>
      <c r="D30" s="562"/>
      <c r="E30" s="562"/>
      <c r="F30" s="874" t="s">
        <v>2950</v>
      </c>
      <c r="G30" s="874"/>
      <c r="H30" s="875"/>
      <c r="I30" s="873"/>
      <c r="J30" s="873"/>
      <c r="K30" s="873"/>
      <c r="L30" s="562"/>
      <c r="M30" s="873"/>
      <c r="N30" s="873"/>
      <c r="O30" s="873"/>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row>
    <row r="31" spans="1:53" x14ac:dyDescent="0.2">
      <c r="A31" s="562"/>
      <c r="B31" s="562"/>
      <c r="C31" s="562"/>
      <c r="D31" s="562"/>
      <c r="E31" s="562"/>
      <c r="F31" s="562"/>
      <c r="G31" s="562"/>
      <c r="H31" s="562"/>
      <c r="I31" s="42"/>
      <c r="J31" s="648"/>
      <c r="K31" s="562"/>
      <c r="L31" s="562"/>
      <c r="N31" s="648"/>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row>
    <row r="32" spans="1:53" x14ac:dyDescent="0.2">
      <c r="A32" s="562"/>
      <c r="B32" s="562"/>
      <c r="C32" s="562"/>
      <c r="D32" s="562"/>
      <c r="E32" s="562"/>
      <c r="F32" s="592" t="s">
        <v>2951</v>
      </c>
      <c r="G32" s="562"/>
      <c r="H32" s="594" t="s">
        <v>2952</v>
      </c>
      <c r="I32" s="476"/>
      <c r="J32" s="518"/>
      <c r="K32" s="518"/>
      <c r="L32" s="519">
        <f>K32*I32</f>
        <v>0</v>
      </c>
      <c r="M32" s="476"/>
      <c r="N32" s="518"/>
      <c r="O32" s="518"/>
      <c r="P32" s="519">
        <f t="shared" ref="P32:P33" si="0">O32*M32</f>
        <v>0</v>
      </c>
      <c r="Q32" s="563"/>
      <c r="R32" s="562"/>
      <c r="S32" s="562"/>
      <c r="T32" s="562" t="b">
        <f>NOT(OR(COUNTBLANK(I32:K32) = 3, COUNTBLANK(I32:K32) = 0))</f>
        <v>0</v>
      </c>
      <c r="U32" s="562" t="b">
        <f>NOT(OR(COUNTBLANK(M32:O32) = 3, COUNTBLANK(M32:O32) = 0))</f>
        <v>0</v>
      </c>
      <c r="V32" s="562"/>
      <c r="W32" s="562" t="b">
        <f>OR(T32:U32)</f>
        <v>0</v>
      </c>
      <c r="X32" s="562" t="b">
        <f>OR(L72=0,P72=0)</f>
        <v>1</v>
      </c>
      <c r="Y32" s="562" t="b">
        <f>L72=0</f>
        <v>1</v>
      </c>
      <c r="Z32" s="562"/>
      <c r="AA32" s="562"/>
      <c r="AB32" s="562"/>
      <c r="AC32" s="562" t="s">
        <v>2940</v>
      </c>
      <c r="AD32" s="562" t="s">
        <v>3778</v>
      </c>
      <c r="AE32" s="562" t="s">
        <v>3779</v>
      </c>
      <c r="AF32" s="562" t="s">
        <v>3780</v>
      </c>
      <c r="AG32" s="562" t="s">
        <v>3781</v>
      </c>
      <c r="AH32" s="562"/>
      <c r="AI32" s="562" t="s">
        <v>3782</v>
      </c>
      <c r="AJ32" s="562" t="s">
        <v>3783</v>
      </c>
      <c r="AK32" s="562" t="s">
        <v>3784</v>
      </c>
      <c r="AL32" s="562"/>
      <c r="AM32" s="562" t="str">
        <f>"vch"&amp;$AC32&amp;$AD32&amp;AE32</f>
        <v>vch305.3.6.1_1a1</v>
      </c>
      <c r="AN32" s="510">
        <f>I32</f>
        <v>0</v>
      </c>
      <c r="AO32" s="562" t="str">
        <f t="shared" ref="AO32" si="1">"vch"&amp;$AC32&amp;$AD32&amp;AF32</f>
        <v>vch305.3.6.1_1a2</v>
      </c>
      <c r="AP32" s="510">
        <f>J32</f>
        <v>0</v>
      </c>
      <c r="AQ32" s="562" t="str">
        <f>"vch"&amp;$AC32&amp;$AD32&amp;AG32</f>
        <v>vch305.3.6.1_1a3</v>
      </c>
      <c r="AR32" s="510">
        <f>K32</f>
        <v>0</v>
      </c>
      <c r="AS32" s="562" t="str">
        <f>"vch"&amp;$AC32&amp;$AD32&amp;AH32</f>
        <v>vch305.3.6.1_1</v>
      </c>
      <c r="AT32" s="510">
        <f>M32</f>
        <v>0</v>
      </c>
      <c r="AU32" s="562" t="str">
        <f>"vch"&amp;$AC32&amp;$AD32&amp;AI32</f>
        <v>vch305.3.6.1_1b1</v>
      </c>
      <c r="AV32" s="510">
        <f>N32</f>
        <v>0</v>
      </c>
      <c r="AW32" s="562" t="str">
        <f>"vch"&amp;$AC32&amp;$AD32&amp;AJ32</f>
        <v>vch305.3.6.1_1b2</v>
      </c>
      <c r="AX32" s="510">
        <f>O32</f>
        <v>0</v>
      </c>
      <c r="AY32" s="510" t="str">
        <f>"vnt"&amp;AC32&amp;AD32</f>
        <v>vnt305.3.6.1_1</v>
      </c>
      <c r="AZ32" s="510">
        <f>Q32</f>
        <v>0</v>
      </c>
      <c r="BA32" s="510"/>
    </row>
    <row r="33" spans="1:52" x14ac:dyDescent="0.2">
      <c r="A33" s="562"/>
      <c r="B33" s="562"/>
      <c r="C33" s="562"/>
      <c r="D33" s="562"/>
      <c r="E33" s="562"/>
      <c r="F33" s="562"/>
      <c r="G33" s="562"/>
      <c r="H33" s="594" t="s">
        <v>2953</v>
      </c>
      <c r="I33" s="476"/>
      <c r="J33" s="518"/>
      <c r="K33" s="518"/>
      <c r="L33" s="519">
        <f>K33*I33</f>
        <v>0</v>
      </c>
      <c r="M33" s="476"/>
      <c r="N33" s="518"/>
      <c r="O33" s="518"/>
      <c r="P33" s="519">
        <f t="shared" si="0"/>
        <v>0</v>
      </c>
      <c r="Q33" s="563"/>
      <c r="R33" s="562"/>
      <c r="S33" s="562"/>
      <c r="T33" s="562" t="b">
        <f>NOT(OR(COUNTBLANK(I33:K33) = 3, COUNTBLANK(I33:K33) = 0))</f>
        <v>0</v>
      </c>
      <c r="U33" s="562" t="b">
        <f>NOT(OR(COUNTBLANK(M33:O33) = 3, COUNTBLANK(M33:O33) = 0))</f>
        <v>0</v>
      </c>
      <c r="V33" s="562"/>
      <c r="W33" s="562" t="b">
        <f>OR(T33:U33)</f>
        <v>0</v>
      </c>
      <c r="X33" s="562"/>
      <c r="Y33" s="562"/>
      <c r="Z33" s="562"/>
      <c r="AA33" s="562"/>
      <c r="AB33" s="562"/>
      <c r="AC33" s="562" t="s">
        <v>2940</v>
      </c>
      <c r="AD33" s="562" t="s">
        <v>3785</v>
      </c>
      <c r="AE33" s="562" t="s">
        <v>3779</v>
      </c>
      <c r="AF33" s="562" t="s">
        <v>3780</v>
      </c>
      <c r="AG33" s="562" t="s">
        <v>3781</v>
      </c>
      <c r="AH33" s="562"/>
      <c r="AI33" s="562" t="s">
        <v>3782</v>
      </c>
      <c r="AJ33" s="562" t="s">
        <v>3783</v>
      </c>
      <c r="AK33" s="562" t="s">
        <v>3784</v>
      </c>
      <c r="AL33" s="562"/>
      <c r="AM33" s="562" t="str">
        <f>"vch"&amp;$AC33&amp;$AD33&amp;AE33</f>
        <v>vch305.3.6.1_2a1</v>
      </c>
      <c r="AN33" s="510">
        <f>I33</f>
        <v>0</v>
      </c>
      <c r="AO33" s="562" t="str">
        <f t="shared" ref="AO33" si="2">"vch"&amp;$AC33&amp;$AD33&amp;AF33</f>
        <v>vch305.3.6.1_2a2</v>
      </c>
      <c r="AP33" s="510">
        <f>J33</f>
        <v>0</v>
      </c>
      <c r="AQ33" s="562" t="str">
        <f>"vch"&amp;$AC33&amp;$AD33&amp;AG33</f>
        <v>vch305.3.6.1_2a3</v>
      </c>
      <c r="AR33" s="510">
        <f>K33</f>
        <v>0</v>
      </c>
      <c r="AS33" s="562" t="str">
        <f>"vch"&amp;$AC33&amp;$AD33&amp;AH33</f>
        <v>vch305.3.6.1_2</v>
      </c>
      <c r="AT33" s="510">
        <f>M33</f>
        <v>0</v>
      </c>
      <c r="AU33" s="562" t="str">
        <f>"vch"&amp;$AC33&amp;$AD33&amp;AI33</f>
        <v>vch305.3.6.1_2b1</v>
      </c>
      <c r="AV33" s="510">
        <f>N33</f>
        <v>0</v>
      </c>
      <c r="AW33" s="562" t="str">
        <f>"vch"&amp;$AC33&amp;$AD33&amp;AJ33</f>
        <v>vch305.3.6.1_2b2</v>
      </c>
      <c r="AX33" s="510">
        <f>O33</f>
        <v>0</v>
      </c>
      <c r="AY33" s="510" t="str">
        <f t="shared" ref="AY33:AY70" si="3">"vnt"&amp;AC33&amp;AD33</f>
        <v>vnt305.3.6.1_2</v>
      </c>
      <c r="AZ33" s="510">
        <f t="shared" ref="AZ33:AZ70" si="4">Q33</f>
        <v>0</v>
      </c>
    </row>
    <row r="34" spans="1:52" x14ac:dyDescent="0.2">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t="s">
        <v>2940</v>
      </c>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10"/>
      <c r="AZ34" s="510"/>
    </row>
    <row r="35" spans="1:52" x14ac:dyDescent="0.2">
      <c r="A35" s="562"/>
      <c r="B35" s="562"/>
      <c r="C35" s="562"/>
      <c r="D35" s="562"/>
      <c r="E35" s="562"/>
      <c r="F35" s="592" t="s">
        <v>2954</v>
      </c>
      <c r="G35" s="562"/>
      <c r="H35" s="594" t="s">
        <v>2955</v>
      </c>
      <c r="I35" s="476"/>
      <c r="J35" s="518"/>
      <c r="K35" s="518"/>
      <c r="L35" s="519">
        <f t="shared" ref="L35:L39" si="5">K35*I35</f>
        <v>0</v>
      </c>
      <c r="M35" s="476"/>
      <c r="N35" s="518"/>
      <c r="O35" s="518"/>
      <c r="P35" s="519">
        <f t="shared" ref="P35:P39" si="6">O35*M35</f>
        <v>0</v>
      </c>
      <c r="Q35" s="563"/>
      <c r="R35" s="562"/>
      <c r="S35" s="562"/>
      <c r="T35" s="562" t="b">
        <f t="shared" ref="T35:T39" si="7">NOT(OR(COUNTBLANK(I35:K35) = 3, COUNTBLANK(I35:K35) = 0))</f>
        <v>0</v>
      </c>
      <c r="U35" s="562" t="b">
        <f t="shared" ref="U35:U39" si="8">NOT(OR(COUNTBLANK(M35:O35) = 3, COUNTBLANK(M35:O35) = 0))</f>
        <v>0</v>
      </c>
      <c r="V35" s="562"/>
      <c r="W35" s="562" t="b">
        <f>OR(T35:U35)</f>
        <v>0</v>
      </c>
      <c r="X35" s="562"/>
      <c r="Y35" s="562"/>
      <c r="Z35" s="562"/>
      <c r="AA35" s="562"/>
      <c r="AB35" s="562"/>
      <c r="AC35" s="562" t="s">
        <v>2940</v>
      </c>
      <c r="AD35" s="562" t="s">
        <v>3786</v>
      </c>
      <c r="AE35" s="562" t="s">
        <v>3779</v>
      </c>
      <c r="AF35" s="562" t="s">
        <v>3780</v>
      </c>
      <c r="AG35" s="562" t="s">
        <v>3781</v>
      </c>
      <c r="AH35" s="562"/>
      <c r="AI35" s="562" t="s">
        <v>3782</v>
      </c>
      <c r="AJ35" s="562" t="s">
        <v>3783</v>
      </c>
      <c r="AK35" s="562" t="s">
        <v>3784</v>
      </c>
      <c r="AL35" s="562"/>
      <c r="AM35" s="562" t="str">
        <f t="shared" ref="AM35:AM39" si="9">"vch"&amp;$AC35&amp;$AD35&amp;AE35</f>
        <v>vch305.3.6.1_3a1</v>
      </c>
      <c r="AN35" s="510">
        <f t="shared" ref="AN35:AN39" si="10">I35</f>
        <v>0</v>
      </c>
      <c r="AO35" s="562" t="str">
        <f t="shared" ref="AO35:AO39" si="11">"vch"&amp;$AC35&amp;$AD35&amp;AF35</f>
        <v>vch305.3.6.1_3a2</v>
      </c>
      <c r="AP35" s="510">
        <f t="shared" ref="AP35:AP39" si="12">J35</f>
        <v>0</v>
      </c>
      <c r="AQ35" s="562" t="str">
        <f t="shared" ref="AQ35:AQ39" si="13">"vch"&amp;$AC35&amp;$AD35&amp;AG35</f>
        <v>vch305.3.6.1_3a3</v>
      </c>
      <c r="AR35" s="510">
        <f t="shared" ref="AR35:AR39" si="14">K35</f>
        <v>0</v>
      </c>
      <c r="AS35" s="562" t="str">
        <f t="shared" ref="AS35:AS39" si="15">"vch"&amp;$AC35&amp;$AD35&amp;AH35</f>
        <v>vch305.3.6.1_3</v>
      </c>
      <c r="AT35" s="510">
        <f t="shared" ref="AT35:AT39" si="16">M35</f>
        <v>0</v>
      </c>
      <c r="AU35" s="562" t="str">
        <f t="shared" ref="AU35:AU39" si="17">"vch"&amp;$AC35&amp;$AD35&amp;AI35</f>
        <v>vch305.3.6.1_3b1</v>
      </c>
      <c r="AV35" s="510">
        <f t="shared" ref="AV35:AV39" si="18">N35</f>
        <v>0</v>
      </c>
      <c r="AW35" s="562" t="str">
        <f t="shared" ref="AW35:AW39" si="19">"vch"&amp;$AC35&amp;$AD35&amp;AJ35</f>
        <v>vch305.3.6.1_3b2</v>
      </c>
      <c r="AX35" s="510">
        <f t="shared" ref="AX35:AX39" si="20">O35</f>
        <v>0</v>
      </c>
      <c r="AY35" s="510" t="str">
        <f t="shared" si="3"/>
        <v>vnt305.3.6.1_3</v>
      </c>
      <c r="AZ35" s="510">
        <f t="shared" si="4"/>
        <v>0</v>
      </c>
    </row>
    <row r="36" spans="1:52" x14ac:dyDescent="0.2">
      <c r="A36" s="562"/>
      <c r="B36" s="562"/>
      <c r="C36" s="562"/>
      <c r="D36" s="562"/>
      <c r="E36" s="562"/>
      <c r="F36" s="562"/>
      <c r="G36" s="562"/>
      <c r="H36" s="594" t="s">
        <v>2956</v>
      </c>
      <c r="I36" s="476"/>
      <c r="J36" s="518"/>
      <c r="K36" s="518"/>
      <c r="L36" s="519">
        <f t="shared" si="5"/>
        <v>0</v>
      </c>
      <c r="M36" s="476"/>
      <c r="N36" s="518"/>
      <c r="O36" s="518"/>
      <c r="P36" s="519">
        <f t="shared" si="6"/>
        <v>0</v>
      </c>
      <c r="Q36" s="563"/>
      <c r="R36" s="562"/>
      <c r="S36" s="562"/>
      <c r="T36" s="562" t="b">
        <f t="shared" si="7"/>
        <v>0</v>
      </c>
      <c r="U36" s="562" t="b">
        <f t="shared" si="8"/>
        <v>0</v>
      </c>
      <c r="V36" s="562"/>
      <c r="W36" s="562" t="b">
        <f t="shared" ref="W36:W39" si="21">OR(T36:U36)</f>
        <v>0</v>
      </c>
      <c r="X36" s="562"/>
      <c r="Y36" s="562"/>
      <c r="Z36" s="562"/>
      <c r="AA36" s="562"/>
      <c r="AB36" s="562"/>
      <c r="AC36" s="562" t="s">
        <v>2940</v>
      </c>
      <c r="AD36" s="562" t="s">
        <v>3787</v>
      </c>
      <c r="AE36" s="562" t="s">
        <v>3779</v>
      </c>
      <c r="AF36" s="562" t="s">
        <v>3780</v>
      </c>
      <c r="AG36" s="562" t="s">
        <v>3781</v>
      </c>
      <c r="AH36" s="562"/>
      <c r="AI36" s="562" t="s">
        <v>3782</v>
      </c>
      <c r="AJ36" s="562" t="s">
        <v>3783</v>
      </c>
      <c r="AK36" s="562" t="s">
        <v>3784</v>
      </c>
      <c r="AL36" s="562"/>
      <c r="AM36" s="562" t="str">
        <f t="shared" si="9"/>
        <v>vch305.3.6.1_4a1</v>
      </c>
      <c r="AN36" s="510">
        <f t="shared" si="10"/>
        <v>0</v>
      </c>
      <c r="AO36" s="562" t="str">
        <f t="shared" si="11"/>
        <v>vch305.3.6.1_4a2</v>
      </c>
      <c r="AP36" s="510">
        <f t="shared" si="12"/>
        <v>0</v>
      </c>
      <c r="AQ36" s="562" t="str">
        <f t="shared" si="13"/>
        <v>vch305.3.6.1_4a3</v>
      </c>
      <c r="AR36" s="510">
        <f t="shared" si="14"/>
        <v>0</v>
      </c>
      <c r="AS36" s="562" t="str">
        <f t="shared" si="15"/>
        <v>vch305.3.6.1_4</v>
      </c>
      <c r="AT36" s="510">
        <f t="shared" si="16"/>
        <v>0</v>
      </c>
      <c r="AU36" s="562" t="str">
        <f t="shared" si="17"/>
        <v>vch305.3.6.1_4b1</v>
      </c>
      <c r="AV36" s="510">
        <f t="shared" si="18"/>
        <v>0</v>
      </c>
      <c r="AW36" s="562" t="str">
        <f t="shared" si="19"/>
        <v>vch305.3.6.1_4b2</v>
      </c>
      <c r="AX36" s="510">
        <f t="shared" si="20"/>
        <v>0</v>
      </c>
      <c r="AY36" s="510" t="str">
        <f t="shared" si="3"/>
        <v>vnt305.3.6.1_4</v>
      </c>
      <c r="AZ36" s="510">
        <f t="shared" si="4"/>
        <v>0</v>
      </c>
    </row>
    <row r="37" spans="1:52" x14ac:dyDescent="0.2">
      <c r="A37" s="562"/>
      <c r="B37" s="562"/>
      <c r="C37" s="562"/>
      <c r="D37" s="562"/>
      <c r="E37" s="562"/>
      <c r="F37" s="562"/>
      <c r="G37" s="562"/>
      <c r="H37" s="594" t="s">
        <v>2957</v>
      </c>
      <c r="I37" s="476"/>
      <c r="J37" s="518"/>
      <c r="K37" s="518"/>
      <c r="L37" s="519">
        <f t="shared" si="5"/>
        <v>0</v>
      </c>
      <c r="M37" s="476"/>
      <c r="N37" s="518"/>
      <c r="O37" s="518"/>
      <c r="P37" s="519">
        <f t="shared" si="6"/>
        <v>0</v>
      </c>
      <c r="Q37" s="563"/>
      <c r="R37" s="562"/>
      <c r="S37" s="562"/>
      <c r="T37" s="562" t="b">
        <f t="shared" si="7"/>
        <v>0</v>
      </c>
      <c r="U37" s="562" t="b">
        <f t="shared" si="8"/>
        <v>0</v>
      </c>
      <c r="V37" s="562"/>
      <c r="W37" s="562" t="b">
        <f t="shared" si="21"/>
        <v>0</v>
      </c>
      <c r="X37" s="562"/>
      <c r="Y37" s="562"/>
      <c r="Z37" s="562"/>
      <c r="AA37" s="562"/>
      <c r="AB37" s="562"/>
      <c r="AC37" s="562" t="s">
        <v>2940</v>
      </c>
      <c r="AD37" s="562" t="s">
        <v>3788</v>
      </c>
      <c r="AE37" s="562" t="s">
        <v>3779</v>
      </c>
      <c r="AF37" s="562" t="s">
        <v>3780</v>
      </c>
      <c r="AG37" s="562" t="s">
        <v>3781</v>
      </c>
      <c r="AH37" s="562"/>
      <c r="AI37" s="562" t="s">
        <v>3782</v>
      </c>
      <c r="AJ37" s="562" t="s">
        <v>3783</v>
      </c>
      <c r="AK37" s="562" t="s">
        <v>3784</v>
      </c>
      <c r="AL37" s="562"/>
      <c r="AM37" s="562" t="str">
        <f t="shared" si="9"/>
        <v>vch305.3.6.1_5a1</v>
      </c>
      <c r="AN37" s="510">
        <f t="shared" si="10"/>
        <v>0</v>
      </c>
      <c r="AO37" s="562" t="str">
        <f t="shared" si="11"/>
        <v>vch305.3.6.1_5a2</v>
      </c>
      <c r="AP37" s="510">
        <f t="shared" si="12"/>
        <v>0</v>
      </c>
      <c r="AQ37" s="562" t="str">
        <f t="shared" si="13"/>
        <v>vch305.3.6.1_5a3</v>
      </c>
      <c r="AR37" s="510">
        <f t="shared" si="14"/>
        <v>0</v>
      </c>
      <c r="AS37" s="562" t="str">
        <f t="shared" si="15"/>
        <v>vch305.3.6.1_5</v>
      </c>
      <c r="AT37" s="510">
        <f t="shared" si="16"/>
        <v>0</v>
      </c>
      <c r="AU37" s="562" t="str">
        <f t="shared" si="17"/>
        <v>vch305.3.6.1_5b1</v>
      </c>
      <c r="AV37" s="510">
        <f t="shared" si="18"/>
        <v>0</v>
      </c>
      <c r="AW37" s="562" t="str">
        <f t="shared" si="19"/>
        <v>vch305.3.6.1_5b2</v>
      </c>
      <c r="AX37" s="510">
        <f t="shared" si="20"/>
        <v>0</v>
      </c>
      <c r="AY37" s="510" t="str">
        <f t="shared" si="3"/>
        <v>vnt305.3.6.1_5</v>
      </c>
      <c r="AZ37" s="510">
        <f t="shared" si="4"/>
        <v>0</v>
      </c>
    </row>
    <row r="38" spans="1:52" x14ac:dyDescent="0.2">
      <c r="A38" s="562"/>
      <c r="B38" s="562"/>
      <c r="C38" s="562"/>
      <c r="D38" s="562"/>
      <c r="E38" s="562"/>
      <c r="F38" s="562"/>
      <c r="G38" s="562"/>
      <c r="H38" s="594" t="s">
        <v>2958</v>
      </c>
      <c r="I38" s="476"/>
      <c r="J38" s="518"/>
      <c r="K38" s="518"/>
      <c r="L38" s="519">
        <f t="shared" si="5"/>
        <v>0</v>
      </c>
      <c r="M38" s="476"/>
      <c r="N38" s="518"/>
      <c r="O38" s="518"/>
      <c r="P38" s="519">
        <f t="shared" si="6"/>
        <v>0</v>
      </c>
      <c r="Q38" s="563"/>
      <c r="R38" s="562"/>
      <c r="S38" s="562"/>
      <c r="T38" s="562" t="b">
        <f>NOT(OR(COUNTBLANK(I38:K38) = 3, COUNTBLANK(I38:K38) = 0))</f>
        <v>0</v>
      </c>
      <c r="U38" s="562" t="b">
        <f t="shared" si="8"/>
        <v>0</v>
      </c>
      <c r="V38" s="562"/>
      <c r="W38" s="562" t="b">
        <f t="shared" si="21"/>
        <v>0</v>
      </c>
      <c r="X38" s="562"/>
      <c r="Y38" s="562"/>
      <c r="Z38" s="562"/>
      <c r="AA38" s="562"/>
      <c r="AB38" s="562"/>
      <c r="AC38" s="562" t="s">
        <v>2940</v>
      </c>
      <c r="AD38" s="562" t="s">
        <v>3789</v>
      </c>
      <c r="AE38" s="562" t="s">
        <v>3779</v>
      </c>
      <c r="AF38" s="562" t="s">
        <v>3780</v>
      </c>
      <c r="AG38" s="562" t="s">
        <v>3781</v>
      </c>
      <c r="AH38" s="562"/>
      <c r="AI38" s="562" t="s">
        <v>3782</v>
      </c>
      <c r="AJ38" s="562" t="s">
        <v>3783</v>
      </c>
      <c r="AK38" s="562" t="s">
        <v>3784</v>
      </c>
      <c r="AL38" s="562"/>
      <c r="AM38" s="562" t="str">
        <f t="shared" si="9"/>
        <v>vch305.3.6.1_6a1</v>
      </c>
      <c r="AN38" s="510">
        <f t="shared" si="10"/>
        <v>0</v>
      </c>
      <c r="AO38" s="562" t="str">
        <f t="shared" si="11"/>
        <v>vch305.3.6.1_6a2</v>
      </c>
      <c r="AP38" s="510">
        <f t="shared" si="12"/>
        <v>0</v>
      </c>
      <c r="AQ38" s="562" t="str">
        <f t="shared" si="13"/>
        <v>vch305.3.6.1_6a3</v>
      </c>
      <c r="AR38" s="510">
        <f t="shared" si="14"/>
        <v>0</v>
      </c>
      <c r="AS38" s="562" t="str">
        <f t="shared" si="15"/>
        <v>vch305.3.6.1_6</v>
      </c>
      <c r="AT38" s="510">
        <f t="shared" si="16"/>
        <v>0</v>
      </c>
      <c r="AU38" s="562" t="str">
        <f t="shared" si="17"/>
        <v>vch305.3.6.1_6b1</v>
      </c>
      <c r="AV38" s="510">
        <f t="shared" si="18"/>
        <v>0</v>
      </c>
      <c r="AW38" s="562" t="str">
        <f t="shared" si="19"/>
        <v>vch305.3.6.1_6b2</v>
      </c>
      <c r="AX38" s="510">
        <f t="shared" si="20"/>
        <v>0</v>
      </c>
      <c r="AY38" s="510" t="str">
        <f t="shared" si="3"/>
        <v>vnt305.3.6.1_6</v>
      </c>
      <c r="AZ38" s="510">
        <f t="shared" si="4"/>
        <v>0</v>
      </c>
    </row>
    <row r="39" spans="1:52" x14ac:dyDescent="0.2">
      <c r="A39" s="562"/>
      <c r="B39" s="562"/>
      <c r="C39" s="562"/>
      <c r="D39" s="562"/>
      <c r="E39" s="562"/>
      <c r="F39" s="562"/>
      <c r="G39" s="562"/>
      <c r="H39" s="594" t="s">
        <v>2959</v>
      </c>
      <c r="I39" s="476"/>
      <c r="J39" s="518"/>
      <c r="K39" s="518"/>
      <c r="L39" s="519">
        <f t="shared" si="5"/>
        <v>0</v>
      </c>
      <c r="M39" s="476"/>
      <c r="N39" s="518"/>
      <c r="O39" s="518"/>
      <c r="P39" s="519">
        <f t="shared" si="6"/>
        <v>0</v>
      </c>
      <c r="Q39" s="563"/>
      <c r="R39" s="562"/>
      <c r="S39" s="562"/>
      <c r="T39" s="562" t="b">
        <f t="shared" si="7"/>
        <v>0</v>
      </c>
      <c r="U39" s="562" t="b">
        <f t="shared" si="8"/>
        <v>0</v>
      </c>
      <c r="V39" s="562"/>
      <c r="W39" s="562" t="b">
        <f t="shared" si="21"/>
        <v>0</v>
      </c>
      <c r="X39" s="562"/>
      <c r="Y39" s="562"/>
      <c r="Z39" s="562"/>
      <c r="AA39" s="562"/>
      <c r="AB39" s="562"/>
      <c r="AC39" s="562" t="s">
        <v>2940</v>
      </c>
      <c r="AD39" s="562" t="s">
        <v>3790</v>
      </c>
      <c r="AE39" s="562" t="s">
        <v>3779</v>
      </c>
      <c r="AF39" s="562" t="s">
        <v>3780</v>
      </c>
      <c r="AG39" s="562" t="s">
        <v>3781</v>
      </c>
      <c r="AH39" s="562"/>
      <c r="AI39" s="562" t="s">
        <v>3782</v>
      </c>
      <c r="AJ39" s="562" t="s">
        <v>3783</v>
      </c>
      <c r="AK39" s="562" t="s">
        <v>3784</v>
      </c>
      <c r="AL39" s="562"/>
      <c r="AM39" s="562" t="str">
        <f t="shared" si="9"/>
        <v>vch305.3.6.1_7a1</v>
      </c>
      <c r="AN39" s="510">
        <f t="shared" si="10"/>
        <v>0</v>
      </c>
      <c r="AO39" s="562" t="str">
        <f t="shared" si="11"/>
        <v>vch305.3.6.1_7a2</v>
      </c>
      <c r="AP39" s="510">
        <f t="shared" si="12"/>
        <v>0</v>
      </c>
      <c r="AQ39" s="562" t="str">
        <f t="shared" si="13"/>
        <v>vch305.3.6.1_7a3</v>
      </c>
      <c r="AR39" s="510">
        <f t="shared" si="14"/>
        <v>0</v>
      </c>
      <c r="AS39" s="562" t="str">
        <f t="shared" si="15"/>
        <v>vch305.3.6.1_7</v>
      </c>
      <c r="AT39" s="510">
        <f t="shared" si="16"/>
        <v>0</v>
      </c>
      <c r="AU39" s="562" t="str">
        <f t="shared" si="17"/>
        <v>vch305.3.6.1_7b1</v>
      </c>
      <c r="AV39" s="510">
        <f t="shared" si="18"/>
        <v>0</v>
      </c>
      <c r="AW39" s="562" t="str">
        <f t="shared" si="19"/>
        <v>vch305.3.6.1_7b2</v>
      </c>
      <c r="AX39" s="510">
        <f t="shared" si="20"/>
        <v>0</v>
      </c>
      <c r="AY39" s="510" t="str">
        <f t="shared" si="3"/>
        <v>vnt305.3.6.1_7</v>
      </c>
      <c r="AZ39" s="510">
        <f t="shared" si="4"/>
        <v>0</v>
      </c>
    </row>
    <row r="40" spans="1:52" x14ac:dyDescent="0.2">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t="s">
        <v>2940</v>
      </c>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10"/>
      <c r="AZ40" s="510"/>
    </row>
    <row r="41" spans="1:52" x14ac:dyDescent="0.2">
      <c r="A41" s="562"/>
      <c r="B41" s="562"/>
      <c r="C41" s="562"/>
      <c r="D41" s="562"/>
      <c r="E41" s="562"/>
      <c r="F41" s="592" t="s">
        <v>2960</v>
      </c>
      <c r="G41" s="562"/>
      <c r="H41" s="594" t="s">
        <v>2955</v>
      </c>
      <c r="I41" s="476"/>
      <c r="J41" s="518"/>
      <c r="K41" s="518"/>
      <c r="L41" s="519">
        <f t="shared" ref="L41:L45" si="22">K41*I41</f>
        <v>0</v>
      </c>
      <c r="M41" s="476"/>
      <c r="N41" s="518"/>
      <c r="O41" s="518"/>
      <c r="P41" s="519">
        <f t="shared" ref="P41:P45" si="23">O41*M41</f>
        <v>0</v>
      </c>
      <c r="Q41" s="563"/>
      <c r="R41" s="562"/>
      <c r="S41" s="562"/>
      <c r="T41" s="562" t="b">
        <f t="shared" ref="T41:T45" si="24">NOT(OR(COUNTBLANK(I41:K41) = 3, COUNTBLANK(I41:K41) = 0))</f>
        <v>0</v>
      </c>
      <c r="U41" s="562" t="b">
        <f t="shared" ref="U41:U45" si="25">NOT(OR(COUNTBLANK(M41:O41) = 3, COUNTBLANK(M41:O41) = 0))</f>
        <v>0</v>
      </c>
      <c r="V41" s="562"/>
      <c r="W41" s="562" t="b">
        <f t="shared" ref="W41:W45" si="26">OR(T41:U41)</f>
        <v>0</v>
      </c>
      <c r="X41" s="562"/>
      <c r="Y41" s="562"/>
      <c r="Z41" s="562"/>
      <c r="AA41" s="562"/>
      <c r="AB41" s="562"/>
      <c r="AC41" s="562" t="s">
        <v>2940</v>
      </c>
      <c r="AD41" s="562" t="s">
        <v>3791</v>
      </c>
      <c r="AE41" s="562" t="s">
        <v>3779</v>
      </c>
      <c r="AF41" s="562" t="s">
        <v>3780</v>
      </c>
      <c r="AG41" s="562" t="s">
        <v>3781</v>
      </c>
      <c r="AH41" s="562"/>
      <c r="AI41" s="562" t="s">
        <v>3782</v>
      </c>
      <c r="AJ41" s="562" t="s">
        <v>3783</v>
      </c>
      <c r="AK41" s="562" t="s">
        <v>3784</v>
      </c>
      <c r="AL41" s="562"/>
      <c r="AM41" s="562" t="str">
        <f t="shared" ref="AM41:AM45" si="27">"vch"&amp;$AC41&amp;$AD41&amp;AE41</f>
        <v>vch305.3.6.1_8a1</v>
      </c>
      <c r="AN41" s="510">
        <f t="shared" ref="AN41:AN45" si="28">I41</f>
        <v>0</v>
      </c>
      <c r="AO41" s="562" t="str">
        <f t="shared" ref="AO41:AO45" si="29">"vch"&amp;$AC41&amp;$AD41&amp;AF41</f>
        <v>vch305.3.6.1_8a2</v>
      </c>
      <c r="AP41" s="510">
        <f t="shared" ref="AP41:AP45" si="30">J41</f>
        <v>0</v>
      </c>
      <c r="AQ41" s="562" t="str">
        <f t="shared" ref="AQ41:AQ45" si="31">"vch"&amp;$AC41&amp;$AD41&amp;AG41</f>
        <v>vch305.3.6.1_8a3</v>
      </c>
      <c r="AR41" s="510">
        <f t="shared" ref="AR41:AR45" si="32">K41</f>
        <v>0</v>
      </c>
      <c r="AS41" s="562" t="str">
        <f t="shared" ref="AS41:AS45" si="33">"vch"&amp;$AC41&amp;$AD41&amp;AH41</f>
        <v>vch305.3.6.1_8</v>
      </c>
      <c r="AT41" s="510">
        <f t="shared" ref="AT41:AT45" si="34">M41</f>
        <v>0</v>
      </c>
      <c r="AU41" s="562" t="str">
        <f t="shared" ref="AU41:AU45" si="35">"vch"&amp;$AC41&amp;$AD41&amp;AI41</f>
        <v>vch305.3.6.1_8b1</v>
      </c>
      <c r="AV41" s="510">
        <f t="shared" ref="AV41:AV45" si="36">N41</f>
        <v>0</v>
      </c>
      <c r="AW41" s="562" t="str">
        <f t="shared" ref="AW41:AW45" si="37">"vch"&amp;$AC41&amp;$AD41&amp;AJ41</f>
        <v>vch305.3.6.1_8b2</v>
      </c>
      <c r="AX41" s="510">
        <f t="shared" ref="AX41:AX45" si="38">O41</f>
        <v>0</v>
      </c>
      <c r="AY41" s="510" t="str">
        <f t="shared" si="3"/>
        <v>vnt305.3.6.1_8</v>
      </c>
      <c r="AZ41" s="510">
        <f t="shared" si="4"/>
        <v>0</v>
      </c>
    </row>
    <row r="42" spans="1:52" x14ac:dyDescent="0.2">
      <c r="A42" s="562"/>
      <c r="B42" s="562"/>
      <c r="C42" s="562"/>
      <c r="D42" s="562"/>
      <c r="E42" s="562"/>
      <c r="F42" s="562"/>
      <c r="G42" s="562"/>
      <c r="H42" s="594" t="s">
        <v>2956</v>
      </c>
      <c r="I42" s="476"/>
      <c r="J42" s="518"/>
      <c r="K42" s="518"/>
      <c r="L42" s="519">
        <f t="shared" si="22"/>
        <v>0</v>
      </c>
      <c r="M42" s="476"/>
      <c r="N42" s="518"/>
      <c r="O42" s="518"/>
      <c r="P42" s="519">
        <f t="shared" si="23"/>
        <v>0</v>
      </c>
      <c r="Q42" s="563"/>
      <c r="R42" s="562"/>
      <c r="S42" s="562"/>
      <c r="T42" s="562" t="b">
        <f t="shared" si="24"/>
        <v>0</v>
      </c>
      <c r="U42" s="562" t="b">
        <f t="shared" si="25"/>
        <v>0</v>
      </c>
      <c r="V42" s="562"/>
      <c r="W42" s="562" t="b">
        <f t="shared" si="26"/>
        <v>0</v>
      </c>
      <c r="X42" s="562"/>
      <c r="Y42" s="562"/>
      <c r="Z42" s="562"/>
      <c r="AA42" s="562"/>
      <c r="AB42" s="562"/>
      <c r="AC42" s="562" t="s">
        <v>2940</v>
      </c>
      <c r="AD42" s="562" t="s">
        <v>3792</v>
      </c>
      <c r="AE42" s="562" t="s">
        <v>3779</v>
      </c>
      <c r="AF42" s="562" t="s">
        <v>3780</v>
      </c>
      <c r="AG42" s="562" t="s">
        <v>3781</v>
      </c>
      <c r="AH42" s="562"/>
      <c r="AI42" s="562" t="s">
        <v>3782</v>
      </c>
      <c r="AJ42" s="562" t="s">
        <v>3783</v>
      </c>
      <c r="AK42" s="562" t="s">
        <v>3784</v>
      </c>
      <c r="AL42" s="562"/>
      <c r="AM42" s="562" t="str">
        <f t="shared" si="27"/>
        <v>vch305.3.6.1_9a1</v>
      </c>
      <c r="AN42" s="510">
        <f t="shared" si="28"/>
        <v>0</v>
      </c>
      <c r="AO42" s="562" t="str">
        <f t="shared" si="29"/>
        <v>vch305.3.6.1_9a2</v>
      </c>
      <c r="AP42" s="510">
        <f t="shared" si="30"/>
        <v>0</v>
      </c>
      <c r="AQ42" s="562" t="str">
        <f t="shared" si="31"/>
        <v>vch305.3.6.1_9a3</v>
      </c>
      <c r="AR42" s="510">
        <f t="shared" si="32"/>
        <v>0</v>
      </c>
      <c r="AS42" s="562" t="str">
        <f t="shared" si="33"/>
        <v>vch305.3.6.1_9</v>
      </c>
      <c r="AT42" s="510">
        <f t="shared" si="34"/>
        <v>0</v>
      </c>
      <c r="AU42" s="562" t="str">
        <f t="shared" si="35"/>
        <v>vch305.3.6.1_9b1</v>
      </c>
      <c r="AV42" s="510">
        <f t="shared" si="36"/>
        <v>0</v>
      </c>
      <c r="AW42" s="562" t="str">
        <f t="shared" si="37"/>
        <v>vch305.3.6.1_9b2</v>
      </c>
      <c r="AX42" s="510">
        <f t="shared" si="38"/>
        <v>0</v>
      </c>
      <c r="AY42" s="510" t="str">
        <f t="shared" si="3"/>
        <v>vnt305.3.6.1_9</v>
      </c>
      <c r="AZ42" s="510">
        <f t="shared" si="4"/>
        <v>0</v>
      </c>
    </row>
    <row r="43" spans="1:52" x14ac:dyDescent="0.2">
      <c r="A43" s="562"/>
      <c r="B43" s="562"/>
      <c r="C43" s="562"/>
      <c r="D43" s="562"/>
      <c r="E43" s="562"/>
      <c r="F43" s="562"/>
      <c r="G43" s="562"/>
      <c r="H43" s="594" t="s">
        <v>2957</v>
      </c>
      <c r="I43" s="476"/>
      <c r="J43" s="518"/>
      <c r="K43" s="518"/>
      <c r="L43" s="519">
        <f t="shared" si="22"/>
        <v>0</v>
      </c>
      <c r="M43" s="476"/>
      <c r="N43" s="518"/>
      <c r="O43" s="518"/>
      <c r="P43" s="519">
        <f t="shared" si="23"/>
        <v>0</v>
      </c>
      <c r="Q43" s="563"/>
      <c r="R43" s="562"/>
      <c r="S43" s="562"/>
      <c r="T43" s="562" t="b">
        <f t="shared" si="24"/>
        <v>0</v>
      </c>
      <c r="U43" s="562" t="b">
        <f t="shared" si="25"/>
        <v>0</v>
      </c>
      <c r="V43" s="562"/>
      <c r="W43" s="562" t="b">
        <f t="shared" si="26"/>
        <v>0</v>
      </c>
      <c r="X43" s="562"/>
      <c r="Y43" s="562"/>
      <c r="Z43" s="562"/>
      <c r="AA43" s="562"/>
      <c r="AB43" s="562"/>
      <c r="AC43" s="562" t="s">
        <v>2940</v>
      </c>
      <c r="AD43" s="562" t="s">
        <v>3793</v>
      </c>
      <c r="AE43" s="562" t="s">
        <v>3779</v>
      </c>
      <c r="AF43" s="562" t="s">
        <v>3780</v>
      </c>
      <c r="AG43" s="562" t="s">
        <v>3781</v>
      </c>
      <c r="AH43" s="562"/>
      <c r="AI43" s="562" t="s">
        <v>3782</v>
      </c>
      <c r="AJ43" s="562" t="s">
        <v>3783</v>
      </c>
      <c r="AK43" s="562" t="s">
        <v>3784</v>
      </c>
      <c r="AL43" s="562"/>
      <c r="AM43" s="562" t="str">
        <f t="shared" si="27"/>
        <v>vch305.3.6.1_10a1</v>
      </c>
      <c r="AN43" s="510">
        <f t="shared" si="28"/>
        <v>0</v>
      </c>
      <c r="AO43" s="562" t="str">
        <f t="shared" si="29"/>
        <v>vch305.3.6.1_10a2</v>
      </c>
      <c r="AP43" s="510">
        <f t="shared" si="30"/>
        <v>0</v>
      </c>
      <c r="AQ43" s="562" t="str">
        <f t="shared" si="31"/>
        <v>vch305.3.6.1_10a3</v>
      </c>
      <c r="AR43" s="510">
        <f t="shared" si="32"/>
        <v>0</v>
      </c>
      <c r="AS43" s="562" t="str">
        <f t="shared" si="33"/>
        <v>vch305.3.6.1_10</v>
      </c>
      <c r="AT43" s="510">
        <f t="shared" si="34"/>
        <v>0</v>
      </c>
      <c r="AU43" s="562" t="str">
        <f t="shared" si="35"/>
        <v>vch305.3.6.1_10b1</v>
      </c>
      <c r="AV43" s="510">
        <f t="shared" si="36"/>
        <v>0</v>
      </c>
      <c r="AW43" s="562" t="str">
        <f t="shared" si="37"/>
        <v>vch305.3.6.1_10b2</v>
      </c>
      <c r="AX43" s="510">
        <f t="shared" si="38"/>
        <v>0</v>
      </c>
      <c r="AY43" s="510" t="str">
        <f t="shared" si="3"/>
        <v>vnt305.3.6.1_10</v>
      </c>
      <c r="AZ43" s="510">
        <f t="shared" si="4"/>
        <v>0</v>
      </c>
    </row>
    <row r="44" spans="1:52" x14ac:dyDescent="0.2">
      <c r="A44" s="562"/>
      <c r="B44" s="562"/>
      <c r="C44" s="562"/>
      <c r="D44" s="562"/>
      <c r="E44" s="562"/>
      <c r="F44" s="562"/>
      <c r="G44" s="562"/>
      <c r="H44" s="594" t="s">
        <v>2958</v>
      </c>
      <c r="I44" s="476"/>
      <c r="J44" s="518"/>
      <c r="K44" s="518"/>
      <c r="L44" s="519">
        <f t="shared" si="22"/>
        <v>0</v>
      </c>
      <c r="M44" s="476"/>
      <c r="N44" s="518"/>
      <c r="O44" s="518"/>
      <c r="P44" s="519">
        <f t="shared" si="23"/>
        <v>0</v>
      </c>
      <c r="Q44" s="563"/>
      <c r="R44" s="562"/>
      <c r="S44" s="562"/>
      <c r="T44" s="562" t="b">
        <f t="shared" si="24"/>
        <v>0</v>
      </c>
      <c r="U44" s="562" t="b">
        <f t="shared" si="25"/>
        <v>0</v>
      </c>
      <c r="V44" s="562"/>
      <c r="W44" s="562" t="b">
        <f t="shared" si="26"/>
        <v>0</v>
      </c>
      <c r="X44" s="562"/>
      <c r="Y44" s="562"/>
      <c r="Z44" s="562"/>
      <c r="AA44" s="562"/>
      <c r="AB44" s="562"/>
      <c r="AC44" s="562" t="s">
        <v>2940</v>
      </c>
      <c r="AD44" s="562" t="s">
        <v>3794</v>
      </c>
      <c r="AE44" s="562" t="s">
        <v>3779</v>
      </c>
      <c r="AF44" s="562" t="s">
        <v>3780</v>
      </c>
      <c r="AG44" s="562" t="s">
        <v>3781</v>
      </c>
      <c r="AH44" s="562"/>
      <c r="AI44" s="562" t="s">
        <v>3782</v>
      </c>
      <c r="AJ44" s="562" t="s">
        <v>3783</v>
      </c>
      <c r="AK44" s="562" t="s">
        <v>3784</v>
      </c>
      <c r="AL44" s="562"/>
      <c r="AM44" s="562" t="str">
        <f t="shared" si="27"/>
        <v>vch305.3.6.1_11a1</v>
      </c>
      <c r="AN44" s="510">
        <f t="shared" si="28"/>
        <v>0</v>
      </c>
      <c r="AO44" s="562" t="str">
        <f t="shared" si="29"/>
        <v>vch305.3.6.1_11a2</v>
      </c>
      <c r="AP44" s="510">
        <f t="shared" si="30"/>
        <v>0</v>
      </c>
      <c r="AQ44" s="562" t="str">
        <f t="shared" si="31"/>
        <v>vch305.3.6.1_11a3</v>
      </c>
      <c r="AR44" s="510">
        <f t="shared" si="32"/>
        <v>0</v>
      </c>
      <c r="AS44" s="562" t="str">
        <f t="shared" si="33"/>
        <v>vch305.3.6.1_11</v>
      </c>
      <c r="AT44" s="510">
        <f t="shared" si="34"/>
        <v>0</v>
      </c>
      <c r="AU44" s="562" t="str">
        <f t="shared" si="35"/>
        <v>vch305.3.6.1_11b1</v>
      </c>
      <c r="AV44" s="510">
        <f t="shared" si="36"/>
        <v>0</v>
      </c>
      <c r="AW44" s="562" t="str">
        <f t="shared" si="37"/>
        <v>vch305.3.6.1_11b2</v>
      </c>
      <c r="AX44" s="510">
        <f t="shared" si="38"/>
        <v>0</v>
      </c>
      <c r="AY44" s="510" t="str">
        <f t="shared" si="3"/>
        <v>vnt305.3.6.1_11</v>
      </c>
      <c r="AZ44" s="510">
        <f t="shared" si="4"/>
        <v>0</v>
      </c>
    </row>
    <row r="45" spans="1:52" x14ac:dyDescent="0.2">
      <c r="A45" s="562"/>
      <c r="B45" s="562"/>
      <c r="C45" s="562"/>
      <c r="D45" s="562"/>
      <c r="E45" s="562"/>
      <c r="F45" s="562"/>
      <c r="G45" s="562"/>
      <c r="H45" s="594" t="s">
        <v>2959</v>
      </c>
      <c r="I45" s="476"/>
      <c r="J45" s="518"/>
      <c r="K45" s="518"/>
      <c r="L45" s="519">
        <f t="shared" si="22"/>
        <v>0</v>
      </c>
      <c r="M45" s="476"/>
      <c r="N45" s="518"/>
      <c r="O45" s="518"/>
      <c r="P45" s="519">
        <f t="shared" si="23"/>
        <v>0</v>
      </c>
      <c r="Q45" s="563"/>
      <c r="R45" s="562"/>
      <c r="S45" s="562"/>
      <c r="T45" s="562" t="b">
        <f t="shared" si="24"/>
        <v>0</v>
      </c>
      <c r="U45" s="562" t="b">
        <f t="shared" si="25"/>
        <v>0</v>
      </c>
      <c r="V45" s="562"/>
      <c r="W45" s="562" t="b">
        <f t="shared" si="26"/>
        <v>0</v>
      </c>
      <c r="X45" s="562"/>
      <c r="Y45" s="562"/>
      <c r="Z45" s="562"/>
      <c r="AA45" s="562"/>
      <c r="AB45" s="562"/>
      <c r="AC45" s="562" t="s">
        <v>2940</v>
      </c>
      <c r="AD45" s="562" t="s">
        <v>3795</v>
      </c>
      <c r="AE45" s="562" t="s">
        <v>3779</v>
      </c>
      <c r="AF45" s="562" t="s">
        <v>3780</v>
      </c>
      <c r="AG45" s="562" t="s">
        <v>3781</v>
      </c>
      <c r="AH45" s="562"/>
      <c r="AI45" s="562" t="s">
        <v>3782</v>
      </c>
      <c r="AJ45" s="562" t="s">
        <v>3783</v>
      </c>
      <c r="AK45" s="562" t="s">
        <v>3784</v>
      </c>
      <c r="AL45" s="562"/>
      <c r="AM45" s="562" t="str">
        <f t="shared" si="27"/>
        <v>vch305.3.6.1_12a1</v>
      </c>
      <c r="AN45" s="510">
        <f t="shared" si="28"/>
        <v>0</v>
      </c>
      <c r="AO45" s="562" t="str">
        <f t="shared" si="29"/>
        <v>vch305.3.6.1_12a2</v>
      </c>
      <c r="AP45" s="510">
        <f t="shared" si="30"/>
        <v>0</v>
      </c>
      <c r="AQ45" s="562" t="str">
        <f t="shared" si="31"/>
        <v>vch305.3.6.1_12a3</v>
      </c>
      <c r="AR45" s="510">
        <f t="shared" si="32"/>
        <v>0</v>
      </c>
      <c r="AS45" s="562" t="str">
        <f t="shared" si="33"/>
        <v>vch305.3.6.1_12</v>
      </c>
      <c r="AT45" s="510">
        <f t="shared" si="34"/>
        <v>0</v>
      </c>
      <c r="AU45" s="562" t="str">
        <f t="shared" si="35"/>
        <v>vch305.3.6.1_12b1</v>
      </c>
      <c r="AV45" s="510">
        <f t="shared" si="36"/>
        <v>0</v>
      </c>
      <c r="AW45" s="562" t="str">
        <f t="shared" si="37"/>
        <v>vch305.3.6.1_12b2</v>
      </c>
      <c r="AX45" s="510">
        <f t="shared" si="38"/>
        <v>0</v>
      </c>
      <c r="AY45" s="510" t="str">
        <f t="shared" si="3"/>
        <v>vnt305.3.6.1_12</v>
      </c>
      <c r="AZ45" s="510">
        <f t="shared" si="4"/>
        <v>0</v>
      </c>
    </row>
    <row r="46" spans="1:52" x14ac:dyDescent="0.2">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t="s">
        <v>2940</v>
      </c>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10"/>
      <c r="AZ46" s="510"/>
    </row>
    <row r="47" spans="1:52" x14ac:dyDescent="0.2">
      <c r="A47" s="562"/>
      <c r="B47" s="562"/>
      <c r="C47" s="562"/>
      <c r="D47" s="562"/>
      <c r="E47" s="562"/>
      <c r="F47" s="592" t="s">
        <v>2961</v>
      </c>
      <c r="G47" s="562"/>
      <c r="H47" s="594" t="s">
        <v>2955</v>
      </c>
      <c r="I47" s="476"/>
      <c r="J47" s="518"/>
      <c r="K47" s="518"/>
      <c r="L47" s="519">
        <f t="shared" ref="L47:L51" si="39">K47*I47</f>
        <v>0</v>
      </c>
      <c r="M47" s="476"/>
      <c r="N47" s="518"/>
      <c r="O47" s="518"/>
      <c r="P47" s="519">
        <f t="shared" ref="P47:P51" si="40">O47*M47</f>
        <v>0</v>
      </c>
      <c r="Q47" s="563"/>
      <c r="R47" s="562"/>
      <c r="S47" s="562"/>
      <c r="T47" s="562" t="b">
        <f t="shared" ref="T47:T51" si="41">NOT(OR(COUNTBLANK(I47:K47) = 3, COUNTBLANK(I47:K47) = 0))</f>
        <v>0</v>
      </c>
      <c r="U47" s="562" t="b">
        <f t="shared" ref="U47:U51" si="42">NOT(OR(COUNTBLANK(M47:O47) = 3, COUNTBLANK(M47:O47) = 0))</f>
        <v>0</v>
      </c>
      <c r="V47" s="562"/>
      <c r="W47" s="562" t="b">
        <f t="shared" ref="W47:W51" si="43">OR(T47:U47)</f>
        <v>0</v>
      </c>
      <c r="X47" s="562"/>
      <c r="Y47" s="562"/>
      <c r="Z47" s="562"/>
      <c r="AA47" s="562"/>
      <c r="AB47" s="562"/>
      <c r="AC47" s="562" t="s">
        <v>2940</v>
      </c>
      <c r="AD47" s="562" t="s">
        <v>3796</v>
      </c>
      <c r="AE47" s="562" t="s">
        <v>3779</v>
      </c>
      <c r="AF47" s="562" t="s">
        <v>3780</v>
      </c>
      <c r="AG47" s="562" t="s">
        <v>3781</v>
      </c>
      <c r="AH47" s="562"/>
      <c r="AI47" s="562" t="s">
        <v>3782</v>
      </c>
      <c r="AJ47" s="562" t="s">
        <v>3783</v>
      </c>
      <c r="AK47" s="562" t="s">
        <v>3784</v>
      </c>
      <c r="AL47" s="562"/>
      <c r="AM47" s="562" t="str">
        <f t="shared" ref="AM47:AM51" si="44">"vch"&amp;$AC47&amp;$AD47&amp;AE47</f>
        <v>vch305.3.6.1_13a1</v>
      </c>
      <c r="AN47" s="510">
        <f t="shared" ref="AN47:AN51" si="45">I47</f>
        <v>0</v>
      </c>
      <c r="AO47" s="562" t="str">
        <f t="shared" ref="AO47:AO51" si="46">"vch"&amp;$AC47&amp;$AD47&amp;AF47</f>
        <v>vch305.3.6.1_13a2</v>
      </c>
      <c r="AP47" s="510">
        <f t="shared" ref="AP47:AP51" si="47">J47</f>
        <v>0</v>
      </c>
      <c r="AQ47" s="562" t="str">
        <f t="shared" ref="AQ47:AQ51" si="48">"vch"&amp;$AC47&amp;$AD47&amp;AG47</f>
        <v>vch305.3.6.1_13a3</v>
      </c>
      <c r="AR47" s="510">
        <f t="shared" ref="AR47:AR51" si="49">K47</f>
        <v>0</v>
      </c>
      <c r="AS47" s="562" t="str">
        <f t="shared" ref="AS47:AS51" si="50">"vch"&amp;$AC47&amp;$AD47&amp;AH47</f>
        <v>vch305.3.6.1_13</v>
      </c>
      <c r="AT47" s="510">
        <f t="shared" ref="AT47:AT51" si="51">M47</f>
        <v>0</v>
      </c>
      <c r="AU47" s="562" t="str">
        <f t="shared" ref="AU47:AU51" si="52">"vch"&amp;$AC47&amp;$AD47&amp;AI47</f>
        <v>vch305.3.6.1_13b1</v>
      </c>
      <c r="AV47" s="510">
        <f t="shared" ref="AV47:AV51" si="53">N47</f>
        <v>0</v>
      </c>
      <c r="AW47" s="562" t="str">
        <f t="shared" ref="AW47:AW51" si="54">"vch"&amp;$AC47&amp;$AD47&amp;AJ47</f>
        <v>vch305.3.6.1_13b2</v>
      </c>
      <c r="AX47" s="510">
        <f t="shared" ref="AX47:AX51" si="55">O47</f>
        <v>0</v>
      </c>
      <c r="AY47" s="510" t="str">
        <f t="shared" si="3"/>
        <v>vnt305.3.6.1_13</v>
      </c>
      <c r="AZ47" s="510">
        <f t="shared" si="4"/>
        <v>0</v>
      </c>
    </row>
    <row r="48" spans="1:52" x14ac:dyDescent="0.2">
      <c r="A48" s="562"/>
      <c r="B48" s="562"/>
      <c r="C48" s="562"/>
      <c r="D48" s="562"/>
      <c r="E48" s="562"/>
      <c r="F48" s="562"/>
      <c r="G48" s="562"/>
      <c r="H48" s="594" t="s">
        <v>2956</v>
      </c>
      <c r="I48" s="476"/>
      <c r="J48" s="518"/>
      <c r="K48" s="518"/>
      <c r="L48" s="519">
        <f t="shared" si="39"/>
        <v>0</v>
      </c>
      <c r="M48" s="476"/>
      <c r="N48" s="518"/>
      <c r="O48" s="518"/>
      <c r="P48" s="519">
        <f t="shared" si="40"/>
        <v>0</v>
      </c>
      <c r="Q48" s="563"/>
      <c r="R48" s="562"/>
      <c r="S48" s="562"/>
      <c r="T48" s="562" t="b">
        <f t="shared" si="41"/>
        <v>0</v>
      </c>
      <c r="U48" s="562" t="b">
        <f t="shared" si="42"/>
        <v>0</v>
      </c>
      <c r="V48" s="562"/>
      <c r="W48" s="562" t="b">
        <f t="shared" si="43"/>
        <v>0</v>
      </c>
      <c r="X48" s="562"/>
      <c r="Y48" s="562"/>
      <c r="Z48" s="562"/>
      <c r="AA48" s="562"/>
      <c r="AB48" s="562"/>
      <c r="AC48" s="562" t="s">
        <v>2940</v>
      </c>
      <c r="AD48" s="562" t="s">
        <v>3797</v>
      </c>
      <c r="AE48" s="562" t="s">
        <v>3779</v>
      </c>
      <c r="AF48" s="562" t="s">
        <v>3780</v>
      </c>
      <c r="AG48" s="562" t="s">
        <v>3781</v>
      </c>
      <c r="AH48" s="562"/>
      <c r="AI48" s="562" t="s">
        <v>3782</v>
      </c>
      <c r="AJ48" s="562" t="s">
        <v>3783</v>
      </c>
      <c r="AK48" s="562" t="s">
        <v>3784</v>
      </c>
      <c r="AL48" s="562"/>
      <c r="AM48" s="562" t="str">
        <f t="shared" si="44"/>
        <v>vch305.3.6.1_14a1</v>
      </c>
      <c r="AN48" s="510">
        <f t="shared" si="45"/>
        <v>0</v>
      </c>
      <c r="AO48" s="562" t="str">
        <f t="shared" si="46"/>
        <v>vch305.3.6.1_14a2</v>
      </c>
      <c r="AP48" s="510">
        <f t="shared" si="47"/>
        <v>0</v>
      </c>
      <c r="AQ48" s="562" t="str">
        <f t="shared" si="48"/>
        <v>vch305.3.6.1_14a3</v>
      </c>
      <c r="AR48" s="510">
        <f t="shared" si="49"/>
        <v>0</v>
      </c>
      <c r="AS48" s="562" t="str">
        <f t="shared" si="50"/>
        <v>vch305.3.6.1_14</v>
      </c>
      <c r="AT48" s="510">
        <f t="shared" si="51"/>
        <v>0</v>
      </c>
      <c r="AU48" s="562" t="str">
        <f t="shared" si="52"/>
        <v>vch305.3.6.1_14b1</v>
      </c>
      <c r="AV48" s="510">
        <f t="shared" si="53"/>
        <v>0</v>
      </c>
      <c r="AW48" s="562" t="str">
        <f t="shared" si="54"/>
        <v>vch305.3.6.1_14b2</v>
      </c>
      <c r="AX48" s="510">
        <f t="shared" si="55"/>
        <v>0</v>
      </c>
      <c r="AY48" s="510" t="str">
        <f t="shared" si="3"/>
        <v>vnt305.3.6.1_14</v>
      </c>
      <c r="AZ48" s="510">
        <f t="shared" si="4"/>
        <v>0</v>
      </c>
    </row>
    <row r="49" spans="1:52" x14ac:dyDescent="0.2">
      <c r="A49" s="562"/>
      <c r="B49" s="562"/>
      <c r="C49" s="562"/>
      <c r="D49" s="562"/>
      <c r="E49" s="562"/>
      <c r="F49" s="562"/>
      <c r="G49" s="562"/>
      <c r="H49" s="594" t="s">
        <v>2957</v>
      </c>
      <c r="I49" s="476"/>
      <c r="J49" s="518"/>
      <c r="K49" s="518"/>
      <c r="L49" s="519">
        <f t="shared" si="39"/>
        <v>0</v>
      </c>
      <c r="M49" s="476"/>
      <c r="N49" s="518"/>
      <c r="O49" s="518"/>
      <c r="P49" s="519">
        <f t="shared" si="40"/>
        <v>0</v>
      </c>
      <c r="Q49" s="563"/>
      <c r="R49" s="562"/>
      <c r="S49" s="562"/>
      <c r="T49" s="562" t="b">
        <f t="shared" si="41"/>
        <v>0</v>
      </c>
      <c r="U49" s="562" t="b">
        <f t="shared" si="42"/>
        <v>0</v>
      </c>
      <c r="V49" s="562"/>
      <c r="W49" s="562" t="b">
        <f t="shared" si="43"/>
        <v>0</v>
      </c>
      <c r="X49" s="562"/>
      <c r="Y49" s="562"/>
      <c r="Z49" s="562"/>
      <c r="AA49" s="562"/>
      <c r="AB49" s="562"/>
      <c r="AC49" s="562" t="s">
        <v>2940</v>
      </c>
      <c r="AD49" s="562" t="s">
        <v>3798</v>
      </c>
      <c r="AE49" s="562" t="s">
        <v>3779</v>
      </c>
      <c r="AF49" s="562" t="s">
        <v>3780</v>
      </c>
      <c r="AG49" s="562" t="s">
        <v>3781</v>
      </c>
      <c r="AH49" s="562"/>
      <c r="AI49" s="562" t="s">
        <v>3782</v>
      </c>
      <c r="AJ49" s="562" t="s">
        <v>3783</v>
      </c>
      <c r="AK49" s="562" t="s">
        <v>3784</v>
      </c>
      <c r="AL49" s="562"/>
      <c r="AM49" s="562" t="str">
        <f t="shared" si="44"/>
        <v>vch305.3.6.1_15a1</v>
      </c>
      <c r="AN49" s="510">
        <f t="shared" si="45"/>
        <v>0</v>
      </c>
      <c r="AO49" s="562" t="str">
        <f t="shared" si="46"/>
        <v>vch305.3.6.1_15a2</v>
      </c>
      <c r="AP49" s="510">
        <f t="shared" si="47"/>
        <v>0</v>
      </c>
      <c r="AQ49" s="562" t="str">
        <f t="shared" si="48"/>
        <v>vch305.3.6.1_15a3</v>
      </c>
      <c r="AR49" s="510">
        <f t="shared" si="49"/>
        <v>0</v>
      </c>
      <c r="AS49" s="562" t="str">
        <f t="shared" si="50"/>
        <v>vch305.3.6.1_15</v>
      </c>
      <c r="AT49" s="510">
        <f t="shared" si="51"/>
        <v>0</v>
      </c>
      <c r="AU49" s="562" t="str">
        <f t="shared" si="52"/>
        <v>vch305.3.6.1_15b1</v>
      </c>
      <c r="AV49" s="510">
        <f t="shared" si="53"/>
        <v>0</v>
      </c>
      <c r="AW49" s="562" t="str">
        <f t="shared" si="54"/>
        <v>vch305.3.6.1_15b2</v>
      </c>
      <c r="AX49" s="510">
        <f t="shared" si="55"/>
        <v>0</v>
      </c>
      <c r="AY49" s="510" t="str">
        <f t="shared" si="3"/>
        <v>vnt305.3.6.1_15</v>
      </c>
      <c r="AZ49" s="510">
        <f t="shared" si="4"/>
        <v>0</v>
      </c>
    </row>
    <row r="50" spans="1:52" x14ac:dyDescent="0.2">
      <c r="A50" s="562"/>
      <c r="B50" s="562"/>
      <c r="C50" s="562"/>
      <c r="D50" s="562"/>
      <c r="E50" s="562"/>
      <c r="F50" s="562"/>
      <c r="G50" s="562"/>
      <c r="H50" s="594" t="s">
        <v>2958</v>
      </c>
      <c r="I50" s="476"/>
      <c r="J50" s="518"/>
      <c r="K50" s="518"/>
      <c r="L50" s="519">
        <f t="shared" si="39"/>
        <v>0</v>
      </c>
      <c r="M50" s="476"/>
      <c r="N50" s="518"/>
      <c r="O50" s="518"/>
      <c r="P50" s="519">
        <f t="shared" si="40"/>
        <v>0</v>
      </c>
      <c r="Q50" s="563"/>
      <c r="R50" s="562"/>
      <c r="S50" s="562"/>
      <c r="T50" s="562" t="b">
        <f t="shared" si="41"/>
        <v>0</v>
      </c>
      <c r="U50" s="562" t="b">
        <f t="shared" si="42"/>
        <v>0</v>
      </c>
      <c r="V50" s="562"/>
      <c r="W50" s="562" t="b">
        <f t="shared" si="43"/>
        <v>0</v>
      </c>
      <c r="X50" s="562"/>
      <c r="Y50" s="562"/>
      <c r="Z50" s="562"/>
      <c r="AA50" s="562"/>
      <c r="AB50" s="562"/>
      <c r="AC50" s="562" t="s">
        <v>2940</v>
      </c>
      <c r="AD50" s="562" t="s">
        <v>3799</v>
      </c>
      <c r="AE50" s="562" t="s">
        <v>3779</v>
      </c>
      <c r="AF50" s="562" t="s">
        <v>3780</v>
      </c>
      <c r="AG50" s="562" t="s">
        <v>3781</v>
      </c>
      <c r="AH50" s="562"/>
      <c r="AI50" s="562" t="s">
        <v>3782</v>
      </c>
      <c r="AJ50" s="562" t="s">
        <v>3783</v>
      </c>
      <c r="AK50" s="562" t="s">
        <v>3784</v>
      </c>
      <c r="AL50" s="562"/>
      <c r="AM50" s="562" t="str">
        <f t="shared" si="44"/>
        <v>vch305.3.6.1_16a1</v>
      </c>
      <c r="AN50" s="510">
        <f t="shared" si="45"/>
        <v>0</v>
      </c>
      <c r="AO50" s="562" t="str">
        <f t="shared" si="46"/>
        <v>vch305.3.6.1_16a2</v>
      </c>
      <c r="AP50" s="510">
        <f t="shared" si="47"/>
        <v>0</v>
      </c>
      <c r="AQ50" s="562" t="str">
        <f t="shared" si="48"/>
        <v>vch305.3.6.1_16a3</v>
      </c>
      <c r="AR50" s="510">
        <f t="shared" si="49"/>
        <v>0</v>
      </c>
      <c r="AS50" s="562" t="str">
        <f t="shared" si="50"/>
        <v>vch305.3.6.1_16</v>
      </c>
      <c r="AT50" s="510">
        <f t="shared" si="51"/>
        <v>0</v>
      </c>
      <c r="AU50" s="562" t="str">
        <f t="shared" si="52"/>
        <v>vch305.3.6.1_16b1</v>
      </c>
      <c r="AV50" s="510">
        <f t="shared" si="53"/>
        <v>0</v>
      </c>
      <c r="AW50" s="562" t="str">
        <f t="shared" si="54"/>
        <v>vch305.3.6.1_16b2</v>
      </c>
      <c r="AX50" s="510">
        <f t="shared" si="55"/>
        <v>0</v>
      </c>
      <c r="AY50" s="510" t="str">
        <f t="shared" si="3"/>
        <v>vnt305.3.6.1_16</v>
      </c>
      <c r="AZ50" s="510">
        <f t="shared" si="4"/>
        <v>0</v>
      </c>
    </row>
    <row r="51" spans="1:52" x14ac:dyDescent="0.2">
      <c r="A51" s="562"/>
      <c r="B51" s="562"/>
      <c r="C51" s="562"/>
      <c r="D51" s="562"/>
      <c r="E51" s="562"/>
      <c r="F51" s="562"/>
      <c r="G51" s="562"/>
      <c r="H51" s="594" t="s">
        <v>2959</v>
      </c>
      <c r="I51" s="476"/>
      <c r="J51" s="518"/>
      <c r="K51" s="518"/>
      <c r="L51" s="519">
        <f t="shared" si="39"/>
        <v>0</v>
      </c>
      <c r="M51" s="476"/>
      <c r="N51" s="518"/>
      <c r="O51" s="518"/>
      <c r="P51" s="519">
        <f t="shared" si="40"/>
        <v>0</v>
      </c>
      <c r="Q51" s="563"/>
      <c r="R51" s="562"/>
      <c r="S51" s="562"/>
      <c r="T51" s="562" t="b">
        <f t="shared" si="41"/>
        <v>0</v>
      </c>
      <c r="U51" s="562" t="b">
        <f t="shared" si="42"/>
        <v>0</v>
      </c>
      <c r="V51" s="562"/>
      <c r="W51" s="562" t="b">
        <f t="shared" si="43"/>
        <v>0</v>
      </c>
      <c r="X51" s="562"/>
      <c r="Y51" s="562"/>
      <c r="Z51" s="562"/>
      <c r="AA51" s="562"/>
      <c r="AB51" s="562"/>
      <c r="AC51" s="562" t="s">
        <v>2940</v>
      </c>
      <c r="AD51" s="562" t="s">
        <v>3800</v>
      </c>
      <c r="AE51" s="562" t="s">
        <v>3779</v>
      </c>
      <c r="AF51" s="562" t="s">
        <v>3780</v>
      </c>
      <c r="AG51" s="562" t="s">
        <v>3781</v>
      </c>
      <c r="AH51" s="562"/>
      <c r="AI51" s="562" t="s">
        <v>3782</v>
      </c>
      <c r="AJ51" s="562" t="s">
        <v>3783</v>
      </c>
      <c r="AK51" s="562" t="s">
        <v>3784</v>
      </c>
      <c r="AL51" s="562"/>
      <c r="AM51" s="562" t="str">
        <f t="shared" si="44"/>
        <v>vch305.3.6.1_17a1</v>
      </c>
      <c r="AN51" s="510">
        <f t="shared" si="45"/>
        <v>0</v>
      </c>
      <c r="AO51" s="562" t="str">
        <f t="shared" si="46"/>
        <v>vch305.3.6.1_17a2</v>
      </c>
      <c r="AP51" s="510">
        <f t="shared" si="47"/>
        <v>0</v>
      </c>
      <c r="AQ51" s="562" t="str">
        <f t="shared" si="48"/>
        <v>vch305.3.6.1_17a3</v>
      </c>
      <c r="AR51" s="510">
        <f t="shared" si="49"/>
        <v>0</v>
      </c>
      <c r="AS51" s="562" t="str">
        <f t="shared" si="50"/>
        <v>vch305.3.6.1_17</v>
      </c>
      <c r="AT51" s="510">
        <f t="shared" si="51"/>
        <v>0</v>
      </c>
      <c r="AU51" s="562" t="str">
        <f t="shared" si="52"/>
        <v>vch305.3.6.1_17b1</v>
      </c>
      <c r="AV51" s="510">
        <f t="shared" si="53"/>
        <v>0</v>
      </c>
      <c r="AW51" s="562" t="str">
        <f t="shared" si="54"/>
        <v>vch305.3.6.1_17b2</v>
      </c>
      <c r="AX51" s="510">
        <f t="shared" si="55"/>
        <v>0</v>
      </c>
      <c r="AY51" s="510" t="str">
        <f t="shared" si="3"/>
        <v>vnt305.3.6.1_17</v>
      </c>
      <c r="AZ51" s="510">
        <f t="shared" si="4"/>
        <v>0</v>
      </c>
    </row>
    <row r="52" spans="1:52" x14ac:dyDescent="0.2">
      <c r="A52" s="562"/>
      <c r="B52" s="562"/>
      <c r="C52" s="562"/>
      <c r="D52" s="562"/>
      <c r="E52" s="562"/>
      <c r="F52" s="562"/>
      <c r="G52" s="562"/>
      <c r="H52" s="592" t="s">
        <v>2962</v>
      </c>
      <c r="I52" s="562"/>
      <c r="J52" s="562"/>
      <c r="K52" s="562"/>
      <c r="L52" s="562"/>
      <c r="M52" s="562"/>
      <c r="N52" s="562"/>
      <c r="O52" s="562"/>
      <c r="P52" s="562"/>
      <c r="Q52" s="562"/>
      <c r="R52" s="562"/>
      <c r="S52" s="562"/>
      <c r="T52" s="562"/>
      <c r="U52" s="562"/>
      <c r="V52" s="562"/>
      <c r="W52" s="562"/>
      <c r="X52" s="562"/>
      <c r="Y52" s="562"/>
      <c r="Z52" s="562"/>
      <c r="AA52" s="562"/>
      <c r="AB52" s="562"/>
      <c r="AC52" s="562" t="s">
        <v>2940</v>
      </c>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10"/>
      <c r="AZ52" s="510"/>
    </row>
    <row r="53" spans="1:52" x14ac:dyDescent="0.2">
      <c r="D53" s="562"/>
      <c r="E53" s="562"/>
      <c r="F53" s="1039"/>
      <c r="G53" s="1040"/>
      <c r="H53" s="1041"/>
      <c r="I53" s="476"/>
      <c r="J53" s="518"/>
      <c r="K53" s="518"/>
      <c r="L53" s="519">
        <f t="shared" ref="L53:L57" si="56">K53*I53</f>
        <v>0</v>
      </c>
      <c r="M53" s="476"/>
      <c r="N53" s="518"/>
      <c r="O53" s="518"/>
      <c r="P53" s="519">
        <f t="shared" ref="P53:P57" si="57">O53*M53</f>
        <v>0</v>
      </c>
      <c r="Q53" s="563"/>
      <c r="R53" s="562"/>
      <c r="S53" s="562"/>
      <c r="T53" s="562" t="b">
        <f>NOT(OR(COUNTBLANK(F53:K53) = 6, COUNTBLANK(F53:K53) = 2))</f>
        <v>0</v>
      </c>
      <c r="U53" s="562" t="b">
        <f>NOT(OR((COUNTBLANK(M53:O53)+COUNTBLANK(F53)) = 4, (COUNTBLANK(M53:O53)+COUNTBLANK(F53))  = 0))</f>
        <v>0</v>
      </c>
      <c r="V53" s="562"/>
      <c r="W53" s="562" t="b">
        <f t="shared" ref="W53:W57" si="58">OR(T53:U53)</f>
        <v>0</v>
      </c>
      <c r="X53" s="562"/>
      <c r="Y53" s="562"/>
      <c r="Z53" s="562"/>
      <c r="AA53" s="562"/>
      <c r="AB53" s="562"/>
      <c r="AC53" s="562" t="s">
        <v>2940</v>
      </c>
      <c r="AD53" s="562" t="s">
        <v>3801</v>
      </c>
      <c r="AE53" s="562" t="s">
        <v>3779</v>
      </c>
      <c r="AF53" s="562" t="s">
        <v>3780</v>
      </c>
      <c r="AG53" s="562" t="s">
        <v>3781</v>
      </c>
      <c r="AH53" s="562"/>
      <c r="AI53" s="562" t="s">
        <v>3782</v>
      </c>
      <c r="AJ53" s="562" t="s">
        <v>3783</v>
      </c>
      <c r="AK53" s="562" t="s">
        <v>3784</v>
      </c>
      <c r="AL53" s="562"/>
      <c r="AM53" s="562" t="str">
        <f t="shared" ref="AM53:AM57" si="59">"vch"&amp;$AC53&amp;$AD53&amp;AE53</f>
        <v>vch305.3.6.1_18a1</v>
      </c>
      <c r="AN53" s="510">
        <f t="shared" ref="AN53:AN57" si="60">I53</f>
        <v>0</v>
      </c>
      <c r="AO53" s="562" t="str">
        <f t="shared" ref="AO53:AO57" si="61">"vch"&amp;$AC53&amp;$AD53&amp;AF53</f>
        <v>vch305.3.6.1_18a2</v>
      </c>
      <c r="AP53" s="510">
        <f t="shared" ref="AP53:AP57" si="62">J53</f>
        <v>0</v>
      </c>
      <c r="AQ53" s="562" t="str">
        <f t="shared" ref="AQ53:AQ57" si="63">"vch"&amp;$AC53&amp;$AD53&amp;AG53</f>
        <v>vch305.3.6.1_18a3</v>
      </c>
      <c r="AR53" s="510">
        <f t="shared" ref="AR53:AR57" si="64">K53</f>
        <v>0</v>
      </c>
      <c r="AS53" s="562" t="str">
        <f t="shared" ref="AS53:AS57" si="65">"vch"&amp;$AC53&amp;$AD53&amp;AH53</f>
        <v>vch305.3.6.1_18</v>
      </c>
      <c r="AT53" s="510">
        <f t="shared" ref="AT53:AT57" si="66">M53</f>
        <v>0</v>
      </c>
      <c r="AU53" s="562" t="str">
        <f t="shared" ref="AU53:AU57" si="67">"vch"&amp;$AC53&amp;$AD53&amp;AI53</f>
        <v>vch305.3.6.1_18b1</v>
      </c>
      <c r="AV53" s="510">
        <f t="shared" ref="AV53:AV57" si="68">N53</f>
        <v>0</v>
      </c>
      <c r="AW53" s="562" t="str">
        <f t="shared" ref="AW53:AW57" si="69">"vch"&amp;$AC53&amp;$AD53&amp;AJ53</f>
        <v>vch305.3.6.1_18b2</v>
      </c>
      <c r="AX53" s="510">
        <f t="shared" ref="AX53:AX57" si="70">O53</f>
        <v>0</v>
      </c>
      <c r="AY53" s="510" t="str">
        <f t="shared" si="3"/>
        <v>vnt305.3.6.1_18</v>
      </c>
      <c r="AZ53" s="510">
        <f t="shared" si="4"/>
        <v>0</v>
      </c>
    </row>
    <row r="54" spans="1:52" x14ac:dyDescent="0.2">
      <c r="D54" s="562"/>
      <c r="E54" s="562"/>
      <c r="F54" s="1039"/>
      <c r="G54" s="1040"/>
      <c r="H54" s="1041"/>
      <c r="I54" s="476"/>
      <c r="J54" s="518"/>
      <c r="K54" s="518"/>
      <c r="L54" s="519">
        <f t="shared" si="56"/>
        <v>0</v>
      </c>
      <c r="M54" s="476"/>
      <c r="N54" s="518"/>
      <c r="O54" s="518"/>
      <c r="P54" s="519">
        <f t="shared" si="57"/>
        <v>0</v>
      </c>
      <c r="Q54" s="563"/>
      <c r="R54" s="562"/>
      <c r="S54" s="562"/>
      <c r="T54" s="562" t="b">
        <f t="shared" ref="T54:T57" si="71">NOT(OR(COUNTBLANK(I54:K54) = 3, COUNTBLANK(I54:K54) = 0))</f>
        <v>0</v>
      </c>
      <c r="U54" s="562" t="b">
        <f t="shared" ref="U54:U57" si="72">NOT(OR(COUNTBLANK(M54:O54) = 3, COUNTBLANK(M54:O54) = 0))</f>
        <v>0</v>
      </c>
      <c r="V54" s="562"/>
      <c r="W54" s="562" t="b">
        <f t="shared" si="58"/>
        <v>0</v>
      </c>
      <c r="X54" s="562"/>
      <c r="Y54" s="562"/>
      <c r="Z54" s="562"/>
      <c r="AA54" s="562"/>
      <c r="AB54" s="562"/>
      <c r="AC54" s="562" t="s">
        <v>2940</v>
      </c>
      <c r="AD54" s="562" t="s">
        <v>3802</v>
      </c>
      <c r="AE54" s="562" t="s">
        <v>3779</v>
      </c>
      <c r="AF54" s="562" t="s">
        <v>3780</v>
      </c>
      <c r="AG54" s="562" t="s">
        <v>3781</v>
      </c>
      <c r="AH54" s="562"/>
      <c r="AI54" s="562" t="s">
        <v>3782</v>
      </c>
      <c r="AJ54" s="562" t="s">
        <v>3783</v>
      </c>
      <c r="AK54" s="562" t="s">
        <v>3784</v>
      </c>
      <c r="AL54" s="562"/>
      <c r="AM54" s="562" t="str">
        <f t="shared" si="59"/>
        <v>vch305.3.6.1_19a1</v>
      </c>
      <c r="AN54" s="510">
        <f t="shared" si="60"/>
        <v>0</v>
      </c>
      <c r="AO54" s="562" t="str">
        <f t="shared" si="61"/>
        <v>vch305.3.6.1_19a2</v>
      </c>
      <c r="AP54" s="510">
        <f t="shared" si="62"/>
        <v>0</v>
      </c>
      <c r="AQ54" s="562" t="str">
        <f t="shared" si="63"/>
        <v>vch305.3.6.1_19a3</v>
      </c>
      <c r="AR54" s="510">
        <f t="shared" si="64"/>
        <v>0</v>
      </c>
      <c r="AS54" s="562" t="str">
        <f t="shared" si="65"/>
        <v>vch305.3.6.1_19</v>
      </c>
      <c r="AT54" s="510">
        <f t="shared" si="66"/>
        <v>0</v>
      </c>
      <c r="AU54" s="562" t="str">
        <f t="shared" si="67"/>
        <v>vch305.3.6.1_19b1</v>
      </c>
      <c r="AV54" s="510">
        <f t="shared" si="68"/>
        <v>0</v>
      </c>
      <c r="AW54" s="562" t="str">
        <f t="shared" si="69"/>
        <v>vch305.3.6.1_19b2</v>
      </c>
      <c r="AX54" s="510">
        <f t="shared" si="70"/>
        <v>0</v>
      </c>
      <c r="AY54" s="510" t="str">
        <f t="shared" si="3"/>
        <v>vnt305.3.6.1_19</v>
      </c>
      <c r="AZ54" s="510">
        <f t="shared" si="4"/>
        <v>0</v>
      </c>
    </row>
    <row r="55" spans="1:52" x14ac:dyDescent="0.2">
      <c r="D55" s="562"/>
      <c r="E55" s="562"/>
      <c r="F55" s="1039"/>
      <c r="G55" s="1040"/>
      <c r="H55" s="1041"/>
      <c r="I55" s="476"/>
      <c r="J55" s="518"/>
      <c r="K55" s="518"/>
      <c r="L55" s="519">
        <f t="shared" si="56"/>
        <v>0</v>
      </c>
      <c r="M55" s="476"/>
      <c r="N55" s="518"/>
      <c r="O55" s="518"/>
      <c r="P55" s="519">
        <f t="shared" si="57"/>
        <v>0</v>
      </c>
      <c r="Q55" s="563"/>
      <c r="R55" s="562"/>
      <c r="S55" s="562"/>
      <c r="T55" s="562" t="b">
        <f t="shared" si="71"/>
        <v>0</v>
      </c>
      <c r="U55" s="562" t="b">
        <f t="shared" si="72"/>
        <v>0</v>
      </c>
      <c r="V55" s="562"/>
      <c r="W55" s="562" t="b">
        <f t="shared" si="58"/>
        <v>0</v>
      </c>
      <c r="X55" s="562"/>
      <c r="Y55" s="562"/>
      <c r="Z55" s="562"/>
      <c r="AA55" s="562"/>
      <c r="AB55" s="562"/>
      <c r="AC55" s="562" t="s">
        <v>2940</v>
      </c>
      <c r="AD55" s="562" t="s">
        <v>3803</v>
      </c>
      <c r="AE55" s="562" t="s">
        <v>3779</v>
      </c>
      <c r="AF55" s="562" t="s">
        <v>3780</v>
      </c>
      <c r="AG55" s="562" t="s">
        <v>3781</v>
      </c>
      <c r="AH55" s="562"/>
      <c r="AI55" s="562" t="s">
        <v>3782</v>
      </c>
      <c r="AJ55" s="562" t="s">
        <v>3783</v>
      </c>
      <c r="AK55" s="562" t="s">
        <v>3784</v>
      </c>
      <c r="AL55" s="562"/>
      <c r="AM55" s="562" t="str">
        <f t="shared" si="59"/>
        <v>vch305.3.6.1_20a1</v>
      </c>
      <c r="AN55" s="510">
        <f t="shared" si="60"/>
        <v>0</v>
      </c>
      <c r="AO55" s="562" t="str">
        <f t="shared" si="61"/>
        <v>vch305.3.6.1_20a2</v>
      </c>
      <c r="AP55" s="510">
        <f t="shared" si="62"/>
        <v>0</v>
      </c>
      <c r="AQ55" s="562" t="str">
        <f t="shared" si="63"/>
        <v>vch305.3.6.1_20a3</v>
      </c>
      <c r="AR55" s="510">
        <f t="shared" si="64"/>
        <v>0</v>
      </c>
      <c r="AS55" s="562" t="str">
        <f t="shared" si="65"/>
        <v>vch305.3.6.1_20</v>
      </c>
      <c r="AT55" s="510">
        <f t="shared" si="66"/>
        <v>0</v>
      </c>
      <c r="AU55" s="562" t="str">
        <f t="shared" si="67"/>
        <v>vch305.3.6.1_20b1</v>
      </c>
      <c r="AV55" s="510">
        <f t="shared" si="68"/>
        <v>0</v>
      </c>
      <c r="AW55" s="562" t="str">
        <f t="shared" si="69"/>
        <v>vch305.3.6.1_20b2</v>
      </c>
      <c r="AX55" s="510">
        <f t="shared" si="70"/>
        <v>0</v>
      </c>
      <c r="AY55" s="510" t="str">
        <f t="shared" si="3"/>
        <v>vnt305.3.6.1_20</v>
      </c>
      <c r="AZ55" s="510">
        <f t="shared" si="4"/>
        <v>0</v>
      </c>
    </row>
    <row r="56" spans="1:52" x14ac:dyDescent="0.2">
      <c r="D56" s="562"/>
      <c r="E56" s="562"/>
      <c r="F56" s="1039"/>
      <c r="G56" s="1040"/>
      <c r="H56" s="1041"/>
      <c r="I56" s="476"/>
      <c r="J56" s="518"/>
      <c r="K56" s="518"/>
      <c r="L56" s="519">
        <f t="shared" si="56"/>
        <v>0</v>
      </c>
      <c r="M56" s="476"/>
      <c r="N56" s="518"/>
      <c r="O56" s="518"/>
      <c r="P56" s="519">
        <f t="shared" si="57"/>
        <v>0</v>
      </c>
      <c r="Q56" s="563"/>
      <c r="R56" s="562"/>
      <c r="S56" s="562"/>
      <c r="T56" s="562" t="b">
        <f t="shared" si="71"/>
        <v>0</v>
      </c>
      <c r="U56" s="562" t="b">
        <f t="shared" si="72"/>
        <v>0</v>
      </c>
      <c r="V56" s="562"/>
      <c r="W56" s="562" t="b">
        <f t="shared" si="58"/>
        <v>0</v>
      </c>
      <c r="X56" s="562"/>
      <c r="Y56" s="562"/>
      <c r="Z56" s="562"/>
      <c r="AA56" s="562"/>
      <c r="AB56" s="562"/>
      <c r="AC56" s="562" t="s">
        <v>2940</v>
      </c>
      <c r="AD56" s="562" t="s">
        <v>3804</v>
      </c>
      <c r="AE56" s="562" t="s">
        <v>3779</v>
      </c>
      <c r="AF56" s="562" t="s">
        <v>3780</v>
      </c>
      <c r="AG56" s="562" t="s">
        <v>3781</v>
      </c>
      <c r="AH56" s="562"/>
      <c r="AI56" s="562" t="s">
        <v>3782</v>
      </c>
      <c r="AJ56" s="562" t="s">
        <v>3783</v>
      </c>
      <c r="AK56" s="562" t="s">
        <v>3784</v>
      </c>
      <c r="AL56" s="562"/>
      <c r="AM56" s="562" t="str">
        <f t="shared" si="59"/>
        <v>vch305.3.6.1_21a1</v>
      </c>
      <c r="AN56" s="510">
        <f t="shared" si="60"/>
        <v>0</v>
      </c>
      <c r="AO56" s="562" t="str">
        <f t="shared" si="61"/>
        <v>vch305.3.6.1_21a2</v>
      </c>
      <c r="AP56" s="510">
        <f t="shared" si="62"/>
        <v>0</v>
      </c>
      <c r="AQ56" s="562" t="str">
        <f t="shared" si="63"/>
        <v>vch305.3.6.1_21a3</v>
      </c>
      <c r="AR56" s="510">
        <f t="shared" si="64"/>
        <v>0</v>
      </c>
      <c r="AS56" s="562" t="str">
        <f t="shared" si="65"/>
        <v>vch305.3.6.1_21</v>
      </c>
      <c r="AT56" s="510">
        <f t="shared" si="66"/>
        <v>0</v>
      </c>
      <c r="AU56" s="562" t="str">
        <f t="shared" si="67"/>
        <v>vch305.3.6.1_21b1</v>
      </c>
      <c r="AV56" s="510">
        <f t="shared" si="68"/>
        <v>0</v>
      </c>
      <c r="AW56" s="562" t="str">
        <f t="shared" si="69"/>
        <v>vch305.3.6.1_21b2</v>
      </c>
      <c r="AX56" s="510">
        <f t="shared" si="70"/>
        <v>0</v>
      </c>
      <c r="AY56" s="510" t="str">
        <f t="shared" si="3"/>
        <v>vnt305.3.6.1_21</v>
      </c>
      <c r="AZ56" s="510">
        <f t="shared" si="4"/>
        <v>0</v>
      </c>
    </row>
    <row r="57" spans="1:52" x14ac:dyDescent="0.2">
      <c r="D57" s="562"/>
      <c r="E57" s="562"/>
      <c r="F57" s="1039"/>
      <c r="G57" s="1040"/>
      <c r="H57" s="1041"/>
      <c r="I57" s="476"/>
      <c r="J57" s="518"/>
      <c r="K57" s="518"/>
      <c r="L57" s="519">
        <f t="shared" si="56"/>
        <v>0</v>
      </c>
      <c r="M57" s="476"/>
      <c r="N57" s="518"/>
      <c r="O57" s="518"/>
      <c r="P57" s="519">
        <f t="shared" si="57"/>
        <v>0</v>
      </c>
      <c r="Q57" s="563"/>
      <c r="R57" s="562"/>
      <c r="S57" s="562"/>
      <c r="T57" s="562" t="b">
        <f t="shared" si="71"/>
        <v>0</v>
      </c>
      <c r="U57" s="562" t="b">
        <f t="shared" si="72"/>
        <v>0</v>
      </c>
      <c r="V57" s="562"/>
      <c r="W57" s="562" t="b">
        <f t="shared" si="58"/>
        <v>0</v>
      </c>
      <c r="X57" s="562"/>
      <c r="Y57" s="562"/>
      <c r="Z57" s="562"/>
      <c r="AA57" s="562"/>
      <c r="AB57" s="562"/>
      <c r="AC57" s="562" t="s">
        <v>2940</v>
      </c>
      <c r="AD57" s="562" t="s">
        <v>3805</v>
      </c>
      <c r="AE57" s="562" t="s">
        <v>3779</v>
      </c>
      <c r="AF57" s="562" t="s">
        <v>3780</v>
      </c>
      <c r="AG57" s="562" t="s">
        <v>3781</v>
      </c>
      <c r="AH57" s="562"/>
      <c r="AI57" s="562" t="s">
        <v>3782</v>
      </c>
      <c r="AJ57" s="562" t="s">
        <v>3783</v>
      </c>
      <c r="AK57" s="562" t="s">
        <v>3784</v>
      </c>
      <c r="AL57" s="562"/>
      <c r="AM57" s="562" t="str">
        <f t="shared" si="59"/>
        <v>vch305.3.6.1_22a1</v>
      </c>
      <c r="AN57" s="510">
        <f t="shared" si="60"/>
        <v>0</v>
      </c>
      <c r="AO57" s="562" t="str">
        <f t="shared" si="61"/>
        <v>vch305.3.6.1_22a2</v>
      </c>
      <c r="AP57" s="510">
        <f t="shared" si="62"/>
        <v>0</v>
      </c>
      <c r="AQ57" s="562" t="str">
        <f t="shared" si="63"/>
        <v>vch305.3.6.1_22a3</v>
      </c>
      <c r="AR57" s="510">
        <f t="shared" si="64"/>
        <v>0</v>
      </c>
      <c r="AS57" s="562" t="str">
        <f t="shared" si="65"/>
        <v>vch305.3.6.1_22</v>
      </c>
      <c r="AT57" s="510">
        <f t="shared" si="66"/>
        <v>0</v>
      </c>
      <c r="AU57" s="562" t="str">
        <f t="shared" si="67"/>
        <v>vch305.3.6.1_22b1</v>
      </c>
      <c r="AV57" s="510">
        <f t="shared" si="68"/>
        <v>0</v>
      </c>
      <c r="AW57" s="562" t="str">
        <f t="shared" si="69"/>
        <v>vch305.3.6.1_22b2</v>
      </c>
      <c r="AX57" s="510">
        <f t="shared" si="70"/>
        <v>0</v>
      </c>
      <c r="AY57" s="510" t="str">
        <f t="shared" si="3"/>
        <v>vnt305.3.6.1_22</v>
      </c>
      <c r="AZ57" s="510">
        <f t="shared" si="4"/>
        <v>0</v>
      </c>
    </row>
    <row r="58" spans="1:52" x14ac:dyDescent="0.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t="s">
        <v>2940</v>
      </c>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10"/>
      <c r="AZ58" s="510"/>
    </row>
    <row r="59" spans="1:52" ht="15" customHeight="1" x14ac:dyDescent="0.2">
      <c r="D59" s="562"/>
      <c r="E59" s="562"/>
      <c r="F59" s="874" t="s">
        <v>2963</v>
      </c>
      <c r="G59" s="874"/>
      <c r="H59" s="874"/>
      <c r="I59" s="873" t="s">
        <v>2947</v>
      </c>
      <c r="J59" s="873" t="s">
        <v>2964</v>
      </c>
      <c r="K59" s="873" t="s">
        <v>2949</v>
      </c>
      <c r="L59" s="562"/>
      <c r="M59" s="873" t="s">
        <v>2947</v>
      </c>
      <c r="N59" s="873" t="s">
        <v>2964</v>
      </c>
      <c r="O59" s="873" t="s">
        <v>2949</v>
      </c>
      <c r="P59" s="562"/>
      <c r="Q59" s="562"/>
      <c r="R59" s="562"/>
      <c r="S59" s="562"/>
      <c r="T59" s="562"/>
      <c r="U59" s="562"/>
      <c r="V59" s="562"/>
      <c r="W59" s="562"/>
      <c r="X59" s="562"/>
      <c r="Y59" s="562"/>
      <c r="Z59" s="562"/>
      <c r="AA59" s="562"/>
      <c r="AB59" s="562"/>
      <c r="AC59" s="562" t="s">
        <v>2940</v>
      </c>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10"/>
      <c r="AZ59" s="510"/>
    </row>
    <row r="60" spans="1:52" x14ac:dyDescent="0.2">
      <c r="D60" s="562"/>
      <c r="E60" s="562"/>
      <c r="F60" s="562"/>
      <c r="G60" s="562"/>
      <c r="H60" s="562"/>
      <c r="I60" s="873"/>
      <c r="J60" s="873"/>
      <c r="K60" s="873"/>
      <c r="L60" s="562"/>
      <c r="M60" s="873"/>
      <c r="N60" s="873"/>
      <c r="O60" s="873"/>
      <c r="P60" s="562"/>
      <c r="Q60" s="562"/>
      <c r="R60" s="562"/>
      <c r="S60" s="562"/>
      <c r="T60" s="562"/>
      <c r="U60" s="562"/>
      <c r="V60" s="562"/>
      <c r="W60" s="562"/>
      <c r="X60" s="562"/>
      <c r="Y60" s="562"/>
      <c r="Z60" s="562"/>
      <c r="AA60" s="562"/>
      <c r="AB60" s="562"/>
      <c r="AC60" s="562" t="s">
        <v>2940</v>
      </c>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10"/>
      <c r="AZ60" s="510"/>
    </row>
    <row r="61" spans="1:52" x14ac:dyDescent="0.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t="s">
        <v>2940</v>
      </c>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10"/>
      <c r="AZ61" s="510"/>
    </row>
    <row r="62" spans="1:52" x14ac:dyDescent="0.2">
      <c r="D62" s="562"/>
      <c r="E62" s="562"/>
      <c r="F62" s="562"/>
      <c r="G62" s="562"/>
      <c r="H62" s="594" t="s">
        <v>2965</v>
      </c>
      <c r="I62" s="476"/>
      <c r="J62" s="518"/>
      <c r="K62" s="518"/>
      <c r="L62" s="519">
        <f>K62*I62*J62/12</f>
        <v>0</v>
      </c>
      <c r="M62" s="476"/>
      <c r="N62" s="518"/>
      <c r="O62" s="518"/>
      <c r="P62" s="519">
        <f t="shared" ref="P62:P65" si="73">O62*M62</f>
        <v>0</v>
      </c>
      <c r="Q62" s="563"/>
      <c r="R62" s="562"/>
      <c r="S62" s="562"/>
      <c r="T62" s="562" t="b">
        <f t="shared" ref="T62:T65" si="74">NOT(OR(COUNTBLANK(I62:K62) = 3, COUNTBLANK(I62:K62) = 0))</f>
        <v>0</v>
      </c>
      <c r="U62" s="562" t="b">
        <f t="shared" ref="U62:U65" si="75">NOT(OR(COUNTBLANK(M62:O62) = 3, COUNTBLANK(M62:O62) = 0))</f>
        <v>0</v>
      </c>
      <c r="V62" s="562"/>
      <c r="W62" s="562" t="b">
        <f t="shared" ref="W62:W65" si="76">OR(T62:U62)</f>
        <v>0</v>
      </c>
      <c r="X62" s="562"/>
      <c r="Y62" s="562"/>
      <c r="Z62" s="562"/>
      <c r="AA62" s="562"/>
      <c r="AB62" s="562"/>
      <c r="AC62" s="562" t="s">
        <v>2940</v>
      </c>
      <c r="AD62" s="562" t="s">
        <v>3806</v>
      </c>
      <c r="AE62" s="562" t="s">
        <v>3779</v>
      </c>
      <c r="AF62" s="562" t="s">
        <v>3780</v>
      </c>
      <c r="AG62" s="562" t="s">
        <v>3781</v>
      </c>
      <c r="AH62" s="562"/>
      <c r="AI62" s="562" t="s">
        <v>3782</v>
      </c>
      <c r="AJ62" s="562" t="s">
        <v>3783</v>
      </c>
      <c r="AK62" s="562" t="s">
        <v>3784</v>
      </c>
      <c r="AL62" s="562"/>
      <c r="AM62" s="562" t="str">
        <f t="shared" ref="AM62:AM65" si="77">"vch"&amp;$AC62&amp;$AD62&amp;AE62</f>
        <v>vch305.3.6.1_23a1</v>
      </c>
      <c r="AN62" s="510">
        <f t="shared" ref="AN62:AN65" si="78">I62</f>
        <v>0</v>
      </c>
      <c r="AO62" s="562" t="str">
        <f t="shared" ref="AO62:AO65" si="79">"vch"&amp;$AC62&amp;$AD62&amp;AF62</f>
        <v>vch305.3.6.1_23a2</v>
      </c>
      <c r="AP62" s="510">
        <f t="shared" ref="AP62:AP65" si="80">J62</f>
        <v>0</v>
      </c>
      <c r="AQ62" s="562" t="str">
        <f t="shared" ref="AQ62:AQ65" si="81">"vch"&amp;$AC62&amp;$AD62&amp;AG62</f>
        <v>vch305.3.6.1_23a3</v>
      </c>
      <c r="AR62" s="510">
        <f t="shared" ref="AR62:AR65" si="82">K62</f>
        <v>0</v>
      </c>
      <c r="AS62" s="562" t="str">
        <f t="shared" ref="AS62:AS65" si="83">"vch"&amp;$AC62&amp;$AD62&amp;AH62</f>
        <v>vch305.3.6.1_23</v>
      </c>
      <c r="AT62" s="510">
        <f t="shared" ref="AT62:AT65" si="84">M62</f>
        <v>0</v>
      </c>
      <c r="AU62" s="562" t="str">
        <f t="shared" ref="AU62:AU65" si="85">"vch"&amp;$AC62&amp;$AD62&amp;AI62</f>
        <v>vch305.3.6.1_23b1</v>
      </c>
      <c r="AV62" s="510">
        <f t="shared" ref="AV62:AV65" si="86">N62</f>
        <v>0</v>
      </c>
      <c r="AW62" s="562" t="str">
        <f t="shared" ref="AW62:AW65" si="87">"vch"&amp;$AC62&amp;$AD62&amp;AJ62</f>
        <v>vch305.3.6.1_23b2</v>
      </c>
      <c r="AX62" s="510">
        <f t="shared" ref="AX62:AX65" si="88">O62</f>
        <v>0</v>
      </c>
      <c r="AY62" s="510" t="str">
        <f t="shared" si="3"/>
        <v>vnt305.3.6.1_23</v>
      </c>
      <c r="AZ62" s="510">
        <f t="shared" si="4"/>
        <v>0</v>
      </c>
    </row>
    <row r="63" spans="1:52" x14ac:dyDescent="0.2">
      <c r="D63" s="562"/>
      <c r="E63" s="562"/>
      <c r="F63" s="562"/>
      <c r="G63" s="562"/>
      <c r="H63" s="594" t="s">
        <v>2966</v>
      </c>
      <c r="I63" s="476"/>
      <c r="J63" s="518"/>
      <c r="K63" s="518"/>
      <c r="L63" s="519">
        <f t="shared" ref="L63:L65" si="89">K63*I63*J63/12</f>
        <v>0</v>
      </c>
      <c r="M63" s="476"/>
      <c r="N63" s="518"/>
      <c r="O63" s="518"/>
      <c r="P63" s="519">
        <f t="shared" si="73"/>
        <v>0</v>
      </c>
      <c r="Q63" s="563"/>
      <c r="R63" s="562"/>
      <c r="S63" s="562"/>
      <c r="T63" s="562" t="b">
        <f t="shared" si="74"/>
        <v>0</v>
      </c>
      <c r="U63" s="562" t="b">
        <f t="shared" si="75"/>
        <v>0</v>
      </c>
      <c r="V63" s="562"/>
      <c r="W63" s="562" t="b">
        <f t="shared" si="76"/>
        <v>0</v>
      </c>
      <c r="X63" s="562"/>
      <c r="Y63" s="562"/>
      <c r="Z63" s="562"/>
      <c r="AA63" s="562"/>
      <c r="AB63" s="562"/>
      <c r="AC63" s="562" t="s">
        <v>2940</v>
      </c>
      <c r="AD63" s="562" t="s">
        <v>3807</v>
      </c>
      <c r="AE63" s="562" t="s">
        <v>3779</v>
      </c>
      <c r="AF63" s="562" t="s">
        <v>3780</v>
      </c>
      <c r="AG63" s="562" t="s">
        <v>3781</v>
      </c>
      <c r="AH63" s="562"/>
      <c r="AI63" s="562" t="s">
        <v>3782</v>
      </c>
      <c r="AJ63" s="562" t="s">
        <v>3783</v>
      </c>
      <c r="AK63" s="562" t="s">
        <v>3784</v>
      </c>
      <c r="AL63" s="562"/>
      <c r="AM63" s="562" t="str">
        <f t="shared" si="77"/>
        <v>vch305.3.6.1_24a1</v>
      </c>
      <c r="AN63" s="510">
        <f t="shared" si="78"/>
        <v>0</v>
      </c>
      <c r="AO63" s="562" t="str">
        <f t="shared" si="79"/>
        <v>vch305.3.6.1_24a2</v>
      </c>
      <c r="AP63" s="510">
        <f t="shared" si="80"/>
        <v>0</v>
      </c>
      <c r="AQ63" s="562" t="str">
        <f t="shared" si="81"/>
        <v>vch305.3.6.1_24a3</v>
      </c>
      <c r="AR63" s="510">
        <f t="shared" si="82"/>
        <v>0</v>
      </c>
      <c r="AS63" s="562" t="str">
        <f t="shared" si="83"/>
        <v>vch305.3.6.1_24</v>
      </c>
      <c r="AT63" s="510">
        <f t="shared" si="84"/>
        <v>0</v>
      </c>
      <c r="AU63" s="562" t="str">
        <f t="shared" si="85"/>
        <v>vch305.3.6.1_24b1</v>
      </c>
      <c r="AV63" s="510">
        <f t="shared" si="86"/>
        <v>0</v>
      </c>
      <c r="AW63" s="562" t="str">
        <f t="shared" si="87"/>
        <v>vch305.3.6.1_24b2</v>
      </c>
      <c r="AX63" s="510">
        <f t="shared" si="88"/>
        <v>0</v>
      </c>
      <c r="AY63" s="510" t="str">
        <f t="shared" si="3"/>
        <v>vnt305.3.6.1_24</v>
      </c>
      <c r="AZ63" s="510">
        <f t="shared" si="4"/>
        <v>0</v>
      </c>
    </row>
    <row r="64" spans="1:52" x14ac:dyDescent="0.2">
      <c r="D64" s="562"/>
      <c r="E64" s="562"/>
      <c r="F64" s="562"/>
      <c r="G64" s="562"/>
      <c r="H64" s="594" t="s">
        <v>2967</v>
      </c>
      <c r="I64" s="476"/>
      <c r="J64" s="518"/>
      <c r="K64" s="518"/>
      <c r="L64" s="519">
        <f t="shared" si="89"/>
        <v>0</v>
      </c>
      <c r="M64" s="476"/>
      <c r="N64" s="518"/>
      <c r="O64" s="518"/>
      <c r="P64" s="519">
        <f t="shared" si="73"/>
        <v>0</v>
      </c>
      <c r="Q64" s="563"/>
      <c r="R64" s="562"/>
      <c r="S64" s="562"/>
      <c r="T64" s="562" t="b">
        <f t="shared" si="74"/>
        <v>0</v>
      </c>
      <c r="U64" s="562" t="b">
        <f t="shared" si="75"/>
        <v>0</v>
      </c>
      <c r="V64" s="562"/>
      <c r="W64" s="562" t="b">
        <f t="shared" si="76"/>
        <v>0</v>
      </c>
      <c r="X64" s="562"/>
      <c r="Y64" s="562"/>
      <c r="Z64" s="562"/>
      <c r="AA64" s="562"/>
      <c r="AB64" s="562"/>
      <c r="AC64" s="562" t="s">
        <v>2940</v>
      </c>
      <c r="AD64" s="562" t="s">
        <v>3808</v>
      </c>
      <c r="AE64" s="562" t="s">
        <v>3779</v>
      </c>
      <c r="AF64" s="562" t="s">
        <v>3780</v>
      </c>
      <c r="AG64" s="562" t="s">
        <v>3781</v>
      </c>
      <c r="AH64" s="562"/>
      <c r="AI64" s="562" t="s">
        <v>3782</v>
      </c>
      <c r="AJ64" s="562" t="s">
        <v>3783</v>
      </c>
      <c r="AK64" s="562" t="s">
        <v>3784</v>
      </c>
      <c r="AL64" s="562"/>
      <c r="AM64" s="562" t="str">
        <f t="shared" si="77"/>
        <v>vch305.3.6.1_25a1</v>
      </c>
      <c r="AN64" s="510">
        <f t="shared" si="78"/>
        <v>0</v>
      </c>
      <c r="AO64" s="562" t="str">
        <f t="shared" si="79"/>
        <v>vch305.3.6.1_25a2</v>
      </c>
      <c r="AP64" s="510">
        <f t="shared" si="80"/>
        <v>0</v>
      </c>
      <c r="AQ64" s="562" t="str">
        <f t="shared" si="81"/>
        <v>vch305.3.6.1_25a3</v>
      </c>
      <c r="AR64" s="510">
        <f t="shared" si="82"/>
        <v>0</v>
      </c>
      <c r="AS64" s="562" t="str">
        <f t="shared" si="83"/>
        <v>vch305.3.6.1_25</v>
      </c>
      <c r="AT64" s="510">
        <f t="shared" si="84"/>
        <v>0</v>
      </c>
      <c r="AU64" s="562" t="str">
        <f t="shared" si="85"/>
        <v>vch305.3.6.1_25b1</v>
      </c>
      <c r="AV64" s="510">
        <f t="shared" si="86"/>
        <v>0</v>
      </c>
      <c r="AW64" s="562" t="str">
        <f t="shared" si="87"/>
        <v>vch305.3.6.1_25b2</v>
      </c>
      <c r="AX64" s="510">
        <f t="shared" si="88"/>
        <v>0</v>
      </c>
      <c r="AY64" s="510" t="str">
        <f t="shared" si="3"/>
        <v>vnt305.3.6.1_25</v>
      </c>
      <c r="AZ64" s="510">
        <f t="shared" si="4"/>
        <v>0</v>
      </c>
    </row>
    <row r="65" spans="4:52" x14ac:dyDescent="0.2">
      <c r="D65" s="562"/>
      <c r="E65" s="562"/>
      <c r="F65" s="562"/>
      <c r="G65" s="562"/>
      <c r="H65" s="594" t="s">
        <v>2968</v>
      </c>
      <c r="I65" s="476"/>
      <c r="J65" s="518"/>
      <c r="K65" s="518"/>
      <c r="L65" s="519">
        <f t="shared" si="89"/>
        <v>0</v>
      </c>
      <c r="M65" s="476"/>
      <c r="N65" s="518"/>
      <c r="O65" s="518"/>
      <c r="P65" s="519">
        <f t="shared" si="73"/>
        <v>0</v>
      </c>
      <c r="Q65" s="563"/>
      <c r="R65" s="562"/>
      <c r="S65" s="562"/>
      <c r="T65" s="562" t="b">
        <f t="shared" si="74"/>
        <v>0</v>
      </c>
      <c r="U65" s="562" t="b">
        <f t="shared" si="75"/>
        <v>0</v>
      </c>
      <c r="V65" s="562"/>
      <c r="W65" s="562" t="b">
        <f t="shared" si="76"/>
        <v>0</v>
      </c>
      <c r="X65" s="562"/>
      <c r="Y65" s="562"/>
      <c r="Z65" s="562"/>
      <c r="AA65" s="562"/>
      <c r="AB65" s="562"/>
      <c r="AC65" s="562" t="s">
        <v>2940</v>
      </c>
      <c r="AD65" s="562" t="s">
        <v>3809</v>
      </c>
      <c r="AE65" s="562" t="s">
        <v>3779</v>
      </c>
      <c r="AF65" s="562" t="s">
        <v>3780</v>
      </c>
      <c r="AG65" s="562" t="s">
        <v>3781</v>
      </c>
      <c r="AH65" s="562"/>
      <c r="AI65" s="562" t="s">
        <v>3782</v>
      </c>
      <c r="AJ65" s="562" t="s">
        <v>3783</v>
      </c>
      <c r="AK65" s="562" t="s">
        <v>3784</v>
      </c>
      <c r="AL65" s="562"/>
      <c r="AM65" s="562" t="str">
        <f t="shared" si="77"/>
        <v>vch305.3.6.1_26a1</v>
      </c>
      <c r="AN65" s="510">
        <f t="shared" si="78"/>
        <v>0</v>
      </c>
      <c r="AO65" s="562" t="str">
        <f t="shared" si="79"/>
        <v>vch305.3.6.1_26a2</v>
      </c>
      <c r="AP65" s="510">
        <f t="shared" si="80"/>
        <v>0</v>
      </c>
      <c r="AQ65" s="562" t="str">
        <f t="shared" si="81"/>
        <v>vch305.3.6.1_26a3</v>
      </c>
      <c r="AR65" s="510">
        <f t="shared" si="82"/>
        <v>0</v>
      </c>
      <c r="AS65" s="562" t="str">
        <f t="shared" si="83"/>
        <v>vch305.3.6.1_26</v>
      </c>
      <c r="AT65" s="510">
        <f t="shared" si="84"/>
        <v>0</v>
      </c>
      <c r="AU65" s="562" t="str">
        <f t="shared" si="85"/>
        <v>vch305.3.6.1_26b1</v>
      </c>
      <c r="AV65" s="510">
        <f t="shared" si="86"/>
        <v>0</v>
      </c>
      <c r="AW65" s="562" t="str">
        <f t="shared" si="87"/>
        <v>vch305.3.6.1_26b2</v>
      </c>
      <c r="AX65" s="510">
        <f t="shared" si="88"/>
        <v>0</v>
      </c>
      <c r="AY65" s="510" t="str">
        <f t="shared" si="3"/>
        <v>vnt305.3.6.1_26</v>
      </c>
      <c r="AZ65" s="510">
        <f t="shared" si="4"/>
        <v>0</v>
      </c>
    </row>
    <row r="66" spans="4:52" x14ac:dyDescent="0.2">
      <c r="D66" s="562"/>
      <c r="E66" s="562"/>
      <c r="F66" s="562"/>
      <c r="G66" s="562"/>
      <c r="H66" s="592" t="s">
        <v>2962</v>
      </c>
      <c r="I66" s="562"/>
      <c r="J66" s="562"/>
      <c r="K66" s="562"/>
      <c r="L66" s="562"/>
      <c r="M66" s="562"/>
      <c r="N66" s="562"/>
      <c r="O66" s="562"/>
      <c r="P66" s="562"/>
      <c r="Q66" s="562"/>
      <c r="R66" s="562"/>
      <c r="S66" s="562"/>
      <c r="T66" s="562"/>
      <c r="U66" s="562"/>
      <c r="V66" s="562"/>
      <c r="W66" s="562"/>
      <c r="X66" s="562"/>
      <c r="Y66" s="562"/>
      <c r="Z66" s="562"/>
      <c r="AA66" s="562"/>
      <c r="AB66" s="562"/>
      <c r="AC66" s="562" t="s">
        <v>2940</v>
      </c>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10"/>
      <c r="AZ66" s="510"/>
    </row>
    <row r="67" spans="4:52" x14ac:dyDescent="0.2">
      <c r="D67" s="562"/>
      <c r="E67" s="562"/>
      <c r="F67" s="1039"/>
      <c r="G67" s="1040"/>
      <c r="H67" s="1041"/>
      <c r="I67" s="476"/>
      <c r="J67" s="518"/>
      <c r="K67" s="518"/>
      <c r="L67" s="519">
        <f t="shared" ref="L67:L70" si="90">K67*I67*J67/12</f>
        <v>0</v>
      </c>
      <c r="M67" s="476"/>
      <c r="N67" s="518"/>
      <c r="O67" s="518"/>
      <c r="P67" s="519">
        <f t="shared" ref="P67:P70" si="91">O67*M67</f>
        <v>0</v>
      </c>
      <c r="Q67" s="563"/>
      <c r="R67" s="562"/>
      <c r="S67" s="562"/>
      <c r="T67" s="562" t="b">
        <f t="shared" ref="T67:T70" si="92">NOT(OR(COUNTBLANK(I67:K67) = 3, COUNTBLANK(I67:K67) = 0))</f>
        <v>0</v>
      </c>
      <c r="U67" s="562" t="b">
        <f t="shared" ref="U67:U70" si="93">NOT(OR(COUNTBLANK(M67:O67) = 3, COUNTBLANK(M67:O67) = 0))</f>
        <v>0</v>
      </c>
      <c r="V67" s="562"/>
      <c r="W67" s="562" t="b">
        <f t="shared" ref="W67:W70" si="94">OR(T67:U67)</f>
        <v>0</v>
      </c>
      <c r="X67" s="562"/>
      <c r="Y67" s="562"/>
      <c r="Z67" s="562"/>
      <c r="AA67" s="562"/>
      <c r="AB67" s="562"/>
      <c r="AC67" s="562" t="s">
        <v>2940</v>
      </c>
      <c r="AD67" s="562" t="s">
        <v>3810</v>
      </c>
      <c r="AE67" s="562" t="s">
        <v>3779</v>
      </c>
      <c r="AF67" s="562" t="s">
        <v>3780</v>
      </c>
      <c r="AG67" s="562" t="s">
        <v>3781</v>
      </c>
      <c r="AH67" s="562"/>
      <c r="AI67" s="562" t="s">
        <v>3782</v>
      </c>
      <c r="AJ67" s="562" t="s">
        <v>3783</v>
      </c>
      <c r="AK67" s="562" t="s">
        <v>3784</v>
      </c>
      <c r="AL67" s="562"/>
      <c r="AM67" s="562" t="str">
        <f t="shared" ref="AM67:AM70" si="95">"vch"&amp;$AC67&amp;$AD67&amp;AE67</f>
        <v>vch305.3.6.1_27a1</v>
      </c>
      <c r="AN67" s="510">
        <f t="shared" ref="AN67:AN70" si="96">I67</f>
        <v>0</v>
      </c>
      <c r="AO67" s="562" t="str">
        <f t="shared" ref="AO67:AO70" si="97">"vch"&amp;$AC67&amp;$AD67&amp;AF67</f>
        <v>vch305.3.6.1_27a2</v>
      </c>
      <c r="AP67" s="510">
        <f t="shared" ref="AP67:AP70" si="98">J67</f>
        <v>0</v>
      </c>
      <c r="AQ67" s="562" t="str">
        <f t="shared" ref="AQ67:AQ70" si="99">"vch"&amp;$AC67&amp;$AD67&amp;AG67</f>
        <v>vch305.3.6.1_27a3</v>
      </c>
      <c r="AR67" s="510">
        <f t="shared" ref="AR67:AR70" si="100">K67</f>
        <v>0</v>
      </c>
      <c r="AS67" s="562" t="str">
        <f t="shared" ref="AS67:AS70" si="101">"vch"&amp;$AC67&amp;$AD67&amp;AH67</f>
        <v>vch305.3.6.1_27</v>
      </c>
      <c r="AT67" s="510">
        <f t="shared" ref="AT67:AT70" si="102">M67</f>
        <v>0</v>
      </c>
      <c r="AU67" s="562" t="str">
        <f t="shared" ref="AU67:AU70" si="103">"vch"&amp;$AC67&amp;$AD67&amp;AI67</f>
        <v>vch305.3.6.1_27b1</v>
      </c>
      <c r="AV67" s="510">
        <f t="shared" ref="AV67:AV70" si="104">N67</f>
        <v>0</v>
      </c>
      <c r="AW67" s="562" t="str">
        <f t="shared" ref="AW67:AW70" si="105">"vch"&amp;$AC67&amp;$AD67&amp;AJ67</f>
        <v>vch305.3.6.1_27b2</v>
      </c>
      <c r="AX67" s="510">
        <f t="shared" ref="AX67:AX70" si="106">O67</f>
        <v>0</v>
      </c>
      <c r="AY67" s="510" t="str">
        <f t="shared" si="3"/>
        <v>vnt305.3.6.1_27</v>
      </c>
      <c r="AZ67" s="510">
        <f t="shared" si="4"/>
        <v>0</v>
      </c>
    </row>
    <row r="68" spans="4:52" x14ac:dyDescent="0.2">
      <c r="D68" s="562"/>
      <c r="E68" s="562"/>
      <c r="F68" s="1039"/>
      <c r="G68" s="1040"/>
      <c r="H68" s="1041"/>
      <c r="I68" s="476"/>
      <c r="J68" s="518"/>
      <c r="K68" s="518"/>
      <c r="L68" s="519">
        <f t="shared" si="90"/>
        <v>0</v>
      </c>
      <c r="M68" s="476"/>
      <c r="N68" s="518"/>
      <c r="O68" s="518"/>
      <c r="P68" s="519">
        <f t="shared" si="91"/>
        <v>0</v>
      </c>
      <c r="Q68" s="563"/>
      <c r="R68" s="562"/>
      <c r="S68" s="562"/>
      <c r="T68" s="562" t="b">
        <f t="shared" si="92"/>
        <v>0</v>
      </c>
      <c r="U68" s="562" t="b">
        <f t="shared" si="93"/>
        <v>0</v>
      </c>
      <c r="V68" s="562"/>
      <c r="W68" s="562" t="b">
        <f t="shared" si="94"/>
        <v>0</v>
      </c>
      <c r="X68" s="562"/>
      <c r="Y68" s="562"/>
      <c r="Z68" s="562"/>
      <c r="AA68" s="562"/>
      <c r="AB68" s="562"/>
      <c r="AC68" s="562" t="s">
        <v>2940</v>
      </c>
      <c r="AD68" s="562" t="s">
        <v>3811</v>
      </c>
      <c r="AE68" s="562" t="s">
        <v>3779</v>
      </c>
      <c r="AF68" s="562" t="s">
        <v>3780</v>
      </c>
      <c r="AG68" s="562" t="s">
        <v>3781</v>
      </c>
      <c r="AH68" s="562"/>
      <c r="AI68" s="562" t="s">
        <v>3782</v>
      </c>
      <c r="AJ68" s="562" t="s">
        <v>3783</v>
      </c>
      <c r="AK68" s="562" t="s">
        <v>3784</v>
      </c>
      <c r="AL68" s="562"/>
      <c r="AM68" s="562" t="str">
        <f t="shared" si="95"/>
        <v>vch305.3.6.1_28a1</v>
      </c>
      <c r="AN68" s="510">
        <f t="shared" si="96"/>
        <v>0</v>
      </c>
      <c r="AO68" s="562" t="str">
        <f t="shared" si="97"/>
        <v>vch305.3.6.1_28a2</v>
      </c>
      <c r="AP68" s="510">
        <f t="shared" si="98"/>
        <v>0</v>
      </c>
      <c r="AQ68" s="562" t="str">
        <f t="shared" si="99"/>
        <v>vch305.3.6.1_28a3</v>
      </c>
      <c r="AR68" s="510">
        <f t="shared" si="100"/>
        <v>0</v>
      </c>
      <c r="AS68" s="562" t="str">
        <f t="shared" si="101"/>
        <v>vch305.3.6.1_28</v>
      </c>
      <c r="AT68" s="510">
        <f t="shared" si="102"/>
        <v>0</v>
      </c>
      <c r="AU68" s="562" t="str">
        <f t="shared" si="103"/>
        <v>vch305.3.6.1_28b1</v>
      </c>
      <c r="AV68" s="510">
        <f t="shared" si="104"/>
        <v>0</v>
      </c>
      <c r="AW68" s="562" t="str">
        <f t="shared" si="105"/>
        <v>vch305.3.6.1_28b2</v>
      </c>
      <c r="AX68" s="510">
        <f t="shared" si="106"/>
        <v>0</v>
      </c>
      <c r="AY68" s="510" t="str">
        <f t="shared" si="3"/>
        <v>vnt305.3.6.1_28</v>
      </c>
      <c r="AZ68" s="510">
        <f t="shared" si="4"/>
        <v>0</v>
      </c>
    </row>
    <row r="69" spans="4:52" x14ac:dyDescent="0.2">
      <c r="D69" s="562"/>
      <c r="E69" s="562"/>
      <c r="F69" s="1039"/>
      <c r="G69" s="1040"/>
      <c r="H69" s="1041"/>
      <c r="I69" s="476"/>
      <c r="J69" s="518"/>
      <c r="K69" s="518"/>
      <c r="L69" s="519">
        <f t="shared" si="90"/>
        <v>0</v>
      </c>
      <c r="M69" s="476"/>
      <c r="N69" s="518"/>
      <c r="O69" s="518"/>
      <c r="P69" s="519">
        <f t="shared" si="91"/>
        <v>0</v>
      </c>
      <c r="Q69" s="563"/>
      <c r="R69" s="562"/>
      <c r="S69" s="562"/>
      <c r="T69" s="562" t="b">
        <f t="shared" si="92"/>
        <v>0</v>
      </c>
      <c r="U69" s="562" t="b">
        <f t="shared" si="93"/>
        <v>0</v>
      </c>
      <c r="V69" s="562"/>
      <c r="W69" s="562" t="b">
        <f t="shared" si="94"/>
        <v>0</v>
      </c>
      <c r="X69" s="562"/>
      <c r="Y69" s="562"/>
      <c r="Z69" s="562"/>
      <c r="AA69" s="562"/>
      <c r="AB69" s="562"/>
      <c r="AC69" s="562" t="s">
        <v>2940</v>
      </c>
      <c r="AD69" s="562" t="s">
        <v>3812</v>
      </c>
      <c r="AE69" s="562" t="s">
        <v>3779</v>
      </c>
      <c r="AF69" s="562" t="s">
        <v>3780</v>
      </c>
      <c r="AG69" s="562" t="s">
        <v>3781</v>
      </c>
      <c r="AH69" s="562"/>
      <c r="AI69" s="562" t="s">
        <v>3782</v>
      </c>
      <c r="AJ69" s="562" t="s">
        <v>3783</v>
      </c>
      <c r="AK69" s="562" t="s">
        <v>3784</v>
      </c>
      <c r="AL69" s="562"/>
      <c r="AM69" s="562" t="str">
        <f t="shared" si="95"/>
        <v>vch305.3.6.1_29a1</v>
      </c>
      <c r="AN69" s="510">
        <f t="shared" si="96"/>
        <v>0</v>
      </c>
      <c r="AO69" s="562" t="str">
        <f t="shared" si="97"/>
        <v>vch305.3.6.1_29a2</v>
      </c>
      <c r="AP69" s="510">
        <f t="shared" si="98"/>
        <v>0</v>
      </c>
      <c r="AQ69" s="562" t="str">
        <f t="shared" si="99"/>
        <v>vch305.3.6.1_29a3</v>
      </c>
      <c r="AR69" s="510">
        <f t="shared" si="100"/>
        <v>0</v>
      </c>
      <c r="AS69" s="562" t="str">
        <f t="shared" si="101"/>
        <v>vch305.3.6.1_29</v>
      </c>
      <c r="AT69" s="510">
        <f t="shared" si="102"/>
        <v>0</v>
      </c>
      <c r="AU69" s="562" t="str">
        <f t="shared" si="103"/>
        <v>vch305.3.6.1_29b1</v>
      </c>
      <c r="AV69" s="510">
        <f t="shared" si="104"/>
        <v>0</v>
      </c>
      <c r="AW69" s="562" t="str">
        <f t="shared" si="105"/>
        <v>vch305.3.6.1_29b2</v>
      </c>
      <c r="AX69" s="510">
        <f t="shared" si="106"/>
        <v>0</v>
      </c>
      <c r="AY69" s="510" t="str">
        <f t="shared" si="3"/>
        <v>vnt305.3.6.1_29</v>
      </c>
      <c r="AZ69" s="510">
        <f t="shared" si="4"/>
        <v>0</v>
      </c>
    </row>
    <row r="70" spans="4:52" x14ac:dyDescent="0.2">
      <c r="D70" s="562"/>
      <c r="E70" s="562"/>
      <c r="F70" s="1039"/>
      <c r="G70" s="1040"/>
      <c r="H70" s="1041"/>
      <c r="I70" s="476"/>
      <c r="J70" s="518"/>
      <c r="K70" s="518"/>
      <c r="L70" s="519">
        <f t="shared" si="90"/>
        <v>0</v>
      </c>
      <c r="M70" s="476"/>
      <c r="N70" s="518"/>
      <c r="O70" s="518"/>
      <c r="P70" s="519">
        <f t="shared" si="91"/>
        <v>0</v>
      </c>
      <c r="Q70" s="563"/>
      <c r="R70" s="562"/>
      <c r="S70" s="562"/>
      <c r="T70" s="562" t="b">
        <f t="shared" si="92"/>
        <v>0</v>
      </c>
      <c r="U70" s="562" t="b">
        <f t="shared" si="93"/>
        <v>0</v>
      </c>
      <c r="V70" s="562"/>
      <c r="W70" s="562" t="b">
        <f t="shared" si="94"/>
        <v>0</v>
      </c>
      <c r="X70" s="562"/>
      <c r="Y70" s="562"/>
      <c r="Z70" s="562"/>
      <c r="AA70" s="562"/>
      <c r="AB70" s="562"/>
      <c r="AC70" s="562" t="s">
        <v>2940</v>
      </c>
      <c r="AD70" s="562" t="s">
        <v>3813</v>
      </c>
      <c r="AE70" s="562" t="s">
        <v>3779</v>
      </c>
      <c r="AF70" s="562" t="s">
        <v>3780</v>
      </c>
      <c r="AG70" s="562" t="s">
        <v>3781</v>
      </c>
      <c r="AH70" s="562"/>
      <c r="AI70" s="562" t="s">
        <v>3782</v>
      </c>
      <c r="AJ70" s="562" t="s">
        <v>3783</v>
      </c>
      <c r="AK70" s="562" t="s">
        <v>3784</v>
      </c>
      <c r="AL70" s="562"/>
      <c r="AM70" s="562" t="str">
        <f t="shared" si="95"/>
        <v>vch305.3.6.1_30a1</v>
      </c>
      <c r="AN70" s="510">
        <f t="shared" si="96"/>
        <v>0</v>
      </c>
      <c r="AO70" s="562" t="str">
        <f t="shared" si="97"/>
        <v>vch305.3.6.1_30a2</v>
      </c>
      <c r="AP70" s="510">
        <f t="shared" si="98"/>
        <v>0</v>
      </c>
      <c r="AQ70" s="562" t="str">
        <f t="shared" si="99"/>
        <v>vch305.3.6.1_30a3</v>
      </c>
      <c r="AR70" s="510">
        <f t="shared" si="100"/>
        <v>0</v>
      </c>
      <c r="AS70" s="562" t="str">
        <f t="shared" si="101"/>
        <v>vch305.3.6.1_30</v>
      </c>
      <c r="AT70" s="510">
        <f t="shared" si="102"/>
        <v>0</v>
      </c>
      <c r="AU70" s="562" t="str">
        <f t="shared" si="103"/>
        <v>vch305.3.6.1_30b1</v>
      </c>
      <c r="AV70" s="510">
        <f t="shared" si="104"/>
        <v>0</v>
      </c>
      <c r="AW70" s="562" t="str">
        <f t="shared" si="105"/>
        <v>vch305.3.6.1_30b2</v>
      </c>
      <c r="AX70" s="510">
        <f t="shared" si="106"/>
        <v>0</v>
      </c>
      <c r="AY70" s="510" t="str">
        <f t="shared" si="3"/>
        <v>vnt305.3.6.1_30</v>
      </c>
      <c r="AZ70" s="510">
        <f t="shared" si="4"/>
        <v>0</v>
      </c>
    </row>
    <row r="71" spans="4:52" x14ac:dyDescent="0.2">
      <c r="D71" s="562"/>
      <c r="E71" s="562"/>
      <c r="F71" s="562"/>
      <c r="G71" s="562"/>
      <c r="H71" s="594"/>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row>
    <row r="72" spans="4:52" x14ac:dyDescent="0.2">
      <c r="D72" s="562"/>
      <c r="E72" s="562"/>
      <c r="F72" s="562"/>
      <c r="G72" s="562"/>
      <c r="H72" s="562"/>
      <c r="I72" s="562"/>
      <c r="J72" s="562"/>
      <c r="K72" s="592" t="s">
        <v>2969</v>
      </c>
      <c r="L72" s="519">
        <f>SUM(L32:L70)</f>
        <v>0</v>
      </c>
      <c r="M72" s="562"/>
      <c r="N72" s="562"/>
      <c r="O72" s="562"/>
      <c r="P72" s="519">
        <f>SUM(P32:P70)</f>
        <v>0</v>
      </c>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row>
    <row r="73" spans="4:52" x14ac:dyDescent="0.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row>
    <row r="74" spans="4:52" x14ac:dyDescent="0.2">
      <c r="D74" s="562"/>
      <c r="E74" s="562"/>
      <c r="F74" s="562"/>
      <c r="G74" s="562"/>
      <c r="H74" s="562"/>
      <c r="I74" s="562"/>
      <c r="J74" s="562"/>
      <c r="K74" s="592" t="s">
        <v>2970</v>
      </c>
      <c r="L74" s="477">
        <f>IFERROR((L72-P72)/L72,0)</f>
        <v>0</v>
      </c>
      <c r="O74" s="648"/>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row>
    <row r="75" spans="4:52" x14ac:dyDescent="0.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row>
    <row r="76" spans="4:52" ht="16" thickBot="1" x14ac:dyDescent="0.25">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row>
    <row r="77" spans="4:52" ht="17" thickTop="1" thickBot="1" x14ac:dyDescent="0.25">
      <c r="D77" s="154" t="s">
        <v>2971</v>
      </c>
      <c r="E77" s="154"/>
      <c r="F77" s="154"/>
      <c r="G77" s="154"/>
      <c r="H77" s="154"/>
      <c r="I77" s="154"/>
      <c r="J77" s="154"/>
      <c r="K77" s="155"/>
      <c r="L77" s="155"/>
      <c r="M77" s="156"/>
      <c r="N77" s="156"/>
      <c r="O77" s="157"/>
      <c r="P77" s="155"/>
      <c r="Q77" s="194" t="s">
        <v>2972</v>
      </c>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row>
    <row r="78" spans="4:52" ht="15" customHeight="1" thickTop="1" x14ac:dyDescent="0.2">
      <c r="D78" s="562"/>
      <c r="E78" s="562"/>
      <c r="F78" s="562"/>
      <c r="G78" s="562"/>
      <c r="H78" s="562"/>
      <c r="I78" s="562"/>
      <c r="J78" s="562"/>
      <c r="K78" s="562"/>
      <c r="L78" s="562"/>
      <c r="O78" s="648"/>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row>
    <row r="79" spans="4:52" ht="15" customHeight="1" x14ac:dyDescent="0.2">
      <c r="D79" s="562"/>
      <c r="E79" s="562"/>
      <c r="F79" s="562"/>
      <c r="G79" s="562"/>
      <c r="H79" s="562"/>
      <c r="I79" s="562"/>
      <c r="J79" s="562"/>
      <c r="K79" s="562"/>
      <c r="L79" s="562"/>
      <c r="O79" s="648"/>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row>
    <row r="81" ht="15" customHeight="1" x14ac:dyDescent="0.2"/>
    <row r="84" ht="15" customHeight="1" x14ac:dyDescent="0.2"/>
    <row r="87" ht="15.75" customHeight="1" x14ac:dyDescent="0.2"/>
    <row r="90" ht="15" customHeight="1" x14ac:dyDescent="0.2"/>
    <row r="94" ht="15" customHeight="1" x14ac:dyDescent="0.2"/>
    <row r="97" ht="15.75" customHeight="1" x14ac:dyDescent="0.2"/>
    <row r="100" ht="15.75" customHeight="1" x14ac:dyDescent="0.2"/>
    <row r="105" ht="15.75" customHeight="1" x14ac:dyDescent="0.2"/>
    <row r="108" ht="15.75" customHeight="1" x14ac:dyDescent="0.2"/>
    <row r="110" ht="15.75" customHeight="1" x14ac:dyDescent="0.2"/>
  </sheetData>
  <sheetProtection algorithmName="SHA-512" hashValue="sHTrSvjHpEdqo1TlfEYQda67FqIJ5AYZjWL/2zKKCyTi6tH7c+urorZhA6PH4JsPvBrjWXMebY8QH/khILFj3g==" saltValue="OFcdOS+7/RB+E9pm/zoVKQ==" spinCount="100000" sheet="1" objects="1" scenarios="1" selectLockedCells="1"/>
  <mergeCells count="44">
    <mergeCell ref="M1:O5"/>
    <mergeCell ref="P1:P3"/>
    <mergeCell ref="O59:O60"/>
    <mergeCell ref="F67:H67"/>
    <mergeCell ref="F68:H68"/>
    <mergeCell ref="K59:K60"/>
    <mergeCell ref="M59:M60"/>
    <mergeCell ref="N59:N60"/>
    <mergeCell ref="F57:H57"/>
    <mergeCell ref="M27:O27"/>
    <mergeCell ref="I29:I30"/>
    <mergeCell ref="J29:J30"/>
    <mergeCell ref="K29:K30"/>
    <mergeCell ref="M29:M30"/>
    <mergeCell ref="N29:N30"/>
    <mergeCell ref="O29:O30"/>
    <mergeCell ref="F69:H69"/>
    <mergeCell ref="F70:H70"/>
    <mergeCell ref="F59:H59"/>
    <mergeCell ref="I59:I60"/>
    <mergeCell ref="J59:J60"/>
    <mergeCell ref="F56:H56"/>
    <mergeCell ref="F9:L11"/>
    <mergeCell ref="F12:L12"/>
    <mergeCell ref="F13:L16"/>
    <mergeCell ref="F17:L18"/>
    <mergeCell ref="F19:L24"/>
    <mergeCell ref="F27:H27"/>
    <mergeCell ref="I27:K27"/>
    <mergeCell ref="F30:H30"/>
    <mergeCell ref="F53:H53"/>
    <mergeCell ref="F54:H54"/>
    <mergeCell ref="M6:M7"/>
    <mergeCell ref="P6:P7"/>
    <mergeCell ref="Q6:Q7"/>
    <mergeCell ref="D6:E7"/>
    <mergeCell ref="F55:H55"/>
    <mergeCell ref="C1:C7"/>
    <mergeCell ref="D1:L1"/>
    <mergeCell ref="D2:L2"/>
    <mergeCell ref="D3:L3"/>
    <mergeCell ref="D4:L4"/>
    <mergeCell ref="D5:L5"/>
    <mergeCell ref="F6:L7"/>
  </mergeCells>
  <conditionalFormatting sqref="D1:J1">
    <cfRule type="expression" dxfId="88" priority="38">
      <formula>$Z$1="Gold"</formula>
    </cfRule>
    <cfRule type="expression" dxfId="87" priority="39">
      <formula>$Z$1="Silver"</formula>
    </cfRule>
    <cfRule type="expression" dxfId="86" priority="40">
      <formula>$Z$1="Bronze"</formula>
    </cfRule>
    <cfRule type="expression" dxfId="85" priority="41">
      <formula>$Z$1="Emerald"</formula>
    </cfRule>
  </conditionalFormatting>
  <conditionalFormatting sqref="I32:K33">
    <cfRule type="expression" dxfId="84" priority="37">
      <formula>AND(OR(LEN($I32)&gt;0,LEN($J32)&gt;0,LEN($K32)&gt;0),LEN(I32)=0)</formula>
    </cfRule>
  </conditionalFormatting>
  <conditionalFormatting sqref="J32">
    <cfRule type="expression" dxfId="83" priority="36">
      <formula>AND(OR(LEN($I32)&gt;0,LEN($J32)&gt;0,LEN($K32)&gt;0),LEN(J32)=0)</formula>
    </cfRule>
  </conditionalFormatting>
  <conditionalFormatting sqref="K32">
    <cfRule type="expression" dxfId="82" priority="35">
      <formula>AND(OR(LEN($I32)&gt;0,LEN($J32)&gt;0,LEN($K32)&gt;0),LEN(K32)=0)</formula>
    </cfRule>
  </conditionalFormatting>
  <conditionalFormatting sqref="I33">
    <cfRule type="expression" dxfId="81" priority="34">
      <formula>AND(OR(LEN($I33)&gt;0,LEN($J33)&gt;0,LEN($K33)&gt;0),LEN(I33)=0)</formula>
    </cfRule>
  </conditionalFormatting>
  <conditionalFormatting sqref="J33">
    <cfRule type="expression" dxfId="80" priority="33">
      <formula>AND(OR(LEN($I33)&gt;0,LEN($J33)&gt;0,LEN($K33)&gt;0),LEN(J33)=0)</formula>
    </cfRule>
  </conditionalFormatting>
  <conditionalFormatting sqref="K33">
    <cfRule type="expression" dxfId="79" priority="32">
      <formula>AND(OR(LEN($I33)&gt;0,LEN($J33)&gt;0,LEN($K33)&gt;0),LEN(K33)=0)</formula>
    </cfRule>
  </conditionalFormatting>
  <conditionalFormatting sqref="I62:I65">
    <cfRule type="expression" dxfId="78" priority="19">
      <formula>AND(OR(LEN($I62)&gt;0,LEN($J62)&gt;0,LEN($K62)&gt;0),LEN(I62)=0)</formula>
    </cfRule>
  </conditionalFormatting>
  <conditionalFormatting sqref="J62:J65">
    <cfRule type="expression" dxfId="77" priority="18">
      <formula>AND(OR(LEN($I62)&gt;0,LEN($J62)&gt;0,LEN($K62)&gt;0),LEN(J62)=0)</formula>
    </cfRule>
  </conditionalFormatting>
  <conditionalFormatting sqref="K62:K65">
    <cfRule type="expression" dxfId="76" priority="17">
      <formula>AND(OR(LEN($I62)&gt;0,LEN($J62)&gt;0,LEN($K62)&gt;0),LEN(K62)=0)</formula>
    </cfRule>
  </conditionalFormatting>
  <conditionalFormatting sqref="I67:I70">
    <cfRule type="expression" dxfId="75" priority="16">
      <formula>AND(OR(LEN($I67)&gt;0,LEN($J67)&gt;0,LEN($K67)&gt;0),LEN(I67)=0)</formula>
    </cfRule>
  </conditionalFormatting>
  <conditionalFormatting sqref="J67:J70">
    <cfRule type="expression" dxfId="74" priority="15">
      <formula>AND(OR(LEN($I67)&gt;0,LEN($J67)&gt;0,LEN($K67)&gt;0),LEN(J67)=0)</formula>
    </cfRule>
  </conditionalFormatting>
  <conditionalFormatting sqref="K67:K70">
    <cfRule type="expression" dxfId="73" priority="14">
      <formula>AND(OR(LEN($I67)&gt;0,LEN($J67)&gt;0,LEN($K67)&gt;0),LEN(K67)=0)</formula>
    </cfRule>
  </conditionalFormatting>
  <conditionalFormatting sqref="M62:O65 M67:O70 M32:O33 M35:O39 M41:O45 M47:O51 M53:O57">
    <cfRule type="expression" dxfId="72" priority="13">
      <formula>AND(OR(LEN($M32)&gt;0,LEN($N32)&gt;0,LEN($O32)&gt;0),LEN(M32)=0)</formula>
    </cfRule>
  </conditionalFormatting>
  <conditionalFormatting sqref="Q2">
    <cfRule type="expression" dxfId="71" priority="10">
      <formula>verMandError</formula>
    </cfRule>
  </conditionalFormatting>
  <conditionalFormatting sqref="Q3">
    <cfRule type="expression" dxfId="70" priority="11">
      <formula>verError</formula>
    </cfRule>
  </conditionalFormatting>
  <conditionalFormatting sqref="Q1">
    <cfRule type="expression" dxfId="69" priority="12">
      <formula>verStartError</formula>
    </cfRule>
  </conditionalFormatting>
  <conditionalFormatting sqref="F53:H53">
    <cfRule type="expression" dxfId="68" priority="9">
      <formula>AND(OR(LEN($I53)&gt;0,LEN($J53)&gt;0,LEN($K53)&gt;0,LEN($M53)&gt;0,LEN($N53)&gt;0,LEN($O53)&gt;0),LEN(F53)=0)</formula>
    </cfRule>
  </conditionalFormatting>
  <conditionalFormatting sqref="F54:H57">
    <cfRule type="expression" dxfId="67" priority="8">
      <formula>AND(OR(LEN($I54)&gt;0,LEN($J54)&gt;0,LEN($K54)&gt;0,LEN($M54)&gt;0,LEN($N54)&gt;0,LEN($O54)&gt;0),LEN(F54)=0)</formula>
    </cfRule>
  </conditionalFormatting>
  <conditionalFormatting sqref="F67:H70">
    <cfRule type="expression" dxfId="66" priority="7">
      <formula>AND(OR(LEN($I67)&gt;0,LEN($J67)&gt;0,LEN($K67)&gt;0,LEN($M67)&gt;0,LEN($N67)&gt;0,LEN($O67)&gt;0),LEN(F67)=0)</formula>
    </cfRule>
  </conditionalFormatting>
  <conditionalFormatting sqref="I35:K39">
    <cfRule type="expression" dxfId="65" priority="6">
      <formula>AND(OR(LEN($I35)&gt;0,LEN($J35)&gt;0,LEN($K35)&gt;0),LEN(I35)=0)</formula>
    </cfRule>
  </conditionalFormatting>
  <conditionalFormatting sqref="I41:K45">
    <cfRule type="expression" dxfId="64" priority="5">
      <formula>AND(OR(LEN($I41)&gt;0,LEN($J41)&gt;0,LEN($K41)&gt;0),LEN(I41)=0)</formula>
    </cfRule>
  </conditionalFormatting>
  <conditionalFormatting sqref="I47:K51">
    <cfRule type="expression" dxfId="63" priority="4">
      <formula>AND(OR(LEN($I47)&gt;0,LEN($J47)&gt;0,LEN($K47)&gt;0),LEN(I47)=0)</formula>
    </cfRule>
  </conditionalFormatting>
  <conditionalFormatting sqref="I53:K57">
    <cfRule type="expression" dxfId="62" priority="3">
      <formula>AND(OR(LEN($I53)&gt;0,LEN($J53)&gt;0,LEN($K53)&gt;0),LEN(I53)=0)</formula>
    </cfRule>
  </conditionalFormatting>
  <conditionalFormatting sqref="L72">
    <cfRule type="cellIs" dxfId="61" priority="2" operator="equal">
      <formula>0</formula>
    </cfRule>
  </conditionalFormatting>
  <conditionalFormatting sqref="P72">
    <cfRule type="expression" dxfId="60" priority="1">
      <formula>AND($P$72=0,ReportType="Final")</formula>
    </cfRule>
  </conditionalFormatting>
  <dataValidations count="2">
    <dataValidation type="decimal" allowBlank="1" showInputMessage="1" showErrorMessage="1" sqref="I35:J39 I41:J45 I47:J51 I53:J57 M53:N57 M47:N51 M32:N33 M35:N39 M41:N45 I32:J33" xr:uid="{00000000-0002-0000-0F00-000000000000}">
      <formula1>0</formula1>
      <formula2>1000</formula2>
    </dataValidation>
    <dataValidation type="decimal" allowBlank="1" showInputMessage="1" showErrorMessage="1" sqref="K32:K33 K35:K39 K41:K45 K47:K51 K53:K57 K62:K65 K67:K70 O67:O70 O62:O65 O53:O57 O47:O51 O41:O45 O35:O39 O32:O33" xr:uid="{831F1FA8-624A-47CB-B4C9-56A88ACA4B8B}">
      <formula1>0</formula1>
      <formula2>1000000</formula2>
    </dataValidation>
  </dataValidations>
  <hyperlinks>
    <hyperlink ref="F12" location="'Table 305.3.5'!A1" display="See Table Table 305.3.5" xr:uid="{00000000-0004-0000-0F00-000000000000}"/>
    <hyperlink ref="F12:L12" location="'Table 305.3.6'!A1" display="See Table Table 305.3.6" xr:uid="{00000000-0004-0000-0F00-000001000000}"/>
    <hyperlink ref="Q77" location="'Verification Report'!W907" display="CLICK TO PROCEED TO CHAPTER 9 &gt;&gt;" xr:uid="{00000000-0004-0000-0F00-000002000000}"/>
  </hyperlinks>
  <pageMargins left="0.7" right="0.7" top="0.75" bottom="0.75" header="0.3" footer="0.3"/>
  <pageSetup scale="43"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J1349"/>
  <sheetViews>
    <sheetView showGridLines="0" zoomScaleNormal="100" workbookViewId="0">
      <pane ySplit="7" topLeftCell="A8" activePane="bottomLeft" state="frozen"/>
      <selection activeCell="E7" sqref="E7:F7"/>
      <selection pane="bottomLeft" activeCell="H60" sqref="H60"/>
    </sheetView>
  </sheetViews>
  <sheetFormatPr baseColWidth="10" defaultColWidth="8.83203125" defaultRowHeight="15" x14ac:dyDescent="0.2"/>
  <cols>
    <col min="1" max="1" width="10.5" customWidth="1"/>
    <col min="2" max="3" width="3.83203125" customWidth="1"/>
    <col min="4" max="4" width="71.6640625" customWidth="1"/>
    <col min="6" max="6" width="21.1640625" style="448" customWidth="1"/>
    <col min="7" max="7" width="9.1640625" style="448" hidden="1" customWidth="1"/>
    <col min="8" max="9" width="9.1640625" customWidth="1"/>
  </cols>
  <sheetData>
    <row r="1" spans="1:10" s="448" customFormat="1" x14ac:dyDescent="0.2">
      <c r="A1" s="562"/>
      <c r="B1" s="562"/>
      <c r="C1" s="562"/>
      <c r="D1" s="1042" t="s">
        <v>3814</v>
      </c>
      <c r="E1" s="562"/>
      <c r="F1" s="562"/>
      <c r="G1" s="562"/>
      <c r="H1" s="562"/>
      <c r="I1" s="562"/>
      <c r="J1" s="562"/>
    </row>
    <row r="2" spans="1:10" s="448" customFormat="1" ht="15" customHeight="1" x14ac:dyDescent="0.2">
      <c r="A2" s="562"/>
      <c r="B2" s="562"/>
      <c r="C2" s="562"/>
      <c r="D2" s="1043"/>
      <c r="E2" s="562"/>
      <c r="F2" s="562"/>
      <c r="G2" s="562"/>
      <c r="H2" s="562"/>
      <c r="I2" s="562"/>
      <c r="J2" s="562"/>
    </row>
    <row r="3" spans="1:10" s="448" customFormat="1" ht="15" customHeight="1" x14ac:dyDescent="0.2">
      <c r="A3" s="562"/>
      <c r="B3" s="562"/>
      <c r="C3" s="562"/>
      <c r="D3" s="1043"/>
      <c r="E3" s="562"/>
      <c r="F3" s="562"/>
      <c r="G3" s="562"/>
      <c r="H3" s="562"/>
      <c r="I3" s="562"/>
      <c r="J3" s="562"/>
    </row>
    <row r="4" spans="1:10" s="448" customFormat="1" x14ac:dyDescent="0.2">
      <c r="A4" s="562"/>
      <c r="B4" s="562"/>
      <c r="C4" s="562"/>
      <c r="D4" s="1044" t="s">
        <v>3815</v>
      </c>
      <c r="E4" s="562"/>
      <c r="F4" s="562"/>
      <c r="G4" s="562"/>
      <c r="H4" s="562"/>
      <c r="I4" s="562"/>
      <c r="J4" s="562"/>
    </row>
    <row r="5" spans="1:10" x14ac:dyDescent="0.2">
      <c r="A5" s="562"/>
      <c r="B5" s="562"/>
      <c r="C5" s="562"/>
      <c r="D5" s="1044"/>
      <c r="E5" s="562"/>
      <c r="F5" s="562"/>
      <c r="G5" s="562"/>
      <c r="H5" s="562"/>
      <c r="I5" s="562"/>
      <c r="J5" s="562"/>
    </row>
    <row r="6" spans="1:10" ht="15" customHeight="1" x14ac:dyDescent="0.2">
      <c r="A6" s="789" t="s">
        <v>2157</v>
      </c>
      <c r="B6" s="789"/>
      <c r="C6" s="790"/>
      <c r="D6" s="784" t="s">
        <v>3741</v>
      </c>
      <c r="E6" s="1014" t="s">
        <v>3743</v>
      </c>
      <c r="F6" s="784" t="s">
        <v>2167</v>
      </c>
      <c r="G6" s="562"/>
      <c r="H6" s="562"/>
      <c r="I6" s="562"/>
      <c r="J6" s="562"/>
    </row>
    <row r="7" spans="1:10" ht="16" thickBot="1" x14ac:dyDescent="0.25">
      <c r="A7" s="789"/>
      <c r="B7" s="789"/>
      <c r="C7" s="790"/>
      <c r="D7" s="785"/>
      <c r="E7" s="1014"/>
      <c r="F7" s="785"/>
      <c r="G7" s="562" t="s">
        <v>3816</v>
      </c>
      <c r="H7" s="562"/>
      <c r="I7" s="562"/>
      <c r="J7" s="562"/>
    </row>
    <row r="8" spans="1:10" ht="20" hidden="1" thickBot="1" x14ac:dyDescent="0.3">
      <c r="A8" s="50" t="s">
        <v>2172</v>
      </c>
      <c r="B8" s="15"/>
      <c r="C8" s="15"/>
      <c r="D8" s="16"/>
      <c r="E8" s="17"/>
      <c r="F8" s="16"/>
      <c r="G8" s="562"/>
      <c r="H8" s="562" t="s">
        <v>3817</v>
      </c>
      <c r="I8" s="562"/>
      <c r="J8" s="562"/>
    </row>
    <row r="9" spans="1:10" ht="15" hidden="1" customHeight="1" x14ac:dyDescent="0.2">
      <c r="A9" s="346" t="s">
        <v>2174</v>
      </c>
      <c r="B9" s="57"/>
      <c r="C9" s="57"/>
      <c r="D9" s="775" t="s">
        <v>2175</v>
      </c>
      <c r="E9" s="648"/>
      <c r="F9" s="562"/>
      <c r="G9" s="562"/>
      <c r="H9" s="562" t="s">
        <v>1603</v>
      </c>
      <c r="I9" s="562"/>
      <c r="J9" s="562"/>
    </row>
    <row r="10" spans="1:10" ht="16" hidden="1" thickBot="1" x14ac:dyDescent="0.25">
      <c r="A10" s="346"/>
      <c r="B10" s="57"/>
      <c r="C10" s="57"/>
      <c r="D10" s="775"/>
      <c r="E10" s="648"/>
      <c r="F10" s="562"/>
      <c r="G10" s="562"/>
      <c r="H10" s="562" t="s">
        <v>3818</v>
      </c>
      <c r="I10" s="562"/>
      <c r="J10" s="562"/>
    </row>
    <row r="11" spans="1:10" ht="16" hidden="1" thickBot="1" x14ac:dyDescent="0.25">
      <c r="A11" s="346"/>
      <c r="B11" s="57"/>
      <c r="C11" s="57"/>
      <c r="D11" s="775"/>
      <c r="E11" s="648"/>
      <c r="F11" s="562"/>
      <c r="G11" s="562"/>
      <c r="H11" s="562" t="s">
        <v>3587</v>
      </c>
      <c r="I11" s="562"/>
      <c r="J11" s="562"/>
    </row>
    <row r="12" spans="1:10" ht="20" hidden="1" thickBot="1" x14ac:dyDescent="0.25">
      <c r="A12" s="50" t="s">
        <v>2177</v>
      </c>
      <c r="B12" s="58"/>
      <c r="C12" s="58"/>
      <c r="D12" s="52"/>
      <c r="E12" s="44"/>
      <c r="F12" s="562"/>
      <c r="G12" s="562"/>
      <c r="H12" s="562"/>
      <c r="I12" s="562"/>
      <c r="J12" s="562"/>
    </row>
    <row r="13" spans="1:10" ht="15.75" hidden="1" customHeight="1" x14ac:dyDescent="0.2">
      <c r="A13" s="346" t="s">
        <v>2179</v>
      </c>
      <c r="B13" s="57"/>
      <c r="C13" s="57"/>
      <c r="D13" s="775" t="s">
        <v>2180</v>
      </c>
      <c r="E13" s="1034"/>
      <c r="F13" s="562"/>
      <c r="G13" s="562"/>
      <c r="H13" s="562"/>
      <c r="I13" s="562"/>
      <c r="J13" s="562"/>
    </row>
    <row r="14" spans="1:10" ht="16" hidden="1" thickBot="1" x14ac:dyDescent="0.25">
      <c r="A14" s="346"/>
      <c r="B14" s="57"/>
      <c r="C14" s="57"/>
      <c r="D14" s="775"/>
      <c r="E14" s="1034"/>
      <c r="F14" s="562"/>
      <c r="G14" s="562"/>
      <c r="H14" s="562"/>
      <c r="I14" s="562"/>
      <c r="J14" s="562"/>
    </row>
    <row r="15" spans="1:10" ht="15" hidden="1" customHeight="1" x14ac:dyDescent="0.2">
      <c r="A15" s="346"/>
      <c r="B15" s="61" t="s">
        <v>2181</v>
      </c>
      <c r="C15" s="61"/>
      <c r="D15" s="776" t="s">
        <v>2182</v>
      </c>
      <c r="E15" s="1001">
        <f>'Verification Report'!O15</f>
        <v>0</v>
      </c>
      <c r="F15" s="562"/>
      <c r="G15" s="562"/>
      <c r="H15" s="562"/>
      <c r="I15" s="562"/>
      <c r="J15" s="562"/>
    </row>
    <row r="16" spans="1:10" ht="15" hidden="1" customHeight="1" x14ac:dyDescent="0.2">
      <c r="A16" s="346"/>
      <c r="B16" s="125"/>
      <c r="C16" s="125"/>
      <c r="D16" s="777"/>
      <c r="E16" s="1002"/>
      <c r="F16" s="562"/>
      <c r="G16" s="562"/>
      <c r="H16" s="562"/>
      <c r="I16" s="562"/>
      <c r="J16" s="562"/>
    </row>
    <row r="17" spans="1:10" ht="15" hidden="1" customHeight="1" x14ac:dyDescent="0.2">
      <c r="A17" s="346"/>
      <c r="B17" s="61" t="s">
        <v>2183</v>
      </c>
      <c r="C17" s="61"/>
      <c r="D17" s="791" t="s">
        <v>2184</v>
      </c>
      <c r="E17" s="1001">
        <f>'Verification Report'!O17</f>
        <v>0</v>
      </c>
      <c r="F17" s="562"/>
      <c r="G17" s="562"/>
      <c r="H17" s="562"/>
      <c r="I17" s="562"/>
      <c r="J17" s="562"/>
    </row>
    <row r="18" spans="1:10" ht="15" hidden="1" customHeight="1" x14ac:dyDescent="0.2">
      <c r="A18" s="346"/>
      <c r="B18" s="125"/>
      <c r="C18" s="125"/>
      <c r="D18" s="792"/>
      <c r="E18" s="1002"/>
      <c r="F18" s="562"/>
      <c r="G18" s="562"/>
      <c r="H18" s="562"/>
      <c r="I18" s="562"/>
      <c r="J18" s="562"/>
    </row>
    <row r="19" spans="1:10" ht="15" hidden="1" customHeight="1" x14ac:dyDescent="0.2">
      <c r="A19" s="346"/>
      <c r="B19" s="61" t="s">
        <v>2185</v>
      </c>
      <c r="C19" s="61"/>
      <c r="D19" s="791" t="s">
        <v>2186</v>
      </c>
      <c r="E19" s="1001">
        <f>'Verification Report'!O19</f>
        <v>0</v>
      </c>
      <c r="F19" s="562"/>
      <c r="G19" s="562"/>
      <c r="H19" s="562"/>
      <c r="I19" s="562"/>
      <c r="J19" s="562"/>
    </row>
    <row r="20" spans="1:10" ht="15.75" hidden="1" customHeight="1" x14ac:dyDescent="0.2">
      <c r="A20" s="346"/>
      <c r="B20" s="61"/>
      <c r="C20" s="61"/>
      <c r="D20" s="791"/>
      <c r="E20" s="1001">
        <f>'Verification Report'!O20</f>
        <v>0</v>
      </c>
      <c r="F20" s="562"/>
      <c r="G20" s="562"/>
      <c r="H20" s="562"/>
      <c r="I20" s="562"/>
      <c r="J20" s="562"/>
    </row>
    <row r="21" spans="1:10" ht="15.75" hidden="1" customHeight="1" x14ac:dyDescent="0.2">
      <c r="A21" s="346"/>
      <c r="B21" s="61"/>
      <c r="C21" s="61"/>
      <c r="D21" s="791"/>
      <c r="E21" s="1001">
        <f>'Verification Report'!O21</f>
        <v>0</v>
      </c>
      <c r="F21" s="562"/>
      <c r="G21" s="562"/>
      <c r="H21" s="562"/>
      <c r="I21" s="562"/>
      <c r="J21" s="562"/>
    </row>
    <row r="22" spans="1:10" ht="15.75" hidden="1" customHeight="1" x14ac:dyDescent="0.2">
      <c r="A22" s="346"/>
      <c r="B22" s="61"/>
      <c r="C22" s="61"/>
      <c r="D22" s="791"/>
      <c r="E22" s="1001">
        <f>'Verification Report'!O22</f>
        <v>0</v>
      </c>
      <c r="F22" s="562"/>
      <c r="G22" s="562"/>
      <c r="H22" s="562"/>
      <c r="I22" s="562"/>
      <c r="J22" s="562"/>
    </row>
    <row r="23" spans="1:10" ht="15.75" hidden="1" customHeight="1" x14ac:dyDescent="0.2">
      <c r="A23" s="346"/>
      <c r="B23" s="61"/>
      <c r="C23" s="61"/>
      <c r="D23" s="65" t="s">
        <v>2187</v>
      </c>
      <c r="E23" s="1001">
        <f>'Verification Report'!O23</f>
        <v>0</v>
      </c>
      <c r="F23" s="562"/>
      <c r="G23" s="562"/>
      <c r="H23" s="562"/>
      <c r="I23" s="562"/>
      <c r="J23" s="562"/>
    </row>
    <row r="24" spans="1:10" ht="15.75" hidden="1" customHeight="1" x14ac:dyDescent="0.2">
      <c r="A24" s="346"/>
      <c r="B24" s="61"/>
      <c r="C24" s="61"/>
      <c r="D24" s="65" t="s">
        <v>2188</v>
      </c>
      <c r="E24" s="1001">
        <f>'Verification Report'!O24</f>
        <v>0</v>
      </c>
      <c r="F24" s="562"/>
      <c r="G24" s="562"/>
      <c r="H24" s="562"/>
      <c r="I24" s="562"/>
      <c r="J24" s="562"/>
    </row>
    <row r="25" spans="1:10" ht="15.75" hidden="1" customHeight="1" x14ac:dyDescent="0.2">
      <c r="A25" s="346"/>
      <c r="B25" s="61"/>
      <c r="C25" s="61"/>
      <c r="D25" s="65" t="s">
        <v>2189</v>
      </c>
      <c r="E25" s="1001">
        <f>'Verification Report'!O25</f>
        <v>0</v>
      </c>
      <c r="F25" s="562"/>
      <c r="G25" s="562"/>
      <c r="H25" s="562"/>
      <c r="I25" s="562"/>
      <c r="J25" s="562"/>
    </row>
    <row r="26" spans="1:10" ht="15.75" hidden="1" customHeight="1" x14ac:dyDescent="0.2">
      <c r="A26" s="346"/>
      <c r="B26" s="61"/>
      <c r="C26" s="61"/>
      <c r="D26" s="65" t="s">
        <v>2190</v>
      </c>
      <c r="E26" s="1001">
        <f>'Verification Report'!O26</f>
        <v>0</v>
      </c>
      <c r="F26" s="562"/>
      <c r="G26" s="562"/>
      <c r="H26" s="562"/>
      <c r="I26" s="562"/>
      <c r="J26" s="562"/>
    </row>
    <row r="27" spans="1:10" ht="15.75" hidden="1" customHeight="1" x14ac:dyDescent="0.2">
      <c r="A27" s="346"/>
      <c r="B27" s="125"/>
      <c r="C27" s="125"/>
      <c r="D27" s="571" t="s">
        <v>2191</v>
      </c>
      <c r="E27" s="1002">
        <f>'Verification Report'!O27</f>
        <v>0</v>
      </c>
      <c r="F27" s="562"/>
      <c r="G27" s="562"/>
      <c r="H27" s="562"/>
      <c r="I27" s="562"/>
      <c r="J27" s="562"/>
    </row>
    <row r="28" spans="1:10" ht="15" hidden="1" customHeight="1" x14ac:dyDescent="0.2">
      <c r="A28" s="346"/>
      <c r="B28" s="61" t="s">
        <v>2192</v>
      </c>
      <c r="C28" s="61"/>
      <c r="D28" s="791" t="s">
        <v>2193</v>
      </c>
      <c r="E28" s="1001">
        <f>'Verification Report'!O28</f>
        <v>0</v>
      </c>
      <c r="F28" s="562"/>
      <c r="G28" s="562"/>
      <c r="H28" s="562"/>
      <c r="I28" s="562"/>
      <c r="J28" s="562"/>
    </row>
    <row r="29" spans="1:10" ht="15.75" hidden="1" customHeight="1" x14ac:dyDescent="0.2">
      <c r="A29" s="346"/>
      <c r="B29" s="61"/>
      <c r="C29" s="61"/>
      <c r="D29" s="791"/>
      <c r="E29" s="1001">
        <f>'Verification Report'!O29</f>
        <v>0</v>
      </c>
      <c r="F29" s="562"/>
      <c r="G29" s="562"/>
      <c r="H29" s="562"/>
      <c r="I29" s="562"/>
      <c r="J29" s="562"/>
    </row>
    <row r="30" spans="1:10" ht="15.75" hidden="1" customHeight="1" x14ac:dyDescent="0.2">
      <c r="A30" s="346"/>
      <c r="B30" s="125"/>
      <c r="C30" s="125"/>
      <c r="D30" s="792"/>
      <c r="E30" s="1002">
        <f>'Verification Report'!O30</f>
        <v>0</v>
      </c>
      <c r="F30" s="562"/>
      <c r="G30" s="562"/>
      <c r="H30" s="562"/>
      <c r="I30" s="562"/>
      <c r="J30" s="562"/>
    </row>
    <row r="31" spans="1:10" ht="15" hidden="1" customHeight="1" x14ac:dyDescent="0.2">
      <c r="A31" s="346"/>
      <c r="B31" s="57" t="s">
        <v>2194</v>
      </c>
      <c r="C31" s="57"/>
      <c r="D31" s="817" t="s">
        <v>2195</v>
      </c>
      <c r="E31" s="1006">
        <f ca="1">'Verification Report'!O31</f>
        <v>0</v>
      </c>
      <c r="F31" s="562"/>
      <c r="G31" s="562"/>
      <c r="H31" s="562"/>
      <c r="I31" s="562"/>
      <c r="J31" s="562"/>
    </row>
    <row r="32" spans="1:10" ht="15.75" hidden="1" customHeight="1" x14ac:dyDescent="0.2">
      <c r="A32" s="346"/>
      <c r="B32" s="57"/>
      <c r="C32" s="57"/>
      <c r="D32" s="817"/>
      <c r="E32" s="1006"/>
      <c r="F32" s="562"/>
      <c r="G32" s="562"/>
      <c r="H32" s="562"/>
      <c r="I32" s="562"/>
      <c r="J32" s="562"/>
    </row>
    <row r="33" spans="1:10" ht="15.75" hidden="1" customHeight="1" x14ac:dyDescent="0.2">
      <c r="A33" s="346"/>
      <c r="B33" s="57"/>
      <c r="C33" s="57" t="s">
        <v>2196</v>
      </c>
      <c r="D33" s="53" t="s">
        <v>2197</v>
      </c>
      <c r="E33" s="648"/>
      <c r="F33" s="562"/>
      <c r="G33" s="562"/>
      <c r="H33" s="562"/>
      <c r="I33" s="562"/>
      <c r="J33" s="562"/>
    </row>
    <row r="34" spans="1:10" ht="15.75" hidden="1" customHeight="1" x14ac:dyDescent="0.2">
      <c r="A34" s="346"/>
      <c r="B34" s="57"/>
      <c r="C34" s="57" t="s">
        <v>2198</v>
      </c>
      <c r="D34" s="53" t="s">
        <v>2199</v>
      </c>
      <c r="E34" s="648"/>
      <c r="F34" s="562"/>
      <c r="G34" s="562"/>
      <c r="H34" s="562"/>
      <c r="I34" s="562"/>
      <c r="J34" s="562"/>
    </row>
    <row r="35" spans="1:10" ht="15.75" hidden="1" customHeight="1" x14ac:dyDescent="0.2">
      <c r="A35" s="346"/>
      <c r="B35" s="57"/>
      <c r="C35" s="59" t="s">
        <v>2200</v>
      </c>
      <c r="D35" s="53" t="s">
        <v>2201</v>
      </c>
      <c r="E35" s="648"/>
      <c r="F35" s="562"/>
      <c r="G35" s="562"/>
      <c r="H35" s="562"/>
      <c r="I35" s="562"/>
      <c r="J35" s="562"/>
    </row>
    <row r="36" spans="1:10" ht="20" hidden="1" thickBot="1" x14ac:dyDescent="0.25">
      <c r="A36" s="45" t="s">
        <v>2203</v>
      </c>
      <c r="B36" s="45"/>
      <c r="C36" s="45"/>
      <c r="D36" s="45"/>
      <c r="E36" s="44"/>
      <c r="F36" s="562"/>
      <c r="G36" s="562"/>
      <c r="H36" s="562"/>
      <c r="I36" s="562"/>
      <c r="J36" s="562"/>
    </row>
    <row r="37" spans="1:10" ht="15" hidden="1" customHeight="1" x14ac:dyDescent="0.2">
      <c r="A37" s="107" t="s">
        <v>2205</v>
      </c>
      <c r="B37" s="60"/>
      <c r="C37" s="60"/>
      <c r="D37" s="775" t="s">
        <v>2206</v>
      </c>
      <c r="E37" s="887">
        <f>'Verification Report'!O37</f>
        <v>0</v>
      </c>
      <c r="F37" s="562"/>
      <c r="G37" s="562"/>
      <c r="H37" s="562"/>
      <c r="I37" s="562"/>
      <c r="J37" s="562"/>
    </row>
    <row r="38" spans="1:10" ht="15.75" hidden="1" customHeight="1" x14ac:dyDescent="0.2">
      <c r="A38" s="358"/>
      <c r="B38" s="60"/>
      <c r="C38" s="60"/>
      <c r="D38" s="775"/>
      <c r="E38" s="887"/>
      <c r="F38" s="562"/>
      <c r="G38" s="562"/>
      <c r="H38" s="562"/>
      <c r="I38" s="562"/>
      <c r="J38" s="562"/>
    </row>
    <row r="39" spans="1:10" ht="15.75" hidden="1" customHeight="1" x14ac:dyDescent="0.2">
      <c r="A39" s="358"/>
      <c r="B39" s="60"/>
      <c r="C39" s="60"/>
      <c r="D39" s="775"/>
      <c r="E39" s="887">
        <f>'Verification Report'!O39</f>
        <v>0</v>
      </c>
      <c r="F39" s="562"/>
      <c r="G39" s="562"/>
      <c r="H39" s="562"/>
      <c r="I39" s="562"/>
      <c r="J39" s="562"/>
    </row>
    <row r="40" spans="1:10" ht="15.75" hidden="1" customHeight="1" x14ac:dyDescent="0.2">
      <c r="A40" s="358"/>
      <c r="B40" s="60"/>
      <c r="C40" s="60"/>
      <c r="D40" s="775"/>
      <c r="E40" s="887"/>
      <c r="F40" s="562"/>
      <c r="G40" s="562"/>
      <c r="H40" s="562"/>
      <c r="I40" s="562"/>
      <c r="J40" s="562"/>
    </row>
    <row r="41" spans="1:10" ht="20" hidden="1" thickBot="1" x14ac:dyDescent="0.25">
      <c r="A41" s="45" t="s">
        <v>2208</v>
      </c>
      <c r="B41" s="58"/>
      <c r="C41" s="58"/>
      <c r="D41" s="54"/>
      <c r="E41" s="44"/>
      <c r="F41" s="562"/>
      <c r="G41" s="562"/>
      <c r="H41" s="562"/>
      <c r="I41" s="562"/>
      <c r="J41" s="562"/>
    </row>
    <row r="42" spans="1:10" ht="15" hidden="1" customHeight="1" x14ac:dyDescent="0.2">
      <c r="A42" s="347" t="s">
        <v>2210</v>
      </c>
      <c r="B42" s="71"/>
      <c r="C42" s="71"/>
      <c r="D42" s="820" t="s">
        <v>2211</v>
      </c>
      <c r="E42" s="668"/>
      <c r="F42" s="562"/>
      <c r="G42" s="562"/>
      <c r="H42" s="562"/>
      <c r="I42" s="562"/>
      <c r="J42" s="562"/>
    </row>
    <row r="43" spans="1:10" ht="15.75" hidden="1" customHeight="1" x14ac:dyDescent="0.2">
      <c r="A43" s="359"/>
      <c r="B43" s="71"/>
      <c r="C43" s="71"/>
      <c r="D43" s="820"/>
      <c r="E43" s="668"/>
      <c r="F43" s="562"/>
      <c r="G43" s="562"/>
      <c r="H43" s="562"/>
      <c r="I43" s="562"/>
      <c r="J43" s="562"/>
    </row>
    <row r="44" spans="1:10" ht="15.75" hidden="1" customHeight="1" x14ac:dyDescent="0.2">
      <c r="A44" s="359"/>
      <c r="B44" s="71"/>
      <c r="C44" s="71"/>
      <c r="D44" s="820"/>
      <c r="E44" s="668"/>
      <c r="F44" s="562"/>
      <c r="G44" s="562"/>
      <c r="H44" s="562"/>
      <c r="I44" s="562"/>
      <c r="J44" s="562"/>
    </row>
    <row r="45" spans="1:10" ht="15.75" hidden="1" customHeight="1" x14ac:dyDescent="0.2">
      <c r="A45" s="359"/>
      <c r="B45" s="71"/>
      <c r="C45" s="71"/>
      <c r="D45" s="820"/>
      <c r="E45" s="668"/>
      <c r="F45" s="562"/>
      <c r="G45" s="562"/>
      <c r="H45" s="562"/>
      <c r="I45" s="562"/>
      <c r="J45" s="562"/>
    </row>
    <row r="46" spans="1:10" ht="15.75" hidden="1" customHeight="1" thickBot="1" x14ac:dyDescent="0.25">
      <c r="A46" s="360"/>
      <c r="B46" s="72"/>
      <c r="C46" s="72"/>
      <c r="D46" s="73" t="s">
        <v>2212</v>
      </c>
      <c r="E46" s="674"/>
      <c r="F46" s="562"/>
      <c r="G46" s="562"/>
      <c r="H46" s="562"/>
      <c r="I46" s="562"/>
      <c r="J46" s="562"/>
    </row>
    <row r="47" spans="1:10" ht="15.75" hidden="1" customHeight="1" thickTop="1" x14ac:dyDescent="0.2">
      <c r="A47" s="107" t="s">
        <v>2214</v>
      </c>
      <c r="B47" s="613"/>
      <c r="C47" s="613"/>
      <c r="D47" s="811" t="s">
        <v>2215</v>
      </c>
      <c r="E47" s="673"/>
      <c r="F47" s="562"/>
      <c r="G47" s="562"/>
      <c r="H47" s="562"/>
      <c r="I47" s="562"/>
      <c r="J47" s="562"/>
    </row>
    <row r="48" spans="1:10" s="507" customFormat="1" ht="15.75" hidden="1" customHeight="1" x14ac:dyDescent="0.2">
      <c r="A48" s="107"/>
      <c r="B48" s="614"/>
      <c r="C48" s="614"/>
      <c r="D48" s="812"/>
      <c r="E48" s="668"/>
      <c r="F48" s="562"/>
      <c r="G48" s="562"/>
      <c r="H48" s="562"/>
      <c r="I48" s="562"/>
      <c r="J48" s="562"/>
    </row>
    <row r="49" spans="1:10" ht="15.75" hidden="1" customHeight="1" x14ac:dyDescent="0.2">
      <c r="A49" s="359"/>
      <c r="B49" s="125" t="s">
        <v>2181</v>
      </c>
      <c r="C49" s="128"/>
      <c r="D49" s="126" t="s">
        <v>2216</v>
      </c>
      <c r="E49" s="669">
        <f>'Verification Report'!O49</f>
        <v>0</v>
      </c>
      <c r="F49" s="562"/>
      <c r="G49" s="562"/>
      <c r="H49" s="562"/>
      <c r="I49" s="562"/>
      <c r="J49" s="562"/>
    </row>
    <row r="50" spans="1:10" ht="15" hidden="1" customHeight="1" x14ac:dyDescent="0.2">
      <c r="A50" s="359"/>
      <c r="B50" s="61" t="s">
        <v>2183</v>
      </c>
      <c r="C50" s="71"/>
      <c r="D50" s="791" t="s">
        <v>2217</v>
      </c>
      <c r="E50" s="924">
        <f>'Verification Report'!O50</f>
        <v>0</v>
      </c>
      <c r="F50" s="562"/>
      <c r="G50" s="562"/>
      <c r="H50" s="562"/>
      <c r="I50" s="562"/>
      <c r="J50" s="562"/>
    </row>
    <row r="51" spans="1:10" ht="15.75" hidden="1" customHeight="1" x14ac:dyDescent="0.2">
      <c r="A51" s="359"/>
      <c r="B51" s="125"/>
      <c r="C51" s="128"/>
      <c r="D51" s="792"/>
      <c r="E51" s="942">
        <f>'Verification Report'!O51</f>
        <v>0</v>
      </c>
      <c r="F51" s="562"/>
      <c r="G51" s="562"/>
      <c r="H51" s="562"/>
      <c r="I51" s="562"/>
      <c r="J51" s="562"/>
    </row>
    <row r="52" spans="1:10" ht="15" hidden="1" customHeight="1" x14ac:dyDescent="0.2">
      <c r="A52" s="359"/>
      <c r="B52" s="61" t="s">
        <v>2185</v>
      </c>
      <c r="C52" s="71"/>
      <c r="D52" s="791" t="s">
        <v>2218</v>
      </c>
      <c r="E52" s="924">
        <f>'Verification Report'!O52</f>
        <v>0</v>
      </c>
      <c r="F52" s="562"/>
      <c r="G52" s="562"/>
      <c r="H52" s="562"/>
      <c r="I52" s="562"/>
      <c r="J52" s="562"/>
    </row>
    <row r="53" spans="1:10" ht="15.75" hidden="1" customHeight="1" x14ac:dyDescent="0.2">
      <c r="A53" s="359"/>
      <c r="B53" s="125"/>
      <c r="C53" s="128"/>
      <c r="D53" s="792"/>
      <c r="E53" s="942">
        <f>'Verification Report'!O53</f>
        <v>0</v>
      </c>
      <c r="F53" s="562"/>
      <c r="G53" s="562"/>
      <c r="H53" s="562"/>
      <c r="I53" s="562"/>
      <c r="J53" s="562"/>
    </row>
    <row r="54" spans="1:10" ht="15.75" hidden="1" customHeight="1" x14ac:dyDescent="0.2">
      <c r="A54" s="359"/>
      <c r="B54" s="125" t="s">
        <v>2192</v>
      </c>
      <c r="C54" s="128"/>
      <c r="D54" s="126" t="s">
        <v>2219</v>
      </c>
      <c r="E54" s="669">
        <f>'Verification Report'!O54</f>
        <v>0</v>
      </c>
      <c r="F54" s="562"/>
      <c r="G54" s="562"/>
      <c r="H54" s="562"/>
      <c r="I54" s="562"/>
      <c r="J54" s="562"/>
    </row>
    <row r="55" spans="1:10" ht="15.75" hidden="1" customHeight="1" x14ac:dyDescent="0.2">
      <c r="A55" s="359"/>
      <c r="B55" s="125" t="s">
        <v>2194</v>
      </c>
      <c r="C55" s="128"/>
      <c r="D55" s="126" t="s">
        <v>2220</v>
      </c>
      <c r="E55" s="669">
        <f>'Verification Report'!O55</f>
        <v>0</v>
      </c>
      <c r="F55" s="562"/>
      <c r="G55" s="562"/>
      <c r="H55" s="562"/>
      <c r="I55" s="562"/>
      <c r="J55" s="562"/>
    </row>
    <row r="56" spans="1:10" ht="15" hidden="1" customHeight="1" x14ac:dyDescent="0.2">
      <c r="A56" s="359"/>
      <c r="B56" s="61" t="s">
        <v>2221</v>
      </c>
      <c r="C56" s="71"/>
      <c r="D56" s="791" t="s">
        <v>2222</v>
      </c>
      <c r="E56" s="924">
        <f>'Verification Report'!O56</f>
        <v>0</v>
      </c>
      <c r="F56" s="562"/>
      <c r="G56" s="562"/>
      <c r="H56" s="562"/>
      <c r="I56" s="562"/>
      <c r="J56" s="562"/>
    </row>
    <row r="57" spans="1:10" ht="15.75" hidden="1" customHeight="1" x14ac:dyDescent="0.2">
      <c r="A57" s="359"/>
      <c r="B57" s="125"/>
      <c r="C57" s="128"/>
      <c r="D57" s="792"/>
      <c r="E57" s="942">
        <f>'Verification Report'!O57</f>
        <v>0</v>
      </c>
      <c r="F57" s="562"/>
      <c r="G57" s="562"/>
      <c r="H57" s="562"/>
      <c r="I57" s="562"/>
      <c r="J57" s="562"/>
    </row>
    <row r="58" spans="1:10" ht="15" hidden="1" customHeight="1" x14ac:dyDescent="0.2">
      <c r="A58" s="359"/>
      <c r="B58" s="61" t="s">
        <v>2223</v>
      </c>
      <c r="C58" s="71"/>
      <c r="D58" s="791" t="s">
        <v>2224</v>
      </c>
      <c r="E58" s="924">
        <f>'Verification Report'!O58</f>
        <v>0</v>
      </c>
      <c r="F58" s="562"/>
      <c r="G58" s="562"/>
      <c r="H58" s="562"/>
      <c r="I58" s="562"/>
      <c r="J58" s="562"/>
    </row>
    <row r="59" spans="1:10" ht="15.75" hidden="1" customHeight="1" thickBot="1" x14ac:dyDescent="0.25">
      <c r="A59" s="360"/>
      <c r="B59" s="72"/>
      <c r="C59" s="72"/>
      <c r="D59" s="818"/>
      <c r="E59" s="982">
        <f>'Verification Report'!O59</f>
        <v>0</v>
      </c>
      <c r="F59" s="562"/>
      <c r="G59" s="562"/>
      <c r="H59" s="562"/>
      <c r="I59" s="562"/>
      <c r="J59" s="562"/>
    </row>
    <row r="60" spans="1:10" ht="16" thickTop="1" x14ac:dyDescent="0.2">
      <c r="A60" s="75" t="s">
        <v>2226</v>
      </c>
      <c r="B60" s="76"/>
      <c r="C60" s="76"/>
      <c r="D60" s="95" t="s">
        <v>2227</v>
      </c>
      <c r="E60" s="673"/>
      <c r="F60" s="64" t="s">
        <v>2228</v>
      </c>
      <c r="G60" s="562">
        <v>1</v>
      </c>
      <c r="H60" s="460"/>
      <c r="I60" s="562" t="s">
        <v>3819</v>
      </c>
      <c r="J60" s="562"/>
    </row>
    <row r="61" spans="1:10" ht="16" thickBot="1" x14ac:dyDescent="0.25">
      <c r="A61" s="70"/>
      <c r="B61" s="71"/>
      <c r="C61" s="71"/>
      <c r="D61" s="459" t="s">
        <v>2229</v>
      </c>
      <c r="E61" s="668"/>
      <c r="F61" s="461" t="str">
        <f>IF('Verification Report'!W61="","",'Verification Report'!W61)</f>
        <v/>
      </c>
      <c r="G61" s="562">
        <v>1</v>
      </c>
      <c r="H61" s="562"/>
      <c r="I61" s="562"/>
      <c r="J61" s="562"/>
    </row>
    <row r="62" spans="1:10" ht="15.75" hidden="1" customHeight="1" x14ac:dyDescent="0.2">
      <c r="A62" s="359"/>
      <c r="B62" s="125" t="s">
        <v>2181</v>
      </c>
      <c r="C62" s="128"/>
      <c r="D62" s="126" t="s">
        <v>2230</v>
      </c>
      <c r="E62" s="669">
        <f>'Verification Report'!O62</f>
        <v>0</v>
      </c>
      <c r="F62" s="562"/>
      <c r="G62" s="562"/>
      <c r="H62" s="562"/>
      <c r="I62" s="562"/>
      <c r="J62" s="562"/>
    </row>
    <row r="63" spans="1:10" ht="15" hidden="1" customHeight="1" x14ac:dyDescent="0.2">
      <c r="A63" s="359"/>
      <c r="B63" s="61" t="s">
        <v>2183</v>
      </c>
      <c r="C63" s="71"/>
      <c r="D63" s="791" t="s">
        <v>2231</v>
      </c>
      <c r="E63" s="924">
        <f>'Verification Report'!O63</f>
        <v>0</v>
      </c>
      <c r="F63" s="562"/>
      <c r="G63" s="562"/>
      <c r="H63" s="562"/>
      <c r="I63" s="562"/>
      <c r="J63" s="562"/>
    </row>
    <row r="64" spans="1:10" ht="15.75" hidden="1" customHeight="1" x14ac:dyDescent="0.2">
      <c r="A64" s="359"/>
      <c r="B64" s="128"/>
      <c r="C64" s="128"/>
      <c r="D64" s="792"/>
      <c r="E64" s="942">
        <f>'Verification Report'!O64</f>
        <v>0</v>
      </c>
      <c r="F64" s="562"/>
      <c r="G64" s="562"/>
      <c r="H64" s="562"/>
      <c r="I64" s="562"/>
      <c r="J64" s="562"/>
    </row>
    <row r="65" spans="1:10" ht="15" hidden="1" customHeight="1" x14ac:dyDescent="0.2">
      <c r="A65" s="359"/>
      <c r="B65" s="61" t="s">
        <v>2185</v>
      </c>
      <c r="C65" s="71"/>
      <c r="D65" s="791" t="s">
        <v>2232</v>
      </c>
      <c r="E65" s="924">
        <f ca="1">'Verification Report'!O65</f>
        <v>0</v>
      </c>
      <c r="F65" s="562"/>
      <c r="G65" s="562"/>
      <c r="H65" s="562"/>
      <c r="I65" s="562"/>
      <c r="J65" s="562"/>
    </row>
    <row r="66" spans="1:10" ht="15.75" hidden="1" customHeight="1" x14ac:dyDescent="0.2">
      <c r="A66" s="359"/>
      <c r="B66" s="71"/>
      <c r="C66" s="71"/>
      <c r="D66" s="791"/>
      <c r="E66" s="924">
        <f>'Verification Report'!O66</f>
        <v>0</v>
      </c>
      <c r="F66" s="562"/>
      <c r="G66" s="562"/>
      <c r="H66" s="562"/>
      <c r="I66" s="562"/>
      <c r="J66" s="562"/>
    </row>
    <row r="67" spans="1:10" ht="15.75" hidden="1" customHeight="1" x14ac:dyDescent="0.2">
      <c r="A67" s="359"/>
      <c r="B67" s="71"/>
      <c r="C67" s="61" t="s">
        <v>2196</v>
      </c>
      <c r="D67" s="65" t="s">
        <v>2233</v>
      </c>
      <c r="E67" s="668"/>
      <c r="F67" s="562"/>
      <c r="G67" s="562"/>
      <c r="H67" s="562"/>
      <c r="I67" s="562"/>
      <c r="J67" s="562"/>
    </row>
    <row r="68" spans="1:10" ht="15.75" hidden="1" customHeight="1" x14ac:dyDescent="0.2">
      <c r="A68" s="359"/>
      <c r="B68" s="71"/>
      <c r="C68" s="61" t="s">
        <v>2198</v>
      </c>
      <c r="D68" s="65" t="s">
        <v>2234</v>
      </c>
      <c r="E68" s="668"/>
      <c r="F68" s="562"/>
      <c r="G68" s="562"/>
      <c r="H68" s="562"/>
      <c r="I68" s="562"/>
      <c r="J68" s="562"/>
    </row>
    <row r="69" spans="1:10" ht="15.75" hidden="1" customHeight="1" x14ac:dyDescent="0.2">
      <c r="A69" s="359"/>
      <c r="B69" s="128"/>
      <c r="C69" s="130" t="s">
        <v>2200</v>
      </c>
      <c r="D69" s="126" t="s">
        <v>2235</v>
      </c>
      <c r="E69" s="669"/>
      <c r="F69" s="562"/>
      <c r="G69" s="562"/>
      <c r="H69" s="562"/>
      <c r="I69" s="562"/>
      <c r="J69" s="562"/>
    </row>
    <row r="70" spans="1:10" ht="15" hidden="1" customHeight="1" x14ac:dyDescent="0.2">
      <c r="A70" s="359"/>
      <c r="B70" s="61" t="s">
        <v>2192</v>
      </c>
      <c r="C70" s="71"/>
      <c r="D70" s="791" t="s">
        <v>2236</v>
      </c>
      <c r="E70" s="924">
        <f>'Verification Report'!O70</f>
        <v>0</v>
      </c>
      <c r="F70" s="562"/>
      <c r="G70" s="562"/>
      <c r="H70" s="562"/>
      <c r="I70" s="562"/>
      <c r="J70" s="562"/>
    </row>
    <row r="71" spans="1:10" ht="15.75" hidden="1" customHeight="1" x14ac:dyDescent="0.2">
      <c r="A71" s="359"/>
      <c r="B71" s="128"/>
      <c r="C71" s="128"/>
      <c r="D71" s="792"/>
      <c r="E71" s="942">
        <f>'Verification Report'!O71</f>
        <v>0</v>
      </c>
      <c r="F71" s="562"/>
      <c r="G71" s="562"/>
      <c r="H71" s="562"/>
      <c r="I71" s="562"/>
      <c r="J71" s="562"/>
    </row>
    <row r="72" spans="1:10" ht="15.75" hidden="1" customHeight="1" thickBot="1" x14ac:dyDescent="0.25">
      <c r="A72" s="360"/>
      <c r="B72" s="66" t="s">
        <v>2194</v>
      </c>
      <c r="C72" s="72"/>
      <c r="D72" s="67" t="s">
        <v>2237</v>
      </c>
      <c r="E72" s="674">
        <f>'Verification Report'!O72</f>
        <v>0</v>
      </c>
      <c r="F72" s="562"/>
      <c r="G72" s="562"/>
      <c r="H72" s="562"/>
      <c r="I72" s="562"/>
      <c r="J72" s="562"/>
    </row>
    <row r="73" spans="1:10" ht="15.75" hidden="1" customHeight="1" thickTop="1" x14ac:dyDescent="0.2">
      <c r="A73" s="75" t="s">
        <v>2239</v>
      </c>
      <c r="B73" s="76"/>
      <c r="C73" s="76"/>
      <c r="D73" s="819" t="s">
        <v>2240</v>
      </c>
      <c r="E73" s="673"/>
      <c r="F73" s="562"/>
      <c r="G73" s="562"/>
      <c r="H73" s="562"/>
      <c r="I73" s="562"/>
      <c r="J73" s="562"/>
    </row>
    <row r="74" spans="1:10" ht="15.75" hidden="1" customHeight="1" x14ac:dyDescent="0.2">
      <c r="A74" s="359"/>
      <c r="B74" s="71"/>
      <c r="C74" s="71"/>
      <c r="D74" s="820"/>
      <c r="E74" s="668"/>
      <c r="F74" s="562"/>
      <c r="G74" s="562"/>
      <c r="H74" s="562"/>
      <c r="I74" s="562"/>
      <c r="J74" s="562"/>
    </row>
    <row r="75" spans="1:10" ht="15.75" hidden="1" customHeight="1" x14ac:dyDescent="0.2">
      <c r="A75" s="359"/>
      <c r="B75" s="71"/>
      <c r="C75" s="71"/>
      <c r="D75" s="567" t="s">
        <v>2241</v>
      </c>
      <c r="E75" s="668"/>
      <c r="F75" s="562"/>
      <c r="G75" s="562"/>
      <c r="H75" s="562"/>
      <c r="I75" s="562"/>
      <c r="J75" s="562"/>
    </row>
    <row r="76" spans="1:10" ht="15" hidden="1" customHeight="1" x14ac:dyDescent="0.2">
      <c r="A76" s="359"/>
      <c r="B76" s="61" t="s">
        <v>2181</v>
      </c>
      <c r="C76" s="71"/>
      <c r="D76" s="791" t="s">
        <v>2242</v>
      </c>
      <c r="E76" s="924">
        <f>'Verification Report'!O76</f>
        <v>0</v>
      </c>
      <c r="F76" s="562"/>
      <c r="G76" s="562"/>
      <c r="H76" s="562"/>
      <c r="I76" s="562"/>
      <c r="J76" s="562"/>
    </row>
    <row r="77" spans="1:10" ht="15.75" hidden="1" customHeight="1" x14ac:dyDescent="0.2">
      <c r="A77" s="359"/>
      <c r="B77" s="125"/>
      <c r="C77" s="128"/>
      <c r="D77" s="792"/>
      <c r="E77" s="942">
        <f>'Verification Report'!O77</f>
        <v>0</v>
      </c>
      <c r="F77" s="64"/>
      <c r="G77" s="562"/>
      <c r="H77" s="562"/>
      <c r="I77" s="562"/>
      <c r="J77" s="562"/>
    </row>
    <row r="78" spans="1:10" ht="15" hidden="1" customHeight="1" x14ac:dyDescent="0.2">
      <c r="A78" s="359"/>
      <c r="B78" s="61" t="s">
        <v>2183</v>
      </c>
      <c r="C78" s="71"/>
      <c r="D78" s="791" t="s">
        <v>2243</v>
      </c>
      <c r="E78" s="923">
        <f>'Verification Report'!O78</f>
        <v>0</v>
      </c>
      <c r="F78" s="562"/>
      <c r="G78" s="562"/>
      <c r="H78" s="562"/>
      <c r="I78" s="562"/>
      <c r="J78" s="562"/>
    </row>
    <row r="79" spans="1:10" ht="15.75" hidden="1" customHeight="1" x14ac:dyDescent="0.2">
      <c r="A79" s="359"/>
      <c r="B79" s="71"/>
      <c r="C79" s="71"/>
      <c r="D79" s="791"/>
      <c r="E79" s="924">
        <f>'Verification Report'!O79</f>
        <v>0</v>
      </c>
      <c r="F79" s="562"/>
      <c r="G79" s="562"/>
      <c r="H79" s="562"/>
      <c r="I79" s="562"/>
      <c r="J79" s="562"/>
    </row>
    <row r="80" spans="1:10" ht="15.75" hidden="1" customHeight="1" x14ac:dyDescent="0.2">
      <c r="A80" s="359"/>
      <c r="B80" s="71"/>
      <c r="C80" s="61" t="s">
        <v>2196</v>
      </c>
      <c r="D80" s="65" t="s">
        <v>2244</v>
      </c>
      <c r="E80" s="924">
        <f>'Verification Report'!O80</f>
        <v>0</v>
      </c>
      <c r="F80" s="562"/>
      <c r="G80" s="562"/>
      <c r="H80" s="562"/>
      <c r="I80" s="562"/>
      <c r="J80" s="562"/>
    </row>
    <row r="81" spans="1:10" ht="15" hidden="1" customHeight="1" x14ac:dyDescent="0.2">
      <c r="A81" s="359"/>
      <c r="B81" s="71"/>
      <c r="C81" s="61" t="s">
        <v>2198</v>
      </c>
      <c r="D81" s="791" t="s">
        <v>2245</v>
      </c>
      <c r="E81" s="924">
        <f>'Verification Report'!O81</f>
        <v>0</v>
      </c>
      <c r="F81" s="562"/>
      <c r="G81" s="562"/>
      <c r="H81" s="562"/>
      <c r="I81" s="562"/>
      <c r="J81" s="562"/>
    </row>
    <row r="82" spans="1:10" ht="15.75" hidden="1" customHeight="1" x14ac:dyDescent="0.2">
      <c r="A82" s="359"/>
      <c r="B82" s="71"/>
      <c r="C82" s="71"/>
      <c r="D82" s="791"/>
      <c r="E82" s="924">
        <f>'Verification Report'!O82</f>
        <v>0</v>
      </c>
      <c r="F82" s="562"/>
      <c r="G82" s="562"/>
      <c r="H82" s="562"/>
      <c r="I82" s="562"/>
      <c r="J82" s="562"/>
    </row>
    <row r="83" spans="1:10" ht="15.75" hidden="1" customHeight="1" x14ac:dyDescent="0.2">
      <c r="A83" s="359"/>
      <c r="B83" s="71"/>
      <c r="C83" s="79" t="s">
        <v>2200</v>
      </c>
      <c r="D83" s="65" t="s">
        <v>2246</v>
      </c>
      <c r="E83" s="924">
        <f>'Verification Report'!O83</f>
        <v>0</v>
      </c>
      <c r="F83" s="562"/>
      <c r="G83" s="562"/>
      <c r="H83" s="562"/>
      <c r="I83" s="562"/>
      <c r="J83" s="562"/>
    </row>
    <row r="84" spans="1:10" ht="15.75" hidden="1" customHeight="1" x14ac:dyDescent="0.2">
      <c r="A84" s="359"/>
      <c r="B84" s="128"/>
      <c r="C84" s="130" t="s">
        <v>2247</v>
      </c>
      <c r="D84" s="126" t="s">
        <v>2248</v>
      </c>
      <c r="E84" s="942">
        <f>'Verification Report'!O84</f>
        <v>0</v>
      </c>
      <c r="F84" s="562"/>
      <c r="G84" s="562"/>
      <c r="H84" s="562"/>
      <c r="I84" s="562"/>
      <c r="J84" s="562"/>
    </row>
    <row r="85" spans="1:10" ht="15.75" hidden="1" customHeight="1" thickBot="1" x14ac:dyDescent="0.25">
      <c r="A85" s="360"/>
      <c r="B85" s="66" t="s">
        <v>2185</v>
      </c>
      <c r="C85" s="72"/>
      <c r="D85" s="67" t="s">
        <v>2249</v>
      </c>
      <c r="E85" s="674">
        <f>'Verification Report'!O85</f>
        <v>0</v>
      </c>
      <c r="F85" s="562"/>
      <c r="G85" s="562"/>
      <c r="H85" s="562"/>
      <c r="I85" s="562"/>
      <c r="J85" s="562"/>
    </row>
    <row r="86" spans="1:10" ht="15.75" customHeight="1" thickTop="1" x14ac:dyDescent="0.2">
      <c r="A86" s="107" t="s">
        <v>2251</v>
      </c>
      <c r="B86" s="60"/>
      <c r="C86" s="60"/>
      <c r="D86" s="819" t="s">
        <v>2252</v>
      </c>
      <c r="E86" s="648"/>
      <c r="F86" s="562"/>
      <c r="G86" s="64">
        <v>1</v>
      </c>
      <c r="H86" s="562"/>
      <c r="I86" s="562"/>
      <c r="J86" s="562"/>
    </row>
    <row r="87" spans="1:10" x14ac:dyDescent="0.2">
      <c r="A87" s="358"/>
      <c r="B87" s="60"/>
      <c r="C87" s="60"/>
      <c r="D87" s="775"/>
      <c r="E87" s="648"/>
      <c r="F87" s="562"/>
      <c r="G87" s="562">
        <v>1</v>
      </c>
      <c r="H87" s="562"/>
      <c r="I87" s="562"/>
      <c r="J87" s="562"/>
    </row>
    <row r="88" spans="1:10" x14ac:dyDescent="0.2">
      <c r="A88" s="358"/>
      <c r="B88" s="60"/>
      <c r="C88" s="60"/>
      <c r="D88" s="775"/>
      <c r="E88" s="648"/>
      <c r="F88" s="562"/>
      <c r="G88" s="562">
        <v>1</v>
      </c>
      <c r="H88" s="562"/>
      <c r="I88" s="562"/>
      <c r="J88" s="562"/>
    </row>
    <row r="89" spans="1:10" x14ac:dyDescent="0.2">
      <c r="A89" s="358"/>
      <c r="B89" s="60"/>
      <c r="C89" s="60"/>
      <c r="D89" s="775"/>
      <c r="E89" s="648"/>
      <c r="F89" s="562"/>
      <c r="G89" s="562">
        <v>1</v>
      </c>
      <c r="H89" s="562"/>
      <c r="I89" s="562"/>
      <c r="J89" s="562"/>
    </row>
    <row r="90" spans="1:10" ht="15" hidden="1" customHeight="1" x14ac:dyDescent="0.2">
      <c r="A90" s="358"/>
      <c r="B90" s="60"/>
      <c r="C90" s="60"/>
      <c r="D90" s="816" t="s">
        <v>2253</v>
      </c>
      <c r="E90" s="648"/>
      <c r="F90" s="562"/>
      <c r="G90" s="562"/>
      <c r="H90" s="562"/>
      <c r="I90" s="562"/>
      <c r="J90" s="562"/>
    </row>
    <row r="91" spans="1:10" ht="15" hidden="1" customHeight="1" x14ac:dyDescent="0.2">
      <c r="A91" s="358"/>
      <c r="B91" s="60"/>
      <c r="C91" s="60"/>
      <c r="D91" s="816"/>
      <c r="E91" s="648"/>
      <c r="F91" s="562"/>
      <c r="G91" s="562"/>
      <c r="H91" s="562"/>
      <c r="I91" s="562"/>
      <c r="J91" s="562"/>
    </row>
    <row r="92" spans="1:10" ht="15" hidden="1" customHeight="1" x14ac:dyDescent="0.2">
      <c r="A92" s="358"/>
      <c r="B92" s="60"/>
      <c r="C92" s="60"/>
      <c r="D92" s="816"/>
      <c r="E92" s="648"/>
      <c r="F92" s="562"/>
      <c r="G92" s="562"/>
      <c r="H92" s="562"/>
      <c r="I92" s="562"/>
      <c r="J92" s="562"/>
    </row>
    <row r="93" spans="1:10" ht="15" hidden="1" customHeight="1" x14ac:dyDescent="0.2">
      <c r="A93" s="358"/>
      <c r="B93" s="61" t="s">
        <v>2181</v>
      </c>
      <c r="C93" s="71"/>
      <c r="D93" s="791" t="s">
        <v>2254</v>
      </c>
      <c r="E93" s="924">
        <f>'Verification Report'!O93</f>
        <v>0</v>
      </c>
      <c r="F93" s="562"/>
      <c r="G93" s="562"/>
      <c r="H93" s="562"/>
      <c r="I93" s="562"/>
      <c r="J93" s="562"/>
    </row>
    <row r="94" spans="1:10" ht="15" hidden="1" customHeight="1" x14ac:dyDescent="0.2">
      <c r="A94" s="358"/>
      <c r="B94" s="61"/>
      <c r="C94" s="71"/>
      <c r="D94" s="791"/>
      <c r="E94" s="924">
        <f>'Verification Report'!O94</f>
        <v>0</v>
      </c>
      <c r="F94" s="562"/>
      <c r="G94" s="562"/>
      <c r="H94" s="562"/>
      <c r="I94" s="562"/>
      <c r="J94" s="562"/>
    </row>
    <row r="95" spans="1:10" ht="15" hidden="1" customHeight="1" x14ac:dyDescent="0.2">
      <c r="A95" s="358"/>
      <c r="B95" s="128"/>
      <c r="C95" s="128"/>
      <c r="D95" s="792"/>
      <c r="E95" s="942">
        <f>'Verification Report'!O95</f>
        <v>0</v>
      </c>
      <c r="F95" s="562"/>
      <c r="G95" s="562"/>
      <c r="H95" s="562"/>
      <c r="I95" s="562"/>
      <c r="J95" s="562"/>
    </row>
    <row r="96" spans="1:10" ht="15" hidden="1" customHeight="1" x14ac:dyDescent="0.2">
      <c r="A96" s="358"/>
      <c r="B96" s="57" t="s">
        <v>2183</v>
      </c>
      <c r="C96" s="60"/>
      <c r="D96" s="817" t="s">
        <v>2255</v>
      </c>
      <c r="E96" s="887">
        <f ca="1">'Verification Report'!O96</f>
        <v>0</v>
      </c>
      <c r="F96" s="562"/>
      <c r="G96" s="562"/>
      <c r="H96" s="562"/>
      <c r="I96" s="562"/>
      <c r="J96" s="562"/>
    </row>
    <row r="97" spans="1:10" ht="15" hidden="1" customHeight="1" x14ac:dyDescent="0.2">
      <c r="A97" s="358"/>
      <c r="B97" s="60"/>
      <c r="C97" s="60"/>
      <c r="D97" s="817"/>
      <c r="E97" s="887">
        <f>'Verification Report'!O97</f>
        <v>0</v>
      </c>
      <c r="F97" s="562"/>
      <c r="G97" s="562"/>
      <c r="H97" s="562"/>
      <c r="I97" s="562"/>
      <c r="J97" s="562"/>
    </row>
    <row r="98" spans="1:10" ht="15" hidden="1" customHeight="1" x14ac:dyDescent="0.2">
      <c r="A98" s="358"/>
      <c r="B98" s="60"/>
      <c r="C98" s="60"/>
      <c r="D98" s="817"/>
      <c r="E98" s="887">
        <f>'Verification Report'!O98</f>
        <v>0</v>
      </c>
      <c r="F98" s="562"/>
      <c r="G98" s="562"/>
      <c r="H98" s="562"/>
      <c r="I98" s="562"/>
      <c r="J98" s="562"/>
    </row>
    <row r="99" spans="1:10" ht="15" hidden="1" customHeight="1" x14ac:dyDescent="0.2">
      <c r="A99" s="358"/>
      <c r="B99" s="60"/>
      <c r="C99" s="60"/>
      <c r="D99" s="817"/>
      <c r="E99" s="887">
        <f>'Verification Report'!O99</f>
        <v>0</v>
      </c>
      <c r="F99" s="562"/>
      <c r="G99" s="562"/>
      <c r="H99" s="562"/>
      <c r="I99" s="562"/>
      <c r="J99" s="562"/>
    </row>
    <row r="100" spans="1:10" ht="15" hidden="1" customHeight="1" x14ac:dyDescent="0.2">
      <c r="A100" s="358"/>
      <c r="B100" s="60"/>
      <c r="C100" s="57" t="s">
        <v>2196</v>
      </c>
      <c r="D100" s="53" t="s">
        <v>2256</v>
      </c>
      <c r="E100" s="648"/>
      <c r="F100" s="562"/>
      <c r="G100" s="562"/>
      <c r="H100" s="562"/>
      <c r="I100" s="562"/>
      <c r="J100" s="562"/>
    </row>
    <row r="101" spans="1:10" ht="15" hidden="1" customHeight="1" x14ac:dyDescent="0.2">
      <c r="A101" s="358"/>
      <c r="B101" s="60"/>
      <c r="C101" s="57" t="s">
        <v>2198</v>
      </c>
      <c r="D101" s="53" t="s">
        <v>2257</v>
      </c>
      <c r="E101" s="648"/>
      <c r="F101" s="562"/>
      <c r="G101" s="562"/>
      <c r="H101" s="562"/>
      <c r="I101" s="562"/>
      <c r="J101" s="562"/>
    </row>
    <row r="102" spans="1:10" ht="15" hidden="1" customHeight="1" x14ac:dyDescent="0.2">
      <c r="A102" s="358"/>
      <c r="B102" s="128"/>
      <c r="C102" s="130" t="s">
        <v>2200</v>
      </c>
      <c r="D102" s="126" t="s">
        <v>2258</v>
      </c>
      <c r="E102" s="669"/>
      <c r="F102" s="562"/>
      <c r="G102" s="562"/>
      <c r="H102" s="562"/>
      <c r="I102" s="562"/>
      <c r="J102" s="562"/>
    </row>
    <row r="103" spans="1:10" ht="15" customHeight="1" x14ac:dyDescent="0.2">
      <c r="A103" s="359"/>
      <c r="B103" s="61" t="s">
        <v>2185</v>
      </c>
      <c r="C103" s="79"/>
      <c r="D103" s="791" t="s">
        <v>2259</v>
      </c>
      <c r="E103" s="887">
        <f ca="1">'Verification Report'!O103</f>
        <v>0</v>
      </c>
      <c r="F103" s="562"/>
      <c r="G103" s="562">
        <v>1</v>
      </c>
      <c r="H103" s="460"/>
      <c r="I103" s="562"/>
      <c r="J103" s="562"/>
    </row>
    <row r="104" spans="1:10" ht="16" thickBot="1" x14ac:dyDescent="0.25">
      <c r="A104" s="359"/>
      <c r="B104" s="71"/>
      <c r="C104" s="71"/>
      <c r="D104" s="791"/>
      <c r="E104" s="887">
        <f>'Verification Report'!O104</f>
        <v>0</v>
      </c>
      <c r="F104" s="64"/>
      <c r="G104" s="562">
        <v>1</v>
      </c>
      <c r="H104" s="562"/>
      <c r="I104" s="562"/>
      <c r="J104" s="562"/>
    </row>
    <row r="105" spans="1:10" ht="15" hidden="1" customHeight="1" x14ac:dyDescent="0.2">
      <c r="A105" s="359"/>
      <c r="B105" s="71"/>
      <c r="C105" s="61" t="s">
        <v>2196</v>
      </c>
      <c r="D105" s="65" t="s">
        <v>2260</v>
      </c>
      <c r="E105" s="648"/>
      <c r="F105" s="64"/>
      <c r="G105" s="562"/>
      <c r="H105" s="562"/>
      <c r="I105" s="562"/>
      <c r="J105" s="562"/>
    </row>
    <row r="106" spans="1:10" ht="15" hidden="1" customHeight="1" x14ac:dyDescent="0.2">
      <c r="A106" s="359"/>
      <c r="B106" s="71"/>
      <c r="C106" s="61" t="s">
        <v>2198</v>
      </c>
      <c r="D106" s="65" t="s">
        <v>2261</v>
      </c>
      <c r="E106" s="648"/>
      <c r="F106" s="562"/>
      <c r="G106" s="562"/>
      <c r="H106" s="562"/>
      <c r="I106" s="562"/>
      <c r="J106" s="562"/>
    </row>
    <row r="107" spans="1:10" ht="15.75" hidden="1" customHeight="1" thickBot="1" x14ac:dyDescent="0.25">
      <c r="A107" s="360"/>
      <c r="B107" s="72"/>
      <c r="C107" s="80" t="s">
        <v>2200</v>
      </c>
      <c r="D107" s="67" t="s">
        <v>2262</v>
      </c>
      <c r="E107" s="674"/>
      <c r="F107" s="562"/>
      <c r="G107" s="562"/>
      <c r="H107" s="562"/>
      <c r="I107" s="562"/>
      <c r="J107" s="562"/>
    </row>
    <row r="108" spans="1:10" ht="15.75" customHeight="1" thickTop="1" x14ac:dyDescent="0.2">
      <c r="A108" s="75" t="s">
        <v>2264</v>
      </c>
      <c r="B108" s="60"/>
      <c r="C108" s="60"/>
      <c r="D108" s="775" t="s">
        <v>2265</v>
      </c>
      <c r="E108" s="562"/>
      <c r="F108" s="562"/>
      <c r="G108" s="562">
        <v>1</v>
      </c>
      <c r="H108" s="562"/>
      <c r="I108" s="562"/>
      <c r="J108" s="562"/>
    </row>
    <row r="109" spans="1:10" x14ac:dyDescent="0.2">
      <c r="A109" s="359"/>
      <c r="B109" s="60"/>
      <c r="C109" s="60"/>
      <c r="D109" s="775"/>
      <c r="E109" s="562"/>
      <c r="F109" s="562"/>
      <c r="G109" s="562">
        <v>1</v>
      </c>
      <c r="H109" s="562"/>
      <c r="I109" s="562"/>
      <c r="J109" s="562"/>
    </row>
    <row r="110" spans="1:10" ht="15" hidden="1" customHeight="1" x14ac:dyDescent="0.2">
      <c r="A110" s="358"/>
      <c r="B110" s="60"/>
      <c r="C110" s="60"/>
      <c r="D110" s="816" t="s">
        <v>2266</v>
      </c>
      <c r="E110" s="562"/>
      <c r="F110" s="562"/>
      <c r="G110" s="562"/>
      <c r="H110" s="562"/>
      <c r="I110" s="562"/>
      <c r="J110" s="562"/>
    </row>
    <row r="111" spans="1:10" ht="15" hidden="1" customHeight="1" x14ac:dyDescent="0.2">
      <c r="A111" s="358"/>
      <c r="B111" s="60"/>
      <c r="C111" s="60"/>
      <c r="D111" s="816"/>
      <c r="E111" s="562"/>
      <c r="F111" s="562"/>
      <c r="G111" s="562"/>
      <c r="H111" s="562"/>
      <c r="I111" s="562"/>
      <c r="J111" s="562"/>
    </row>
    <row r="112" spans="1:10" ht="15" hidden="1" customHeight="1" x14ac:dyDescent="0.2">
      <c r="A112" s="358"/>
      <c r="B112" s="57" t="s">
        <v>2181</v>
      </c>
      <c r="C112" s="60"/>
      <c r="D112" s="817" t="s">
        <v>2267</v>
      </c>
      <c r="E112" s="887">
        <f ca="1">'Verification Report'!O112</f>
        <v>0</v>
      </c>
      <c r="F112" s="562"/>
      <c r="G112" s="562"/>
      <c r="H112" s="562"/>
      <c r="I112" s="562"/>
      <c r="J112" s="562"/>
    </row>
    <row r="113" spans="1:10" ht="15" hidden="1" customHeight="1" x14ac:dyDescent="0.2">
      <c r="A113" s="358"/>
      <c r="B113" s="57"/>
      <c r="C113" s="60"/>
      <c r="D113" s="817"/>
      <c r="E113" s="887">
        <f>'Verification Report'!O113</f>
        <v>0</v>
      </c>
      <c r="F113" s="562"/>
      <c r="G113" s="562"/>
      <c r="H113" s="562"/>
      <c r="I113" s="562"/>
      <c r="J113" s="562"/>
    </row>
    <row r="114" spans="1:10" ht="15" hidden="1" customHeight="1" x14ac:dyDescent="0.2">
      <c r="A114" s="358"/>
      <c r="B114" s="60"/>
      <c r="C114" s="57" t="s">
        <v>2196</v>
      </c>
      <c r="D114" s="53" t="s">
        <v>2268</v>
      </c>
      <c r="E114" s="648"/>
      <c r="F114" s="562"/>
      <c r="G114" s="562"/>
      <c r="H114" s="562"/>
      <c r="I114" s="562"/>
      <c r="J114" s="562"/>
    </row>
    <row r="115" spans="1:10" ht="15" hidden="1" customHeight="1" x14ac:dyDescent="0.2">
      <c r="A115" s="358"/>
      <c r="B115" s="60"/>
      <c r="C115" s="57" t="s">
        <v>2198</v>
      </c>
      <c r="D115" s="53" t="s">
        <v>2269</v>
      </c>
      <c r="E115" s="648"/>
      <c r="F115" s="562"/>
      <c r="G115" s="562"/>
      <c r="H115" s="562"/>
      <c r="I115" s="562"/>
      <c r="J115" s="562"/>
    </row>
    <row r="116" spans="1:10" ht="15" hidden="1" customHeight="1" x14ac:dyDescent="0.2">
      <c r="A116" s="358"/>
      <c r="B116" s="60"/>
      <c r="C116" s="59" t="s">
        <v>2200</v>
      </c>
      <c r="D116" s="53" t="s">
        <v>2270</v>
      </c>
      <c r="E116" s="648"/>
      <c r="F116" s="562"/>
      <c r="G116" s="562"/>
      <c r="H116" s="562"/>
      <c r="I116" s="562"/>
      <c r="J116" s="562"/>
    </row>
    <row r="117" spans="1:10" ht="15" hidden="1" customHeight="1" x14ac:dyDescent="0.2">
      <c r="A117" s="358"/>
      <c r="B117" s="128"/>
      <c r="C117" s="130" t="s">
        <v>2247</v>
      </c>
      <c r="D117" s="126" t="s">
        <v>2271</v>
      </c>
      <c r="E117" s="669"/>
      <c r="F117" s="562"/>
      <c r="G117" s="562"/>
      <c r="H117" s="562"/>
      <c r="I117" s="562"/>
      <c r="J117" s="562"/>
    </row>
    <row r="118" spans="1:10" ht="15" customHeight="1" x14ac:dyDescent="0.2">
      <c r="A118" s="358"/>
      <c r="B118" s="61" t="s">
        <v>2183</v>
      </c>
      <c r="C118" s="71"/>
      <c r="D118" s="791" t="s">
        <v>2272</v>
      </c>
      <c r="E118" s="924">
        <f ca="1">'Verification Report'!O118</f>
        <v>0</v>
      </c>
      <c r="F118" s="562"/>
      <c r="G118" s="562">
        <v>1</v>
      </c>
      <c r="H118" s="460"/>
      <c r="I118" s="562" t="s">
        <v>3820</v>
      </c>
      <c r="J118" s="562"/>
    </row>
    <row r="119" spans="1:10" x14ac:dyDescent="0.2">
      <c r="A119" s="358"/>
      <c r="B119" s="128"/>
      <c r="C119" s="128"/>
      <c r="D119" s="792"/>
      <c r="E119" s="942">
        <f>'Verification Report'!O119</f>
        <v>0</v>
      </c>
      <c r="F119" s="562"/>
      <c r="G119" s="562">
        <v>1</v>
      </c>
      <c r="H119" s="562"/>
      <c r="I119" s="562"/>
      <c r="J119" s="562"/>
    </row>
    <row r="120" spans="1:10" ht="15" hidden="1" customHeight="1" x14ac:dyDescent="0.2">
      <c r="A120" s="358"/>
      <c r="B120" s="61" t="s">
        <v>2185</v>
      </c>
      <c r="C120" s="71"/>
      <c r="D120" s="791" t="s">
        <v>2273</v>
      </c>
      <c r="E120" s="924">
        <f ca="1">'Verification Report'!O120</f>
        <v>0</v>
      </c>
      <c r="F120" s="562"/>
      <c r="G120" s="562"/>
      <c r="H120" s="562"/>
      <c r="I120" s="562"/>
      <c r="J120" s="562"/>
    </row>
    <row r="121" spans="1:10" ht="15" hidden="1" customHeight="1" x14ac:dyDescent="0.2">
      <c r="A121" s="358"/>
      <c r="B121" s="128"/>
      <c r="C121" s="128"/>
      <c r="D121" s="792"/>
      <c r="E121" s="942">
        <f>'Verification Report'!O121</f>
        <v>0</v>
      </c>
      <c r="F121" s="562"/>
      <c r="G121" s="562"/>
      <c r="H121" s="562"/>
      <c r="I121" s="562"/>
      <c r="J121" s="562"/>
    </row>
    <row r="122" spans="1:10" ht="15" hidden="1" customHeight="1" x14ac:dyDescent="0.2">
      <c r="A122" s="358"/>
      <c r="B122" s="61" t="s">
        <v>2192</v>
      </c>
      <c r="C122" s="71"/>
      <c r="D122" s="791" t="s">
        <v>2274</v>
      </c>
      <c r="E122" s="924">
        <f ca="1">'Verification Report'!O122</f>
        <v>0</v>
      </c>
      <c r="F122" s="562"/>
      <c r="G122" s="562"/>
      <c r="H122" s="562"/>
      <c r="I122" s="562"/>
      <c r="J122" s="562"/>
    </row>
    <row r="123" spans="1:10" ht="15" hidden="1" customHeight="1" x14ac:dyDescent="0.2">
      <c r="A123" s="358"/>
      <c r="B123" s="128"/>
      <c r="C123" s="128"/>
      <c r="D123" s="792"/>
      <c r="E123" s="942">
        <f>'Verification Report'!O123</f>
        <v>0</v>
      </c>
      <c r="F123" s="562"/>
      <c r="G123" s="562"/>
      <c r="H123" s="562"/>
      <c r="I123" s="562"/>
      <c r="J123" s="562"/>
    </row>
    <row r="124" spans="1:10" x14ac:dyDescent="0.2">
      <c r="A124" s="358"/>
      <c r="B124" s="57" t="s">
        <v>2194</v>
      </c>
      <c r="C124" s="60"/>
      <c r="D124" s="53" t="s">
        <v>2275</v>
      </c>
      <c r="E124" s="648">
        <f ca="1">'Verification Report'!O124</f>
        <v>0</v>
      </c>
      <c r="F124" s="562"/>
      <c r="G124" s="562">
        <v>1</v>
      </c>
      <c r="H124" s="460"/>
      <c r="I124" s="562"/>
      <c r="J124" s="562"/>
    </row>
    <row r="125" spans="1:10" ht="15" hidden="1" customHeight="1" x14ac:dyDescent="0.2">
      <c r="A125" s="358"/>
      <c r="B125" s="60"/>
      <c r="C125" s="57" t="s">
        <v>2196</v>
      </c>
      <c r="D125" s="53" t="s">
        <v>2276</v>
      </c>
      <c r="E125" s="648"/>
      <c r="F125" s="562"/>
      <c r="G125" s="562"/>
      <c r="H125" s="562"/>
      <c r="I125" s="562"/>
      <c r="J125" s="562"/>
    </row>
    <row r="126" spans="1:10" ht="15" hidden="1" customHeight="1" x14ac:dyDescent="0.2">
      <c r="A126" s="358"/>
      <c r="B126" s="60"/>
      <c r="C126" s="57" t="s">
        <v>2198</v>
      </c>
      <c r="D126" s="53" t="s">
        <v>2277</v>
      </c>
      <c r="E126" s="648"/>
      <c r="F126" s="562"/>
      <c r="G126" s="562"/>
      <c r="H126" s="562"/>
      <c r="I126" s="562"/>
      <c r="J126" s="562"/>
    </row>
    <row r="127" spans="1:10" ht="15" hidden="1" customHeight="1" x14ac:dyDescent="0.2">
      <c r="A127" s="358"/>
      <c r="B127" s="60"/>
      <c r="C127" s="59" t="s">
        <v>2200</v>
      </c>
      <c r="D127" s="53" t="s">
        <v>2278</v>
      </c>
      <c r="E127" s="648"/>
      <c r="F127" s="562"/>
      <c r="G127" s="562"/>
      <c r="H127" s="562"/>
      <c r="I127" s="562"/>
      <c r="J127" s="562"/>
    </row>
    <row r="128" spans="1:10" ht="15" hidden="1" customHeight="1" x14ac:dyDescent="0.2">
      <c r="A128" s="358"/>
      <c r="B128" s="128"/>
      <c r="C128" s="130" t="s">
        <v>2247</v>
      </c>
      <c r="D128" s="126" t="s">
        <v>2279</v>
      </c>
      <c r="E128" s="669"/>
      <c r="F128" s="562"/>
      <c r="G128" s="562"/>
      <c r="H128" s="562"/>
      <c r="I128" s="562"/>
      <c r="J128" s="562"/>
    </row>
    <row r="129" spans="1:10" x14ac:dyDescent="0.2">
      <c r="A129" s="358"/>
      <c r="B129" s="125" t="s">
        <v>2221</v>
      </c>
      <c r="C129" s="128"/>
      <c r="D129" s="126" t="s">
        <v>2280</v>
      </c>
      <c r="E129" s="669">
        <f ca="1">'Verification Report'!O129</f>
        <v>0</v>
      </c>
      <c r="F129" s="562"/>
      <c r="G129" s="562">
        <v>1</v>
      </c>
      <c r="H129" s="460"/>
      <c r="I129" s="562" t="s">
        <v>3821</v>
      </c>
      <c r="J129" s="562"/>
    </row>
    <row r="130" spans="1:10" ht="15" customHeight="1" x14ac:dyDescent="0.2">
      <c r="A130" s="358"/>
      <c r="B130" s="61" t="s">
        <v>2223</v>
      </c>
      <c r="C130" s="71"/>
      <c r="D130" s="791" t="s">
        <v>2281</v>
      </c>
      <c r="E130" s="924">
        <f ca="1">'Verification Report'!O130</f>
        <v>0</v>
      </c>
      <c r="F130" s="562"/>
      <c r="G130" s="562">
        <v>1</v>
      </c>
      <c r="H130" s="460"/>
      <c r="I130" s="562" t="s">
        <v>3822</v>
      </c>
      <c r="J130" s="562"/>
    </row>
    <row r="131" spans="1:10" x14ac:dyDescent="0.2">
      <c r="A131" s="358"/>
      <c r="B131" s="71"/>
      <c r="C131" s="71"/>
      <c r="D131" s="791"/>
      <c r="E131" s="924">
        <f>'Verification Report'!O131</f>
        <v>0</v>
      </c>
      <c r="F131" s="562"/>
      <c r="G131" s="562">
        <v>1</v>
      </c>
      <c r="H131" s="562"/>
      <c r="I131" s="562"/>
      <c r="J131" s="562"/>
    </row>
    <row r="132" spans="1:10" x14ac:dyDescent="0.2">
      <c r="A132" s="358"/>
      <c r="B132" s="71"/>
      <c r="C132" s="71"/>
      <c r="D132" s="791"/>
      <c r="E132" s="924">
        <f>'Verification Report'!O132</f>
        <v>0</v>
      </c>
      <c r="F132" s="562"/>
      <c r="G132" s="562">
        <v>1</v>
      </c>
      <c r="H132" s="562"/>
      <c r="I132" s="562"/>
      <c r="J132" s="562"/>
    </row>
    <row r="133" spans="1:10" x14ac:dyDescent="0.2">
      <c r="A133" s="358"/>
      <c r="B133" s="71"/>
      <c r="C133" s="71"/>
      <c r="D133" s="791"/>
      <c r="E133" s="924">
        <f>'Verification Report'!O133</f>
        <v>0</v>
      </c>
      <c r="F133" s="562"/>
      <c r="G133" s="562">
        <v>1</v>
      </c>
      <c r="H133" s="562"/>
      <c r="I133" s="562"/>
      <c r="J133" s="562"/>
    </row>
    <row r="134" spans="1:10" x14ac:dyDescent="0.2">
      <c r="A134" s="358"/>
      <c r="B134" s="128"/>
      <c r="C134" s="128"/>
      <c r="D134" s="792"/>
      <c r="E134" s="942">
        <f>'Verification Report'!O134</f>
        <v>0</v>
      </c>
      <c r="F134" s="562"/>
      <c r="G134" s="562">
        <v>1</v>
      </c>
      <c r="H134" s="562"/>
      <c r="I134" s="562"/>
      <c r="J134" s="562"/>
    </row>
    <row r="135" spans="1:10" ht="15" hidden="1" customHeight="1" x14ac:dyDescent="0.2">
      <c r="A135" s="358"/>
      <c r="B135" s="61" t="s">
        <v>2282</v>
      </c>
      <c r="C135" s="71"/>
      <c r="D135" s="791" t="s">
        <v>2283</v>
      </c>
      <c r="E135" s="924">
        <f ca="1">'Verification Report'!O135</f>
        <v>0</v>
      </c>
      <c r="F135" s="562"/>
      <c r="G135" s="562"/>
      <c r="H135" s="562"/>
      <c r="I135" s="562"/>
      <c r="J135" s="562"/>
    </row>
    <row r="136" spans="1:10" ht="15" hidden="1" customHeight="1" x14ac:dyDescent="0.2">
      <c r="A136" s="358"/>
      <c r="B136" s="128"/>
      <c r="C136" s="128"/>
      <c r="D136" s="792"/>
      <c r="E136" s="942">
        <f>'Verification Report'!O136</f>
        <v>0</v>
      </c>
      <c r="F136" s="562"/>
      <c r="G136" s="562"/>
      <c r="H136" s="562"/>
      <c r="I136" s="562"/>
      <c r="J136" s="562"/>
    </row>
    <row r="137" spans="1:10" ht="15" hidden="1" customHeight="1" x14ac:dyDescent="0.2">
      <c r="A137" s="358"/>
      <c r="B137" s="61" t="s">
        <v>2284</v>
      </c>
      <c r="C137" s="71"/>
      <c r="D137" s="791" t="s">
        <v>2285</v>
      </c>
      <c r="E137" s="923">
        <f>'Verification Report'!O137</f>
        <v>0</v>
      </c>
      <c r="F137" s="562"/>
      <c r="G137" s="562"/>
      <c r="H137" s="562"/>
      <c r="I137" s="562"/>
      <c r="J137" s="562"/>
    </row>
    <row r="138" spans="1:10" ht="15" hidden="1" customHeight="1" x14ac:dyDescent="0.2">
      <c r="A138" s="358"/>
      <c r="B138" s="71"/>
      <c r="C138" s="71"/>
      <c r="D138" s="791"/>
      <c r="E138" s="924">
        <f>'Verification Report'!O138</f>
        <v>0</v>
      </c>
      <c r="F138" s="562"/>
      <c r="G138" s="562"/>
      <c r="H138" s="562"/>
      <c r="I138" s="562"/>
      <c r="J138" s="562"/>
    </row>
    <row r="139" spans="1:10" ht="15" hidden="1" customHeight="1" x14ac:dyDescent="0.2">
      <c r="A139" s="358"/>
      <c r="B139" s="128"/>
      <c r="C139" s="128"/>
      <c r="D139" s="792"/>
      <c r="E139" s="942">
        <f>'Verification Report'!O139</f>
        <v>0</v>
      </c>
      <c r="F139" s="562"/>
      <c r="G139" s="562"/>
      <c r="H139" s="562"/>
      <c r="I139" s="562"/>
      <c r="J139" s="562"/>
    </row>
    <row r="140" spans="1:10" ht="15" hidden="1" customHeight="1" x14ac:dyDescent="0.2">
      <c r="A140" s="358"/>
      <c r="B140" s="61" t="s">
        <v>2286</v>
      </c>
      <c r="C140" s="71"/>
      <c r="D140" s="791" t="s">
        <v>2287</v>
      </c>
      <c r="E140" s="924">
        <f>'Verification Report'!O140</f>
        <v>0</v>
      </c>
      <c r="F140" s="562"/>
      <c r="G140" s="562"/>
      <c r="H140" s="562"/>
      <c r="I140" s="562"/>
      <c r="J140" s="562"/>
    </row>
    <row r="141" spans="1:10" ht="15" hidden="1" customHeight="1" x14ac:dyDescent="0.2">
      <c r="A141" s="358"/>
      <c r="B141" s="128"/>
      <c r="C141" s="128"/>
      <c r="D141" s="792"/>
      <c r="E141" s="942">
        <f>'Verification Report'!O141</f>
        <v>0</v>
      </c>
      <c r="F141" s="562"/>
      <c r="G141" s="562"/>
      <c r="H141" s="562"/>
      <c r="I141" s="562"/>
      <c r="J141" s="562"/>
    </row>
    <row r="142" spans="1:10" ht="15" hidden="1" customHeight="1" x14ac:dyDescent="0.2">
      <c r="A142" s="358"/>
      <c r="B142" s="61" t="s">
        <v>2288</v>
      </c>
      <c r="C142" s="71"/>
      <c r="D142" s="791" t="s">
        <v>2289</v>
      </c>
      <c r="E142" s="924">
        <f>'Verification Report'!O142</f>
        <v>0</v>
      </c>
      <c r="F142" s="562"/>
      <c r="G142" s="562"/>
      <c r="H142" s="562"/>
      <c r="I142" s="562"/>
      <c r="J142" s="562"/>
    </row>
    <row r="143" spans="1:10" ht="15" hidden="1" customHeight="1" x14ac:dyDescent="0.2">
      <c r="A143" s="358"/>
      <c r="B143" s="128"/>
      <c r="C143" s="128"/>
      <c r="D143" s="792"/>
      <c r="E143" s="942">
        <f>'Verification Report'!O143</f>
        <v>0</v>
      </c>
      <c r="F143" s="562"/>
      <c r="G143" s="562"/>
      <c r="H143" s="562"/>
      <c r="I143" s="562"/>
      <c r="J143" s="562"/>
    </row>
    <row r="144" spans="1:10" ht="15" hidden="1" customHeight="1" x14ac:dyDescent="0.2">
      <c r="A144" s="359"/>
      <c r="B144" s="61" t="s">
        <v>2290</v>
      </c>
      <c r="C144" s="71"/>
      <c r="D144" s="791" t="s">
        <v>2291</v>
      </c>
      <c r="E144" s="887">
        <f>'Verification Report'!O144</f>
        <v>0</v>
      </c>
      <c r="F144" s="562"/>
      <c r="G144" s="562"/>
      <c r="H144" s="562"/>
      <c r="I144" s="562"/>
      <c r="J144" s="562"/>
    </row>
    <row r="145" spans="1:10" ht="15.75" hidden="1" customHeight="1" thickBot="1" x14ac:dyDescent="0.25">
      <c r="A145" s="360"/>
      <c r="B145" s="72"/>
      <c r="C145" s="72"/>
      <c r="D145" s="818"/>
      <c r="E145" s="982">
        <f>'Verification Report'!O145</f>
        <v>0</v>
      </c>
      <c r="F145" s="562"/>
      <c r="G145" s="562"/>
      <c r="H145" s="562"/>
      <c r="I145" s="562"/>
      <c r="J145" s="562"/>
    </row>
    <row r="146" spans="1:10" ht="15.75" hidden="1" customHeight="1" thickTop="1" x14ac:dyDescent="0.2">
      <c r="A146" s="107" t="s">
        <v>2293</v>
      </c>
      <c r="B146" s="60"/>
      <c r="C146" s="60"/>
      <c r="D146" s="775" t="s">
        <v>2294</v>
      </c>
      <c r="E146" s="981">
        <f>'Verification Report'!O146</f>
        <v>0</v>
      </c>
      <c r="F146" s="562"/>
      <c r="G146" s="562"/>
      <c r="H146" s="562"/>
      <c r="I146" s="562"/>
      <c r="J146" s="562"/>
    </row>
    <row r="147" spans="1:10" ht="15" hidden="1" customHeight="1" x14ac:dyDescent="0.2">
      <c r="A147" s="358"/>
      <c r="B147" s="60"/>
      <c r="C147" s="60"/>
      <c r="D147" s="775"/>
      <c r="E147" s="887">
        <f>'Verification Report'!O147</f>
        <v>0</v>
      </c>
      <c r="F147" s="562"/>
      <c r="G147" s="562"/>
      <c r="H147" s="562"/>
      <c r="I147" s="562"/>
      <c r="J147" s="562"/>
    </row>
    <row r="148" spans="1:10" ht="15" hidden="1" customHeight="1" x14ac:dyDescent="0.2">
      <c r="A148" s="358"/>
      <c r="B148" s="125" t="s">
        <v>2181</v>
      </c>
      <c r="C148" s="128"/>
      <c r="D148" s="126" t="s">
        <v>2295</v>
      </c>
      <c r="E148" s="669"/>
      <c r="F148" s="562"/>
      <c r="G148" s="562"/>
      <c r="H148" s="562"/>
      <c r="I148" s="562"/>
      <c r="J148" s="562"/>
    </row>
    <row r="149" spans="1:10" ht="15" hidden="1" customHeight="1" x14ac:dyDescent="0.2">
      <c r="A149" s="358"/>
      <c r="B149" s="125" t="s">
        <v>2183</v>
      </c>
      <c r="C149" s="128"/>
      <c r="D149" s="126" t="s">
        <v>2296</v>
      </c>
      <c r="E149" s="669"/>
      <c r="F149" s="562"/>
      <c r="G149" s="562"/>
      <c r="H149" s="562"/>
      <c r="I149" s="562"/>
      <c r="J149" s="562"/>
    </row>
    <row r="150" spans="1:10" ht="15" hidden="1" customHeight="1" x14ac:dyDescent="0.2">
      <c r="A150" s="358"/>
      <c r="B150" s="61" t="s">
        <v>2185</v>
      </c>
      <c r="C150" s="71"/>
      <c r="D150" s="791" t="s">
        <v>2297</v>
      </c>
      <c r="E150" s="668"/>
      <c r="F150" s="562"/>
      <c r="G150" s="562"/>
      <c r="H150" s="562"/>
      <c r="I150" s="562"/>
      <c r="J150" s="562"/>
    </row>
    <row r="151" spans="1:10" ht="15" hidden="1" customHeight="1" x14ac:dyDescent="0.2">
      <c r="A151" s="358"/>
      <c r="B151" s="128"/>
      <c r="C151" s="128"/>
      <c r="D151" s="792"/>
      <c r="E151" s="669"/>
      <c r="F151" s="562"/>
      <c r="G151" s="562"/>
      <c r="H151" s="562"/>
      <c r="I151" s="562"/>
      <c r="J151" s="562"/>
    </row>
    <row r="152" spans="1:10" ht="15.75" hidden="1" customHeight="1" thickBot="1" x14ac:dyDescent="0.25">
      <c r="A152" s="360"/>
      <c r="B152" s="66" t="s">
        <v>2192</v>
      </c>
      <c r="C152" s="72"/>
      <c r="D152" s="67" t="s">
        <v>2298</v>
      </c>
      <c r="E152" s="674"/>
      <c r="F152" s="562"/>
      <c r="G152" s="562"/>
      <c r="H152" s="562"/>
      <c r="I152" s="562"/>
      <c r="J152" s="562"/>
    </row>
    <row r="153" spans="1:10" ht="15.75" hidden="1" customHeight="1" thickTop="1" x14ac:dyDescent="0.2">
      <c r="A153" s="107" t="s">
        <v>2300</v>
      </c>
      <c r="B153" s="60"/>
      <c r="C153" s="60"/>
      <c r="D153" s="775" t="s">
        <v>2301</v>
      </c>
      <c r="E153" s="648"/>
      <c r="F153" s="562"/>
      <c r="G153" s="562"/>
      <c r="H153" s="562"/>
      <c r="I153" s="562"/>
      <c r="J153" s="562"/>
    </row>
    <row r="154" spans="1:10" ht="15" hidden="1" customHeight="1" x14ac:dyDescent="0.2">
      <c r="A154" s="358"/>
      <c r="B154" s="60"/>
      <c r="C154" s="60"/>
      <c r="D154" s="775"/>
      <c r="E154" s="648"/>
      <c r="F154" s="562"/>
      <c r="G154" s="562"/>
      <c r="H154" s="562"/>
      <c r="I154" s="562"/>
      <c r="J154" s="562"/>
    </row>
    <row r="155" spans="1:10" ht="15" hidden="1" customHeight="1" x14ac:dyDescent="0.2">
      <c r="A155" s="358"/>
      <c r="B155" s="61" t="s">
        <v>2181</v>
      </c>
      <c r="C155" s="71"/>
      <c r="D155" s="791" t="s">
        <v>2302</v>
      </c>
      <c r="E155" s="924">
        <f>'Verification Report'!O155</f>
        <v>0</v>
      </c>
      <c r="F155" s="562"/>
      <c r="G155" s="562"/>
      <c r="H155" s="562"/>
      <c r="I155" s="562"/>
      <c r="J155" s="562"/>
    </row>
    <row r="156" spans="1:10" ht="15" hidden="1" customHeight="1" x14ac:dyDescent="0.2">
      <c r="A156" s="358"/>
      <c r="B156" s="125"/>
      <c r="C156" s="128"/>
      <c r="D156" s="792"/>
      <c r="E156" s="942">
        <f>'Verification Report'!O156</f>
        <v>0</v>
      </c>
      <c r="F156" s="562"/>
      <c r="G156" s="562"/>
      <c r="H156" s="562"/>
      <c r="I156" s="562"/>
      <c r="J156" s="562"/>
    </row>
    <row r="157" spans="1:10" ht="15" hidden="1" customHeight="1" x14ac:dyDescent="0.2">
      <c r="A157" s="359"/>
      <c r="B157" s="61" t="s">
        <v>2183</v>
      </c>
      <c r="C157" s="71"/>
      <c r="D157" s="791" t="s">
        <v>2303</v>
      </c>
      <c r="E157" s="887">
        <f>'Verification Report'!O157</f>
        <v>0</v>
      </c>
      <c r="F157" s="562"/>
      <c r="G157" s="562"/>
      <c r="H157" s="562"/>
      <c r="I157" s="562"/>
      <c r="J157" s="562"/>
    </row>
    <row r="158" spans="1:10" ht="15.75" hidden="1" customHeight="1" thickBot="1" x14ac:dyDescent="0.25">
      <c r="A158" s="360"/>
      <c r="B158" s="72"/>
      <c r="C158" s="72"/>
      <c r="D158" s="818"/>
      <c r="E158" s="982">
        <f>'Verification Report'!O158</f>
        <v>0</v>
      </c>
      <c r="F158" s="562"/>
      <c r="G158" s="562"/>
      <c r="H158" s="562"/>
      <c r="I158" s="562"/>
      <c r="J158" s="562"/>
    </row>
    <row r="159" spans="1:10" ht="19" hidden="1" x14ac:dyDescent="0.2">
      <c r="A159" s="50" t="s">
        <v>2305</v>
      </c>
      <c r="B159" s="58"/>
      <c r="C159" s="58"/>
      <c r="D159" s="54"/>
      <c r="E159" s="44"/>
      <c r="F159" s="562"/>
      <c r="G159" s="562"/>
      <c r="H159" s="562"/>
      <c r="I159" s="562"/>
      <c r="J159" s="562"/>
    </row>
    <row r="160" spans="1:10" ht="15" hidden="1" customHeight="1" x14ac:dyDescent="0.2">
      <c r="A160" s="347" t="s">
        <v>2306</v>
      </c>
      <c r="B160" s="71"/>
      <c r="C160" s="71"/>
      <c r="D160" s="820" t="s">
        <v>2307</v>
      </c>
      <c r="E160" s="668"/>
      <c r="F160" s="562"/>
      <c r="G160" s="562"/>
      <c r="H160" s="562"/>
      <c r="I160" s="562"/>
      <c r="J160" s="562"/>
    </row>
    <row r="161" spans="1:10" ht="16" hidden="1" thickBot="1" x14ac:dyDescent="0.25">
      <c r="A161" s="360"/>
      <c r="B161" s="72"/>
      <c r="C161" s="72"/>
      <c r="D161" s="822"/>
      <c r="E161" s="674"/>
      <c r="F161" s="562"/>
      <c r="G161" s="562"/>
      <c r="H161" s="562"/>
      <c r="I161" s="562"/>
      <c r="J161" s="562"/>
    </row>
    <row r="162" spans="1:10" ht="15.75" hidden="1" customHeight="1" thickTop="1" x14ac:dyDescent="0.2">
      <c r="A162" s="361" t="s">
        <v>2309</v>
      </c>
      <c r="B162" s="76"/>
      <c r="C162" s="76"/>
      <c r="D162" s="819" t="s">
        <v>2310</v>
      </c>
      <c r="E162" s="981">
        <f>'Verification Report'!O162</f>
        <v>0</v>
      </c>
      <c r="F162" s="562"/>
      <c r="G162" s="562"/>
      <c r="H162" s="562"/>
      <c r="I162" s="562"/>
      <c r="J162" s="562"/>
    </row>
    <row r="163" spans="1:10" ht="15" hidden="1" customHeight="1" x14ac:dyDescent="0.2">
      <c r="A163" s="359"/>
      <c r="B163" s="71"/>
      <c r="C163" s="71"/>
      <c r="D163" s="820"/>
      <c r="E163" s="924">
        <f>'Verification Report'!O163</f>
        <v>0</v>
      </c>
      <c r="F163" s="562"/>
      <c r="G163" s="562"/>
      <c r="H163" s="562"/>
      <c r="I163" s="562"/>
      <c r="J163" s="562"/>
    </row>
    <row r="164" spans="1:10" ht="15" hidden="1" customHeight="1" x14ac:dyDescent="0.2">
      <c r="A164" s="359"/>
      <c r="B164" s="71"/>
      <c r="C164" s="71"/>
      <c r="D164" s="820"/>
      <c r="E164" s="924">
        <f>'Verification Report'!O164</f>
        <v>0</v>
      </c>
      <c r="F164" s="562"/>
      <c r="G164" s="562"/>
      <c r="H164" s="562"/>
      <c r="I164" s="562"/>
      <c r="J164" s="562"/>
    </row>
    <row r="165" spans="1:10" ht="15" hidden="1" customHeight="1" x14ac:dyDescent="0.2">
      <c r="A165" s="359"/>
      <c r="B165" s="71"/>
      <c r="C165" s="71"/>
      <c r="D165" s="820"/>
      <c r="E165" s="924">
        <f>'Verification Report'!O165</f>
        <v>0</v>
      </c>
      <c r="F165" s="562"/>
      <c r="G165" s="562"/>
      <c r="H165" s="562"/>
      <c r="I165" s="562"/>
      <c r="J165" s="562"/>
    </row>
    <row r="166" spans="1:10" ht="15.75" hidden="1" customHeight="1" thickBot="1" x14ac:dyDescent="0.25">
      <c r="A166" s="360"/>
      <c r="B166" s="72"/>
      <c r="C166" s="72"/>
      <c r="D166" s="449" t="s">
        <v>2311</v>
      </c>
      <c r="E166" s="982">
        <f>'Verification Report'!O166</f>
        <v>0</v>
      </c>
      <c r="F166" s="562"/>
      <c r="G166" s="562"/>
      <c r="H166" s="562"/>
      <c r="I166" s="562"/>
      <c r="J166" s="562"/>
    </row>
    <row r="167" spans="1:10" ht="15.75" hidden="1" customHeight="1" thickTop="1" x14ac:dyDescent="0.2">
      <c r="A167" s="361" t="s">
        <v>2313</v>
      </c>
      <c r="B167" s="60"/>
      <c r="C167" s="60"/>
      <c r="D167" s="775" t="s">
        <v>2314</v>
      </c>
      <c r="E167" s="648"/>
      <c r="F167" s="562"/>
      <c r="G167" s="562"/>
      <c r="H167" s="562"/>
      <c r="I167" s="562"/>
      <c r="J167" s="562"/>
    </row>
    <row r="168" spans="1:10" ht="15" hidden="1" customHeight="1" x14ac:dyDescent="0.2">
      <c r="A168" s="359"/>
      <c r="B168" s="60"/>
      <c r="C168" s="60"/>
      <c r="D168" s="775"/>
      <c r="E168" s="648"/>
      <c r="F168" s="562"/>
      <c r="G168" s="562"/>
      <c r="H168" s="562"/>
      <c r="I168" s="562"/>
      <c r="J168" s="562"/>
    </row>
    <row r="169" spans="1:10" ht="15" hidden="1" customHeight="1" x14ac:dyDescent="0.2">
      <c r="A169" s="358"/>
      <c r="B169" s="125" t="s">
        <v>2181</v>
      </c>
      <c r="C169" s="128"/>
      <c r="D169" s="126" t="s">
        <v>2315</v>
      </c>
      <c r="E169" s="669">
        <f>'Verification Report'!O169</f>
        <v>0</v>
      </c>
      <c r="F169" s="562"/>
      <c r="G169" s="562"/>
      <c r="H169" s="562"/>
      <c r="I169" s="562"/>
      <c r="J169" s="562"/>
    </row>
    <row r="170" spans="1:10" ht="15" hidden="1" customHeight="1" x14ac:dyDescent="0.2">
      <c r="A170" s="358"/>
      <c r="B170" s="61" t="s">
        <v>2183</v>
      </c>
      <c r="C170" s="71"/>
      <c r="D170" s="791" t="s">
        <v>2316</v>
      </c>
      <c r="E170" s="924">
        <f>'Verification Report'!O170</f>
        <v>0</v>
      </c>
      <c r="F170" s="562"/>
      <c r="G170" s="562"/>
      <c r="H170" s="562"/>
      <c r="I170" s="562"/>
      <c r="J170" s="562"/>
    </row>
    <row r="171" spans="1:10" ht="15" hidden="1" customHeight="1" x14ac:dyDescent="0.2">
      <c r="A171" s="358"/>
      <c r="B171" s="125"/>
      <c r="C171" s="128"/>
      <c r="D171" s="792"/>
      <c r="E171" s="942">
        <f>'Verification Report'!O171</f>
        <v>0</v>
      </c>
      <c r="F171" s="562"/>
      <c r="G171" s="562"/>
      <c r="H171" s="562"/>
      <c r="I171" s="562"/>
      <c r="J171" s="562"/>
    </row>
    <row r="172" spans="1:10" ht="15" hidden="1" customHeight="1" x14ac:dyDescent="0.2">
      <c r="A172" s="359"/>
      <c r="B172" s="61" t="s">
        <v>2185</v>
      </c>
      <c r="C172" s="71"/>
      <c r="D172" s="791" t="s">
        <v>2317</v>
      </c>
      <c r="E172" s="887">
        <f>'Verification Report'!O172</f>
        <v>0</v>
      </c>
      <c r="F172" s="562"/>
      <c r="G172" s="562"/>
      <c r="H172" s="562"/>
      <c r="I172" s="562"/>
      <c r="J172" s="562"/>
    </row>
    <row r="173" spans="1:10" ht="15.75" hidden="1" customHeight="1" thickBot="1" x14ac:dyDescent="0.25">
      <c r="A173" s="360"/>
      <c r="B173" s="72"/>
      <c r="C173" s="72"/>
      <c r="D173" s="818"/>
      <c r="E173" s="982">
        <f>'Verification Report'!O173</f>
        <v>0</v>
      </c>
      <c r="F173" s="562"/>
      <c r="G173" s="562"/>
      <c r="H173" s="562"/>
      <c r="I173" s="562"/>
      <c r="J173" s="562"/>
    </row>
    <row r="174" spans="1:10" ht="15.75" customHeight="1" x14ac:dyDescent="0.2">
      <c r="A174" s="346" t="s">
        <v>2319</v>
      </c>
      <c r="B174" s="60"/>
      <c r="C174" s="60"/>
      <c r="D174" s="775" t="s">
        <v>2320</v>
      </c>
      <c r="E174" s="648"/>
      <c r="F174" s="562"/>
      <c r="G174" s="562">
        <v>1</v>
      </c>
      <c r="H174" s="562"/>
      <c r="I174" s="562"/>
      <c r="J174" s="562"/>
    </row>
    <row r="175" spans="1:10" x14ac:dyDescent="0.2">
      <c r="A175" s="358"/>
      <c r="B175" s="60"/>
      <c r="C175" s="60"/>
      <c r="D175" s="775"/>
      <c r="E175" s="648"/>
      <c r="F175" s="562"/>
      <c r="G175" s="562">
        <v>1</v>
      </c>
      <c r="H175" s="562"/>
      <c r="I175" s="562"/>
      <c r="J175" s="562"/>
    </row>
    <row r="176" spans="1:10" x14ac:dyDescent="0.2">
      <c r="A176" s="358"/>
      <c r="B176" s="60"/>
      <c r="C176" s="60"/>
      <c r="D176" s="775"/>
      <c r="E176" s="648"/>
      <c r="F176" s="562"/>
      <c r="G176" s="562">
        <v>1</v>
      </c>
      <c r="H176" s="562"/>
      <c r="I176" s="562"/>
      <c r="J176" s="562"/>
    </row>
    <row r="177" spans="1:10" ht="15" customHeight="1" x14ac:dyDescent="0.2">
      <c r="A177" s="358"/>
      <c r="B177" s="61" t="s">
        <v>2181</v>
      </c>
      <c r="C177" s="71"/>
      <c r="D177" s="791" t="s">
        <v>2321</v>
      </c>
      <c r="E177" s="924">
        <f>'Verification Report'!O177</f>
        <v>0</v>
      </c>
      <c r="F177" s="562"/>
      <c r="G177" s="562">
        <v>1</v>
      </c>
      <c r="H177" s="460"/>
      <c r="I177" s="562" t="s">
        <v>3823</v>
      </c>
      <c r="J177" s="562"/>
    </row>
    <row r="178" spans="1:10" x14ac:dyDescent="0.2">
      <c r="A178" s="358"/>
      <c r="B178" s="125"/>
      <c r="C178" s="128"/>
      <c r="D178" s="792"/>
      <c r="E178" s="942">
        <f>'Verification Report'!O178</f>
        <v>0</v>
      </c>
      <c r="F178" s="562"/>
      <c r="G178" s="562">
        <v>1</v>
      </c>
      <c r="H178" s="562"/>
      <c r="I178" s="562"/>
      <c r="J178" s="562"/>
    </row>
    <row r="179" spans="1:10" x14ac:dyDescent="0.2">
      <c r="A179" s="358"/>
      <c r="B179" s="125" t="s">
        <v>2183</v>
      </c>
      <c r="C179" s="128"/>
      <c r="D179" s="126" t="s">
        <v>2322</v>
      </c>
      <c r="E179" s="669">
        <f>'Verification Report'!O179</f>
        <v>0</v>
      </c>
      <c r="F179" s="562"/>
      <c r="G179" s="562">
        <v>1</v>
      </c>
      <c r="H179" s="460"/>
      <c r="I179" s="562" t="s">
        <v>3824</v>
      </c>
      <c r="J179" s="562"/>
    </row>
    <row r="180" spans="1:10" ht="15" customHeight="1" x14ac:dyDescent="0.2">
      <c r="A180" s="358"/>
      <c r="B180" s="61" t="s">
        <v>2185</v>
      </c>
      <c r="C180" s="71"/>
      <c r="D180" s="791" t="s">
        <v>2323</v>
      </c>
      <c r="E180" s="924">
        <f>'Verification Report'!O180</f>
        <v>0</v>
      </c>
      <c r="F180" s="562"/>
      <c r="G180" s="562">
        <v>1</v>
      </c>
      <c r="H180" s="460"/>
      <c r="I180" s="562" t="s">
        <v>3825</v>
      </c>
      <c r="J180" s="562"/>
    </row>
    <row r="181" spans="1:10" x14ac:dyDescent="0.2">
      <c r="A181" s="358"/>
      <c r="B181" s="128"/>
      <c r="C181" s="128"/>
      <c r="D181" s="792"/>
      <c r="E181" s="942">
        <f>'Verification Report'!O181</f>
        <v>0</v>
      </c>
      <c r="F181" s="562"/>
      <c r="G181" s="562">
        <v>1</v>
      </c>
      <c r="H181" s="562"/>
      <c r="I181" s="562"/>
      <c r="J181" s="562"/>
    </row>
    <row r="182" spans="1:10" ht="15" hidden="1" customHeight="1" x14ac:dyDescent="0.2">
      <c r="A182" s="358"/>
      <c r="B182" s="61" t="s">
        <v>2192</v>
      </c>
      <c r="C182" s="71"/>
      <c r="D182" s="791" t="s">
        <v>2324</v>
      </c>
      <c r="E182" s="924">
        <f>'Verification Report'!O182</f>
        <v>0</v>
      </c>
      <c r="F182" s="562"/>
      <c r="G182" s="562"/>
      <c r="H182" s="562"/>
      <c r="I182" s="562"/>
      <c r="J182" s="562"/>
    </row>
    <row r="183" spans="1:10" ht="15" hidden="1" customHeight="1" x14ac:dyDescent="0.2">
      <c r="A183" s="358"/>
      <c r="B183" s="128"/>
      <c r="C183" s="128"/>
      <c r="D183" s="792"/>
      <c r="E183" s="942">
        <f>'Verification Report'!O183</f>
        <v>0</v>
      </c>
      <c r="F183" s="562"/>
      <c r="G183" s="562"/>
      <c r="H183" s="562"/>
      <c r="I183" s="562"/>
      <c r="J183" s="562"/>
    </row>
    <row r="184" spans="1:10" ht="15" hidden="1" customHeight="1" x14ac:dyDescent="0.2">
      <c r="A184" s="358"/>
      <c r="B184" s="61" t="s">
        <v>2194</v>
      </c>
      <c r="C184" s="71"/>
      <c r="D184" s="791" t="s">
        <v>2325</v>
      </c>
      <c r="E184" s="924">
        <f>'Verification Report'!O184</f>
        <v>0</v>
      </c>
      <c r="F184" s="562"/>
      <c r="G184" s="562"/>
      <c r="H184" s="562"/>
      <c r="I184" s="562"/>
      <c r="J184" s="562"/>
    </row>
    <row r="185" spans="1:10" ht="15" hidden="1" customHeight="1" x14ac:dyDescent="0.2">
      <c r="A185" s="358"/>
      <c r="B185" s="71"/>
      <c r="C185" s="71"/>
      <c r="D185" s="791"/>
      <c r="E185" s="924">
        <f>'Verification Report'!O185</f>
        <v>0</v>
      </c>
      <c r="F185" s="562"/>
      <c r="G185" s="562"/>
      <c r="H185" s="562"/>
      <c r="I185" s="562"/>
      <c r="J185" s="562"/>
    </row>
    <row r="186" spans="1:10" ht="15" hidden="1" customHeight="1" x14ac:dyDescent="0.2">
      <c r="A186" s="358"/>
      <c r="B186" s="71"/>
      <c r="C186" s="71"/>
      <c r="D186" s="791"/>
      <c r="E186" s="924">
        <f>'Verification Report'!O186</f>
        <v>0</v>
      </c>
      <c r="F186" s="562"/>
      <c r="G186" s="562"/>
      <c r="H186" s="562"/>
      <c r="I186" s="562"/>
      <c r="J186" s="562"/>
    </row>
    <row r="187" spans="1:10" ht="15" hidden="1" customHeight="1" x14ac:dyDescent="0.2">
      <c r="A187" s="358"/>
      <c r="B187" s="128"/>
      <c r="C187" s="128"/>
      <c r="D187" s="792"/>
      <c r="E187" s="942">
        <f>'Verification Report'!O187</f>
        <v>0</v>
      </c>
      <c r="F187" s="562"/>
      <c r="G187" s="562"/>
      <c r="H187" s="562"/>
      <c r="I187" s="562"/>
      <c r="J187" s="562"/>
    </row>
    <row r="188" spans="1:10" ht="15" hidden="1" customHeight="1" x14ac:dyDescent="0.2">
      <c r="A188" s="358"/>
      <c r="B188" s="61" t="s">
        <v>2221</v>
      </c>
      <c r="C188" s="71"/>
      <c r="D188" s="791" t="s">
        <v>2326</v>
      </c>
      <c r="E188" s="924">
        <f>'Verification Report'!O188</f>
        <v>0</v>
      </c>
      <c r="F188" s="562"/>
      <c r="G188" s="562"/>
      <c r="H188" s="562"/>
      <c r="I188" s="562"/>
      <c r="J188" s="562"/>
    </row>
    <row r="189" spans="1:10" ht="15" hidden="1" customHeight="1" x14ac:dyDescent="0.2">
      <c r="A189" s="358"/>
      <c r="B189" s="71"/>
      <c r="C189" s="71"/>
      <c r="D189" s="791"/>
      <c r="E189" s="924">
        <f>'Verification Report'!O189</f>
        <v>0</v>
      </c>
      <c r="F189" s="562"/>
      <c r="G189" s="562"/>
      <c r="H189" s="562"/>
      <c r="I189" s="562"/>
      <c r="J189" s="562"/>
    </row>
    <row r="190" spans="1:10" ht="15" hidden="1" customHeight="1" x14ac:dyDescent="0.2">
      <c r="A190" s="358"/>
      <c r="B190" s="128"/>
      <c r="C190" s="128"/>
      <c r="D190" s="792"/>
      <c r="E190" s="942">
        <f>'Verification Report'!O190</f>
        <v>0</v>
      </c>
      <c r="F190" s="562"/>
      <c r="G190" s="562"/>
      <c r="H190" s="562"/>
      <c r="I190" s="562"/>
      <c r="J190" s="562"/>
    </row>
    <row r="191" spans="1:10" hidden="1" x14ac:dyDescent="0.2">
      <c r="A191" s="358"/>
      <c r="B191" s="125" t="s">
        <v>2223</v>
      </c>
      <c r="C191" s="128"/>
      <c r="D191" s="126" t="s">
        <v>2327</v>
      </c>
      <c r="E191" s="669">
        <f>'Verification Report'!O191</f>
        <v>0</v>
      </c>
      <c r="F191" s="562"/>
      <c r="G191" s="562"/>
      <c r="H191" s="562"/>
      <c r="I191" s="562"/>
      <c r="J191" s="562"/>
    </row>
    <row r="192" spans="1:10" ht="15" hidden="1" customHeight="1" x14ac:dyDescent="0.2">
      <c r="A192" s="358"/>
      <c r="B192" s="61" t="s">
        <v>2282</v>
      </c>
      <c r="C192" s="71"/>
      <c r="D192" s="605" t="s">
        <v>2328</v>
      </c>
      <c r="E192" s="924">
        <f>'Verification Report'!O192</f>
        <v>0</v>
      </c>
      <c r="F192" s="562"/>
      <c r="G192" s="562"/>
      <c r="H192" s="562"/>
      <c r="I192" s="562"/>
      <c r="J192" s="562"/>
    </row>
    <row r="193" spans="1:10" ht="15" hidden="1" customHeight="1" x14ac:dyDescent="0.2">
      <c r="A193" s="358"/>
      <c r="B193" s="71"/>
      <c r="C193" s="71"/>
      <c r="D193" s="605" t="s">
        <v>2330</v>
      </c>
      <c r="E193" s="924">
        <f>'Verification Report'!O193</f>
        <v>0</v>
      </c>
      <c r="F193" s="562"/>
      <c r="G193" s="562"/>
      <c r="H193" s="562"/>
      <c r="I193" s="562"/>
      <c r="J193" s="562"/>
    </row>
    <row r="194" spans="1:10" ht="15" hidden="1" customHeight="1" x14ac:dyDescent="0.2">
      <c r="A194" s="358"/>
      <c r="B194" s="71"/>
      <c r="C194" s="71"/>
      <c r="D194" s="605" t="s">
        <v>2332</v>
      </c>
      <c r="E194" s="924">
        <f>'Verification Report'!O194</f>
        <v>0</v>
      </c>
      <c r="F194" s="562"/>
      <c r="G194" s="562"/>
      <c r="H194" s="562"/>
      <c r="I194" s="562"/>
      <c r="J194" s="562"/>
    </row>
    <row r="195" spans="1:10" ht="15" hidden="1" customHeight="1" x14ac:dyDescent="0.2">
      <c r="A195" s="358"/>
      <c r="B195" s="71"/>
      <c r="C195" s="71"/>
      <c r="D195" s="605" t="s">
        <v>2334</v>
      </c>
      <c r="E195" s="924">
        <f>'Verification Report'!O195</f>
        <v>0</v>
      </c>
      <c r="F195" s="562"/>
      <c r="G195" s="562"/>
      <c r="H195" s="562"/>
      <c r="I195" s="562"/>
      <c r="J195" s="562"/>
    </row>
    <row r="196" spans="1:10" ht="15" hidden="1" customHeight="1" x14ac:dyDescent="0.2">
      <c r="A196" s="358"/>
      <c r="B196" s="71"/>
      <c r="C196" s="71"/>
      <c r="D196" s="605" t="s">
        <v>2336</v>
      </c>
      <c r="E196" s="924">
        <f>'Verification Report'!O196</f>
        <v>0</v>
      </c>
      <c r="F196" s="562"/>
      <c r="G196" s="562"/>
      <c r="H196" s="562"/>
      <c r="I196" s="562"/>
      <c r="J196" s="562"/>
    </row>
    <row r="197" spans="1:10" ht="15" hidden="1" customHeight="1" x14ac:dyDescent="0.2">
      <c r="A197" s="358"/>
      <c r="B197" s="71"/>
      <c r="C197" s="71"/>
      <c r="D197" s="605" t="s">
        <v>2338</v>
      </c>
      <c r="E197" s="924">
        <f>'Verification Report'!O197</f>
        <v>0</v>
      </c>
      <c r="F197" s="562"/>
      <c r="G197" s="562"/>
      <c r="H197" s="562"/>
      <c r="I197" s="562"/>
      <c r="J197" s="562"/>
    </row>
    <row r="198" spans="1:10" ht="15" hidden="1" customHeight="1" x14ac:dyDescent="0.2">
      <c r="A198" s="358"/>
      <c r="B198" s="71"/>
      <c r="C198" s="71"/>
      <c r="D198" s="605" t="s">
        <v>2340</v>
      </c>
      <c r="E198" s="924">
        <f>'Verification Report'!O198</f>
        <v>0</v>
      </c>
      <c r="F198" s="562"/>
      <c r="G198" s="562"/>
      <c r="H198" s="562"/>
      <c r="I198" s="562"/>
      <c r="J198" s="562"/>
    </row>
    <row r="199" spans="1:10" ht="15" hidden="1" customHeight="1" x14ac:dyDescent="0.2">
      <c r="A199" s="358"/>
      <c r="B199" s="128"/>
      <c r="C199" s="128"/>
      <c r="D199" s="571" t="s">
        <v>2341</v>
      </c>
      <c r="E199" s="942">
        <f>'Verification Report'!O199</f>
        <v>0</v>
      </c>
      <c r="F199" s="562"/>
      <c r="G199" s="562"/>
      <c r="H199" s="562"/>
      <c r="I199" s="562"/>
      <c r="J199" s="562"/>
    </row>
    <row r="200" spans="1:10" ht="19" hidden="1" x14ac:dyDescent="0.2">
      <c r="A200" s="45" t="s">
        <v>2343</v>
      </c>
      <c r="B200" s="45"/>
      <c r="C200" s="45"/>
      <c r="D200" s="54"/>
      <c r="E200" s="44"/>
      <c r="F200" s="562"/>
      <c r="G200" s="562"/>
      <c r="H200" s="562"/>
      <c r="I200" s="562"/>
      <c r="J200" s="562"/>
    </row>
    <row r="201" spans="1:10" ht="15" hidden="1" customHeight="1" x14ac:dyDescent="0.2">
      <c r="A201" s="359" t="s">
        <v>2345</v>
      </c>
      <c r="B201" s="71"/>
      <c r="C201" s="71"/>
      <c r="D201" s="820" t="s">
        <v>2346</v>
      </c>
      <c r="E201" s="668"/>
      <c r="F201" s="562"/>
      <c r="G201" s="562"/>
      <c r="H201" s="562"/>
      <c r="I201" s="562"/>
      <c r="J201" s="562"/>
    </row>
    <row r="202" spans="1:10" hidden="1" x14ac:dyDescent="0.2">
      <c r="A202" s="359"/>
      <c r="B202" s="71"/>
      <c r="C202" s="71"/>
      <c r="D202" s="820"/>
      <c r="E202" s="668"/>
      <c r="F202" s="562"/>
      <c r="G202" s="562"/>
      <c r="H202" s="562"/>
      <c r="I202" s="562"/>
      <c r="J202" s="562"/>
    </row>
    <row r="203" spans="1:10" ht="16" hidden="1" thickBot="1" x14ac:dyDescent="0.25">
      <c r="A203" s="360"/>
      <c r="B203" s="72"/>
      <c r="C203" s="72"/>
      <c r="D203" s="822"/>
      <c r="E203" s="674"/>
      <c r="F203" s="562"/>
      <c r="G203" s="562"/>
      <c r="H203" s="562"/>
      <c r="I203" s="562"/>
      <c r="J203" s="562"/>
    </row>
    <row r="204" spans="1:10" ht="15.75" customHeight="1" x14ac:dyDescent="0.2">
      <c r="A204" s="346" t="s">
        <v>2348</v>
      </c>
      <c r="B204" s="60"/>
      <c r="C204" s="60"/>
      <c r="D204" s="775" t="s">
        <v>2349</v>
      </c>
      <c r="E204" s="648"/>
      <c r="F204" s="562"/>
      <c r="G204" s="562">
        <v>1</v>
      </c>
      <c r="H204" s="562"/>
      <c r="I204" s="562"/>
      <c r="J204" s="562"/>
    </row>
    <row r="205" spans="1:10" x14ac:dyDescent="0.2">
      <c r="A205" s="358"/>
      <c r="B205" s="60"/>
      <c r="C205" s="60"/>
      <c r="D205" s="775"/>
      <c r="E205" s="648"/>
      <c r="F205" s="562"/>
      <c r="G205" s="562">
        <v>1</v>
      </c>
      <c r="H205" s="562"/>
      <c r="I205" s="562"/>
      <c r="J205" s="562"/>
    </row>
    <row r="206" spans="1:10" ht="15" customHeight="1" x14ac:dyDescent="0.2">
      <c r="A206" s="358"/>
      <c r="B206" s="61" t="s">
        <v>2181</v>
      </c>
      <c r="C206" s="71"/>
      <c r="D206" s="791" t="s">
        <v>2350</v>
      </c>
      <c r="E206" s="924">
        <f>'Verification Report'!O206</f>
        <v>0</v>
      </c>
      <c r="F206" s="562"/>
      <c r="G206" s="562">
        <v>1</v>
      </c>
      <c r="H206" s="460"/>
      <c r="I206" s="562" t="s">
        <v>3826</v>
      </c>
      <c r="J206" s="562"/>
    </row>
    <row r="207" spans="1:10" ht="16" thickBot="1" x14ac:dyDescent="0.25">
      <c r="A207" s="358"/>
      <c r="B207" s="125"/>
      <c r="C207" s="128"/>
      <c r="D207" s="792"/>
      <c r="E207" s="942">
        <f>'Verification Report'!O207</f>
        <v>0</v>
      </c>
      <c r="F207" s="562"/>
      <c r="G207" s="562">
        <v>1</v>
      </c>
      <c r="H207" s="562"/>
      <c r="I207" s="562"/>
      <c r="J207" s="562"/>
    </row>
    <row r="208" spans="1:10" ht="16" hidden="1" thickBot="1" x14ac:dyDescent="0.25">
      <c r="A208" s="358"/>
      <c r="B208" s="125" t="s">
        <v>2183</v>
      </c>
      <c r="C208" s="128"/>
      <c r="D208" s="126" t="s">
        <v>2351</v>
      </c>
      <c r="E208" s="669">
        <f ca="1">'Verification Report'!O208</f>
        <v>0</v>
      </c>
      <c r="F208" s="562"/>
      <c r="G208" s="562"/>
      <c r="H208" s="562"/>
      <c r="I208" s="562"/>
      <c r="J208" s="562"/>
    </row>
    <row r="209" spans="1:10" ht="15" hidden="1" customHeight="1" x14ac:dyDescent="0.2">
      <c r="A209" s="358"/>
      <c r="B209" s="57" t="s">
        <v>2185</v>
      </c>
      <c r="C209" s="60"/>
      <c r="D209" s="53" t="s">
        <v>2352</v>
      </c>
      <c r="E209" s="648">
        <f ca="1">'Verification Report'!O209</f>
        <v>0</v>
      </c>
      <c r="F209" s="562"/>
      <c r="G209" s="562"/>
      <c r="H209" s="562"/>
      <c r="I209" s="562"/>
      <c r="J209" s="562"/>
    </row>
    <row r="210" spans="1:10" ht="15" hidden="1" customHeight="1" x14ac:dyDescent="0.2">
      <c r="A210" s="687"/>
      <c r="B210" s="60"/>
      <c r="C210" s="57" t="s">
        <v>2196</v>
      </c>
      <c r="D210" s="53" t="s">
        <v>2353</v>
      </c>
      <c r="E210" s="648"/>
      <c r="F210" s="562"/>
      <c r="G210" s="562"/>
      <c r="H210" s="562"/>
      <c r="I210" s="562"/>
      <c r="J210" s="562"/>
    </row>
    <row r="211" spans="1:10" ht="15" hidden="1" customHeight="1" x14ac:dyDescent="0.2">
      <c r="A211" s="687"/>
      <c r="B211" s="60"/>
      <c r="C211" s="57" t="s">
        <v>2198</v>
      </c>
      <c r="D211" s="53" t="s">
        <v>2354</v>
      </c>
      <c r="E211" s="648"/>
      <c r="F211" s="562"/>
      <c r="G211" s="562"/>
      <c r="H211" s="562"/>
      <c r="I211" s="562"/>
      <c r="J211" s="562"/>
    </row>
    <row r="212" spans="1:10" ht="15" hidden="1" customHeight="1" x14ac:dyDescent="0.2">
      <c r="A212" s="687"/>
      <c r="B212" s="128"/>
      <c r="C212" s="130" t="s">
        <v>2200</v>
      </c>
      <c r="D212" s="126" t="s">
        <v>2235</v>
      </c>
      <c r="E212" s="669"/>
      <c r="F212" s="562"/>
      <c r="G212" s="562"/>
      <c r="H212" s="562"/>
      <c r="I212" s="562"/>
      <c r="J212" s="562"/>
    </row>
    <row r="213" spans="1:10" ht="15" hidden="1" customHeight="1" x14ac:dyDescent="0.2">
      <c r="A213" s="358"/>
      <c r="B213" s="57" t="s">
        <v>2192</v>
      </c>
      <c r="C213" s="60"/>
      <c r="D213" s="817" t="s">
        <v>2355</v>
      </c>
      <c r="E213" s="887">
        <f ca="1">'Verification Report'!O213</f>
        <v>0</v>
      </c>
      <c r="F213" s="562"/>
      <c r="G213" s="562"/>
      <c r="H213" s="562"/>
      <c r="I213" s="562"/>
      <c r="J213" s="562"/>
    </row>
    <row r="214" spans="1:10" ht="15" hidden="1" customHeight="1" x14ac:dyDescent="0.2">
      <c r="A214" s="358"/>
      <c r="B214" s="60"/>
      <c r="C214" s="60"/>
      <c r="D214" s="817"/>
      <c r="E214" s="887">
        <f>'Verification Report'!O214</f>
        <v>0</v>
      </c>
      <c r="F214" s="562"/>
      <c r="G214" s="562"/>
      <c r="H214" s="562"/>
      <c r="I214" s="562"/>
      <c r="J214" s="562"/>
    </row>
    <row r="215" spans="1:10" ht="15" hidden="1" customHeight="1" x14ac:dyDescent="0.2">
      <c r="A215" s="687"/>
      <c r="B215" s="60"/>
      <c r="C215" s="57" t="s">
        <v>2196</v>
      </c>
      <c r="D215" s="53" t="s">
        <v>2356</v>
      </c>
      <c r="E215" s="648"/>
      <c r="F215" s="562"/>
      <c r="G215" s="562"/>
      <c r="H215" s="562"/>
      <c r="I215" s="562"/>
      <c r="J215" s="562"/>
    </row>
    <row r="216" spans="1:10" ht="15" hidden="1" customHeight="1" x14ac:dyDescent="0.2">
      <c r="A216" s="687"/>
      <c r="B216" s="60"/>
      <c r="C216" s="57" t="s">
        <v>2198</v>
      </c>
      <c r="D216" s="53" t="s">
        <v>2234</v>
      </c>
      <c r="E216" s="648"/>
      <c r="F216" s="562"/>
      <c r="G216" s="562"/>
      <c r="H216" s="562"/>
      <c r="I216" s="562"/>
      <c r="J216" s="562"/>
    </row>
    <row r="217" spans="1:10" ht="15.75" hidden="1" customHeight="1" thickBot="1" x14ac:dyDescent="0.25">
      <c r="A217" s="362"/>
      <c r="B217" s="72"/>
      <c r="C217" s="80" t="s">
        <v>2200</v>
      </c>
      <c r="D217" s="67" t="s">
        <v>2235</v>
      </c>
      <c r="E217" s="674"/>
      <c r="F217" s="562"/>
      <c r="G217" s="562"/>
      <c r="H217" s="562"/>
      <c r="I217" s="562"/>
      <c r="J217" s="562"/>
    </row>
    <row r="218" spans="1:10" ht="16" thickTop="1" x14ac:dyDescent="0.2">
      <c r="A218" s="361" t="s">
        <v>2358</v>
      </c>
      <c r="B218" s="60"/>
      <c r="C218" s="60"/>
      <c r="D218" s="55" t="s">
        <v>2359</v>
      </c>
      <c r="E218" s="648"/>
      <c r="F218" s="562"/>
      <c r="G218" s="562">
        <v>1</v>
      </c>
      <c r="H218" s="562"/>
      <c r="I218" s="562"/>
      <c r="J218" s="562"/>
    </row>
    <row r="219" spans="1:10" ht="15" customHeight="1" x14ac:dyDescent="0.2">
      <c r="A219" s="358"/>
      <c r="B219" s="57" t="s">
        <v>2181</v>
      </c>
      <c r="C219" s="60"/>
      <c r="D219" s="817" t="s">
        <v>2360</v>
      </c>
      <c r="E219" s="887">
        <f>'Verification Report'!O219</f>
        <v>0</v>
      </c>
      <c r="F219" s="562"/>
      <c r="G219" s="562">
        <v>1</v>
      </c>
      <c r="H219" s="562"/>
      <c r="I219" s="562"/>
      <c r="J219" s="562"/>
    </row>
    <row r="220" spans="1:10" x14ac:dyDescent="0.2">
      <c r="A220" s="358"/>
      <c r="B220" s="60"/>
      <c r="C220" s="60"/>
      <c r="D220" s="817"/>
      <c r="E220" s="887">
        <f>'Verification Report'!O220</f>
        <v>0</v>
      </c>
      <c r="F220" s="562"/>
      <c r="G220" s="562">
        <v>1</v>
      </c>
      <c r="H220" s="562"/>
      <c r="I220" s="562"/>
      <c r="J220" s="562"/>
    </row>
    <row r="221" spans="1:10" ht="15" customHeight="1" x14ac:dyDescent="0.2">
      <c r="A221" s="687"/>
      <c r="B221" s="60"/>
      <c r="C221" s="57" t="s">
        <v>2196</v>
      </c>
      <c r="D221" s="817" t="s">
        <v>2361</v>
      </c>
      <c r="E221" s="648"/>
      <c r="F221" s="458" t="str">
        <f>IF('Verification Report'!W221="","",'Verification Report'!W221)</f>
        <v/>
      </c>
      <c r="G221" s="562">
        <v>1</v>
      </c>
      <c r="H221" s="460"/>
      <c r="I221" s="562" t="s">
        <v>3827</v>
      </c>
      <c r="J221" s="562"/>
    </row>
    <row r="222" spans="1:10" x14ac:dyDescent="0.2">
      <c r="A222" s="687"/>
      <c r="B222" s="60"/>
      <c r="C222" s="60"/>
      <c r="D222" s="817"/>
      <c r="E222" s="648"/>
      <c r="F222" s="562"/>
      <c r="G222" s="562">
        <v>1</v>
      </c>
      <c r="H222" s="562"/>
      <c r="I222" s="562"/>
      <c r="J222" s="562"/>
    </row>
    <row r="223" spans="1:10" x14ac:dyDescent="0.2">
      <c r="A223" s="687"/>
      <c r="B223" s="60"/>
      <c r="C223" s="60"/>
      <c r="D223" s="817"/>
      <c r="E223" s="648"/>
      <c r="F223" s="562"/>
      <c r="G223" s="562">
        <v>1</v>
      </c>
      <c r="H223" s="562"/>
      <c r="I223" s="562"/>
      <c r="J223" s="562"/>
    </row>
    <row r="224" spans="1:10" ht="15" customHeight="1" x14ac:dyDescent="0.2">
      <c r="A224" s="687"/>
      <c r="B224" s="60"/>
      <c r="C224" s="57" t="s">
        <v>2198</v>
      </c>
      <c r="D224" s="817" t="s">
        <v>2362</v>
      </c>
      <c r="E224" s="648"/>
      <c r="F224" s="458" t="str">
        <f>IF('Verification Report'!W224="","",'Verification Report'!W224)</f>
        <v/>
      </c>
      <c r="G224" s="562">
        <v>1</v>
      </c>
      <c r="H224" s="460"/>
      <c r="I224" s="562" t="s">
        <v>3828</v>
      </c>
      <c r="J224" s="562"/>
    </row>
    <row r="225" spans="1:10" x14ac:dyDescent="0.2">
      <c r="A225" s="687"/>
      <c r="B225" s="60"/>
      <c r="C225" s="60"/>
      <c r="D225" s="817"/>
      <c r="E225" s="648"/>
      <c r="F225" s="562"/>
      <c r="G225" s="562">
        <v>1</v>
      </c>
      <c r="H225" s="562"/>
      <c r="I225" s="562"/>
      <c r="J225" s="562"/>
    </row>
    <row r="226" spans="1:10" x14ac:dyDescent="0.2">
      <c r="A226" s="687"/>
      <c r="B226" s="60"/>
      <c r="C226" s="60"/>
      <c r="D226" s="817"/>
      <c r="E226" s="648"/>
      <c r="F226" s="562"/>
      <c r="G226" s="562">
        <v>1</v>
      </c>
      <c r="H226" s="562"/>
      <c r="I226" s="562"/>
      <c r="J226" s="562"/>
    </row>
    <row r="227" spans="1:10" x14ac:dyDescent="0.2">
      <c r="A227" s="687"/>
      <c r="B227" s="60"/>
      <c r="C227" s="60"/>
      <c r="D227" s="817"/>
      <c r="E227" s="648"/>
      <c r="F227" s="562"/>
      <c r="G227" s="562">
        <v>1</v>
      </c>
      <c r="H227" s="562"/>
      <c r="I227" s="562"/>
      <c r="J227" s="562"/>
    </row>
    <row r="228" spans="1:10" ht="15" hidden="1" customHeight="1" x14ac:dyDescent="0.2">
      <c r="A228" s="687"/>
      <c r="B228" s="128"/>
      <c r="C228" s="130" t="s">
        <v>2200</v>
      </c>
      <c r="D228" s="126" t="s">
        <v>2363</v>
      </c>
      <c r="E228" s="669"/>
      <c r="F228" s="562"/>
      <c r="G228" s="562"/>
      <c r="H228" s="562"/>
      <c r="I228" s="562"/>
      <c r="J228" s="562"/>
    </row>
    <row r="229" spans="1:10" ht="15" customHeight="1" x14ac:dyDescent="0.2">
      <c r="A229" s="359"/>
      <c r="B229" s="61" t="s">
        <v>2183</v>
      </c>
      <c r="C229" s="71"/>
      <c r="D229" s="791" t="s">
        <v>2364</v>
      </c>
      <c r="E229" s="924">
        <f>'Verification Report'!O229</f>
        <v>0</v>
      </c>
      <c r="F229" s="562"/>
      <c r="G229" s="562">
        <v>1</v>
      </c>
      <c r="H229" s="460"/>
      <c r="I229" s="562" t="s">
        <v>3829</v>
      </c>
      <c r="J229" s="562"/>
    </row>
    <row r="230" spans="1:10" x14ac:dyDescent="0.2">
      <c r="A230" s="359"/>
      <c r="B230" s="71"/>
      <c r="C230" s="71"/>
      <c r="D230" s="791"/>
      <c r="E230" s="924">
        <f>'Verification Report'!O230</f>
        <v>0</v>
      </c>
      <c r="F230" s="562"/>
      <c r="G230" s="562">
        <v>1</v>
      </c>
      <c r="H230" s="562"/>
      <c r="I230" s="562"/>
      <c r="J230" s="562"/>
    </row>
    <row r="231" spans="1:10" ht="16" thickBot="1" x14ac:dyDescent="0.25">
      <c r="A231" s="360"/>
      <c r="B231" s="72"/>
      <c r="C231" s="72"/>
      <c r="D231" s="818"/>
      <c r="E231" s="982">
        <f>'Verification Report'!O231</f>
        <v>0</v>
      </c>
      <c r="F231" s="562"/>
      <c r="G231" s="562">
        <v>1</v>
      </c>
      <c r="H231" s="562"/>
      <c r="I231" s="562"/>
      <c r="J231" s="562"/>
    </row>
    <row r="232" spans="1:10" ht="17" thickTop="1" thickBot="1" x14ac:dyDescent="0.25">
      <c r="A232" s="346" t="s">
        <v>2366</v>
      </c>
      <c r="B232" s="60"/>
      <c r="C232" s="60"/>
      <c r="D232" s="55" t="s">
        <v>2367</v>
      </c>
      <c r="E232" s="648">
        <f ca="1">'Verification Report'!O232</f>
        <v>0</v>
      </c>
      <c r="F232" s="562"/>
      <c r="G232" s="562">
        <v>1</v>
      </c>
      <c r="H232" s="460"/>
      <c r="I232" s="562" t="s">
        <v>3830</v>
      </c>
      <c r="J232" s="562"/>
    </row>
    <row r="233" spans="1:10" ht="15.75" hidden="1" customHeight="1" x14ac:dyDescent="0.2">
      <c r="A233" s="358"/>
      <c r="B233" s="125" t="s">
        <v>2181</v>
      </c>
      <c r="C233" s="128"/>
      <c r="D233" s="126" t="s">
        <v>2368</v>
      </c>
      <c r="E233" s="648"/>
      <c r="F233" s="562"/>
      <c r="G233" s="562"/>
      <c r="H233" s="562"/>
      <c r="I233" s="562"/>
      <c r="J233" s="562"/>
    </row>
    <row r="234" spans="1:10" ht="15.75" hidden="1" customHeight="1" x14ac:dyDescent="0.2">
      <c r="A234" s="358"/>
      <c r="B234" s="125" t="s">
        <v>2183</v>
      </c>
      <c r="C234" s="128"/>
      <c r="D234" s="126" t="s">
        <v>2369</v>
      </c>
      <c r="E234" s="648"/>
      <c r="F234" s="562"/>
      <c r="G234" s="562"/>
      <c r="H234" s="562"/>
      <c r="I234" s="562"/>
      <c r="J234" s="562"/>
    </row>
    <row r="235" spans="1:10" ht="15.75" hidden="1" customHeight="1" x14ac:dyDescent="0.2">
      <c r="A235" s="358"/>
      <c r="B235" s="125" t="s">
        <v>2185</v>
      </c>
      <c r="C235" s="128"/>
      <c r="D235" s="126" t="s">
        <v>2370</v>
      </c>
      <c r="E235" s="648"/>
      <c r="F235" s="562"/>
      <c r="G235" s="562"/>
      <c r="H235" s="562"/>
      <c r="I235" s="562"/>
      <c r="J235" s="562"/>
    </row>
    <row r="236" spans="1:10" ht="15.75" hidden="1" customHeight="1" x14ac:dyDescent="0.2">
      <c r="A236" s="358"/>
      <c r="B236" s="125" t="s">
        <v>2192</v>
      </c>
      <c r="C236" s="128"/>
      <c r="D236" s="126" t="s">
        <v>2371</v>
      </c>
      <c r="E236" s="648"/>
      <c r="F236" s="562"/>
      <c r="G236" s="562"/>
      <c r="H236" s="562"/>
      <c r="I236" s="562"/>
      <c r="J236" s="562"/>
    </row>
    <row r="237" spans="1:10" ht="15.75" hidden="1" customHeight="1" thickBot="1" x14ac:dyDescent="0.25">
      <c r="A237" s="360"/>
      <c r="B237" s="66" t="s">
        <v>2194</v>
      </c>
      <c r="C237" s="72"/>
      <c r="D237" s="67" t="s">
        <v>2372</v>
      </c>
      <c r="E237" s="674"/>
      <c r="F237" s="562"/>
      <c r="G237" s="562"/>
      <c r="H237" s="562"/>
      <c r="I237" s="562"/>
      <c r="J237" s="562"/>
    </row>
    <row r="238" spans="1:10" ht="17" hidden="1" thickTop="1" thickBot="1" x14ac:dyDescent="0.25">
      <c r="A238" s="363" t="s">
        <v>2374</v>
      </c>
      <c r="B238" s="86"/>
      <c r="C238" s="86"/>
      <c r="D238" s="87" t="s">
        <v>2375</v>
      </c>
      <c r="E238" s="90">
        <f ca="1">'Verification Report'!O238</f>
        <v>0</v>
      </c>
      <c r="F238" s="562"/>
      <c r="G238" s="562"/>
      <c r="H238" s="562"/>
      <c r="I238" s="562"/>
      <c r="J238" s="562"/>
    </row>
    <row r="239" spans="1:10" ht="15.75" hidden="1" customHeight="1" thickTop="1" x14ac:dyDescent="0.2">
      <c r="A239" s="361" t="s">
        <v>2377</v>
      </c>
      <c r="B239" s="76"/>
      <c r="C239" s="76"/>
      <c r="D239" s="819" t="s">
        <v>2378</v>
      </c>
      <c r="E239" s="981">
        <f>'Verification Report'!O239</f>
        <v>0</v>
      </c>
      <c r="F239" s="562"/>
      <c r="G239" s="562"/>
      <c r="H239" s="562"/>
      <c r="I239" s="562"/>
      <c r="J239" s="562"/>
    </row>
    <row r="240" spans="1:10" s="498" customFormat="1" ht="15.75" hidden="1" customHeight="1" x14ac:dyDescent="0.2">
      <c r="A240" s="347"/>
      <c r="B240" s="71"/>
      <c r="C240" s="71"/>
      <c r="D240" s="820"/>
      <c r="E240" s="924"/>
      <c r="F240" s="562"/>
      <c r="G240" s="562"/>
      <c r="H240" s="562"/>
      <c r="I240" s="562"/>
      <c r="J240" s="562"/>
    </row>
    <row r="241" spans="1:10" ht="15.75" hidden="1" customHeight="1" thickBot="1" x14ac:dyDescent="0.25">
      <c r="A241" s="360"/>
      <c r="B241" s="72"/>
      <c r="C241" s="72"/>
      <c r="D241" s="822"/>
      <c r="E241" s="982">
        <f>'Verification Report'!O241</f>
        <v>0</v>
      </c>
      <c r="F241" s="562"/>
      <c r="G241" s="562"/>
      <c r="H241" s="562"/>
      <c r="I241" s="562"/>
      <c r="J241" s="562"/>
    </row>
    <row r="242" spans="1:10" ht="15.75" hidden="1" customHeight="1" thickTop="1" x14ac:dyDescent="0.2">
      <c r="A242" s="361" t="s">
        <v>2380</v>
      </c>
      <c r="B242" s="76"/>
      <c r="C242" s="76"/>
      <c r="D242" s="819" t="s">
        <v>2381</v>
      </c>
      <c r="E242" s="981">
        <f ca="1">'Verification Report'!O242</f>
        <v>0</v>
      </c>
      <c r="F242" s="562"/>
      <c r="G242" s="562"/>
      <c r="H242" s="562"/>
      <c r="I242" s="562"/>
      <c r="J242" s="562"/>
    </row>
    <row r="243" spans="1:10" ht="15.75" hidden="1" customHeight="1" x14ac:dyDescent="0.2">
      <c r="A243" s="359"/>
      <c r="B243" s="71"/>
      <c r="C243" s="71"/>
      <c r="D243" s="820"/>
      <c r="E243" s="924">
        <f>'Verification Report'!O243</f>
        <v>0</v>
      </c>
      <c r="F243" s="562"/>
      <c r="G243" s="562"/>
      <c r="H243" s="562"/>
      <c r="I243" s="562"/>
      <c r="J243" s="562"/>
    </row>
    <row r="244" spans="1:10" ht="15.75" hidden="1" customHeight="1" x14ac:dyDescent="0.2">
      <c r="A244" s="359"/>
      <c r="B244" s="71"/>
      <c r="C244" s="71"/>
      <c r="D244" s="820"/>
      <c r="E244" s="924">
        <f>'Verification Report'!O244</f>
        <v>0</v>
      </c>
      <c r="F244" s="562"/>
      <c r="G244" s="562"/>
      <c r="H244" s="562"/>
      <c r="I244" s="562"/>
      <c r="J244" s="562"/>
    </row>
    <row r="245" spans="1:10" ht="15.75" hidden="1" customHeight="1" x14ac:dyDescent="0.2">
      <c r="A245" s="359"/>
      <c r="B245" s="71"/>
      <c r="C245" s="71"/>
      <c r="D245" s="820"/>
      <c r="E245" s="924">
        <f>'Verification Report'!O245</f>
        <v>0</v>
      </c>
      <c r="F245" s="64"/>
      <c r="G245" s="562"/>
      <c r="H245" s="562"/>
      <c r="I245" s="562"/>
      <c r="J245" s="562"/>
    </row>
    <row r="246" spans="1:10" ht="15.75" hidden="1" customHeight="1" x14ac:dyDescent="0.2">
      <c r="A246" s="359"/>
      <c r="B246" s="71"/>
      <c r="C246" s="71"/>
      <c r="D246" s="820"/>
      <c r="E246" s="924">
        <f>'Verification Report'!O246</f>
        <v>0</v>
      </c>
      <c r="F246" s="562"/>
      <c r="G246" s="562"/>
      <c r="H246" s="562"/>
      <c r="I246" s="562"/>
      <c r="J246" s="562"/>
    </row>
    <row r="247" spans="1:10" ht="15.75" hidden="1" customHeight="1" thickBot="1" x14ac:dyDescent="0.25">
      <c r="A247" s="360"/>
      <c r="B247" s="72"/>
      <c r="C247" s="72"/>
      <c r="D247" s="822"/>
      <c r="E247" s="982">
        <f>'Verification Report'!O247</f>
        <v>0</v>
      </c>
      <c r="F247" s="562"/>
      <c r="G247" s="562"/>
      <c r="H247" s="562"/>
      <c r="I247" s="562"/>
      <c r="J247" s="562"/>
    </row>
    <row r="248" spans="1:10" ht="20" hidden="1" thickBot="1" x14ac:dyDescent="0.3">
      <c r="A248" s="50" t="s">
        <v>2390</v>
      </c>
      <c r="B248" s="15"/>
      <c r="C248" s="15"/>
      <c r="D248" s="16"/>
      <c r="E248" s="17"/>
      <c r="F248" s="562"/>
      <c r="G248" s="562"/>
      <c r="H248" s="562"/>
      <c r="I248" s="562"/>
      <c r="J248" s="562"/>
    </row>
    <row r="249" spans="1:10" ht="15" hidden="1" customHeight="1" x14ac:dyDescent="0.2">
      <c r="A249" s="346" t="s">
        <v>2392</v>
      </c>
      <c r="B249" s="20"/>
      <c r="C249" s="57"/>
      <c r="D249" s="775" t="s">
        <v>2393</v>
      </c>
      <c r="E249" s="648"/>
      <c r="F249" s="562"/>
      <c r="G249" s="562"/>
      <c r="H249" s="562"/>
      <c r="I249" s="562"/>
      <c r="J249" s="562"/>
    </row>
    <row r="250" spans="1:10" ht="16" hidden="1" thickBot="1" x14ac:dyDescent="0.25">
      <c r="A250" s="107"/>
      <c r="B250" s="3"/>
      <c r="C250" s="53"/>
      <c r="D250" s="775"/>
      <c r="E250" s="648"/>
      <c r="F250" s="562"/>
      <c r="G250" s="562"/>
      <c r="H250" s="562"/>
      <c r="I250" s="562"/>
      <c r="J250" s="562"/>
    </row>
    <row r="251" spans="1:10" s="498" customFormat="1" ht="16" hidden="1" thickBot="1" x14ac:dyDescent="0.25">
      <c r="A251" s="107"/>
      <c r="B251" s="3"/>
      <c r="C251" s="53"/>
      <c r="D251" s="775"/>
      <c r="E251" s="648"/>
      <c r="F251" s="562"/>
      <c r="G251" s="562"/>
      <c r="H251" s="562"/>
      <c r="I251" s="562"/>
      <c r="J251" s="562"/>
    </row>
    <row r="252" spans="1:10" ht="16" hidden="1" thickBot="1" x14ac:dyDescent="0.25">
      <c r="A252" s="107"/>
      <c r="B252" s="3"/>
      <c r="C252" s="53"/>
      <c r="D252" s="775"/>
      <c r="E252" s="648"/>
      <c r="F252" s="562"/>
      <c r="G252" s="562"/>
      <c r="H252" s="562"/>
      <c r="I252" s="562"/>
      <c r="J252" s="562"/>
    </row>
    <row r="253" spans="1:10" ht="15.75" customHeight="1" thickTop="1" x14ac:dyDescent="0.2">
      <c r="A253" s="75" t="s">
        <v>2394</v>
      </c>
      <c r="B253" s="132"/>
      <c r="C253" s="133"/>
      <c r="D253" s="819" t="s">
        <v>2395</v>
      </c>
      <c r="E253" s="981">
        <f>'Verification Report'!O253</f>
        <v>0</v>
      </c>
      <c r="F253" s="562"/>
      <c r="G253" s="562">
        <v>1</v>
      </c>
      <c r="H253" s="460"/>
      <c r="I253" s="562" t="s">
        <v>3830</v>
      </c>
      <c r="J253" s="562"/>
    </row>
    <row r="254" spans="1:10" x14ac:dyDescent="0.2">
      <c r="A254" s="70"/>
      <c r="B254" s="98"/>
      <c r="C254" s="65"/>
      <c r="D254" s="820"/>
      <c r="E254" s="924">
        <f>'Verification Report'!O254</f>
        <v>0</v>
      </c>
      <c r="F254" s="562"/>
      <c r="G254" s="562">
        <v>1</v>
      </c>
      <c r="H254" s="562"/>
      <c r="I254" s="562"/>
      <c r="J254" s="562"/>
    </row>
    <row r="255" spans="1:10" x14ac:dyDescent="0.2">
      <c r="A255" s="70"/>
      <c r="B255" s="98"/>
      <c r="C255" s="65"/>
      <c r="D255" s="820"/>
      <c r="E255" s="924">
        <f>'Verification Report'!O255</f>
        <v>0</v>
      </c>
      <c r="F255" s="562"/>
      <c r="G255" s="562">
        <v>1</v>
      </c>
      <c r="H255" s="562"/>
      <c r="I255" s="562"/>
      <c r="J255" s="562"/>
    </row>
    <row r="256" spans="1:10" ht="16" thickBot="1" x14ac:dyDescent="0.25">
      <c r="A256" s="70"/>
      <c r="B256" s="98"/>
      <c r="C256" s="65"/>
      <c r="D256" s="820"/>
      <c r="E256" s="924">
        <f>'Verification Report'!O256</f>
        <v>0</v>
      </c>
      <c r="F256" s="562"/>
      <c r="G256" s="562">
        <v>1</v>
      </c>
      <c r="H256" s="562"/>
      <c r="I256" s="562"/>
      <c r="J256" s="562"/>
    </row>
    <row r="257" spans="1:10" ht="15.75" hidden="1" customHeight="1" x14ac:dyDescent="0.2">
      <c r="A257" s="70"/>
      <c r="B257" s="159" t="s">
        <v>2181</v>
      </c>
      <c r="C257" s="126"/>
      <c r="D257" s="160" t="s">
        <v>2396</v>
      </c>
      <c r="E257" s="668"/>
      <c r="F257" s="562"/>
      <c r="G257" s="562"/>
      <c r="H257" s="562"/>
      <c r="I257" s="562"/>
      <c r="J257" s="562"/>
    </row>
    <row r="258" spans="1:10" ht="15.75" hidden="1" customHeight="1" x14ac:dyDescent="0.2">
      <c r="A258" s="70"/>
      <c r="B258" s="161" t="s">
        <v>2183</v>
      </c>
      <c r="C258" s="162"/>
      <c r="D258" s="163" t="s">
        <v>2397</v>
      </c>
      <c r="E258" s="668"/>
      <c r="F258" s="562"/>
      <c r="G258" s="562"/>
      <c r="H258" s="562"/>
      <c r="I258" s="562"/>
      <c r="J258" s="562"/>
    </row>
    <row r="259" spans="1:10" ht="15.75" hidden="1" customHeight="1" x14ac:dyDescent="0.2">
      <c r="A259" s="70"/>
      <c r="B259" s="161" t="s">
        <v>2185</v>
      </c>
      <c r="C259" s="162"/>
      <c r="D259" s="163" t="s">
        <v>2398</v>
      </c>
      <c r="E259" s="668"/>
      <c r="F259" s="64"/>
      <c r="G259" s="562"/>
      <c r="H259" s="562"/>
      <c r="I259" s="562"/>
      <c r="J259" s="562"/>
    </row>
    <row r="260" spans="1:10" ht="15.75" hidden="1" customHeight="1" x14ac:dyDescent="0.2">
      <c r="A260" s="70"/>
      <c r="B260" s="161" t="s">
        <v>2192</v>
      </c>
      <c r="C260" s="162"/>
      <c r="D260" s="163" t="s">
        <v>2399</v>
      </c>
      <c r="E260" s="668"/>
      <c r="F260" s="64"/>
      <c r="G260" s="562"/>
      <c r="H260" s="562"/>
      <c r="I260" s="562"/>
      <c r="J260" s="562"/>
    </row>
    <row r="261" spans="1:10" ht="15.75" hidden="1" customHeight="1" x14ac:dyDescent="0.2">
      <c r="A261" s="70"/>
      <c r="B261" s="161" t="s">
        <v>2194</v>
      </c>
      <c r="C261" s="162"/>
      <c r="D261" s="163" t="s">
        <v>2400</v>
      </c>
      <c r="E261" s="668"/>
      <c r="F261" s="64"/>
      <c r="G261" s="562"/>
      <c r="H261" s="562"/>
      <c r="I261" s="562"/>
      <c r="J261" s="562"/>
    </row>
    <row r="262" spans="1:10" ht="15.75" hidden="1" customHeight="1" x14ac:dyDescent="0.2">
      <c r="A262" s="70"/>
      <c r="B262" s="134" t="s">
        <v>2221</v>
      </c>
      <c r="C262" s="65"/>
      <c r="D262" s="388" t="s">
        <v>2401</v>
      </c>
      <c r="E262" s="668"/>
      <c r="F262" s="64"/>
      <c r="G262" s="562"/>
      <c r="H262" s="562"/>
      <c r="I262" s="562"/>
      <c r="J262" s="562"/>
    </row>
    <row r="263" spans="1:10" ht="15" hidden="1" customHeight="1" x14ac:dyDescent="0.2">
      <c r="A263" s="70"/>
      <c r="B263" s="98"/>
      <c r="C263" s="65"/>
      <c r="D263" s="820" t="s">
        <v>3831</v>
      </c>
      <c r="E263" s="668"/>
      <c r="F263" s="64"/>
      <c r="G263" s="562"/>
      <c r="H263" s="562"/>
      <c r="I263" s="562"/>
      <c r="J263" s="562"/>
    </row>
    <row r="264" spans="1:10" ht="15.75" hidden="1" customHeight="1" x14ac:dyDescent="0.2">
      <c r="A264" s="70"/>
      <c r="B264" s="98"/>
      <c r="C264" s="65"/>
      <c r="D264" s="820"/>
      <c r="E264" s="668"/>
      <c r="F264" s="562"/>
      <c r="G264" s="562"/>
      <c r="H264" s="562"/>
      <c r="I264" s="562"/>
      <c r="J264" s="562"/>
    </row>
    <row r="265" spans="1:10" ht="15" hidden="1" customHeight="1" x14ac:dyDescent="0.2">
      <c r="A265" s="70"/>
      <c r="B265" s="98"/>
      <c r="C265" s="562"/>
      <c r="D265" s="816" t="s">
        <v>2404</v>
      </c>
      <c r="E265" s="668"/>
      <c r="F265" s="562"/>
      <c r="G265" s="562"/>
      <c r="H265" s="562"/>
      <c r="I265" s="562"/>
      <c r="J265" s="562"/>
    </row>
    <row r="266" spans="1:10" ht="15.75" hidden="1" customHeight="1" thickBot="1" x14ac:dyDescent="0.25">
      <c r="A266" s="70"/>
      <c r="B266" s="98"/>
      <c r="C266" s="287"/>
      <c r="D266" s="816"/>
      <c r="E266" s="668"/>
      <c r="F266" s="562"/>
      <c r="G266" s="562"/>
      <c r="H266" s="562"/>
      <c r="I266" s="562"/>
      <c r="J266" s="562"/>
    </row>
    <row r="267" spans="1:10" ht="15.75" hidden="1" customHeight="1" thickTop="1" x14ac:dyDescent="0.2">
      <c r="A267" s="75" t="s">
        <v>2405</v>
      </c>
      <c r="B267" s="132"/>
      <c r="C267" s="133"/>
      <c r="D267" s="819" t="s">
        <v>3760</v>
      </c>
      <c r="E267" s="673"/>
      <c r="F267" s="562"/>
      <c r="G267" s="562"/>
      <c r="H267" s="562"/>
      <c r="I267" s="562"/>
      <c r="J267" s="562"/>
    </row>
    <row r="268" spans="1:10" ht="16" hidden="1" thickBot="1" x14ac:dyDescent="0.25">
      <c r="A268" s="70"/>
      <c r="B268" s="98"/>
      <c r="C268" s="65"/>
      <c r="D268" s="820"/>
      <c r="E268" s="668"/>
      <c r="F268" s="562"/>
      <c r="G268" s="562"/>
      <c r="H268" s="562"/>
      <c r="I268" s="562"/>
      <c r="J268" s="562"/>
    </row>
    <row r="269" spans="1:10" s="481" customFormat="1" ht="16" hidden="1" thickBot="1" x14ac:dyDescent="0.25">
      <c r="A269" s="70"/>
      <c r="B269" s="98"/>
      <c r="C269" s="65"/>
      <c r="D269" s="846" t="s">
        <v>2407</v>
      </c>
      <c r="E269" s="668"/>
      <c r="F269" s="562"/>
      <c r="G269" s="562"/>
      <c r="H269" s="562"/>
      <c r="I269" s="562"/>
      <c r="J269" s="562"/>
    </row>
    <row r="270" spans="1:10" s="481" customFormat="1" ht="16" hidden="1" thickBot="1" x14ac:dyDescent="0.25">
      <c r="A270" s="70"/>
      <c r="B270" s="98"/>
      <c r="C270" s="65"/>
      <c r="D270" s="846"/>
      <c r="E270" s="668"/>
      <c r="F270" s="562"/>
      <c r="G270" s="562"/>
      <c r="H270" s="562"/>
      <c r="I270" s="562"/>
      <c r="J270" s="562"/>
    </row>
    <row r="271" spans="1:10" ht="15" hidden="1" customHeight="1" x14ac:dyDescent="0.2">
      <c r="A271" s="107"/>
      <c r="B271" s="134" t="s">
        <v>2181</v>
      </c>
      <c r="C271" s="65"/>
      <c r="D271" s="791" t="s">
        <v>2408</v>
      </c>
      <c r="E271" s="924">
        <f>'Verification Report'!O271</f>
        <v>0</v>
      </c>
      <c r="F271" s="562"/>
      <c r="G271" s="562"/>
      <c r="H271" s="562"/>
      <c r="I271" s="562"/>
      <c r="J271" s="562"/>
    </row>
    <row r="272" spans="1:10" ht="15.75" hidden="1" customHeight="1" x14ac:dyDescent="0.2">
      <c r="A272" s="107"/>
      <c r="B272" s="98"/>
      <c r="C272" s="65"/>
      <c r="D272" s="791"/>
      <c r="E272" s="924">
        <f>'Verification Report'!O272</f>
        <v>0</v>
      </c>
      <c r="F272" s="562"/>
      <c r="G272" s="562"/>
      <c r="H272" s="562"/>
      <c r="I272" s="562"/>
      <c r="J272" s="562"/>
    </row>
    <row r="273" spans="1:10" ht="15.75" hidden="1" customHeight="1" x14ac:dyDescent="0.2">
      <c r="A273" s="107"/>
      <c r="B273" s="165"/>
      <c r="C273" s="126"/>
      <c r="D273" s="792"/>
      <c r="E273" s="942">
        <f>'Verification Report'!O273</f>
        <v>0</v>
      </c>
      <c r="F273" s="562"/>
      <c r="G273" s="562"/>
      <c r="H273" s="562"/>
      <c r="I273" s="562"/>
      <c r="J273" s="562"/>
    </row>
    <row r="274" spans="1:10" ht="15" hidden="1" customHeight="1" x14ac:dyDescent="0.2">
      <c r="A274" s="107"/>
      <c r="B274" s="134" t="s">
        <v>2183</v>
      </c>
      <c r="C274" s="65"/>
      <c r="D274" s="791" t="s">
        <v>2409</v>
      </c>
      <c r="E274" s="924">
        <f>'Verification Report'!O274</f>
        <v>0</v>
      </c>
      <c r="F274" s="562"/>
      <c r="G274" s="562"/>
      <c r="H274" s="562"/>
      <c r="I274" s="562"/>
      <c r="J274" s="562"/>
    </row>
    <row r="275" spans="1:10" ht="15.75" hidden="1" customHeight="1" x14ac:dyDescent="0.2">
      <c r="A275" s="107"/>
      <c r="B275" s="98"/>
      <c r="C275" s="65"/>
      <c r="D275" s="791"/>
      <c r="E275" s="924">
        <f>'Verification Report'!O275</f>
        <v>0</v>
      </c>
      <c r="F275" s="562"/>
      <c r="G275" s="562"/>
      <c r="H275" s="562"/>
      <c r="I275" s="562"/>
      <c r="J275" s="562"/>
    </row>
    <row r="276" spans="1:10" ht="15.75" hidden="1" customHeight="1" x14ac:dyDescent="0.2">
      <c r="A276" s="107"/>
      <c r="B276" s="165"/>
      <c r="C276" s="126"/>
      <c r="D276" s="792"/>
      <c r="E276" s="942">
        <f>'Verification Report'!O276</f>
        <v>0</v>
      </c>
      <c r="F276" s="562"/>
      <c r="G276" s="562"/>
      <c r="H276" s="562"/>
      <c r="I276" s="562"/>
      <c r="J276" s="562"/>
    </row>
    <row r="277" spans="1:10" ht="16" hidden="1" thickBot="1" x14ac:dyDescent="0.25">
      <c r="A277" s="107"/>
      <c r="B277" s="20" t="s">
        <v>2185</v>
      </c>
      <c r="C277" s="53"/>
      <c r="D277" s="53" t="s">
        <v>2410</v>
      </c>
      <c r="E277" s="648">
        <f>'Verification Report'!O277</f>
        <v>0</v>
      </c>
      <c r="F277" s="562"/>
      <c r="G277" s="562"/>
      <c r="H277" s="562"/>
      <c r="I277" s="562"/>
      <c r="J277" s="562"/>
    </row>
    <row r="278" spans="1:10" ht="15.75" hidden="1" customHeight="1" thickTop="1" x14ac:dyDescent="0.2">
      <c r="A278" s="75" t="s">
        <v>2411</v>
      </c>
      <c r="B278" s="132"/>
      <c r="C278" s="133"/>
      <c r="D278" s="819" t="s">
        <v>3832</v>
      </c>
      <c r="E278" s="673"/>
      <c r="F278" s="562"/>
      <c r="G278" s="562"/>
      <c r="H278" s="562"/>
      <c r="I278" s="562"/>
      <c r="J278" s="562"/>
    </row>
    <row r="279" spans="1:10" ht="16" hidden="1" thickBot="1" x14ac:dyDescent="0.25">
      <c r="A279" s="70"/>
      <c r="B279" s="98"/>
      <c r="C279" s="65"/>
      <c r="D279" s="820"/>
      <c r="E279" s="668"/>
      <c r="F279" s="562"/>
      <c r="G279" s="562"/>
      <c r="H279" s="562"/>
      <c r="I279" s="562"/>
      <c r="J279" s="562"/>
    </row>
    <row r="280" spans="1:10" ht="16" hidden="1" thickBot="1" x14ac:dyDescent="0.25">
      <c r="A280" s="70"/>
      <c r="B280" s="98"/>
      <c r="C280" s="65"/>
      <c r="D280" s="820"/>
      <c r="E280" s="668"/>
      <c r="F280" s="562"/>
      <c r="G280" s="562"/>
      <c r="H280" s="562"/>
      <c r="I280" s="562"/>
      <c r="J280" s="562"/>
    </row>
    <row r="281" spans="1:10" s="481" customFormat="1" ht="16" hidden="1" thickBot="1" x14ac:dyDescent="0.25">
      <c r="A281" s="70"/>
      <c r="B281" s="98"/>
      <c r="C281" s="65"/>
      <c r="D281" s="846" t="s">
        <v>2413</v>
      </c>
      <c r="E281" s="668"/>
      <c r="F281" s="562"/>
      <c r="G281" s="562"/>
      <c r="H281" s="562"/>
      <c r="I281" s="562"/>
      <c r="J281" s="562"/>
    </row>
    <row r="282" spans="1:10" s="481" customFormat="1" ht="16" hidden="1" thickBot="1" x14ac:dyDescent="0.25">
      <c r="A282" s="70"/>
      <c r="B282" s="98"/>
      <c r="C282" s="65"/>
      <c r="D282" s="846"/>
      <c r="E282" s="668"/>
      <c r="F282" s="562"/>
      <c r="G282" s="562"/>
      <c r="H282" s="562"/>
      <c r="I282" s="562"/>
      <c r="J282" s="562"/>
    </row>
    <row r="283" spans="1:10" ht="16" hidden="1" thickBot="1" x14ac:dyDescent="0.25">
      <c r="A283" s="107"/>
      <c r="B283" s="159" t="s">
        <v>2181</v>
      </c>
      <c r="C283" s="126"/>
      <c r="D283" s="126" t="s">
        <v>2414</v>
      </c>
      <c r="E283" s="669">
        <f>'Verification Report'!O283</f>
        <v>0</v>
      </c>
      <c r="F283" s="562"/>
      <c r="G283" s="562"/>
      <c r="H283" s="562"/>
      <c r="I283" s="562"/>
      <c r="J283" s="562"/>
    </row>
    <row r="284" spans="1:10" ht="16" hidden="1" thickBot="1" x14ac:dyDescent="0.25">
      <c r="A284" s="107"/>
      <c r="B284" s="161" t="s">
        <v>2183</v>
      </c>
      <c r="C284" s="162"/>
      <c r="D284" s="162" t="s">
        <v>2415</v>
      </c>
      <c r="E284" s="600">
        <f>'Verification Report'!O284</f>
        <v>0</v>
      </c>
      <c r="F284" s="562"/>
      <c r="G284" s="562"/>
      <c r="H284" s="562"/>
      <c r="I284" s="562"/>
      <c r="J284" s="562"/>
    </row>
    <row r="285" spans="1:10" ht="16" hidden="1" thickBot="1" x14ac:dyDescent="0.25">
      <c r="A285" s="107"/>
      <c r="B285" s="161" t="s">
        <v>2185</v>
      </c>
      <c r="C285" s="162"/>
      <c r="D285" s="162" t="s">
        <v>2416</v>
      </c>
      <c r="E285" s="600">
        <f>'Verification Report'!O285</f>
        <v>0</v>
      </c>
      <c r="F285" s="562"/>
      <c r="G285" s="562"/>
      <c r="H285" s="562"/>
      <c r="I285" s="562"/>
      <c r="J285" s="562"/>
    </row>
    <row r="286" spans="1:10" ht="16" hidden="1" thickBot="1" x14ac:dyDescent="0.25">
      <c r="A286" s="107"/>
      <c r="B286" s="161" t="s">
        <v>2192</v>
      </c>
      <c r="C286" s="162"/>
      <c r="D286" s="162" t="s">
        <v>2417</v>
      </c>
      <c r="E286" s="600">
        <f>'Verification Report'!O286</f>
        <v>0</v>
      </c>
      <c r="F286" s="562"/>
      <c r="G286" s="562"/>
      <c r="H286" s="562"/>
      <c r="I286" s="562"/>
      <c r="J286" s="562"/>
    </row>
    <row r="287" spans="1:10" ht="16" hidden="1" thickBot="1" x14ac:dyDescent="0.25">
      <c r="A287" s="107"/>
      <c r="B287" s="20" t="s">
        <v>2194</v>
      </c>
      <c r="C287" s="53"/>
      <c r="D287" s="53" t="s">
        <v>2418</v>
      </c>
      <c r="E287" s="648">
        <f>'Verification Report'!O287</f>
        <v>0</v>
      </c>
      <c r="F287" s="562"/>
      <c r="G287" s="562"/>
      <c r="H287" s="562"/>
      <c r="I287" s="562"/>
      <c r="J287" s="562"/>
    </row>
    <row r="288" spans="1:10" ht="15.75" hidden="1" customHeight="1" thickTop="1" x14ac:dyDescent="0.2">
      <c r="A288" s="75" t="s">
        <v>2419</v>
      </c>
      <c r="B288" s="132"/>
      <c r="C288" s="133"/>
      <c r="D288" s="819" t="s">
        <v>2420</v>
      </c>
      <c r="E288" s="981">
        <f>'Verification Report'!O288</f>
        <v>0</v>
      </c>
      <c r="F288" s="562"/>
      <c r="G288" s="562"/>
      <c r="H288" s="562"/>
      <c r="I288" s="562"/>
      <c r="J288" s="562"/>
    </row>
    <row r="289" spans="1:10" ht="15.75" hidden="1" customHeight="1" x14ac:dyDescent="0.2">
      <c r="A289" s="70"/>
      <c r="B289" s="98"/>
      <c r="C289" s="65"/>
      <c r="D289" s="820"/>
      <c r="E289" s="924">
        <f>'Verification Report'!O289</f>
        <v>0</v>
      </c>
      <c r="F289" s="562"/>
      <c r="G289" s="562"/>
      <c r="H289" s="562"/>
      <c r="I289" s="562"/>
      <c r="J289" s="562"/>
    </row>
    <row r="290" spans="1:10" ht="15.75" hidden="1" customHeight="1" thickBot="1" x14ac:dyDescent="0.25">
      <c r="A290" s="70"/>
      <c r="B290" s="98"/>
      <c r="C290" s="65"/>
      <c r="D290" s="820"/>
      <c r="E290" s="924">
        <f>'Verification Report'!O290</f>
        <v>0</v>
      </c>
      <c r="F290" s="562"/>
      <c r="G290" s="562"/>
      <c r="H290" s="562"/>
      <c r="I290" s="562"/>
      <c r="J290" s="562"/>
    </row>
    <row r="291" spans="1:10" ht="15.75" hidden="1" customHeight="1" thickTop="1" x14ac:dyDescent="0.2">
      <c r="A291" s="75" t="s">
        <v>2421</v>
      </c>
      <c r="B291" s="132"/>
      <c r="C291" s="133"/>
      <c r="D291" s="819" t="s">
        <v>2422</v>
      </c>
      <c r="E291" s="673"/>
      <c r="F291" s="562"/>
      <c r="G291" s="562"/>
      <c r="H291" s="562"/>
      <c r="I291" s="562"/>
      <c r="J291" s="562"/>
    </row>
    <row r="292" spans="1:10" ht="16" hidden="1" thickBot="1" x14ac:dyDescent="0.25">
      <c r="A292" s="70"/>
      <c r="B292" s="98"/>
      <c r="C292" s="65"/>
      <c r="D292" s="820"/>
      <c r="E292" s="668"/>
      <c r="F292" s="562"/>
      <c r="G292" s="562"/>
      <c r="H292" s="562"/>
      <c r="I292" s="562"/>
      <c r="J292" s="562"/>
    </row>
    <row r="293" spans="1:10" ht="16" hidden="1" thickBot="1" x14ac:dyDescent="0.25">
      <c r="A293" s="70"/>
      <c r="B293" s="98"/>
      <c r="C293" s="65"/>
      <c r="D293" s="820"/>
      <c r="E293" s="668"/>
      <c r="F293" s="562"/>
      <c r="G293" s="562"/>
      <c r="H293" s="562"/>
      <c r="I293" s="562"/>
      <c r="J293" s="562"/>
    </row>
    <row r="294" spans="1:10" s="481" customFormat="1" ht="16" hidden="1" thickBot="1" x14ac:dyDescent="0.25">
      <c r="A294" s="70"/>
      <c r="B294" s="98"/>
      <c r="C294" s="65"/>
      <c r="D294" s="846" t="s">
        <v>2424</v>
      </c>
      <c r="E294" s="668"/>
      <c r="F294" s="562"/>
      <c r="G294" s="562"/>
      <c r="H294" s="562"/>
      <c r="I294" s="562"/>
      <c r="J294" s="562"/>
    </row>
    <row r="295" spans="1:10" s="481" customFormat="1" ht="16" hidden="1" thickBot="1" x14ac:dyDescent="0.25">
      <c r="A295" s="70"/>
      <c r="B295" s="98"/>
      <c r="C295" s="65"/>
      <c r="D295" s="846"/>
      <c r="E295" s="668"/>
      <c r="F295" s="562"/>
      <c r="G295" s="562"/>
      <c r="H295" s="562"/>
      <c r="I295" s="562"/>
      <c r="J295" s="562"/>
    </row>
    <row r="296" spans="1:10" ht="16" hidden="1" thickBot="1" x14ac:dyDescent="0.25">
      <c r="A296" s="107"/>
      <c r="B296" s="159" t="s">
        <v>2181</v>
      </c>
      <c r="C296" s="126"/>
      <c r="D296" s="126" t="s">
        <v>2425</v>
      </c>
      <c r="E296" s="669">
        <f>'Verification Report'!O296</f>
        <v>0</v>
      </c>
      <c r="F296" s="562"/>
      <c r="G296" s="562"/>
      <c r="H296" s="562"/>
      <c r="I296" s="562"/>
      <c r="J296" s="562"/>
    </row>
    <row r="297" spans="1:10" ht="16" hidden="1" thickBot="1" x14ac:dyDescent="0.25">
      <c r="A297" s="107"/>
      <c r="B297" s="161" t="s">
        <v>2183</v>
      </c>
      <c r="C297" s="162"/>
      <c r="D297" s="162" t="s">
        <v>2426</v>
      </c>
      <c r="E297" s="600">
        <f>'Verification Report'!O297</f>
        <v>0</v>
      </c>
      <c r="F297" s="562"/>
      <c r="G297" s="562"/>
      <c r="H297" s="562"/>
      <c r="I297" s="562"/>
      <c r="J297" s="562"/>
    </row>
    <row r="298" spans="1:10" ht="16" hidden="1" thickBot="1" x14ac:dyDescent="0.25">
      <c r="A298" s="107"/>
      <c r="B298" s="161" t="s">
        <v>2185</v>
      </c>
      <c r="C298" s="162"/>
      <c r="D298" s="162" t="s">
        <v>2427</v>
      </c>
      <c r="E298" s="600">
        <f>'Verification Report'!O298</f>
        <v>0</v>
      </c>
      <c r="F298" s="562"/>
      <c r="G298" s="562"/>
      <c r="H298" s="562"/>
      <c r="I298" s="562"/>
      <c r="J298" s="562"/>
    </row>
    <row r="299" spans="1:10" ht="16" hidden="1" thickBot="1" x14ac:dyDescent="0.25">
      <c r="A299" s="107"/>
      <c r="B299" s="161" t="s">
        <v>2192</v>
      </c>
      <c r="C299" s="162"/>
      <c r="D299" s="162" t="s">
        <v>2428</v>
      </c>
      <c r="E299" s="600">
        <f>'Verification Report'!O299</f>
        <v>0</v>
      </c>
      <c r="F299" s="562"/>
      <c r="G299" s="562"/>
      <c r="H299" s="562"/>
      <c r="I299" s="562"/>
      <c r="J299" s="562"/>
    </row>
    <row r="300" spans="1:10" ht="15.75" customHeight="1" thickTop="1" x14ac:dyDescent="0.2">
      <c r="A300" s="75" t="s">
        <v>2429</v>
      </c>
      <c r="B300" s="132"/>
      <c r="C300" s="133"/>
      <c r="D300" s="819" t="s">
        <v>2430</v>
      </c>
      <c r="E300" s="981">
        <f ca="1">'Verification Report'!O300</f>
        <v>0</v>
      </c>
      <c r="F300" s="562"/>
      <c r="G300" s="562">
        <v>1</v>
      </c>
      <c r="H300" s="460"/>
      <c r="I300" s="562" t="s">
        <v>3833</v>
      </c>
      <c r="J300" s="562"/>
    </row>
    <row r="301" spans="1:10" x14ac:dyDescent="0.2">
      <c r="A301" s="70"/>
      <c r="B301" s="98"/>
      <c r="C301" s="65"/>
      <c r="D301" s="820"/>
      <c r="E301" s="924">
        <f>'Verification Report'!O301</f>
        <v>0</v>
      </c>
      <c r="F301" s="562"/>
      <c r="G301" s="562">
        <v>1</v>
      </c>
      <c r="H301" s="562"/>
      <c r="I301" s="562"/>
      <c r="J301" s="562"/>
    </row>
    <row r="302" spans="1:10" ht="16" thickBot="1" x14ac:dyDescent="0.25">
      <c r="A302" s="70"/>
      <c r="B302" s="98"/>
      <c r="C302" s="65"/>
      <c r="D302" s="820"/>
      <c r="E302" s="924">
        <f>'Verification Report'!O302</f>
        <v>0</v>
      </c>
      <c r="F302" s="562"/>
      <c r="G302" s="562">
        <v>1</v>
      </c>
      <c r="H302" s="562"/>
      <c r="I302" s="562"/>
      <c r="J302" s="562"/>
    </row>
    <row r="303" spans="1:10" ht="15.75" hidden="1" customHeight="1" x14ac:dyDescent="0.2">
      <c r="A303" s="70"/>
      <c r="B303" s="159" t="s">
        <v>2181</v>
      </c>
      <c r="C303" s="126"/>
      <c r="D303" s="126" t="s">
        <v>2432</v>
      </c>
      <c r="E303" s="668"/>
      <c r="F303" s="562"/>
      <c r="G303" s="562"/>
      <c r="H303" s="562"/>
      <c r="I303" s="562"/>
      <c r="J303" s="562"/>
    </row>
    <row r="304" spans="1:10" ht="15.75" hidden="1" customHeight="1" thickBot="1" x14ac:dyDescent="0.25">
      <c r="A304" s="70"/>
      <c r="B304" s="134" t="s">
        <v>2183</v>
      </c>
      <c r="C304" s="65"/>
      <c r="D304" s="65" t="s">
        <v>2433</v>
      </c>
      <c r="E304" s="668"/>
      <c r="F304" s="562"/>
      <c r="G304" s="562"/>
      <c r="H304" s="562"/>
      <c r="I304" s="562"/>
      <c r="J304" s="562"/>
    </row>
    <row r="305" spans="1:10" ht="15.75" customHeight="1" thickTop="1" x14ac:dyDescent="0.2">
      <c r="A305" s="75" t="s">
        <v>2434</v>
      </c>
      <c r="B305" s="132"/>
      <c r="C305" s="133"/>
      <c r="D305" s="819" t="s">
        <v>2435</v>
      </c>
      <c r="E305" s="981">
        <f ca="1">'Verification Report'!O305</f>
        <v>0</v>
      </c>
      <c r="F305" s="562"/>
      <c r="G305" s="562">
        <v>1</v>
      </c>
      <c r="H305" s="562"/>
      <c r="I305" s="562"/>
      <c r="J305" s="562"/>
    </row>
    <row r="306" spans="1:10" x14ac:dyDescent="0.2">
      <c r="A306" s="70"/>
      <c r="B306" s="98"/>
      <c r="C306" s="65"/>
      <c r="D306" s="820"/>
      <c r="E306" s="924">
        <f>'Verification Report'!O306</f>
        <v>0</v>
      </c>
      <c r="F306" s="64"/>
      <c r="G306" s="562">
        <v>1</v>
      </c>
      <c r="H306" s="562"/>
      <c r="I306" s="562"/>
      <c r="J306" s="562"/>
    </row>
    <row r="307" spans="1:10" ht="15" hidden="1" customHeight="1" x14ac:dyDescent="0.2">
      <c r="A307" s="70"/>
      <c r="B307" s="98"/>
      <c r="C307" s="65"/>
      <c r="D307" s="138" t="s">
        <v>2437</v>
      </c>
      <c r="E307" s="668"/>
      <c r="F307" s="64"/>
      <c r="G307" s="562"/>
      <c r="H307" s="562"/>
      <c r="I307" s="562"/>
      <c r="J307" s="562"/>
    </row>
    <row r="308" spans="1:10" hidden="1" x14ac:dyDescent="0.2">
      <c r="A308" s="70"/>
      <c r="B308" s="98"/>
      <c r="C308" s="125" t="s">
        <v>2196</v>
      </c>
      <c r="D308" s="126" t="s">
        <v>2438</v>
      </c>
      <c r="E308" s="668"/>
      <c r="F308" s="562"/>
      <c r="G308" s="562"/>
      <c r="H308" s="562"/>
      <c r="I308" s="562"/>
      <c r="J308" s="562"/>
    </row>
    <row r="309" spans="1:10" x14ac:dyDescent="0.2">
      <c r="A309" s="70"/>
      <c r="B309" s="98"/>
      <c r="C309" s="167" t="s">
        <v>2198</v>
      </c>
      <c r="D309" s="162" t="s">
        <v>2439</v>
      </c>
      <c r="E309" s="668"/>
      <c r="F309" s="458" t="str">
        <f>IF('Verification Report'!W309="","",'Verification Report'!W309)</f>
        <v/>
      </c>
      <c r="G309" s="562">
        <v>1</v>
      </c>
      <c r="H309" s="460"/>
      <c r="I309" s="562" t="s">
        <v>3834</v>
      </c>
      <c r="J309" s="562"/>
    </row>
    <row r="310" spans="1:10" ht="15" customHeight="1" x14ac:dyDescent="0.2">
      <c r="A310" s="70"/>
      <c r="B310" s="98"/>
      <c r="C310" s="168" t="s">
        <v>2200</v>
      </c>
      <c r="D310" s="858" t="s">
        <v>2440</v>
      </c>
      <c r="E310" s="668"/>
      <c r="F310" s="458" t="str">
        <f>IF('Verification Report'!W310="","",'Verification Report'!W310)</f>
        <v/>
      </c>
      <c r="G310" s="562">
        <v>1</v>
      </c>
      <c r="H310" s="460"/>
      <c r="I310" s="562" t="s">
        <v>3835</v>
      </c>
      <c r="J310" s="562"/>
    </row>
    <row r="311" spans="1:10" x14ac:dyDescent="0.2">
      <c r="A311" s="70"/>
      <c r="B311" s="98"/>
      <c r="C311" s="65"/>
      <c r="D311" s="859"/>
      <c r="E311" s="668"/>
      <c r="F311" s="64"/>
      <c r="G311" s="562">
        <v>1</v>
      </c>
      <c r="H311" s="562"/>
      <c r="I311" s="562"/>
      <c r="J311" s="562"/>
    </row>
    <row r="312" spans="1:10" x14ac:dyDescent="0.2">
      <c r="A312" s="70"/>
      <c r="B312" s="98"/>
      <c r="C312" s="65"/>
      <c r="D312" s="139" t="s">
        <v>2441</v>
      </c>
      <c r="E312" s="668"/>
      <c r="F312" s="64"/>
      <c r="G312" s="562">
        <v>1</v>
      </c>
      <c r="H312" s="562"/>
      <c r="I312" s="562"/>
      <c r="J312" s="562"/>
    </row>
    <row r="313" spans="1:10" x14ac:dyDescent="0.2">
      <c r="A313" s="70"/>
      <c r="B313" s="98"/>
      <c r="C313" s="126"/>
      <c r="D313" s="606" t="s">
        <v>2442</v>
      </c>
      <c r="E313" s="668"/>
      <c r="F313" s="64"/>
      <c r="G313" s="562">
        <v>1</v>
      </c>
      <c r="H313" s="562"/>
      <c r="I313" s="562"/>
      <c r="J313" s="562"/>
    </row>
    <row r="314" spans="1:10" ht="15" hidden="1" customHeight="1" x14ac:dyDescent="0.2">
      <c r="A314" s="70"/>
      <c r="B314" s="98"/>
      <c r="C314" s="169" t="s">
        <v>2247</v>
      </c>
      <c r="D314" s="831" t="s">
        <v>2443</v>
      </c>
      <c r="E314" s="668"/>
      <c r="F314" s="562"/>
      <c r="G314" s="562"/>
      <c r="H314" s="562"/>
      <c r="I314" s="562"/>
      <c r="J314" s="562"/>
    </row>
    <row r="315" spans="1:10" hidden="1" x14ac:dyDescent="0.2">
      <c r="A315" s="70"/>
      <c r="B315" s="98"/>
      <c r="C315" s="126"/>
      <c r="D315" s="792"/>
      <c r="E315" s="668"/>
      <c r="F315" s="64"/>
      <c r="G315" s="562"/>
      <c r="H315" s="562"/>
      <c r="I315" s="562"/>
      <c r="J315" s="562"/>
    </row>
    <row r="316" spans="1:10" ht="15" customHeight="1" x14ac:dyDescent="0.2">
      <c r="A316" s="70"/>
      <c r="B316" s="98"/>
      <c r="C316" s="169" t="s">
        <v>2444</v>
      </c>
      <c r="D316" s="831" t="s">
        <v>2445</v>
      </c>
      <c r="E316" s="668"/>
      <c r="F316" s="458" t="str">
        <f>IF('Verification Report'!W316="","",'Verification Report'!W316)</f>
        <v/>
      </c>
      <c r="G316" s="562">
        <v>1</v>
      </c>
      <c r="H316" s="460"/>
      <c r="I316" s="562"/>
      <c r="J316" s="562"/>
    </row>
    <row r="317" spans="1:10" ht="16" thickBot="1" x14ac:dyDescent="0.25">
      <c r="A317" s="70"/>
      <c r="B317" s="98"/>
      <c r="C317" s="126"/>
      <c r="D317" s="792"/>
      <c r="E317" s="668"/>
      <c r="F317" s="64"/>
      <c r="G317" s="562">
        <v>1</v>
      </c>
      <c r="H317" s="562"/>
      <c r="I317" s="562"/>
      <c r="J317" s="562"/>
    </row>
    <row r="318" spans="1:10" ht="15.75" hidden="1" customHeight="1" x14ac:dyDescent="0.2">
      <c r="A318" s="70"/>
      <c r="B318" s="159" t="s">
        <v>2181</v>
      </c>
      <c r="C318" s="65"/>
      <c r="D318" s="126" t="s">
        <v>2446</v>
      </c>
      <c r="E318" s="668"/>
      <c r="F318" s="64"/>
      <c r="G318" s="562"/>
      <c r="H318" s="562"/>
      <c r="I318" s="562"/>
      <c r="J318" s="562"/>
    </row>
    <row r="319" spans="1:10" ht="15" hidden="1" customHeight="1" x14ac:dyDescent="0.2">
      <c r="A319" s="70"/>
      <c r="B319" s="134" t="s">
        <v>2183</v>
      </c>
      <c r="C319" s="148"/>
      <c r="D319" s="857" t="s">
        <v>2447</v>
      </c>
      <c r="E319" s="668"/>
      <c r="F319" s="64"/>
      <c r="G319" s="562"/>
      <c r="H319" s="562"/>
      <c r="I319" s="562"/>
      <c r="J319" s="562"/>
    </row>
    <row r="320" spans="1:10" ht="15.75" hidden="1" customHeight="1" x14ac:dyDescent="0.2">
      <c r="A320" s="70"/>
      <c r="B320" s="129"/>
      <c r="C320" s="126"/>
      <c r="D320" s="777"/>
      <c r="E320" s="668"/>
      <c r="F320" s="562"/>
      <c r="G320" s="562"/>
      <c r="H320" s="562"/>
      <c r="I320" s="562"/>
      <c r="J320" s="562"/>
    </row>
    <row r="321" spans="1:10" ht="15" hidden="1" customHeight="1" x14ac:dyDescent="0.2">
      <c r="A321" s="70"/>
      <c r="B321" s="134" t="s">
        <v>2185</v>
      </c>
      <c r="C321" s="65"/>
      <c r="D321" s="776" t="s">
        <v>2448</v>
      </c>
      <c r="E321" s="668"/>
      <c r="F321" s="562"/>
      <c r="G321" s="562"/>
      <c r="H321" s="562"/>
      <c r="I321" s="562"/>
      <c r="J321" s="562"/>
    </row>
    <row r="322" spans="1:10" ht="15.75" hidden="1" customHeight="1" thickBot="1" x14ac:dyDescent="0.25">
      <c r="A322" s="70"/>
      <c r="B322" s="134"/>
      <c r="C322" s="65"/>
      <c r="D322" s="828"/>
      <c r="E322" s="668"/>
      <c r="F322" s="562"/>
      <c r="G322" s="562"/>
      <c r="H322" s="562"/>
      <c r="I322" s="562"/>
      <c r="J322" s="562"/>
    </row>
    <row r="323" spans="1:10" ht="15.75" hidden="1" customHeight="1" thickTop="1" x14ac:dyDescent="0.2">
      <c r="A323" s="75" t="s">
        <v>2449</v>
      </c>
      <c r="B323" s="132"/>
      <c r="C323" s="133"/>
      <c r="D323" s="819" t="s">
        <v>2450</v>
      </c>
      <c r="E323" s="981">
        <f>'Verification Report'!O323</f>
        <v>0</v>
      </c>
      <c r="F323" s="562"/>
      <c r="G323" s="562"/>
      <c r="H323" s="562"/>
      <c r="I323" s="562"/>
      <c r="J323" s="562"/>
    </row>
    <row r="324" spans="1:10" ht="15.75" hidden="1" customHeight="1" x14ac:dyDescent="0.2">
      <c r="A324" s="70"/>
      <c r="B324" s="98"/>
      <c r="C324" s="65"/>
      <c r="D324" s="820"/>
      <c r="E324" s="924">
        <f>'Verification Report'!O324</f>
        <v>0</v>
      </c>
      <c r="F324" s="562"/>
      <c r="G324" s="562"/>
      <c r="H324" s="562"/>
      <c r="I324" s="562"/>
      <c r="J324" s="562"/>
    </row>
    <row r="325" spans="1:10" ht="15.75" hidden="1" customHeight="1" x14ac:dyDescent="0.2">
      <c r="A325" s="70"/>
      <c r="B325" s="98"/>
      <c r="C325" s="65"/>
      <c r="D325" s="820"/>
      <c r="E325" s="924">
        <f>'Verification Report'!O325</f>
        <v>0</v>
      </c>
      <c r="F325" s="562"/>
      <c r="G325" s="562"/>
      <c r="H325" s="562"/>
      <c r="I325" s="562"/>
      <c r="J325" s="562"/>
    </row>
    <row r="326" spans="1:10" ht="15.75" hidden="1" customHeight="1" x14ac:dyDescent="0.2">
      <c r="A326" s="70"/>
      <c r="B326" s="98"/>
      <c r="C326" s="65"/>
      <c r="D326" s="820"/>
      <c r="E326" s="924">
        <f>'Verification Report'!O326</f>
        <v>0</v>
      </c>
      <c r="F326" s="562"/>
      <c r="G326" s="562"/>
      <c r="H326" s="562"/>
      <c r="I326" s="562"/>
      <c r="J326" s="562"/>
    </row>
    <row r="327" spans="1:10" ht="15.75" hidden="1" customHeight="1" x14ac:dyDescent="0.2">
      <c r="A327" s="70"/>
      <c r="B327" s="98"/>
      <c r="C327" s="65"/>
      <c r="D327" s="820"/>
      <c r="E327" s="924">
        <f>'Verification Report'!O327</f>
        <v>0</v>
      </c>
      <c r="F327" s="562"/>
      <c r="G327" s="562"/>
      <c r="H327" s="562"/>
      <c r="I327" s="562"/>
      <c r="J327" s="562"/>
    </row>
    <row r="328" spans="1:10" ht="15" hidden="1" customHeight="1" x14ac:dyDescent="0.2">
      <c r="A328" s="70"/>
      <c r="B328" s="98"/>
      <c r="C328" s="65"/>
      <c r="D328" s="849" t="s">
        <v>2451</v>
      </c>
      <c r="E328" s="924">
        <f>'Verification Report'!O328</f>
        <v>0</v>
      </c>
      <c r="F328" s="562"/>
      <c r="G328" s="562"/>
      <c r="H328" s="562"/>
      <c r="I328" s="562"/>
      <c r="J328" s="562"/>
    </row>
    <row r="329" spans="1:10" ht="15.75" hidden="1" customHeight="1" x14ac:dyDescent="0.2">
      <c r="A329" s="70"/>
      <c r="B329" s="98"/>
      <c r="C329" s="65"/>
      <c r="D329" s="849"/>
      <c r="E329" s="924">
        <f>'Verification Report'!O329</f>
        <v>0</v>
      </c>
      <c r="F329" s="562"/>
      <c r="G329" s="562"/>
      <c r="H329" s="562"/>
      <c r="I329" s="562"/>
      <c r="J329" s="562"/>
    </row>
    <row r="330" spans="1:10" ht="15.75" hidden="1" customHeight="1" x14ac:dyDescent="0.2">
      <c r="A330" s="70"/>
      <c r="B330" s="98"/>
      <c r="C330" s="65"/>
      <c r="D330" s="833"/>
      <c r="E330" s="924">
        <f>'Verification Report'!O330</f>
        <v>0</v>
      </c>
      <c r="F330" s="562"/>
      <c r="G330" s="562"/>
      <c r="H330" s="562"/>
      <c r="I330" s="562"/>
      <c r="J330" s="562"/>
    </row>
    <row r="331" spans="1:10" ht="20" hidden="1" thickBot="1" x14ac:dyDescent="0.25">
      <c r="A331" s="45" t="s">
        <v>2452</v>
      </c>
      <c r="B331" s="45"/>
      <c r="C331" s="45"/>
      <c r="D331" s="50"/>
      <c r="E331" s="44"/>
      <c r="F331" s="562"/>
      <c r="G331" s="562"/>
      <c r="H331" s="562"/>
      <c r="I331" s="562"/>
      <c r="J331" s="562"/>
    </row>
    <row r="332" spans="1:10" ht="15" hidden="1" customHeight="1" x14ac:dyDescent="0.2">
      <c r="A332" s="346" t="s">
        <v>2454</v>
      </c>
      <c r="B332" s="3"/>
      <c r="C332" s="53"/>
      <c r="D332" s="775" t="s">
        <v>2455</v>
      </c>
      <c r="E332" s="648"/>
      <c r="F332" s="562"/>
      <c r="G332" s="562"/>
      <c r="H332" s="562"/>
      <c r="I332" s="562"/>
      <c r="J332" s="562"/>
    </row>
    <row r="333" spans="1:10" ht="16" hidden="1" thickBot="1" x14ac:dyDescent="0.25">
      <c r="A333" s="107"/>
      <c r="B333" s="3"/>
      <c r="C333" s="53"/>
      <c r="D333" s="775"/>
      <c r="E333" s="648"/>
      <c r="F333" s="562"/>
      <c r="G333" s="562"/>
      <c r="H333" s="562"/>
      <c r="I333" s="562"/>
      <c r="J333" s="562"/>
    </row>
    <row r="334" spans="1:10" ht="17" hidden="1" thickTop="1" thickBot="1" x14ac:dyDescent="0.25">
      <c r="A334" s="75" t="s">
        <v>2456</v>
      </c>
      <c r="B334" s="132"/>
      <c r="C334" s="133"/>
      <c r="D334" s="95" t="s">
        <v>2457</v>
      </c>
      <c r="E334" s="673"/>
      <c r="F334" s="562"/>
      <c r="G334" s="562"/>
      <c r="H334" s="562"/>
      <c r="I334" s="562"/>
      <c r="J334" s="562"/>
    </row>
    <row r="335" spans="1:10" ht="17" hidden="1" thickTop="1" thickBot="1" x14ac:dyDescent="0.25">
      <c r="A335" s="75" t="s">
        <v>2459</v>
      </c>
      <c r="B335" s="132"/>
      <c r="C335" s="133"/>
      <c r="D335" s="95" t="s">
        <v>2460</v>
      </c>
      <c r="E335" s="673"/>
      <c r="F335" s="562"/>
      <c r="G335" s="562"/>
      <c r="H335" s="562"/>
      <c r="I335" s="562"/>
      <c r="J335" s="562"/>
    </row>
    <row r="336" spans="1:10" ht="15" hidden="1" customHeight="1" x14ac:dyDescent="0.2">
      <c r="A336" s="70" t="s">
        <v>2462</v>
      </c>
      <c r="B336" s="98"/>
      <c r="C336" s="65"/>
      <c r="D336" s="820" t="s">
        <v>2463</v>
      </c>
      <c r="E336" s="648"/>
      <c r="F336" s="562"/>
      <c r="G336" s="562"/>
      <c r="H336" s="562"/>
      <c r="I336" s="562"/>
      <c r="J336" s="562"/>
    </row>
    <row r="337" spans="1:10" ht="15.75" hidden="1" customHeight="1" x14ac:dyDescent="0.2">
      <c r="A337" s="70"/>
      <c r="B337" s="98"/>
      <c r="C337" s="65"/>
      <c r="D337" s="820"/>
      <c r="E337" s="648"/>
      <c r="F337" s="562"/>
      <c r="G337" s="562"/>
      <c r="H337" s="562"/>
      <c r="I337" s="562"/>
      <c r="J337" s="562"/>
    </row>
    <row r="338" spans="1:10" ht="15.75" hidden="1" customHeight="1" x14ac:dyDescent="0.2">
      <c r="A338" s="70"/>
      <c r="B338" s="98"/>
      <c r="C338" s="65"/>
      <c r="D338" s="820"/>
      <c r="E338" s="648"/>
      <c r="F338" s="562"/>
      <c r="G338" s="562"/>
      <c r="H338" s="562"/>
      <c r="I338" s="562"/>
      <c r="J338" s="562"/>
    </row>
    <row r="339" spans="1:10" s="482" customFormat="1" ht="15.75" hidden="1" customHeight="1" x14ac:dyDescent="0.2">
      <c r="A339" s="348"/>
      <c r="B339" s="165"/>
      <c r="C339" s="126"/>
      <c r="D339" s="628" t="s">
        <v>2464</v>
      </c>
      <c r="E339" s="648"/>
      <c r="F339" s="562"/>
      <c r="G339" s="562"/>
      <c r="H339" s="562"/>
      <c r="I339" s="562"/>
      <c r="J339" s="562"/>
    </row>
    <row r="340" spans="1:10" ht="15" hidden="1" customHeight="1" x14ac:dyDescent="0.2">
      <c r="A340" s="107" t="s">
        <v>2466</v>
      </c>
      <c r="B340" s="3"/>
      <c r="C340" s="53"/>
      <c r="D340" s="775" t="s">
        <v>2467</v>
      </c>
      <c r="E340" s="887">
        <f>'Verification Report'!O340</f>
        <v>0</v>
      </c>
      <c r="F340" s="562"/>
      <c r="G340" s="562"/>
      <c r="H340" s="562"/>
      <c r="I340" s="562"/>
      <c r="J340" s="562"/>
    </row>
    <row r="341" spans="1:10" s="498" customFormat="1" ht="15" hidden="1" customHeight="1" x14ac:dyDescent="0.2">
      <c r="A341" s="107"/>
      <c r="B341" s="3"/>
      <c r="C341" s="53"/>
      <c r="D341" s="775"/>
      <c r="E341" s="887"/>
      <c r="F341" s="562"/>
      <c r="G341" s="562"/>
      <c r="H341" s="562"/>
      <c r="I341" s="562"/>
      <c r="J341" s="562"/>
    </row>
    <row r="342" spans="1:10" ht="15.75" hidden="1" customHeight="1" thickBot="1" x14ac:dyDescent="0.25">
      <c r="A342" s="107"/>
      <c r="B342" s="3"/>
      <c r="C342" s="53"/>
      <c r="D342" s="822"/>
      <c r="E342" s="887">
        <f>'Verification Report'!O342</f>
        <v>0</v>
      </c>
      <c r="F342" s="562"/>
      <c r="G342" s="562"/>
      <c r="H342" s="562"/>
      <c r="I342" s="562"/>
      <c r="J342" s="562"/>
    </row>
    <row r="343" spans="1:10" ht="15.75" hidden="1" customHeight="1" thickTop="1" x14ac:dyDescent="0.2">
      <c r="A343" s="75" t="s">
        <v>2469</v>
      </c>
      <c r="B343" s="132"/>
      <c r="C343" s="133"/>
      <c r="D343" s="819" t="s">
        <v>2470</v>
      </c>
      <c r="E343" s="981">
        <f>'Verification Report'!O343</f>
        <v>0</v>
      </c>
      <c r="F343" s="562"/>
      <c r="G343" s="562"/>
      <c r="H343" s="562"/>
      <c r="I343" s="562"/>
      <c r="J343" s="562"/>
    </row>
    <row r="344" spans="1:10" s="498" customFormat="1" ht="15.75" hidden="1" customHeight="1" x14ac:dyDescent="0.2">
      <c r="A344" s="70"/>
      <c r="B344" s="98"/>
      <c r="C344" s="65"/>
      <c r="D344" s="820"/>
      <c r="E344" s="924"/>
      <c r="F344" s="562"/>
      <c r="G344" s="562"/>
      <c r="H344" s="562"/>
      <c r="I344" s="562"/>
      <c r="J344" s="562"/>
    </row>
    <row r="345" spans="1:10" ht="15.75" hidden="1" customHeight="1" x14ac:dyDescent="0.2">
      <c r="A345" s="70"/>
      <c r="B345" s="98"/>
      <c r="C345" s="65"/>
      <c r="D345" s="820"/>
      <c r="E345" s="924">
        <f>'Verification Report'!O345</f>
        <v>0</v>
      </c>
      <c r="F345" s="562"/>
      <c r="G345" s="562"/>
      <c r="H345" s="562"/>
      <c r="I345" s="562"/>
      <c r="J345" s="562"/>
    </row>
    <row r="346" spans="1:10" ht="15.75" hidden="1" customHeight="1" x14ac:dyDescent="0.2">
      <c r="A346" s="70"/>
      <c r="B346" s="159" t="s">
        <v>2181</v>
      </c>
      <c r="C346" s="126"/>
      <c r="D346" s="126" t="s">
        <v>2471</v>
      </c>
      <c r="E346" s="924">
        <f>'Verification Report'!O346</f>
        <v>0</v>
      </c>
      <c r="F346" s="562"/>
      <c r="G346" s="562"/>
      <c r="H346" s="562"/>
      <c r="I346" s="562"/>
      <c r="J346" s="562"/>
    </row>
    <row r="347" spans="1:10" ht="15.75" hidden="1" customHeight="1" thickBot="1" x14ac:dyDescent="0.25">
      <c r="A347" s="349"/>
      <c r="B347" s="143" t="s">
        <v>2183</v>
      </c>
      <c r="C347" s="67"/>
      <c r="D347" s="67" t="s">
        <v>2472</v>
      </c>
      <c r="E347" s="982">
        <f>'Verification Report'!O347</f>
        <v>0</v>
      </c>
      <c r="F347" s="562"/>
      <c r="G347" s="562"/>
      <c r="H347" s="562"/>
      <c r="I347" s="562"/>
      <c r="J347" s="562"/>
    </row>
    <row r="348" spans="1:10" ht="17" hidden="1" thickTop="1" thickBot="1" x14ac:dyDescent="0.25">
      <c r="A348" s="75" t="s">
        <v>2474</v>
      </c>
      <c r="B348" s="132"/>
      <c r="C348" s="133"/>
      <c r="D348" s="95" t="s">
        <v>2475</v>
      </c>
      <c r="E348" s="673"/>
      <c r="F348" s="562"/>
      <c r="G348" s="562"/>
      <c r="H348" s="562"/>
      <c r="I348" s="562"/>
      <c r="J348" s="562"/>
    </row>
    <row r="349" spans="1:10" ht="15" hidden="1" customHeight="1" x14ac:dyDescent="0.2">
      <c r="A349" s="70" t="s">
        <v>2477</v>
      </c>
      <c r="B349" s="98"/>
      <c r="C349" s="65"/>
      <c r="D349" s="820" t="s">
        <v>2478</v>
      </c>
      <c r="E349" s="648"/>
      <c r="F349" s="562"/>
      <c r="G349" s="562"/>
      <c r="H349" s="562"/>
      <c r="I349" s="562"/>
      <c r="J349" s="562"/>
    </row>
    <row r="350" spans="1:10" ht="15.75" hidden="1" customHeight="1" x14ac:dyDescent="0.2">
      <c r="A350" s="70"/>
      <c r="B350" s="98"/>
      <c r="C350" s="65"/>
      <c r="D350" s="820"/>
      <c r="E350" s="648"/>
      <c r="F350" s="562"/>
      <c r="G350" s="562"/>
      <c r="H350" s="562"/>
      <c r="I350" s="562"/>
      <c r="J350" s="562"/>
    </row>
    <row r="351" spans="1:10" s="482" customFormat="1" ht="15.75" hidden="1" customHeight="1" x14ac:dyDescent="0.2">
      <c r="A351" s="348"/>
      <c r="B351" s="165"/>
      <c r="C351" s="126"/>
      <c r="D351" s="628" t="s">
        <v>2479</v>
      </c>
      <c r="E351" s="648"/>
      <c r="F351" s="562"/>
      <c r="G351" s="562"/>
      <c r="H351" s="562"/>
      <c r="I351" s="562"/>
      <c r="J351" s="562"/>
    </row>
    <row r="352" spans="1:10" ht="15" hidden="1" customHeight="1" x14ac:dyDescent="0.2">
      <c r="A352" s="107" t="s">
        <v>2481</v>
      </c>
      <c r="B352" s="3"/>
      <c r="C352" s="53"/>
      <c r="D352" s="775" t="s">
        <v>2482</v>
      </c>
      <c r="E352" s="887">
        <f>'Verification Report'!O352</f>
        <v>0</v>
      </c>
      <c r="F352" s="562"/>
      <c r="G352" s="562"/>
      <c r="H352" s="562"/>
      <c r="I352" s="562"/>
      <c r="J352" s="562"/>
    </row>
    <row r="353" spans="1:10" s="498" customFormat="1" ht="15" hidden="1" customHeight="1" x14ac:dyDescent="0.2">
      <c r="A353" s="107"/>
      <c r="B353" s="3"/>
      <c r="C353" s="53"/>
      <c r="D353" s="775"/>
      <c r="E353" s="887"/>
      <c r="F353" s="562"/>
      <c r="G353" s="562"/>
      <c r="H353" s="562"/>
      <c r="I353" s="562"/>
      <c r="J353" s="562"/>
    </row>
    <row r="354" spans="1:10" ht="15.75" hidden="1" customHeight="1" thickBot="1" x14ac:dyDescent="0.25">
      <c r="A354" s="107"/>
      <c r="B354" s="3"/>
      <c r="C354" s="53"/>
      <c r="D354" s="775"/>
      <c r="E354" s="887">
        <f>'Verification Report'!O354</f>
        <v>0</v>
      </c>
      <c r="F354" s="562"/>
      <c r="G354" s="562"/>
      <c r="H354" s="562"/>
      <c r="I354" s="562"/>
      <c r="J354" s="562"/>
    </row>
    <row r="355" spans="1:10" ht="17" hidden="1" thickTop="1" thickBot="1" x14ac:dyDescent="0.25">
      <c r="A355" s="75" t="s">
        <v>2484</v>
      </c>
      <c r="B355" s="132"/>
      <c r="C355" s="133"/>
      <c r="D355" s="95" t="s">
        <v>2485</v>
      </c>
      <c r="E355" s="673"/>
      <c r="F355" s="562"/>
      <c r="G355" s="562"/>
      <c r="H355" s="562"/>
      <c r="I355" s="562"/>
      <c r="J355" s="562"/>
    </row>
    <row r="356" spans="1:10" ht="15" hidden="1" customHeight="1" x14ac:dyDescent="0.2">
      <c r="A356" s="107" t="s">
        <v>2487</v>
      </c>
      <c r="B356" s="3"/>
      <c r="C356" s="53"/>
      <c r="D356" s="775" t="s">
        <v>2488</v>
      </c>
      <c r="E356" s="648"/>
      <c r="F356" s="562"/>
      <c r="G356" s="562"/>
      <c r="H356" s="562"/>
      <c r="I356" s="562"/>
      <c r="J356" s="562"/>
    </row>
    <row r="357" spans="1:10" ht="16" hidden="1" thickBot="1" x14ac:dyDescent="0.25">
      <c r="A357" s="107"/>
      <c r="B357" s="3"/>
      <c r="C357" s="53"/>
      <c r="D357" s="775"/>
      <c r="E357" s="648"/>
      <c r="F357" s="562"/>
      <c r="G357" s="562"/>
      <c r="H357" s="562"/>
      <c r="I357" s="562"/>
      <c r="J357" s="562"/>
    </row>
    <row r="358" spans="1:10" s="498" customFormat="1" ht="16" hidden="1" thickBot="1" x14ac:dyDescent="0.25">
      <c r="A358" s="107"/>
      <c r="B358" s="3"/>
      <c r="C358" s="53"/>
      <c r="D358" s="775"/>
      <c r="E358" s="648"/>
      <c r="F358" s="562"/>
      <c r="G358" s="562"/>
      <c r="H358" s="562"/>
      <c r="I358" s="562"/>
      <c r="J358" s="562"/>
    </row>
    <row r="359" spans="1:10" ht="16" hidden="1" thickBot="1" x14ac:dyDescent="0.25">
      <c r="A359" s="107"/>
      <c r="B359" s="3"/>
      <c r="C359" s="53"/>
      <c r="D359" s="775"/>
      <c r="E359" s="648"/>
      <c r="F359" s="562"/>
      <c r="G359" s="562"/>
      <c r="H359" s="562"/>
      <c r="I359" s="562"/>
      <c r="J359" s="562"/>
    </row>
    <row r="360" spans="1:10" ht="15" hidden="1" customHeight="1" x14ac:dyDescent="0.2">
      <c r="A360" s="107"/>
      <c r="B360" s="134" t="s">
        <v>2181</v>
      </c>
      <c r="C360" s="65"/>
      <c r="D360" s="791" t="s">
        <v>2489</v>
      </c>
      <c r="E360" s="924">
        <f>'Verification Report'!O360</f>
        <v>0</v>
      </c>
      <c r="F360" s="562"/>
      <c r="G360" s="562"/>
      <c r="H360" s="562"/>
      <c r="I360" s="562"/>
      <c r="J360" s="562"/>
    </row>
    <row r="361" spans="1:10" ht="15.75" hidden="1" customHeight="1" x14ac:dyDescent="0.2">
      <c r="A361" s="107"/>
      <c r="B361" s="165"/>
      <c r="C361" s="126"/>
      <c r="D361" s="792"/>
      <c r="E361" s="942">
        <f>'Verification Report'!O361</f>
        <v>0</v>
      </c>
      <c r="F361" s="562"/>
      <c r="G361" s="562"/>
      <c r="H361" s="562"/>
      <c r="I361" s="562"/>
      <c r="J361" s="562"/>
    </row>
    <row r="362" spans="1:10" ht="16" hidden="1" thickBot="1" x14ac:dyDescent="0.25">
      <c r="A362" s="70"/>
      <c r="B362" s="134" t="s">
        <v>2183</v>
      </c>
      <c r="C362" s="65"/>
      <c r="D362" s="65" t="s">
        <v>2490</v>
      </c>
      <c r="E362" s="648"/>
      <c r="F362" s="562"/>
      <c r="G362" s="562"/>
      <c r="H362" s="562"/>
      <c r="I362" s="562"/>
      <c r="J362" s="562"/>
    </row>
    <row r="363" spans="1:10" s="484" customFormat="1" ht="16" hidden="1" thickBot="1" x14ac:dyDescent="0.25">
      <c r="A363" s="348"/>
      <c r="B363" s="159"/>
      <c r="C363" s="126"/>
      <c r="D363" s="628" t="s">
        <v>2491</v>
      </c>
      <c r="E363" s="648"/>
      <c r="F363" s="562"/>
      <c r="G363" s="562"/>
      <c r="H363" s="562"/>
      <c r="I363" s="562"/>
      <c r="J363" s="562"/>
    </row>
    <row r="364" spans="1:10" ht="15" hidden="1" customHeight="1" x14ac:dyDescent="0.2">
      <c r="A364" s="107" t="s">
        <v>2493</v>
      </c>
      <c r="B364" s="3"/>
      <c r="C364" s="53"/>
      <c r="D364" s="775" t="s">
        <v>2494</v>
      </c>
      <c r="E364" s="648"/>
      <c r="F364" s="562"/>
      <c r="G364" s="562"/>
      <c r="H364" s="562"/>
      <c r="I364" s="562"/>
      <c r="J364" s="562"/>
    </row>
    <row r="365" spans="1:10" ht="16" hidden="1" thickBot="1" x14ac:dyDescent="0.25">
      <c r="A365" s="107"/>
      <c r="B365" s="3"/>
      <c r="C365" s="53"/>
      <c r="D365" s="775"/>
      <c r="E365" s="648"/>
      <c r="F365" s="562"/>
      <c r="G365" s="562"/>
      <c r="H365" s="562"/>
      <c r="I365" s="562"/>
      <c r="J365" s="562"/>
    </row>
    <row r="366" spans="1:10" s="498" customFormat="1" ht="16" hidden="1" thickBot="1" x14ac:dyDescent="0.25">
      <c r="A366" s="107"/>
      <c r="B366" s="3"/>
      <c r="C366" s="53"/>
      <c r="D366" s="775"/>
      <c r="E366" s="648"/>
      <c r="F366" s="562"/>
      <c r="G366" s="562"/>
      <c r="H366" s="562"/>
      <c r="I366" s="562"/>
      <c r="J366" s="562"/>
    </row>
    <row r="367" spans="1:10" s="498" customFormat="1" ht="16" hidden="1" thickBot="1" x14ac:dyDescent="0.25">
      <c r="A367" s="107"/>
      <c r="B367" s="3"/>
      <c r="C367" s="53"/>
      <c r="D367" s="775"/>
      <c r="E367" s="648"/>
      <c r="F367" s="562"/>
      <c r="G367" s="562"/>
      <c r="H367" s="562"/>
      <c r="I367" s="562"/>
      <c r="J367" s="562"/>
    </row>
    <row r="368" spans="1:10" ht="16" hidden="1" thickBot="1" x14ac:dyDescent="0.25">
      <c r="A368" s="107"/>
      <c r="B368" s="3"/>
      <c r="C368" s="53"/>
      <c r="D368" s="775"/>
      <c r="E368" s="648"/>
      <c r="F368" s="562"/>
      <c r="G368" s="562"/>
      <c r="H368" s="562"/>
      <c r="I368" s="562"/>
      <c r="J368" s="562"/>
    </row>
    <row r="369" spans="1:10" ht="15" hidden="1" customHeight="1" x14ac:dyDescent="0.2">
      <c r="A369" s="107"/>
      <c r="B369" s="134" t="s">
        <v>2181</v>
      </c>
      <c r="C369" s="65"/>
      <c r="D369" s="791" t="s">
        <v>2495</v>
      </c>
      <c r="E369" s="924">
        <f>'Verification Report'!O369</f>
        <v>0</v>
      </c>
      <c r="F369" s="562"/>
      <c r="G369" s="562"/>
      <c r="H369" s="562"/>
      <c r="I369" s="562"/>
      <c r="J369" s="562"/>
    </row>
    <row r="370" spans="1:10" ht="15.75" hidden="1" customHeight="1" x14ac:dyDescent="0.2">
      <c r="A370" s="107"/>
      <c r="B370" s="165"/>
      <c r="C370" s="126"/>
      <c r="D370" s="792"/>
      <c r="E370" s="942">
        <f>'Verification Report'!O370</f>
        <v>0</v>
      </c>
      <c r="F370" s="562"/>
      <c r="G370" s="562"/>
      <c r="H370" s="562"/>
      <c r="I370" s="562"/>
      <c r="J370" s="562"/>
    </row>
    <row r="371" spans="1:10" ht="15" hidden="1" customHeight="1" x14ac:dyDescent="0.2">
      <c r="A371" s="107"/>
      <c r="B371" s="20" t="s">
        <v>2183</v>
      </c>
      <c r="C371" s="53"/>
      <c r="D371" s="817" t="s">
        <v>2496</v>
      </c>
      <c r="E371" s="648"/>
      <c r="F371" s="562"/>
      <c r="G371" s="562"/>
      <c r="H371" s="562"/>
      <c r="I371" s="562"/>
      <c r="J371" s="562"/>
    </row>
    <row r="372" spans="1:10" ht="15.75" hidden="1" customHeight="1" x14ac:dyDescent="0.2">
      <c r="A372" s="107"/>
      <c r="B372" s="3"/>
      <c r="C372" s="53"/>
      <c r="D372" s="817"/>
      <c r="E372" s="648"/>
      <c r="F372" s="562"/>
      <c r="G372" s="562"/>
      <c r="H372" s="562"/>
      <c r="I372" s="562"/>
      <c r="J372" s="562"/>
    </row>
    <row r="373" spans="1:10" s="484" customFormat="1" ht="15.75" hidden="1" customHeight="1" x14ac:dyDescent="0.2">
      <c r="A373" s="107"/>
      <c r="B373" s="3"/>
      <c r="C373" s="53"/>
      <c r="D373" s="851" t="s">
        <v>2497</v>
      </c>
      <c r="E373" s="648"/>
      <c r="F373" s="562"/>
      <c r="G373" s="562"/>
      <c r="H373" s="562"/>
      <c r="I373" s="562"/>
      <c r="J373" s="562"/>
    </row>
    <row r="374" spans="1:10" s="484" customFormat="1" ht="15.75" hidden="1" customHeight="1" thickBot="1" x14ac:dyDescent="0.25">
      <c r="A374" s="107"/>
      <c r="B374" s="3"/>
      <c r="C374" s="53"/>
      <c r="D374" s="860"/>
      <c r="E374" s="648"/>
      <c r="F374" s="562"/>
      <c r="G374" s="562"/>
      <c r="H374" s="562"/>
      <c r="I374" s="562"/>
      <c r="J374" s="562"/>
    </row>
    <row r="375" spans="1:10" ht="17" hidden="1" thickTop="1" thickBot="1" x14ac:dyDescent="0.25">
      <c r="A375" s="75" t="s">
        <v>2499</v>
      </c>
      <c r="B375" s="132"/>
      <c r="C375" s="133"/>
      <c r="D375" s="75" t="s">
        <v>2500</v>
      </c>
      <c r="E375" s="673"/>
      <c r="F375" s="562"/>
      <c r="G375" s="562"/>
      <c r="H375" s="562"/>
      <c r="I375" s="562"/>
      <c r="J375" s="562"/>
    </row>
    <row r="376" spans="1:10" ht="15.75" hidden="1" customHeight="1" x14ac:dyDescent="0.2">
      <c r="A376" s="107"/>
      <c r="B376" s="3"/>
      <c r="C376" s="53"/>
      <c r="D376" s="217" t="s">
        <v>2502</v>
      </c>
      <c r="E376" s="648"/>
      <c r="F376" s="562"/>
      <c r="G376" s="562"/>
      <c r="H376" s="562"/>
      <c r="I376" s="562"/>
      <c r="J376" s="562"/>
    </row>
    <row r="377" spans="1:10" ht="15" hidden="1" customHeight="1" x14ac:dyDescent="0.2">
      <c r="A377" s="107"/>
      <c r="B377" s="134" t="s">
        <v>2181</v>
      </c>
      <c r="C377" s="65"/>
      <c r="D377" s="791" t="s">
        <v>2503</v>
      </c>
      <c r="E377" s="924">
        <f ca="1">'Verification Report'!O377</f>
        <v>0</v>
      </c>
      <c r="F377" s="562"/>
      <c r="G377" s="562"/>
      <c r="H377" s="562"/>
      <c r="I377" s="562"/>
      <c r="J377" s="562"/>
    </row>
    <row r="378" spans="1:10" ht="15.75" hidden="1" customHeight="1" x14ac:dyDescent="0.2">
      <c r="A378" s="107"/>
      <c r="B378" s="165"/>
      <c r="C378" s="126"/>
      <c r="D378" s="792"/>
      <c r="E378" s="942">
        <f>'Verification Report'!O378</f>
        <v>0</v>
      </c>
      <c r="F378" s="562"/>
      <c r="G378" s="562"/>
      <c r="H378" s="562"/>
      <c r="I378" s="562"/>
      <c r="J378" s="562"/>
    </row>
    <row r="379" spans="1:10" ht="15" hidden="1" customHeight="1" x14ac:dyDescent="0.2">
      <c r="A379" s="107"/>
      <c r="B379" s="20" t="s">
        <v>2183</v>
      </c>
      <c r="C379" s="53"/>
      <c r="D379" s="817" t="s">
        <v>2504</v>
      </c>
      <c r="E379" s="887">
        <f ca="1">'Verification Report'!O379</f>
        <v>0</v>
      </c>
      <c r="F379" s="562"/>
      <c r="G379" s="562"/>
      <c r="H379" s="562"/>
      <c r="I379" s="562"/>
      <c r="J379" s="562"/>
    </row>
    <row r="380" spans="1:10" ht="15.75" hidden="1" customHeight="1" x14ac:dyDescent="0.2">
      <c r="A380" s="107"/>
      <c r="B380" s="3"/>
      <c r="C380" s="53"/>
      <c r="D380" s="817"/>
      <c r="E380" s="887">
        <f>'Verification Report'!O380</f>
        <v>0</v>
      </c>
      <c r="F380" s="562"/>
      <c r="G380" s="562"/>
      <c r="H380" s="562"/>
      <c r="I380" s="562"/>
      <c r="J380" s="562"/>
    </row>
    <row r="381" spans="1:10" ht="15.75" hidden="1" customHeight="1" thickBot="1" x14ac:dyDescent="0.25">
      <c r="A381" s="107"/>
      <c r="B381" s="3"/>
      <c r="C381" s="53"/>
      <c r="D381" s="817"/>
      <c r="E381" s="887">
        <f>'Verification Report'!O381</f>
        <v>0</v>
      </c>
      <c r="F381" s="562"/>
      <c r="G381" s="562"/>
      <c r="H381" s="562"/>
      <c r="I381" s="562"/>
      <c r="J381" s="562"/>
    </row>
    <row r="382" spans="1:10" ht="15.75" hidden="1" customHeight="1" thickTop="1" x14ac:dyDescent="0.2">
      <c r="A382" s="75" t="s">
        <v>2506</v>
      </c>
      <c r="B382" s="132"/>
      <c r="C382" s="133"/>
      <c r="D382" s="819" t="s">
        <v>2507</v>
      </c>
      <c r="E382" s="673"/>
      <c r="F382" s="562"/>
      <c r="G382" s="562"/>
      <c r="H382" s="562"/>
      <c r="I382" s="562"/>
      <c r="J382" s="562"/>
    </row>
    <row r="383" spans="1:10" ht="16" hidden="1" thickBot="1" x14ac:dyDescent="0.25">
      <c r="A383" s="70"/>
      <c r="B383" s="98"/>
      <c r="C383" s="65"/>
      <c r="D383" s="820"/>
      <c r="E383" s="668"/>
      <c r="F383" s="562"/>
      <c r="G383" s="562"/>
      <c r="H383" s="562"/>
      <c r="I383" s="562"/>
      <c r="J383" s="562"/>
    </row>
    <row r="384" spans="1:10" ht="16" hidden="1" thickBot="1" x14ac:dyDescent="0.25">
      <c r="A384" s="107"/>
      <c r="B384" s="3"/>
      <c r="C384" s="53"/>
      <c r="D384" s="217" t="s">
        <v>2502</v>
      </c>
      <c r="E384" s="648"/>
      <c r="F384" s="562"/>
      <c r="G384" s="562"/>
      <c r="H384" s="562"/>
      <c r="I384" s="562"/>
      <c r="J384" s="562"/>
    </row>
    <row r="385" spans="1:10" ht="15" hidden="1" customHeight="1" x14ac:dyDescent="0.2">
      <c r="A385" s="107"/>
      <c r="B385" s="134" t="s">
        <v>2181</v>
      </c>
      <c r="C385" s="65"/>
      <c r="D385" s="791" t="s">
        <v>2508</v>
      </c>
      <c r="E385" s="924">
        <f ca="1">'Verification Report'!O385</f>
        <v>0</v>
      </c>
      <c r="F385" s="562"/>
      <c r="G385" s="562"/>
      <c r="H385" s="562"/>
      <c r="I385" s="562"/>
      <c r="J385" s="562"/>
    </row>
    <row r="386" spans="1:10" ht="15.75" hidden="1" customHeight="1" x14ac:dyDescent="0.2">
      <c r="A386" s="107"/>
      <c r="B386" s="98"/>
      <c r="C386" s="65"/>
      <c r="D386" s="791"/>
      <c r="E386" s="924">
        <f>'Verification Report'!O386</f>
        <v>0</v>
      </c>
      <c r="F386" s="562"/>
      <c r="G386" s="562"/>
      <c r="H386" s="562"/>
      <c r="I386" s="562"/>
      <c r="J386" s="562"/>
    </row>
    <row r="387" spans="1:10" ht="15.75" hidden="1" customHeight="1" x14ac:dyDescent="0.2">
      <c r="A387" s="107"/>
      <c r="B387" s="98"/>
      <c r="C387" s="65"/>
      <c r="D387" s="791"/>
      <c r="E387" s="924">
        <f>'Verification Report'!O387</f>
        <v>0</v>
      </c>
      <c r="F387" s="562"/>
      <c r="G387" s="562"/>
      <c r="H387" s="562"/>
      <c r="I387" s="562"/>
      <c r="J387" s="562"/>
    </row>
    <row r="388" spans="1:10" ht="15.75" hidden="1" customHeight="1" x14ac:dyDescent="0.2">
      <c r="A388" s="107"/>
      <c r="B388" s="165"/>
      <c r="C388" s="126"/>
      <c r="D388" s="792"/>
      <c r="E388" s="942">
        <f>'Verification Report'!O388</f>
        <v>0</v>
      </c>
      <c r="F388" s="562"/>
      <c r="G388" s="562"/>
      <c r="H388" s="562"/>
      <c r="I388" s="562"/>
      <c r="J388" s="562"/>
    </row>
    <row r="389" spans="1:10" ht="15" hidden="1" customHeight="1" x14ac:dyDescent="0.2">
      <c r="A389" s="107"/>
      <c r="B389" s="164" t="s">
        <v>2183</v>
      </c>
      <c r="C389" s="147"/>
      <c r="D389" s="831" t="s">
        <v>2509</v>
      </c>
      <c r="E389" s="923">
        <f ca="1">'Verification Report'!O389</f>
        <v>0</v>
      </c>
      <c r="F389" s="562"/>
      <c r="G389" s="562"/>
      <c r="H389" s="562"/>
      <c r="I389" s="562"/>
      <c r="J389" s="562"/>
    </row>
    <row r="390" spans="1:10" ht="15.75" hidden="1" customHeight="1" x14ac:dyDescent="0.2">
      <c r="A390" s="107"/>
      <c r="B390" s="98"/>
      <c r="C390" s="65"/>
      <c r="D390" s="791"/>
      <c r="E390" s="924">
        <f>'Verification Report'!O390</f>
        <v>0</v>
      </c>
      <c r="F390" s="562"/>
      <c r="G390" s="562"/>
      <c r="H390" s="562"/>
      <c r="I390" s="562"/>
      <c r="J390" s="562"/>
    </row>
    <row r="391" spans="1:10" ht="15.75" hidden="1" customHeight="1" x14ac:dyDescent="0.2">
      <c r="A391" s="107"/>
      <c r="B391" s="98"/>
      <c r="C391" s="65"/>
      <c r="D391" s="791"/>
      <c r="E391" s="924">
        <f>'Verification Report'!O391</f>
        <v>0</v>
      </c>
      <c r="F391" s="562"/>
      <c r="G391" s="562"/>
      <c r="H391" s="562"/>
      <c r="I391" s="562"/>
      <c r="J391" s="562"/>
    </row>
    <row r="392" spans="1:10" ht="15.75" hidden="1" customHeight="1" x14ac:dyDescent="0.2">
      <c r="A392" s="107"/>
      <c r="B392" s="165"/>
      <c r="C392" s="126"/>
      <c r="D392" s="792"/>
      <c r="E392" s="942">
        <f>'Verification Report'!O392</f>
        <v>0</v>
      </c>
      <c r="F392" s="562"/>
      <c r="G392" s="562"/>
      <c r="H392" s="562"/>
      <c r="I392" s="562"/>
      <c r="J392" s="562"/>
    </row>
    <row r="393" spans="1:10" ht="15" hidden="1" customHeight="1" x14ac:dyDescent="0.2">
      <c r="A393" s="107"/>
      <c r="B393" s="20" t="s">
        <v>2185</v>
      </c>
      <c r="C393" s="53"/>
      <c r="D393" s="817" t="s">
        <v>2510</v>
      </c>
      <c r="E393" s="887">
        <f ca="1">'Verification Report'!O393</f>
        <v>0</v>
      </c>
      <c r="F393" s="562"/>
      <c r="G393" s="562"/>
      <c r="H393" s="562"/>
      <c r="I393" s="562"/>
      <c r="J393" s="562"/>
    </row>
    <row r="394" spans="1:10" ht="15.75" hidden="1" customHeight="1" x14ac:dyDescent="0.2">
      <c r="A394" s="107"/>
      <c r="B394" s="3"/>
      <c r="C394" s="53"/>
      <c r="D394" s="817"/>
      <c r="E394" s="887">
        <f>'Verification Report'!O394</f>
        <v>0</v>
      </c>
      <c r="F394" s="562"/>
      <c r="G394" s="562"/>
      <c r="H394" s="562"/>
      <c r="I394" s="562"/>
      <c r="J394" s="562"/>
    </row>
    <row r="395" spans="1:10" ht="15.75" hidden="1" customHeight="1" thickBot="1" x14ac:dyDescent="0.25">
      <c r="A395" s="107"/>
      <c r="B395" s="3"/>
      <c r="C395" s="53"/>
      <c r="D395" s="817"/>
      <c r="E395" s="887">
        <f>'Verification Report'!O395</f>
        <v>0</v>
      </c>
      <c r="F395" s="562"/>
      <c r="G395" s="562"/>
      <c r="H395" s="562"/>
      <c r="I395" s="562"/>
      <c r="J395" s="562"/>
    </row>
    <row r="396" spans="1:10" ht="17" hidden="1" thickTop="1" thickBot="1" x14ac:dyDescent="0.25">
      <c r="A396" s="75" t="s">
        <v>2512</v>
      </c>
      <c r="B396" s="132"/>
      <c r="C396" s="133"/>
      <c r="D396" s="95" t="s">
        <v>2513</v>
      </c>
      <c r="E396" s="673"/>
      <c r="F396" s="562"/>
      <c r="G396" s="562"/>
      <c r="H396" s="562"/>
      <c r="I396" s="562"/>
      <c r="J396" s="562"/>
    </row>
    <row r="397" spans="1:10" ht="16" hidden="1" thickBot="1" x14ac:dyDescent="0.25">
      <c r="A397" s="107" t="s">
        <v>2515</v>
      </c>
      <c r="B397" s="3"/>
      <c r="C397" s="53"/>
      <c r="D397" s="55" t="s">
        <v>2516</v>
      </c>
      <c r="E397" s="648"/>
      <c r="F397" s="562"/>
      <c r="G397" s="562"/>
      <c r="H397" s="562"/>
      <c r="I397" s="562"/>
      <c r="J397" s="562"/>
    </row>
    <row r="398" spans="1:10" ht="15" hidden="1" customHeight="1" x14ac:dyDescent="0.2">
      <c r="A398" s="107"/>
      <c r="B398" s="134" t="s">
        <v>2181</v>
      </c>
      <c r="C398" s="65"/>
      <c r="D398" s="791" t="s">
        <v>2517</v>
      </c>
      <c r="E398" s="924">
        <f>'Verification Report'!O398</f>
        <v>0</v>
      </c>
      <c r="F398" s="562"/>
      <c r="G398" s="562"/>
      <c r="H398" s="562"/>
      <c r="I398" s="562"/>
      <c r="J398" s="562"/>
    </row>
    <row r="399" spans="1:10" ht="15.75" hidden="1" customHeight="1" x14ac:dyDescent="0.2">
      <c r="A399" s="107"/>
      <c r="B399" s="165"/>
      <c r="C399" s="126"/>
      <c r="D399" s="792"/>
      <c r="E399" s="942">
        <f>'Verification Report'!O399</f>
        <v>0</v>
      </c>
      <c r="F399" s="562"/>
      <c r="G399" s="562"/>
      <c r="H399" s="562"/>
      <c r="I399" s="562"/>
      <c r="J399" s="562"/>
    </row>
    <row r="400" spans="1:10" ht="15" hidden="1" customHeight="1" x14ac:dyDescent="0.2">
      <c r="A400" s="107"/>
      <c r="B400" s="134" t="s">
        <v>2183</v>
      </c>
      <c r="C400" s="65"/>
      <c r="D400" s="791" t="s">
        <v>2518</v>
      </c>
      <c r="E400" s="924">
        <f>'Verification Report'!O400</f>
        <v>0</v>
      </c>
      <c r="F400" s="562"/>
      <c r="G400" s="562"/>
      <c r="H400" s="562"/>
      <c r="I400" s="562"/>
      <c r="J400" s="562"/>
    </row>
    <row r="401" spans="1:10" ht="15.75" hidden="1" customHeight="1" x14ac:dyDescent="0.2">
      <c r="A401" s="107"/>
      <c r="B401" s="98"/>
      <c r="C401" s="65"/>
      <c r="D401" s="791"/>
      <c r="E401" s="924">
        <f>'Verification Report'!O401</f>
        <v>0</v>
      </c>
      <c r="F401" s="562"/>
      <c r="G401" s="562"/>
      <c r="H401" s="562"/>
      <c r="I401" s="562"/>
      <c r="J401" s="562"/>
    </row>
    <row r="402" spans="1:10" ht="15.75" hidden="1" customHeight="1" x14ac:dyDescent="0.2">
      <c r="A402" s="107"/>
      <c r="B402" s="165"/>
      <c r="C402" s="126"/>
      <c r="D402" s="634" t="s">
        <v>2519</v>
      </c>
      <c r="E402" s="942">
        <f>'Verification Report'!O402</f>
        <v>0</v>
      </c>
      <c r="F402" s="562"/>
      <c r="G402" s="562"/>
      <c r="H402" s="562"/>
      <c r="I402" s="562"/>
      <c r="J402" s="562"/>
    </row>
    <row r="403" spans="1:10" ht="15" hidden="1" customHeight="1" x14ac:dyDescent="0.2">
      <c r="A403" s="70"/>
      <c r="B403" s="134" t="s">
        <v>2185</v>
      </c>
      <c r="C403" s="65"/>
      <c r="D403" s="791" t="s">
        <v>2520</v>
      </c>
      <c r="E403" s="924">
        <f>'Verification Report'!O403</f>
        <v>0</v>
      </c>
      <c r="F403" s="562"/>
      <c r="G403" s="562"/>
      <c r="H403" s="562"/>
      <c r="I403" s="562"/>
      <c r="J403" s="562"/>
    </row>
    <row r="404" spans="1:10" ht="15.75" hidden="1" customHeight="1" x14ac:dyDescent="0.2">
      <c r="A404" s="348"/>
      <c r="B404" s="165"/>
      <c r="C404" s="126"/>
      <c r="D404" s="792"/>
      <c r="E404" s="942">
        <f>'Verification Report'!O404</f>
        <v>0</v>
      </c>
      <c r="F404" s="562"/>
      <c r="G404" s="562"/>
      <c r="H404" s="562"/>
      <c r="I404" s="562"/>
      <c r="J404" s="562"/>
    </row>
    <row r="405" spans="1:10" ht="15" hidden="1" customHeight="1" x14ac:dyDescent="0.2">
      <c r="A405" s="350" t="s">
        <v>2522</v>
      </c>
      <c r="B405" s="146"/>
      <c r="C405" s="147"/>
      <c r="D405" s="847" t="s">
        <v>2523</v>
      </c>
      <c r="E405" s="923">
        <f>'Verification Report'!O405</f>
        <v>0</v>
      </c>
      <c r="F405" s="562"/>
      <c r="G405" s="562"/>
      <c r="H405" s="562"/>
      <c r="I405" s="562"/>
      <c r="J405" s="562"/>
    </row>
    <row r="406" spans="1:10" ht="15.75" hidden="1" customHeight="1" x14ac:dyDescent="0.2">
      <c r="A406" s="348"/>
      <c r="B406" s="165"/>
      <c r="C406" s="126"/>
      <c r="D406" s="832"/>
      <c r="E406" s="942">
        <f>'Verification Report'!O406</f>
        <v>0</v>
      </c>
      <c r="F406" s="562"/>
      <c r="G406" s="562"/>
      <c r="H406" s="562"/>
      <c r="I406" s="562"/>
      <c r="J406" s="562"/>
    </row>
    <row r="407" spans="1:10" ht="15" hidden="1" customHeight="1" x14ac:dyDescent="0.2">
      <c r="A407" s="107" t="s">
        <v>2525</v>
      </c>
      <c r="B407" s="3"/>
      <c r="C407" s="53"/>
      <c r="D407" s="775" t="s">
        <v>2526</v>
      </c>
      <c r="E407" s="887">
        <f>'Verification Report'!O407</f>
        <v>0</v>
      </c>
      <c r="F407" s="562"/>
      <c r="G407" s="562"/>
      <c r="H407" s="562"/>
      <c r="I407" s="562"/>
      <c r="J407" s="562"/>
    </row>
    <row r="408" spans="1:10" ht="15.75" hidden="1" customHeight="1" x14ac:dyDescent="0.2">
      <c r="A408" s="107"/>
      <c r="B408" s="3"/>
      <c r="C408" s="53"/>
      <c r="D408" s="775"/>
      <c r="E408" s="887">
        <f>'Verification Report'!O408</f>
        <v>0</v>
      </c>
      <c r="F408" s="562"/>
      <c r="G408" s="562"/>
      <c r="H408" s="562"/>
      <c r="I408" s="562"/>
      <c r="J408" s="562"/>
    </row>
    <row r="409" spans="1:10" ht="15.75" hidden="1" customHeight="1" x14ac:dyDescent="0.2">
      <c r="A409" s="107"/>
      <c r="B409" s="3"/>
      <c r="C409" s="53"/>
      <c r="D409" s="775"/>
      <c r="E409" s="887">
        <f>'Verification Report'!O409</f>
        <v>0</v>
      </c>
      <c r="F409" s="562"/>
      <c r="G409" s="562"/>
      <c r="H409" s="562"/>
      <c r="I409" s="562"/>
      <c r="J409" s="562"/>
    </row>
    <row r="410" spans="1:10" ht="15.75" hidden="1" customHeight="1" thickBot="1" x14ac:dyDescent="0.25">
      <c r="A410" s="107"/>
      <c r="B410" s="3"/>
      <c r="C410" s="53"/>
      <c r="D410" s="775"/>
      <c r="E410" s="887">
        <f>'Verification Report'!O410</f>
        <v>0</v>
      </c>
      <c r="F410" s="562"/>
      <c r="G410" s="562"/>
      <c r="H410" s="562"/>
      <c r="I410" s="562"/>
      <c r="J410" s="562"/>
    </row>
    <row r="411" spans="1:10" ht="15.75" customHeight="1" thickTop="1" x14ac:dyDescent="0.2">
      <c r="A411" s="75" t="s">
        <v>2528</v>
      </c>
      <c r="B411" s="132"/>
      <c r="C411" s="133"/>
      <c r="D411" s="819" t="s">
        <v>2529</v>
      </c>
      <c r="E411" s="673"/>
      <c r="F411" s="458" t="str">
        <f>IF('Verification Report'!W411="","",'Verification Report'!W411)</f>
        <v/>
      </c>
      <c r="G411" s="562">
        <v>1</v>
      </c>
      <c r="H411" s="460"/>
      <c r="I411" s="562" t="s">
        <v>3836</v>
      </c>
      <c r="J411" s="562"/>
    </row>
    <row r="412" spans="1:10" s="498" customFormat="1" ht="15.75" customHeight="1" x14ac:dyDescent="0.2">
      <c r="A412" s="70"/>
      <c r="B412" s="98"/>
      <c r="C412" s="65"/>
      <c r="D412" s="820"/>
      <c r="E412" s="668"/>
      <c r="F412" s="562"/>
      <c r="G412" s="562">
        <v>1</v>
      </c>
      <c r="H412" s="562"/>
      <c r="I412" s="562"/>
      <c r="J412" s="562"/>
    </row>
    <row r="413" spans="1:10" ht="16" thickBot="1" x14ac:dyDescent="0.25">
      <c r="A413" s="70"/>
      <c r="B413" s="98"/>
      <c r="C413" s="65"/>
      <c r="D413" s="820"/>
      <c r="E413" s="668"/>
      <c r="F413" s="562"/>
      <c r="G413" s="562">
        <v>1</v>
      </c>
      <c r="H413" s="562"/>
      <c r="I413" s="562"/>
      <c r="J413" s="562"/>
    </row>
    <row r="414" spans="1:10" ht="15.75" hidden="1" customHeight="1" thickBot="1" x14ac:dyDescent="0.25">
      <c r="A414" s="70"/>
      <c r="B414" s="98"/>
      <c r="C414" s="65"/>
      <c r="D414" s="629" t="s">
        <v>2519</v>
      </c>
      <c r="E414" s="668"/>
      <c r="F414" s="562"/>
      <c r="G414" s="562"/>
      <c r="H414" s="562"/>
      <c r="I414" s="562"/>
      <c r="J414" s="562"/>
    </row>
    <row r="415" spans="1:10" ht="15.75" hidden="1" customHeight="1" thickTop="1" x14ac:dyDescent="0.2">
      <c r="A415" s="75" t="s">
        <v>2531</v>
      </c>
      <c r="B415" s="132"/>
      <c r="C415" s="133"/>
      <c r="D415" s="819" t="s">
        <v>2532</v>
      </c>
      <c r="E415" s="673"/>
      <c r="F415" s="562"/>
      <c r="G415" s="562"/>
      <c r="H415" s="562"/>
      <c r="I415" s="562"/>
      <c r="J415" s="562"/>
    </row>
    <row r="416" spans="1:10" ht="16" hidden="1" thickBot="1" x14ac:dyDescent="0.25">
      <c r="A416" s="70"/>
      <c r="B416" s="98"/>
      <c r="C416" s="65"/>
      <c r="D416" s="820"/>
      <c r="E416" s="668"/>
      <c r="F416" s="562"/>
      <c r="G416" s="562"/>
      <c r="H416" s="562"/>
      <c r="I416" s="562"/>
      <c r="J416" s="562"/>
    </row>
    <row r="417" spans="1:10" ht="16" hidden="1" thickBot="1" x14ac:dyDescent="0.25">
      <c r="A417" s="70"/>
      <c r="B417" s="98"/>
      <c r="C417" s="65"/>
      <c r="D417" s="820"/>
      <c r="E417" s="668"/>
      <c r="F417" s="562"/>
      <c r="G417" s="562"/>
      <c r="H417" s="562"/>
      <c r="I417" s="562"/>
      <c r="J417" s="562"/>
    </row>
    <row r="418" spans="1:10" ht="16" hidden="1" thickBot="1" x14ac:dyDescent="0.25">
      <c r="A418" s="70"/>
      <c r="B418" s="98"/>
      <c r="C418" s="65"/>
      <c r="D418" s="820"/>
      <c r="E418" s="668"/>
      <c r="F418" s="562"/>
      <c r="G418" s="562"/>
      <c r="H418" s="562"/>
      <c r="I418" s="562"/>
      <c r="J418" s="562"/>
    </row>
    <row r="419" spans="1:10" ht="16" hidden="1" thickBot="1" x14ac:dyDescent="0.25">
      <c r="A419" s="70"/>
      <c r="B419" s="98"/>
      <c r="C419" s="65"/>
      <c r="D419" s="820"/>
      <c r="E419" s="668"/>
      <c r="F419" s="562"/>
      <c r="G419" s="562"/>
      <c r="H419" s="562"/>
      <c r="I419" s="562"/>
      <c r="J419" s="562"/>
    </row>
    <row r="420" spans="1:10" s="484" customFormat="1" ht="16" hidden="1" thickBot="1" x14ac:dyDescent="0.25">
      <c r="A420" s="70"/>
      <c r="B420" s="98"/>
      <c r="C420" s="65"/>
      <c r="D420" s="846" t="s">
        <v>2533</v>
      </c>
      <c r="E420" s="668"/>
      <c r="F420" s="562"/>
      <c r="G420" s="562"/>
      <c r="H420" s="562"/>
      <c r="I420" s="562"/>
      <c r="J420" s="562"/>
    </row>
    <row r="421" spans="1:10" s="484" customFormat="1" ht="16" hidden="1" thickBot="1" x14ac:dyDescent="0.25">
      <c r="A421" s="70"/>
      <c r="B421" s="98"/>
      <c r="C421" s="65"/>
      <c r="D421" s="846"/>
      <c r="E421" s="668"/>
      <c r="F421" s="562"/>
      <c r="G421" s="562"/>
      <c r="H421" s="562"/>
      <c r="I421" s="562"/>
      <c r="J421" s="562"/>
    </row>
    <row r="422" spans="1:10" s="484" customFormat="1" ht="16" hidden="1" thickBot="1" x14ac:dyDescent="0.25">
      <c r="A422" s="70"/>
      <c r="B422" s="98"/>
      <c r="C422" s="65"/>
      <c r="D422" s="846"/>
      <c r="E422" s="668"/>
      <c r="F422" s="562"/>
      <c r="G422" s="562"/>
      <c r="H422" s="562"/>
      <c r="I422" s="562"/>
      <c r="J422" s="562"/>
    </row>
    <row r="423" spans="1:10" ht="15.75" hidden="1" customHeight="1" x14ac:dyDescent="0.2">
      <c r="A423" s="107"/>
      <c r="B423" s="134" t="s">
        <v>2181</v>
      </c>
      <c r="C423" s="65"/>
      <c r="D423" s="65" t="s">
        <v>2534</v>
      </c>
      <c r="E423" s="648"/>
      <c r="F423" s="562"/>
      <c r="G423" s="562"/>
      <c r="H423" s="562"/>
      <c r="I423" s="562"/>
      <c r="J423" s="562"/>
    </row>
    <row r="424" spans="1:10" ht="15.75" hidden="1" customHeight="1" x14ac:dyDescent="0.2">
      <c r="A424" s="107"/>
      <c r="B424" s="98"/>
      <c r="C424" s="61" t="s">
        <v>2196</v>
      </c>
      <c r="D424" s="65" t="s">
        <v>2535</v>
      </c>
      <c r="E424" s="648"/>
      <c r="F424" s="562"/>
      <c r="G424" s="562"/>
      <c r="H424" s="562"/>
      <c r="I424" s="562"/>
      <c r="J424" s="562"/>
    </row>
    <row r="425" spans="1:10" ht="15.75" hidden="1" customHeight="1" x14ac:dyDescent="0.2">
      <c r="A425" s="107"/>
      <c r="B425" s="98"/>
      <c r="C425" s="61" t="s">
        <v>2198</v>
      </c>
      <c r="D425" s="65" t="s">
        <v>2536</v>
      </c>
      <c r="E425" s="648"/>
      <c r="F425" s="562"/>
      <c r="G425" s="562"/>
      <c r="H425" s="562"/>
      <c r="I425" s="562"/>
      <c r="J425" s="562"/>
    </row>
    <row r="426" spans="1:10" ht="15.75" hidden="1" customHeight="1" x14ac:dyDescent="0.2">
      <c r="A426" s="107"/>
      <c r="B426" s="98"/>
      <c r="C426" s="79" t="s">
        <v>2200</v>
      </c>
      <c r="D426" s="65" t="s">
        <v>2537</v>
      </c>
      <c r="E426" s="648"/>
      <c r="F426" s="562"/>
      <c r="G426" s="562"/>
      <c r="H426" s="562"/>
      <c r="I426" s="562"/>
      <c r="J426" s="562"/>
    </row>
    <row r="427" spans="1:10" ht="15" hidden="1" customHeight="1" x14ac:dyDescent="0.2">
      <c r="A427" s="107"/>
      <c r="B427" s="98"/>
      <c r="C427" s="140" t="s">
        <v>2247</v>
      </c>
      <c r="D427" s="791" t="s">
        <v>2538</v>
      </c>
      <c r="E427" s="648"/>
      <c r="F427" s="562"/>
      <c r="G427" s="562"/>
      <c r="H427" s="562"/>
      <c r="I427" s="562"/>
      <c r="J427" s="562"/>
    </row>
    <row r="428" spans="1:10" ht="15.75" hidden="1" customHeight="1" x14ac:dyDescent="0.2">
      <c r="A428" s="107"/>
      <c r="B428" s="98"/>
      <c r="C428" s="65"/>
      <c r="D428" s="791"/>
      <c r="E428" s="648"/>
      <c r="F428" s="562"/>
      <c r="G428" s="562"/>
      <c r="H428" s="562"/>
      <c r="I428" s="562"/>
      <c r="J428" s="562"/>
    </row>
    <row r="429" spans="1:10" ht="15.75" hidden="1" customHeight="1" x14ac:dyDescent="0.2">
      <c r="A429" s="107"/>
      <c r="B429" s="98"/>
      <c r="C429" s="140" t="s">
        <v>2444</v>
      </c>
      <c r="D429" s="65" t="s">
        <v>2539</v>
      </c>
      <c r="E429" s="648"/>
      <c r="F429" s="562"/>
      <c r="G429" s="562"/>
      <c r="H429" s="562"/>
      <c r="I429" s="562"/>
      <c r="J429" s="562"/>
    </row>
    <row r="430" spans="1:10" ht="15.75" hidden="1" customHeight="1" x14ac:dyDescent="0.2">
      <c r="A430" s="107"/>
      <c r="B430" s="98"/>
      <c r="C430" s="79" t="s">
        <v>2540</v>
      </c>
      <c r="D430" s="65" t="s">
        <v>2541</v>
      </c>
      <c r="E430" s="648"/>
      <c r="F430" s="562"/>
      <c r="G430" s="562"/>
      <c r="H430" s="562"/>
      <c r="I430" s="562"/>
      <c r="J430" s="562"/>
    </row>
    <row r="431" spans="1:10" ht="15.75" hidden="1" customHeight="1" x14ac:dyDescent="0.2">
      <c r="A431" s="107"/>
      <c r="B431" s="98"/>
      <c r="C431" s="140" t="s">
        <v>2542</v>
      </c>
      <c r="D431" s="65" t="s">
        <v>2543</v>
      </c>
      <c r="E431" s="648"/>
      <c r="F431" s="562"/>
      <c r="G431" s="562"/>
      <c r="H431" s="562"/>
      <c r="I431" s="562"/>
      <c r="J431" s="562"/>
    </row>
    <row r="432" spans="1:10" ht="15.75" hidden="1" customHeight="1" x14ac:dyDescent="0.2">
      <c r="A432" s="107"/>
      <c r="B432" s="98"/>
      <c r="C432" s="140" t="s">
        <v>2544</v>
      </c>
      <c r="D432" s="65" t="s">
        <v>2545</v>
      </c>
      <c r="E432" s="648"/>
      <c r="F432" s="562"/>
      <c r="G432" s="562"/>
      <c r="H432" s="562"/>
      <c r="I432" s="562"/>
      <c r="J432" s="562"/>
    </row>
    <row r="433" spans="1:10" s="484" customFormat="1" ht="15.75" hidden="1" customHeight="1" x14ac:dyDescent="0.2">
      <c r="A433" s="107"/>
      <c r="B433" s="98"/>
      <c r="C433" s="140"/>
      <c r="D433" s="846" t="s">
        <v>2546</v>
      </c>
      <c r="E433" s="648"/>
      <c r="F433" s="562"/>
      <c r="G433" s="562"/>
      <c r="H433" s="562"/>
      <c r="I433" s="562"/>
      <c r="J433" s="562"/>
    </row>
    <row r="434" spans="1:10" s="484" customFormat="1" ht="15.75" hidden="1" customHeight="1" x14ac:dyDescent="0.2">
      <c r="A434" s="107"/>
      <c r="B434" s="165"/>
      <c r="C434" s="171"/>
      <c r="D434" s="855"/>
      <c r="E434" s="648"/>
      <c r="F434" s="562"/>
      <c r="G434" s="562"/>
      <c r="H434" s="562"/>
      <c r="I434" s="562"/>
      <c r="J434" s="562"/>
    </row>
    <row r="435" spans="1:10" ht="15" hidden="1" customHeight="1" x14ac:dyDescent="0.2">
      <c r="A435" s="107"/>
      <c r="B435" s="134" t="s">
        <v>2183</v>
      </c>
      <c r="C435" s="65"/>
      <c r="D435" s="791" t="s">
        <v>2547</v>
      </c>
      <c r="E435" s="924">
        <f>'Verification Report'!O435</f>
        <v>0</v>
      </c>
      <c r="F435" s="562"/>
      <c r="G435" s="562"/>
      <c r="H435" s="562"/>
      <c r="I435" s="562"/>
      <c r="J435" s="562"/>
    </row>
    <row r="436" spans="1:10" ht="15.75" hidden="1" customHeight="1" x14ac:dyDescent="0.2">
      <c r="A436" s="107"/>
      <c r="B436" s="98"/>
      <c r="C436" s="65"/>
      <c r="D436" s="791"/>
      <c r="E436" s="924">
        <f>'Verification Report'!O436</f>
        <v>0</v>
      </c>
      <c r="F436" s="562"/>
      <c r="G436" s="562"/>
      <c r="H436" s="562"/>
      <c r="I436" s="562"/>
      <c r="J436" s="562"/>
    </row>
    <row r="437" spans="1:10" ht="15.75" hidden="1" customHeight="1" x14ac:dyDescent="0.2">
      <c r="A437" s="107"/>
      <c r="B437" s="165"/>
      <c r="C437" s="126"/>
      <c r="D437" s="792"/>
      <c r="E437" s="942">
        <f>'Verification Report'!O437</f>
        <v>0</v>
      </c>
      <c r="F437" s="562"/>
      <c r="G437" s="562"/>
      <c r="H437" s="562"/>
      <c r="I437" s="562"/>
      <c r="J437" s="562"/>
    </row>
    <row r="438" spans="1:10" ht="16" hidden="1" thickBot="1" x14ac:dyDescent="0.25">
      <c r="A438" s="107"/>
      <c r="B438" s="161" t="s">
        <v>2185</v>
      </c>
      <c r="C438" s="162"/>
      <c r="D438" s="162" t="s">
        <v>2548</v>
      </c>
      <c r="E438" s="600">
        <f>'Verification Report'!O438</f>
        <v>0</v>
      </c>
      <c r="F438" s="562"/>
      <c r="G438" s="562"/>
      <c r="H438" s="562"/>
      <c r="I438" s="562"/>
      <c r="J438" s="562"/>
    </row>
    <row r="439" spans="1:10" ht="15" hidden="1" customHeight="1" x14ac:dyDescent="0.2">
      <c r="A439" s="107"/>
      <c r="B439" s="164" t="s">
        <v>2192</v>
      </c>
      <c r="C439" s="147"/>
      <c r="D439" s="831" t="s">
        <v>2549</v>
      </c>
      <c r="E439" s="923">
        <f>'Verification Report'!O439</f>
        <v>0</v>
      </c>
      <c r="F439" s="562"/>
      <c r="G439" s="562"/>
      <c r="H439" s="562"/>
      <c r="I439" s="562"/>
      <c r="J439" s="562"/>
    </row>
    <row r="440" spans="1:10" ht="15.75" hidden="1" customHeight="1" x14ac:dyDescent="0.2">
      <c r="A440" s="107"/>
      <c r="B440" s="98"/>
      <c r="C440" s="65"/>
      <c r="D440" s="791"/>
      <c r="E440" s="924">
        <f>'Verification Report'!O440</f>
        <v>0</v>
      </c>
      <c r="F440" s="562"/>
      <c r="G440" s="562"/>
      <c r="H440" s="562"/>
      <c r="I440" s="562"/>
      <c r="J440" s="562"/>
    </row>
    <row r="441" spans="1:10" ht="15.75" hidden="1" customHeight="1" x14ac:dyDescent="0.2">
      <c r="A441" s="107"/>
      <c r="B441" s="98"/>
      <c r="C441" s="65"/>
      <c r="D441" s="791"/>
      <c r="E441" s="924">
        <f>'Verification Report'!O441</f>
        <v>0</v>
      </c>
      <c r="F441" s="562"/>
      <c r="G441" s="562"/>
      <c r="H441" s="562"/>
      <c r="I441" s="562"/>
      <c r="J441" s="562"/>
    </row>
    <row r="442" spans="1:10" ht="15.75" hidden="1" customHeight="1" x14ac:dyDescent="0.2">
      <c r="A442" s="107"/>
      <c r="B442" s="165"/>
      <c r="C442" s="126"/>
      <c r="D442" s="792"/>
      <c r="E442" s="942">
        <f>'Verification Report'!O442</f>
        <v>0</v>
      </c>
      <c r="F442" s="562"/>
      <c r="G442" s="562"/>
      <c r="H442" s="562"/>
      <c r="I442" s="562"/>
      <c r="J442" s="562"/>
    </row>
    <row r="443" spans="1:10" ht="15.75" hidden="1" customHeight="1" x14ac:dyDescent="0.2">
      <c r="A443" s="107"/>
      <c r="B443" s="20" t="s">
        <v>2194</v>
      </c>
      <c r="C443" s="53"/>
      <c r="D443" s="53" t="s">
        <v>2550</v>
      </c>
      <c r="E443" s="648">
        <f ca="1">'Verification Report'!O443</f>
        <v>0</v>
      </c>
      <c r="F443" s="562"/>
      <c r="G443" s="562"/>
      <c r="H443" s="562"/>
      <c r="I443" s="562"/>
      <c r="J443" s="562"/>
    </row>
    <row r="444" spans="1:10" ht="15" hidden="1" customHeight="1" x14ac:dyDescent="0.2">
      <c r="A444" s="107"/>
      <c r="B444" s="3"/>
      <c r="C444" s="61" t="s">
        <v>2196</v>
      </c>
      <c r="D444" s="791" t="s">
        <v>2551</v>
      </c>
      <c r="E444" s="648"/>
      <c r="F444" s="562"/>
      <c r="G444" s="562"/>
      <c r="H444" s="562"/>
      <c r="I444" s="562"/>
      <c r="J444" s="562"/>
    </row>
    <row r="445" spans="1:10" ht="15.75" hidden="1" customHeight="1" x14ac:dyDescent="0.2">
      <c r="A445" s="107"/>
      <c r="B445" s="3"/>
      <c r="C445" s="61"/>
      <c r="D445" s="791"/>
      <c r="E445" s="648"/>
      <c r="F445" s="562"/>
      <c r="G445" s="562"/>
      <c r="H445" s="562"/>
      <c r="I445" s="562"/>
      <c r="J445" s="562"/>
    </row>
    <row r="446" spans="1:10" ht="15.75" hidden="1" customHeight="1" x14ac:dyDescent="0.2">
      <c r="A446" s="107"/>
      <c r="B446" s="3"/>
      <c r="C446" s="125"/>
      <c r="D446" s="792"/>
      <c r="E446" s="648"/>
      <c r="F446" s="562"/>
      <c r="G446" s="562"/>
      <c r="H446" s="562"/>
      <c r="I446" s="562"/>
      <c r="J446" s="562"/>
    </row>
    <row r="447" spans="1:10" ht="15" hidden="1" customHeight="1" x14ac:dyDescent="0.2">
      <c r="A447" s="107"/>
      <c r="B447" s="98"/>
      <c r="C447" s="61" t="s">
        <v>2198</v>
      </c>
      <c r="D447" s="791" t="s">
        <v>2552</v>
      </c>
      <c r="E447" s="668"/>
      <c r="F447" s="562"/>
      <c r="G447" s="562"/>
      <c r="H447" s="562"/>
      <c r="I447" s="562"/>
      <c r="J447" s="562"/>
    </row>
    <row r="448" spans="1:10" ht="15.75" hidden="1" customHeight="1" x14ac:dyDescent="0.2">
      <c r="A448" s="107"/>
      <c r="B448" s="165"/>
      <c r="C448" s="126"/>
      <c r="D448" s="792"/>
      <c r="E448" s="669"/>
      <c r="F448" s="562"/>
      <c r="G448" s="562"/>
      <c r="H448" s="562"/>
      <c r="I448" s="562"/>
      <c r="J448" s="562"/>
    </row>
    <row r="449" spans="1:10" ht="15" hidden="1" customHeight="1" x14ac:dyDescent="0.2">
      <c r="A449" s="107"/>
      <c r="B449" s="164" t="s">
        <v>2221</v>
      </c>
      <c r="C449" s="147"/>
      <c r="D449" s="831" t="s">
        <v>2553</v>
      </c>
      <c r="E449" s="923">
        <f>'Verification Report'!O449</f>
        <v>0</v>
      </c>
      <c r="F449" s="562"/>
      <c r="G449" s="562"/>
      <c r="H449" s="562"/>
      <c r="I449" s="562"/>
      <c r="J449" s="562"/>
    </row>
    <row r="450" spans="1:10" ht="15.75" hidden="1" customHeight="1" x14ac:dyDescent="0.2">
      <c r="A450" s="107"/>
      <c r="B450" s="165"/>
      <c r="C450" s="126"/>
      <c r="D450" s="792"/>
      <c r="E450" s="942">
        <f>'Verification Report'!O450</f>
        <v>0</v>
      </c>
      <c r="F450" s="562"/>
      <c r="G450" s="562"/>
      <c r="H450" s="562"/>
      <c r="I450" s="562"/>
      <c r="J450" s="562"/>
    </row>
    <row r="451" spans="1:10" ht="16" hidden="1" thickBot="1" x14ac:dyDescent="0.25">
      <c r="A451" s="107"/>
      <c r="B451" s="20" t="s">
        <v>2223</v>
      </c>
      <c r="C451" s="53"/>
      <c r="D451" s="53" t="s">
        <v>2554</v>
      </c>
      <c r="E451" s="648">
        <f>'Verification Report'!O451</f>
        <v>0</v>
      </c>
      <c r="F451" s="562"/>
      <c r="G451" s="562"/>
      <c r="H451" s="562"/>
      <c r="I451" s="562"/>
      <c r="J451" s="562"/>
    </row>
    <row r="452" spans="1:10" ht="15.75" customHeight="1" thickTop="1" x14ac:dyDescent="0.2">
      <c r="A452" s="75" t="s">
        <v>2556</v>
      </c>
      <c r="B452" s="132"/>
      <c r="C452" s="133"/>
      <c r="D452" s="819" t="s">
        <v>2557</v>
      </c>
      <c r="E452" s="981">
        <f ca="1">'Verification Report'!O452</f>
        <v>0</v>
      </c>
      <c r="F452" s="562"/>
      <c r="G452" s="562">
        <v>1</v>
      </c>
      <c r="H452" s="460"/>
      <c r="I452" s="562" t="s">
        <v>3837</v>
      </c>
      <c r="J452" s="562"/>
    </row>
    <row r="453" spans="1:10" x14ac:dyDescent="0.2">
      <c r="A453" s="70"/>
      <c r="B453" s="98"/>
      <c r="C453" s="65"/>
      <c r="D453" s="820"/>
      <c r="E453" s="924">
        <f>'Verification Report'!O453</f>
        <v>0</v>
      </c>
      <c r="F453" s="458" t="str">
        <f>IF('Verification Report'!W453="","",'Verification Report'!W453)</f>
        <v/>
      </c>
      <c r="G453" s="562">
        <v>1</v>
      </c>
      <c r="H453" s="562"/>
      <c r="I453" s="562"/>
      <c r="J453" s="562"/>
    </row>
    <row r="454" spans="1:10" x14ac:dyDescent="0.2">
      <c r="A454" s="70"/>
      <c r="B454" s="98"/>
      <c r="C454" s="65"/>
      <c r="D454" s="820"/>
      <c r="E454" s="924">
        <f>'Verification Report'!O454</f>
        <v>0</v>
      </c>
      <c r="F454" s="64"/>
      <c r="G454" s="562">
        <v>1</v>
      </c>
      <c r="H454" s="562"/>
      <c r="I454" s="562"/>
      <c r="J454" s="562"/>
    </row>
    <row r="455" spans="1:10" x14ac:dyDescent="0.2">
      <c r="A455" s="70"/>
      <c r="B455" s="98"/>
      <c r="C455" s="65"/>
      <c r="D455" s="820"/>
      <c r="E455" s="924">
        <f>'Verification Report'!O455</f>
        <v>0</v>
      </c>
      <c r="F455" s="64"/>
      <c r="G455" s="562">
        <v>1</v>
      </c>
      <c r="H455" s="562"/>
      <c r="I455" s="562"/>
      <c r="J455" s="562"/>
    </row>
    <row r="456" spans="1:10" x14ac:dyDescent="0.2">
      <c r="A456" s="70"/>
      <c r="B456" s="98"/>
      <c r="C456" s="65"/>
      <c r="D456" s="820"/>
      <c r="E456" s="924">
        <f>'Verification Report'!O456</f>
        <v>0</v>
      </c>
      <c r="F456" s="64"/>
      <c r="G456" s="562">
        <v>1</v>
      </c>
      <c r="H456" s="562"/>
      <c r="I456" s="562"/>
      <c r="J456" s="562"/>
    </row>
    <row r="457" spans="1:10" ht="16" thickBot="1" x14ac:dyDescent="0.25">
      <c r="A457" s="70"/>
      <c r="B457" s="98"/>
      <c r="C457" s="65"/>
      <c r="D457" s="820"/>
      <c r="E457" s="924">
        <f>'Verification Report'!O457</f>
        <v>0</v>
      </c>
      <c r="F457" s="64"/>
      <c r="G457" s="562">
        <v>1</v>
      </c>
      <c r="H457" s="562"/>
      <c r="I457" s="562"/>
      <c r="J457" s="562"/>
    </row>
    <row r="458" spans="1:10" ht="15.75" hidden="1" customHeight="1" x14ac:dyDescent="0.2">
      <c r="A458" s="70"/>
      <c r="B458" s="98"/>
      <c r="C458" s="65"/>
      <c r="D458" s="633" t="str">
        <f>"This Project's Climate Zone: "&amp;V256</f>
        <v xml:space="preserve">This Project's Climate Zone: </v>
      </c>
      <c r="E458" s="924">
        <f>'Verification Report'!O458</f>
        <v>0</v>
      </c>
      <c r="F458" s="64"/>
      <c r="G458" s="562"/>
      <c r="H458" s="562"/>
      <c r="I458" s="562"/>
      <c r="J458" s="562"/>
    </row>
    <row r="459" spans="1:10" ht="15.75" hidden="1" customHeight="1" x14ac:dyDescent="0.2">
      <c r="A459" s="70"/>
      <c r="B459" s="98"/>
      <c r="C459" s="61" t="s">
        <v>2196</v>
      </c>
      <c r="D459" s="65" t="s">
        <v>2559</v>
      </c>
      <c r="E459" s="924">
        <f>'Verification Report'!O459</f>
        <v>0</v>
      </c>
      <c r="F459" s="64"/>
      <c r="G459" s="562"/>
      <c r="H459" s="562"/>
      <c r="I459" s="562"/>
      <c r="J459" s="562"/>
    </row>
    <row r="460" spans="1:10" ht="15.75" hidden="1" customHeight="1" x14ac:dyDescent="0.2">
      <c r="A460" s="70"/>
      <c r="B460" s="98"/>
      <c r="C460" s="61" t="s">
        <v>2198</v>
      </c>
      <c r="D460" s="65" t="s">
        <v>2560</v>
      </c>
      <c r="E460" s="924">
        <f>'Verification Report'!O460</f>
        <v>0</v>
      </c>
      <c r="F460" s="64"/>
      <c r="G460" s="562"/>
      <c r="H460" s="562"/>
      <c r="I460" s="562"/>
      <c r="J460" s="562"/>
    </row>
    <row r="461" spans="1:10" ht="15.75" hidden="1" customHeight="1" x14ac:dyDescent="0.2">
      <c r="A461" s="70"/>
      <c r="B461" s="98"/>
      <c r="C461" s="79" t="s">
        <v>2200</v>
      </c>
      <c r="D461" s="65" t="s">
        <v>2561</v>
      </c>
      <c r="E461" s="924">
        <f>'Verification Report'!O461</f>
        <v>0</v>
      </c>
      <c r="F461" s="562"/>
      <c r="G461" s="562"/>
      <c r="H461" s="562"/>
      <c r="I461" s="562"/>
      <c r="J461" s="562"/>
    </row>
    <row r="462" spans="1:10" ht="15.75" hidden="1" customHeight="1" x14ac:dyDescent="0.2">
      <c r="A462" s="70"/>
      <c r="B462" s="98"/>
      <c r="C462" s="140" t="s">
        <v>2247</v>
      </c>
      <c r="D462" s="65" t="s">
        <v>2562</v>
      </c>
      <c r="E462" s="924">
        <f>'Verification Report'!O462</f>
        <v>0</v>
      </c>
      <c r="F462" s="562"/>
      <c r="G462" s="562"/>
      <c r="H462" s="562"/>
      <c r="I462" s="562"/>
      <c r="J462" s="562"/>
    </row>
    <row r="463" spans="1:10" ht="15" hidden="1" customHeight="1" x14ac:dyDescent="0.2">
      <c r="A463" s="70"/>
      <c r="B463" s="98"/>
      <c r="C463" s="140"/>
      <c r="D463" s="849" t="s">
        <v>2563</v>
      </c>
      <c r="E463" s="924">
        <f>'Verification Report'!O463</f>
        <v>0</v>
      </c>
      <c r="F463" s="562"/>
      <c r="G463" s="562"/>
      <c r="H463" s="562"/>
      <c r="I463" s="562"/>
      <c r="J463" s="562"/>
    </row>
    <row r="464" spans="1:10" ht="15.75" hidden="1" customHeight="1" thickBot="1" x14ac:dyDescent="0.25">
      <c r="A464" s="70"/>
      <c r="B464" s="98"/>
      <c r="C464" s="140"/>
      <c r="D464" s="833"/>
      <c r="E464" s="924">
        <f>'Verification Report'!O464</f>
        <v>0</v>
      </c>
      <c r="F464" s="562"/>
      <c r="G464" s="562"/>
      <c r="H464" s="562"/>
      <c r="I464" s="562"/>
      <c r="J464" s="562"/>
    </row>
    <row r="465" spans="1:10" ht="15.75" hidden="1" customHeight="1" thickTop="1" x14ac:dyDescent="0.2">
      <c r="A465" s="75" t="s">
        <v>2565</v>
      </c>
      <c r="B465" s="132"/>
      <c r="C465" s="133"/>
      <c r="D465" s="819" t="s">
        <v>2566</v>
      </c>
      <c r="E465" s="673"/>
      <c r="F465" s="562"/>
      <c r="G465" s="562"/>
      <c r="H465" s="562"/>
      <c r="I465" s="562"/>
      <c r="J465" s="562"/>
    </row>
    <row r="466" spans="1:10" ht="15.75" hidden="1" customHeight="1" x14ac:dyDescent="0.2">
      <c r="A466" s="70"/>
      <c r="B466" s="98"/>
      <c r="C466" s="65"/>
      <c r="D466" s="820"/>
      <c r="E466" s="668"/>
      <c r="F466" s="562"/>
      <c r="G466" s="562"/>
      <c r="H466" s="562"/>
      <c r="I466" s="562"/>
      <c r="J466" s="562"/>
    </row>
    <row r="467" spans="1:10" s="484" customFormat="1" ht="15.75" hidden="1" customHeight="1" x14ac:dyDescent="0.2">
      <c r="A467" s="70"/>
      <c r="B467" s="98"/>
      <c r="C467" s="65"/>
      <c r="D467" s="846" t="s">
        <v>2567</v>
      </c>
      <c r="E467" s="668"/>
      <c r="F467" s="562"/>
      <c r="G467" s="562"/>
      <c r="H467" s="562"/>
      <c r="I467" s="562"/>
      <c r="J467" s="562"/>
    </row>
    <row r="468" spans="1:10" s="484" customFormat="1" ht="15.75" hidden="1" customHeight="1" thickBot="1" x14ac:dyDescent="0.25">
      <c r="A468" s="70"/>
      <c r="B468" s="98"/>
      <c r="C468" s="65"/>
      <c r="D468" s="860"/>
      <c r="E468" s="668"/>
      <c r="F468" s="562"/>
      <c r="G468" s="562"/>
      <c r="H468" s="562"/>
      <c r="I468" s="562"/>
      <c r="J468" s="562"/>
    </row>
    <row r="469" spans="1:10" ht="15.75" customHeight="1" thickTop="1" x14ac:dyDescent="0.2">
      <c r="A469" s="75" t="s">
        <v>2569</v>
      </c>
      <c r="B469" s="132"/>
      <c r="C469" s="133"/>
      <c r="D469" s="819" t="s">
        <v>2570</v>
      </c>
      <c r="E469" s="981" t="e">
        <f ca="1">'Verification Report'!O469</f>
        <v>#REF!</v>
      </c>
      <c r="F469" s="562"/>
      <c r="G469" s="562">
        <v>1</v>
      </c>
      <c r="H469" s="460"/>
      <c r="I469" s="562" t="s">
        <v>3838</v>
      </c>
      <c r="J469" s="562"/>
    </row>
    <row r="470" spans="1:10" ht="16" thickBot="1" x14ac:dyDescent="0.25">
      <c r="A470" s="70"/>
      <c r="B470" s="98"/>
      <c r="C470" s="65"/>
      <c r="D470" s="820"/>
      <c r="E470" s="924">
        <f>'Verification Report'!O470</f>
        <v>0</v>
      </c>
      <c r="F470" s="562"/>
      <c r="G470" s="562">
        <v>1</v>
      </c>
      <c r="H470" s="562"/>
      <c r="I470" s="562"/>
      <c r="J470" s="562"/>
    </row>
    <row r="471" spans="1:10" ht="15.75" hidden="1" customHeight="1" thickBot="1" x14ac:dyDescent="0.25">
      <c r="A471" s="70"/>
      <c r="B471" s="98"/>
      <c r="C471" s="65"/>
      <c r="D471" s="217" t="s">
        <v>3429</v>
      </c>
      <c r="E471" s="924">
        <f>'Verification Report'!O471</f>
        <v>0</v>
      </c>
      <c r="F471" s="562"/>
      <c r="G471" s="562"/>
      <c r="H471" s="562"/>
      <c r="I471" s="562"/>
      <c r="J471" s="562"/>
    </row>
    <row r="472" spans="1:10" ht="15.75" hidden="1" customHeight="1" thickTop="1" x14ac:dyDescent="0.2">
      <c r="A472" s="75" t="s">
        <v>2573</v>
      </c>
      <c r="B472" s="132"/>
      <c r="C472" s="133"/>
      <c r="D472" s="819" t="s">
        <v>2574</v>
      </c>
      <c r="E472" s="673"/>
      <c r="F472" s="562"/>
      <c r="G472" s="562"/>
      <c r="H472" s="562"/>
      <c r="I472" s="562"/>
      <c r="J472" s="562"/>
    </row>
    <row r="473" spans="1:10" ht="15.75" hidden="1" customHeight="1" x14ac:dyDescent="0.2">
      <c r="A473" s="70"/>
      <c r="B473" s="98"/>
      <c r="C473" s="65"/>
      <c r="D473" s="820"/>
      <c r="E473" s="668"/>
      <c r="F473" s="562"/>
      <c r="G473" s="562"/>
      <c r="H473" s="562"/>
      <c r="I473" s="562"/>
      <c r="J473" s="562"/>
    </row>
    <row r="474" spans="1:10" ht="15.75" hidden="1" customHeight="1" x14ac:dyDescent="0.2">
      <c r="A474" s="70"/>
      <c r="B474" s="98"/>
      <c r="C474" s="65"/>
      <c r="D474" s="820"/>
      <c r="E474" s="668"/>
      <c r="F474" s="562"/>
      <c r="G474" s="562"/>
      <c r="H474" s="562"/>
      <c r="I474" s="562"/>
      <c r="J474" s="562"/>
    </row>
    <row r="475" spans="1:10" ht="15.75" hidden="1" customHeight="1" thickBot="1" x14ac:dyDescent="0.25">
      <c r="A475" s="70"/>
      <c r="B475" s="98"/>
      <c r="C475" s="65"/>
      <c r="D475" s="820"/>
      <c r="E475" s="668"/>
      <c r="F475" s="562"/>
      <c r="G475" s="562"/>
      <c r="H475" s="562"/>
      <c r="I475" s="562"/>
      <c r="J475" s="562"/>
    </row>
    <row r="476" spans="1:10" ht="15.75" customHeight="1" thickTop="1" x14ac:dyDescent="0.2">
      <c r="A476" s="75" t="s">
        <v>2576</v>
      </c>
      <c r="B476" s="132"/>
      <c r="C476" s="133"/>
      <c r="D476" s="819" t="s">
        <v>2577</v>
      </c>
      <c r="E476" s="673"/>
      <c r="F476" s="562"/>
      <c r="G476" s="562">
        <v>1</v>
      </c>
      <c r="H476" s="562"/>
      <c r="I476" s="562"/>
      <c r="J476" s="562"/>
    </row>
    <row r="477" spans="1:10" x14ac:dyDescent="0.2">
      <c r="A477" s="70"/>
      <c r="B477" s="98"/>
      <c r="C477" s="65"/>
      <c r="D477" s="820"/>
      <c r="E477" s="668"/>
      <c r="F477" s="562"/>
      <c r="G477" s="562">
        <v>1</v>
      </c>
      <c r="H477" s="562"/>
      <c r="I477" s="562"/>
      <c r="J477" s="562"/>
    </row>
    <row r="478" spans="1:10" ht="15" customHeight="1" x14ac:dyDescent="0.2">
      <c r="A478" s="107"/>
      <c r="B478" s="134" t="s">
        <v>2181</v>
      </c>
      <c r="C478" s="65"/>
      <c r="D478" s="791" t="s">
        <v>2578</v>
      </c>
      <c r="E478" s="924">
        <f>'Verification Report'!O478</f>
        <v>0</v>
      </c>
      <c r="F478" s="562"/>
      <c r="G478" s="562">
        <v>1</v>
      </c>
      <c r="H478" s="460"/>
      <c r="I478" s="562" t="s">
        <v>3839</v>
      </c>
      <c r="J478" s="562"/>
    </row>
    <row r="479" spans="1:10" x14ac:dyDescent="0.2">
      <c r="A479" s="107"/>
      <c r="B479" s="165"/>
      <c r="C479" s="126"/>
      <c r="D479" s="792"/>
      <c r="E479" s="942">
        <f>'Verification Report'!O479</f>
        <v>0</v>
      </c>
      <c r="F479" s="562"/>
      <c r="G479" s="562">
        <v>1</v>
      </c>
      <c r="H479" s="562"/>
      <c r="I479" s="562"/>
      <c r="J479" s="562"/>
    </row>
    <row r="480" spans="1:10" x14ac:dyDescent="0.2">
      <c r="A480" s="107"/>
      <c r="B480" s="161" t="s">
        <v>2183</v>
      </c>
      <c r="C480" s="162"/>
      <c r="D480" s="162" t="s">
        <v>2579</v>
      </c>
      <c r="E480" s="600">
        <f>'Verification Report'!O480</f>
        <v>0</v>
      </c>
      <c r="F480" s="562"/>
      <c r="G480" s="562">
        <v>1</v>
      </c>
      <c r="H480" s="460"/>
      <c r="I480" s="562" t="s">
        <v>3839</v>
      </c>
      <c r="J480" s="562"/>
    </row>
    <row r="481" spans="1:10" ht="16" thickBot="1" x14ac:dyDescent="0.25">
      <c r="A481" s="107"/>
      <c r="B481" s="20" t="s">
        <v>2185</v>
      </c>
      <c r="C481" s="53"/>
      <c r="D481" s="53" t="s">
        <v>2580</v>
      </c>
      <c r="E481" s="648">
        <f>'Verification Report'!O481</f>
        <v>0</v>
      </c>
      <c r="F481" s="562"/>
      <c r="G481" s="562">
        <v>1</v>
      </c>
      <c r="H481" s="460"/>
      <c r="I481" s="562" t="s">
        <v>3839</v>
      </c>
      <c r="J481" s="562"/>
    </row>
    <row r="482" spans="1:10" ht="15.75" hidden="1" customHeight="1" thickTop="1" x14ac:dyDescent="0.2">
      <c r="A482" s="75" t="s">
        <v>2581</v>
      </c>
      <c r="B482" s="132"/>
      <c r="C482" s="133"/>
      <c r="D482" s="819" t="s">
        <v>2582</v>
      </c>
      <c r="E482" s="981">
        <f>'Verification Report'!O482</f>
        <v>0</v>
      </c>
      <c r="F482" s="562"/>
      <c r="G482" s="562"/>
      <c r="H482" s="562"/>
      <c r="I482" s="562"/>
      <c r="J482" s="562"/>
    </row>
    <row r="483" spans="1:10" ht="16" hidden="1" thickBot="1" x14ac:dyDescent="0.25">
      <c r="A483" s="70"/>
      <c r="B483" s="98"/>
      <c r="C483" s="65"/>
      <c r="D483" s="820"/>
      <c r="E483" s="924">
        <f>'Verification Report'!O483</f>
        <v>0</v>
      </c>
      <c r="F483" s="64"/>
      <c r="G483" s="562"/>
      <c r="H483" s="562"/>
      <c r="I483" s="562"/>
      <c r="J483" s="562"/>
    </row>
    <row r="484" spans="1:10" ht="16" hidden="1" thickBot="1" x14ac:dyDescent="0.25">
      <c r="A484" s="70"/>
      <c r="B484" s="98"/>
      <c r="C484" s="65"/>
      <c r="D484" s="820"/>
      <c r="E484" s="924">
        <f>'Verification Report'!O484</f>
        <v>0</v>
      </c>
      <c r="F484" s="562"/>
      <c r="G484" s="562"/>
      <c r="H484" s="562"/>
      <c r="I484" s="562"/>
      <c r="J484" s="562"/>
    </row>
    <row r="485" spans="1:10" ht="16" hidden="1" thickBot="1" x14ac:dyDescent="0.25">
      <c r="A485" s="70"/>
      <c r="B485" s="98"/>
      <c r="C485" s="65"/>
      <c r="D485" s="820"/>
      <c r="E485" s="924">
        <f>'Verification Report'!O485</f>
        <v>0</v>
      </c>
      <c r="F485" s="562"/>
      <c r="G485" s="562"/>
      <c r="H485" s="562"/>
      <c r="I485" s="562"/>
      <c r="J485" s="562"/>
    </row>
    <row r="486" spans="1:10" ht="15" hidden="1" customHeight="1" x14ac:dyDescent="0.2">
      <c r="A486" s="107"/>
      <c r="B486" s="134" t="s">
        <v>2181</v>
      </c>
      <c r="C486" s="65"/>
      <c r="D486" s="776" t="s">
        <v>2583</v>
      </c>
      <c r="E486" s="648"/>
      <c r="F486" s="562"/>
      <c r="G486" s="562"/>
      <c r="H486" s="562"/>
      <c r="I486" s="562"/>
      <c r="J486" s="562"/>
    </row>
    <row r="487" spans="1:10" ht="15.75" hidden="1" customHeight="1" x14ac:dyDescent="0.2">
      <c r="A487" s="107"/>
      <c r="B487" s="159"/>
      <c r="C487" s="126"/>
      <c r="D487" s="777"/>
      <c r="E487" s="648"/>
      <c r="F487" s="562"/>
      <c r="G487" s="562"/>
      <c r="H487" s="562"/>
      <c r="I487" s="562"/>
      <c r="J487" s="562"/>
    </row>
    <row r="488" spans="1:10" ht="16" hidden="1" thickBot="1" x14ac:dyDescent="0.25">
      <c r="A488" s="107"/>
      <c r="B488" s="161" t="s">
        <v>2183</v>
      </c>
      <c r="C488" s="162"/>
      <c r="D488" s="162" t="s">
        <v>2584</v>
      </c>
      <c r="E488" s="648"/>
      <c r="F488" s="562"/>
      <c r="G488" s="562"/>
      <c r="H488" s="562"/>
      <c r="I488" s="562"/>
      <c r="J488" s="562"/>
    </row>
    <row r="489" spans="1:10" ht="15" hidden="1" customHeight="1" x14ac:dyDescent="0.2">
      <c r="A489" s="107"/>
      <c r="B489" s="20" t="s">
        <v>2185</v>
      </c>
      <c r="C489" s="53"/>
      <c r="D489" s="817" t="s">
        <v>2585</v>
      </c>
      <c r="E489" s="648"/>
      <c r="F489" s="562"/>
      <c r="G489" s="562"/>
      <c r="H489" s="562"/>
      <c r="I489" s="562"/>
      <c r="J489" s="562"/>
    </row>
    <row r="490" spans="1:10" ht="15.75" hidden="1" customHeight="1" x14ac:dyDescent="0.2">
      <c r="A490" s="107"/>
      <c r="B490" s="3"/>
      <c r="C490" s="53"/>
      <c r="D490" s="817"/>
      <c r="E490" s="648"/>
      <c r="F490" s="562"/>
      <c r="G490" s="562"/>
      <c r="H490" s="562"/>
      <c r="I490" s="562"/>
      <c r="J490" s="562"/>
    </row>
    <row r="491" spans="1:10" ht="15.75" hidden="1" customHeight="1" thickBot="1" x14ac:dyDescent="0.25">
      <c r="A491" s="107"/>
      <c r="B491" s="3"/>
      <c r="C491" s="53"/>
      <c r="D491" s="817"/>
      <c r="E491" s="648"/>
      <c r="F491" s="562"/>
      <c r="G491" s="562"/>
      <c r="H491" s="562"/>
      <c r="I491" s="562"/>
      <c r="J491" s="562"/>
    </row>
    <row r="492" spans="1:10" ht="15.75" customHeight="1" thickTop="1" x14ac:dyDescent="0.2">
      <c r="A492" s="75" t="s">
        <v>2586</v>
      </c>
      <c r="B492" s="132"/>
      <c r="C492" s="133"/>
      <c r="D492" s="819" t="s">
        <v>2587</v>
      </c>
      <c r="E492" s="981">
        <f>'Verification Report'!O492</f>
        <v>0</v>
      </c>
      <c r="F492" s="562"/>
      <c r="G492" s="562">
        <v>1</v>
      </c>
      <c r="H492" s="460"/>
      <c r="I492" s="562" t="s">
        <v>3840</v>
      </c>
      <c r="J492" s="562"/>
    </row>
    <row r="493" spans="1:10" x14ac:dyDescent="0.2">
      <c r="A493" s="70"/>
      <c r="B493" s="98"/>
      <c r="C493" s="65"/>
      <c r="D493" s="820"/>
      <c r="E493" s="924">
        <f>'Verification Report'!O493</f>
        <v>0</v>
      </c>
      <c r="F493" s="562"/>
      <c r="G493" s="562">
        <v>1</v>
      </c>
      <c r="H493" s="562"/>
      <c r="I493" s="562"/>
      <c r="J493" s="562"/>
    </row>
    <row r="494" spans="1:10" ht="16" thickBot="1" x14ac:dyDescent="0.25">
      <c r="A494" s="70"/>
      <c r="B494" s="98"/>
      <c r="C494" s="65"/>
      <c r="D494" s="820"/>
      <c r="E494" s="924">
        <f>'Verification Report'!O494</f>
        <v>0</v>
      </c>
      <c r="F494" s="562"/>
      <c r="G494" s="562">
        <v>1</v>
      </c>
      <c r="H494" s="562"/>
      <c r="I494" s="562"/>
      <c r="J494" s="562"/>
    </row>
    <row r="495" spans="1:10" ht="16" thickTop="1" x14ac:dyDescent="0.2">
      <c r="A495" s="75" t="s">
        <v>2588</v>
      </c>
      <c r="B495" s="132"/>
      <c r="C495" s="133"/>
      <c r="D495" s="95" t="s">
        <v>2589</v>
      </c>
      <c r="E495" s="673"/>
      <c r="F495" s="562"/>
      <c r="G495" s="562">
        <v>1</v>
      </c>
      <c r="H495" s="562"/>
      <c r="I495" s="562"/>
      <c r="J495" s="562"/>
    </row>
    <row r="496" spans="1:10" ht="15" customHeight="1" x14ac:dyDescent="0.2">
      <c r="A496" s="70" t="s">
        <v>2591</v>
      </c>
      <c r="B496" s="98"/>
      <c r="C496" s="65"/>
      <c r="D496" s="820" t="s">
        <v>2592</v>
      </c>
      <c r="E496" s="648"/>
      <c r="F496" s="458" t="str">
        <f>IF('Verification Report'!W496="","",'Verification Report'!W496)</f>
        <v/>
      </c>
      <c r="G496" s="562">
        <v>1</v>
      </c>
      <c r="H496" s="460"/>
      <c r="I496" s="562" t="s">
        <v>3839</v>
      </c>
      <c r="J496" s="562"/>
    </row>
    <row r="497" spans="1:10" x14ac:dyDescent="0.2">
      <c r="A497" s="70"/>
      <c r="B497" s="98"/>
      <c r="C497" s="65"/>
      <c r="D497" s="820"/>
      <c r="E497" s="648"/>
      <c r="F497" s="562"/>
      <c r="G497" s="562">
        <v>1</v>
      </c>
      <c r="H497" s="562"/>
      <c r="I497" s="562"/>
      <c r="J497" s="562"/>
    </row>
    <row r="498" spans="1:10" x14ac:dyDescent="0.2">
      <c r="A498" s="70"/>
      <c r="B498" s="98"/>
      <c r="C498" s="65"/>
      <c r="D498" s="820"/>
      <c r="E498" s="648"/>
      <c r="F498" s="562"/>
      <c r="G498" s="562">
        <v>1</v>
      </c>
      <c r="H498" s="562"/>
      <c r="I498" s="562"/>
      <c r="J498" s="562"/>
    </row>
    <row r="499" spans="1:10" x14ac:dyDescent="0.2">
      <c r="A499" s="70"/>
      <c r="B499" s="98"/>
      <c r="C499" s="65"/>
      <c r="D499" s="820"/>
      <c r="E499" s="648"/>
      <c r="F499" s="562"/>
      <c r="G499" s="562">
        <v>1</v>
      </c>
      <c r="H499" s="562"/>
      <c r="I499" s="562"/>
      <c r="J499" s="562"/>
    </row>
    <row r="500" spans="1:10" x14ac:dyDescent="0.2">
      <c r="A500" s="348"/>
      <c r="B500" s="165"/>
      <c r="C500" s="126"/>
      <c r="D500" s="832"/>
      <c r="E500" s="648"/>
      <c r="F500" s="562"/>
      <c r="G500" s="562">
        <v>1</v>
      </c>
      <c r="H500" s="562"/>
      <c r="I500" s="562"/>
      <c r="J500" s="562"/>
    </row>
    <row r="501" spans="1:10" ht="15" customHeight="1" x14ac:dyDescent="0.2">
      <c r="A501" s="70" t="s">
        <v>2594</v>
      </c>
      <c r="B501" s="98"/>
      <c r="C501" s="65"/>
      <c r="D501" s="820" t="s">
        <v>2595</v>
      </c>
      <c r="E501" s="924">
        <f>'Verification Report'!O501</f>
        <v>0</v>
      </c>
      <c r="F501" s="562"/>
      <c r="G501" s="562">
        <v>1</v>
      </c>
      <c r="H501" s="460"/>
      <c r="I501" s="562" t="s">
        <v>3839</v>
      </c>
      <c r="J501" s="562"/>
    </row>
    <row r="502" spans="1:10" x14ac:dyDescent="0.2">
      <c r="A502" s="348"/>
      <c r="B502" s="165"/>
      <c r="C502" s="126"/>
      <c r="D502" s="832"/>
      <c r="E502" s="942">
        <f>'Verification Report'!O502</f>
        <v>0</v>
      </c>
      <c r="F502" s="562"/>
      <c r="G502" s="562">
        <v>1</v>
      </c>
      <c r="H502" s="562"/>
      <c r="I502" s="562"/>
      <c r="J502" s="562"/>
    </row>
    <row r="503" spans="1:10" ht="16" thickBot="1" x14ac:dyDescent="0.25">
      <c r="A503" s="107" t="s">
        <v>2597</v>
      </c>
      <c r="B503" s="3"/>
      <c r="C503" s="53"/>
      <c r="D503" s="55" t="s">
        <v>2598</v>
      </c>
      <c r="E503" s="648">
        <f>'Verification Report'!O503</f>
        <v>0</v>
      </c>
      <c r="F503" s="562"/>
      <c r="G503" s="562">
        <v>1</v>
      </c>
      <c r="H503" s="460"/>
      <c r="I503" s="562" t="s">
        <v>3839</v>
      </c>
      <c r="J503" s="562"/>
    </row>
    <row r="504" spans="1:10" ht="20" hidden="1" thickBot="1" x14ac:dyDescent="0.3">
      <c r="A504" s="45" t="s">
        <v>2599</v>
      </c>
      <c r="B504" s="16"/>
      <c r="C504" s="52"/>
      <c r="D504" s="50"/>
      <c r="E504" s="44"/>
      <c r="F504" s="562"/>
      <c r="G504" s="562"/>
      <c r="H504" s="562"/>
      <c r="I504" s="562"/>
      <c r="J504" s="562"/>
    </row>
    <row r="505" spans="1:10" ht="15" hidden="1" customHeight="1" x14ac:dyDescent="0.2">
      <c r="A505" s="346" t="s">
        <v>2601</v>
      </c>
      <c r="B505" s="3"/>
      <c r="C505" s="53"/>
      <c r="D505" s="775" t="s">
        <v>2602</v>
      </c>
      <c r="E505" s="648"/>
      <c r="F505" s="562"/>
      <c r="G505" s="562"/>
      <c r="H505" s="562"/>
      <c r="I505" s="562"/>
      <c r="J505" s="562"/>
    </row>
    <row r="506" spans="1:10" ht="16" hidden="1" thickBot="1" x14ac:dyDescent="0.25">
      <c r="A506" s="107"/>
      <c r="B506" s="3"/>
      <c r="C506" s="53"/>
      <c r="D506" s="775"/>
      <c r="E506" s="648"/>
      <c r="F506" s="562"/>
      <c r="G506" s="562"/>
      <c r="H506" s="562"/>
      <c r="I506" s="562"/>
      <c r="J506" s="562"/>
    </row>
    <row r="507" spans="1:10" ht="15.75" hidden="1" customHeight="1" thickTop="1" x14ac:dyDescent="0.2">
      <c r="A507" s="75" t="s">
        <v>2603</v>
      </c>
      <c r="B507" s="132"/>
      <c r="C507" s="133"/>
      <c r="D507" s="819" t="s">
        <v>2604</v>
      </c>
      <c r="E507" s="981">
        <f>'Verification Report'!O507</f>
        <v>0</v>
      </c>
      <c r="F507" s="562"/>
      <c r="G507" s="562"/>
      <c r="H507" s="562"/>
      <c r="I507" s="562"/>
      <c r="J507" s="562"/>
    </row>
    <row r="508" spans="1:10" ht="15.75" hidden="1" customHeight="1" x14ac:dyDescent="0.2">
      <c r="A508" s="70"/>
      <c r="B508" s="98"/>
      <c r="C508" s="65"/>
      <c r="D508" s="820"/>
      <c r="E508" s="924">
        <f>'Verification Report'!O508</f>
        <v>0</v>
      </c>
      <c r="F508" s="562"/>
      <c r="G508" s="562"/>
      <c r="H508" s="562"/>
      <c r="I508" s="562"/>
      <c r="J508" s="562"/>
    </row>
    <row r="509" spans="1:10" ht="15.75" hidden="1" customHeight="1" x14ac:dyDescent="0.2">
      <c r="A509" s="70"/>
      <c r="B509" s="98"/>
      <c r="C509" s="65"/>
      <c r="D509" s="138" t="s">
        <v>2606</v>
      </c>
      <c r="E509" s="924">
        <f>'Verification Report'!O509</f>
        <v>0</v>
      </c>
      <c r="F509" s="562"/>
      <c r="G509" s="562"/>
      <c r="H509" s="562"/>
      <c r="I509" s="562"/>
      <c r="J509" s="562"/>
    </row>
    <row r="510" spans="1:10" ht="15" hidden="1" customHeight="1" x14ac:dyDescent="0.2">
      <c r="A510" s="70"/>
      <c r="B510" s="98"/>
      <c r="C510" s="65"/>
      <c r="D510" s="833" t="s">
        <v>2607</v>
      </c>
      <c r="E510" s="924">
        <f>'Verification Report'!O510</f>
        <v>0</v>
      </c>
      <c r="F510" s="562"/>
      <c r="G510" s="562"/>
      <c r="H510" s="562"/>
      <c r="I510" s="562"/>
      <c r="J510" s="562"/>
    </row>
    <row r="511" spans="1:10" ht="15.75" hidden="1" customHeight="1" x14ac:dyDescent="0.2">
      <c r="A511" s="70"/>
      <c r="B511" s="98"/>
      <c r="C511" s="65"/>
      <c r="D511" s="834"/>
      <c r="E511" s="924">
        <f>'Verification Report'!O511</f>
        <v>0</v>
      </c>
      <c r="F511" s="562"/>
      <c r="G511" s="562"/>
      <c r="H511" s="562"/>
      <c r="I511" s="562"/>
      <c r="J511" s="562"/>
    </row>
    <row r="512" spans="1:10" ht="15.75" hidden="1" customHeight="1" thickBot="1" x14ac:dyDescent="0.25">
      <c r="A512" s="70"/>
      <c r="B512" s="98"/>
      <c r="C512" s="65"/>
      <c r="D512" s="834"/>
      <c r="E512" s="924">
        <f>'Verification Report'!O512</f>
        <v>0</v>
      </c>
      <c r="F512" s="562"/>
      <c r="G512" s="562"/>
      <c r="H512" s="562"/>
      <c r="I512" s="562"/>
      <c r="J512" s="562"/>
    </row>
    <row r="513" spans="1:10" ht="15.75" hidden="1" customHeight="1" thickTop="1" x14ac:dyDescent="0.2">
      <c r="A513" s="75" t="s">
        <v>2608</v>
      </c>
      <c r="B513" s="132"/>
      <c r="C513" s="133"/>
      <c r="D513" s="819" t="s">
        <v>2609</v>
      </c>
      <c r="E513" s="981">
        <f>'Verification Report'!O513</f>
        <v>0</v>
      </c>
      <c r="F513" s="562"/>
      <c r="G513" s="562"/>
      <c r="H513" s="562"/>
      <c r="I513" s="562"/>
      <c r="J513" s="562"/>
    </row>
    <row r="514" spans="1:10" ht="15.75" hidden="1" customHeight="1" x14ac:dyDescent="0.2">
      <c r="A514" s="70"/>
      <c r="B514" s="98"/>
      <c r="C514" s="65"/>
      <c r="D514" s="820"/>
      <c r="E514" s="924">
        <f>'Verification Report'!O514</f>
        <v>0</v>
      </c>
      <c r="F514" s="562"/>
      <c r="G514" s="562"/>
      <c r="H514" s="562"/>
      <c r="I514" s="562"/>
      <c r="J514" s="562"/>
    </row>
    <row r="515" spans="1:10" ht="15.75" hidden="1" customHeight="1" x14ac:dyDescent="0.2">
      <c r="A515" s="70"/>
      <c r="B515" s="98"/>
      <c r="C515" s="65"/>
      <c r="D515" s="820"/>
      <c r="E515" s="924">
        <f>'Verification Report'!O515</f>
        <v>0</v>
      </c>
      <c r="F515" s="562"/>
      <c r="G515" s="562"/>
      <c r="H515" s="562"/>
      <c r="I515" s="562"/>
      <c r="J515" s="562"/>
    </row>
    <row r="516" spans="1:10" ht="26.25" hidden="1" customHeight="1" x14ac:dyDescent="0.2">
      <c r="A516" s="70"/>
      <c r="B516" s="98"/>
      <c r="C516" s="65"/>
      <c r="D516" s="645" t="s">
        <v>2611</v>
      </c>
      <c r="E516" s="924">
        <f>'Verification Report'!O516</f>
        <v>0</v>
      </c>
      <c r="F516" s="562"/>
      <c r="G516" s="562"/>
      <c r="H516" s="562"/>
      <c r="I516" s="562"/>
      <c r="J516" s="562"/>
    </row>
    <row r="517" spans="1:10" ht="15" hidden="1" customHeight="1" x14ac:dyDescent="0.2">
      <c r="A517" s="70"/>
      <c r="B517" s="98"/>
      <c r="C517" s="65"/>
      <c r="D517" s="833" t="s">
        <v>2607</v>
      </c>
      <c r="E517" s="924">
        <f>'Verification Report'!O517</f>
        <v>0</v>
      </c>
      <c r="F517" s="562"/>
      <c r="G517" s="562"/>
      <c r="H517" s="562"/>
      <c r="I517" s="562"/>
      <c r="J517" s="562"/>
    </row>
    <row r="518" spans="1:10" ht="15.75" hidden="1" customHeight="1" x14ac:dyDescent="0.2">
      <c r="A518" s="70"/>
      <c r="B518" s="98"/>
      <c r="C518" s="65"/>
      <c r="D518" s="834"/>
      <c r="E518" s="924">
        <f>'Verification Report'!O518</f>
        <v>0</v>
      </c>
      <c r="F518" s="562"/>
      <c r="G518" s="562"/>
      <c r="H518" s="562"/>
      <c r="I518" s="562"/>
      <c r="J518" s="562"/>
    </row>
    <row r="519" spans="1:10" ht="15.75" hidden="1" customHeight="1" thickBot="1" x14ac:dyDescent="0.25">
      <c r="A519" s="70"/>
      <c r="B519" s="98"/>
      <c r="C519" s="65"/>
      <c r="D519" s="834"/>
      <c r="E519" s="924">
        <f>'Verification Report'!O519</f>
        <v>0</v>
      </c>
      <c r="F519" s="562"/>
      <c r="G519" s="562"/>
      <c r="H519" s="562"/>
      <c r="I519" s="562"/>
      <c r="J519" s="562"/>
    </row>
    <row r="520" spans="1:10" ht="15.75" hidden="1" customHeight="1" thickTop="1" x14ac:dyDescent="0.2">
      <c r="A520" s="75" t="s">
        <v>2612</v>
      </c>
      <c r="B520" s="132"/>
      <c r="C520" s="133"/>
      <c r="D520" s="819" t="s">
        <v>2613</v>
      </c>
      <c r="E520" s="981">
        <f>'Verification Report'!O520</f>
        <v>0</v>
      </c>
      <c r="F520" s="562"/>
      <c r="G520" s="562"/>
      <c r="H520" s="562"/>
      <c r="I520" s="562"/>
      <c r="J520" s="562"/>
    </row>
    <row r="521" spans="1:10" ht="15.75" hidden="1" customHeight="1" x14ac:dyDescent="0.2">
      <c r="A521" s="70"/>
      <c r="B521" s="98"/>
      <c r="C521" s="65"/>
      <c r="D521" s="820"/>
      <c r="E521" s="924">
        <f>'Verification Report'!O521</f>
        <v>0</v>
      </c>
      <c r="F521" s="562"/>
      <c r="G521" s="562"/>
      <c r="H521" s="562"/>
      <c r="I521" s="562"/>
      <c r="J521" s="562"/>
    </row>
    <row r="522" spans="1:10" ht="26.25" hidden="1" customHeight="1" x14ac:dyDescent="0.2">
      <c r="A522" s="70"/>
      <c r="B522" s="98"/>
      <c r="C522" s="65"/>
      <c r="D522" s="633" t="s">
        <v>2614</v>
      </c>
      <c r="E522" s="924">
        <f>'Verification Report'!O522</f>
        <v>0</v>
      </c>
      <c r="F522" s="562"/>
      <c r="G522" s="562"/>
      <c r="H522" s="562"/>
      <c r="I522" s="562"/>
      <c r="J522" s="562"/>
    </row>
    <row r="523" spans="1:10" ht="20" hidden="1" thickBot="1" x14ac:dyDescent="0.3">
      <c r="A523" s="45" t="s">
        <v>2615</v>
      </c>
      <c r="B523" s="16"/>
      <c r="C523" s="52"/>
      <c r="D523" s="50"/>
      <c r="E523" s="44"/>
      <c r="F523" s="562"/>
      <c r="G523" s="562"/>
      <c r="H523" s="562"/>
      <c r="I523" s="562"/>
      <c r="J523" s="562"/>
    </row>
    <row r="524" spans="1:10" ht="15" hidden="1" customHeight="1" x14ac:dyDescent="0.2">
      <c r="A524" s="107" t="s">
        <v>2616</v>
      </c>
      <c r="B524" s="3"/>
      <c r="C524" s="53"/>
      <c r="D524" s="775" t="s">
        <v>2617</v>
      </c>
      <c r="E524" s="887">
        <f>IFERROR(INDEX({0,1,2,3},MATCH(MIN(#REF!+0,#REF!+0),{0,0.25,0.5,0.75},1)),0)+IFERROR(INDEX({0,2,4,6},MATCH(MIN(#REF!+0,#REF!+0),{0,0.25,0.5,0.75},1)),0)</f>
        <v>0</v>
      </c>
      <c r="F524" s="562"/>
      <c r="G524" s="562"/>
      <c r="H524" s="562"/>
      <c r="I524" s="562"/>
      <c r="J524" s="562"/>
    </row>
    <row r="525" spans="1:10" ht="15.75" hidden="1" customHeight="1" x14ac:dyDescent="0.2">
      <c r="A525" s="107"/>
      <c r="B525" s="3"/>
      <c r="C525" s="53"/>
      <c r="D525" s="775"/>
      <c r="E525" s="887"/>
      <c r="F525" s="562"/>
      <c r="G525" s="562"/>
      <c r="H525" s="562"/>
      <c r="I525" s="562"/>
      <c r="J525" s="562"/>
    </row>
    <row r="526" spans="1:10" ht="15.75" hidden="1" customHeight="1" x14ac:dyDescent="0.2">
      <c r="A526" s="107"/>
      <c r="B526" s="3"/>
      <c r="C526" s="53"/>
      <c r="D526" s="567" t="s">
        <v>2620</v>
      </c>
      <c r="E526" s="887"/>
      <c r="F526" s="562"/>
      <c r="G526" s="562"/>
      <c r="H526" s="562"/>
      <c r="I526" s="562"/>
      <c r="J526" s="562"/>
    </row>
    <row r="527" spans="1:10" ht="15.75" hidden="1" customHeight="1" x14ac:dyDescent="0.2">
      <c r="A527" s="107"/>
      <c r="B527" s="3"/>
      <c r="C527" s="53"/>
      <c r="D527" s="217" t="s">
        <v>3438</v>
      </c>
      <c r="E527" s="887"/>
      <c r="F527" s="562"/>
      <c r="G527" s="562"/>
      <c r="H527" s="562"/>
      <c r="I527" s="562"/>
      <c r="J527" s="562"/>
    </row>
    <row r="528" spans="1:10" ht="15" hidden="1" customHeight="1" x14ac:dyDescent="0.2">
      <c r="A528" s="107"/>
      <c r="B528" s="3"/>
      <c r="C528" s="53"/>
      <c r="D528" s="816" t="s">
        <v>2623</v>
      </c>
      <c r="E528" s="887"/>
      <c r="F528" s="562"/>
      <c r="G528" s="562"/>
      <c r="H528" s="562"/>
      <c r="I528" s="562"/>
      <c r="J528" s="562"/>
    </row>
    <row r="529" spans="1:10" ht="15.75" hidden="1" customHeight="1" x14ac:dyDescent="0.2">
      <c r="A529" s="107"/>
      <c r="B529" s="3"/>
      <c r="C529" s="53"/>
      <c r="D529" s="816"/>
      <c r="E529" s="887"/>
      <c r="F529" s="562"/>
      <c r="G529" s="562"/>
      <c r="H529" s="562"/>
      <c r="I529" s="562"/>
      <c r="J529" s="562"/>
    </row>
    <row r="530" spans="1:10" ht="15.75" hidden="1" customHeight="1" x14ac:dyDescent="0.2">
      <c r="A530" s="107"/>
      <c r="B530" s="3"/>
      <c r="C530" s="53"/>
      <c r="D530" s="562"/>
      <c r="E530" s="887"/>
      <c r="F530" s="562"/>
      <c r="G530" s="562"/>
      <c r="H530" s="562"/>
      <c r="I530" s="562"/>
      <c r="J530" s="562"/>
    </row>
    <row r="531" spans="1:10" ht="15.75" hidden="1" customHeight="1" x14ac:dyDescent="0.2">
      <c r="A531" s="107"/>
      <c r="B531" s="3"/>
      <c r="C531" s="53"/>
      <c r="D531" s="562"/>
      <c r="E531" s="887"/>
      <c r="F531" s="562"/>
      <c r="G531" s="562"/>
      <c r="H531" s="562"/>
      <c r="I531" s="562"/>
      <c r="J531" s="562"/>
    </row>
    <row r="532" spans="1:10" ht="20" hidden="1" thickBot="1" x14ac:dyDescent="0.3">
      <c r="A532" s="45" t="s">
        <v>2626</v>
      </c>
      <c r="B532" s="16"/>
      <c r="C532" s="52"/>
      <c r="D532" s="45"/>
      <c r="E532" s="44"/>
      <c r="F532" s="562"/>
      <c r="G532" s="562"/>
      <c r="H532" s="562"/>
      <c r="I532" s="562"/>
      <c r="J532" s="562"/>
    </row>
    <row r="533" spans="1:10" ht="15" hidden="1" customHeight="1" x14ac:dyDescent="0.2">
      <c r="A533" s="346" t="s">
        <v>2628</v>
      </c>
      <c r="B533" s="3"/>
      <c r="C533" s="53"/>
      <c r="D533" s="775" t="s">
        <v>2629</v>
      </c>
      <c r="E533" s="648"/>
      <c r="F533" s="562"/>
      <c r="G533" s="562"/>
      <c r="H533" s="562"/>
      <c r="I533" s="562"/>
      <c r="J533" s="562"/>
    </row>
    <row r="534" spans="1:10" ht="16" hidden="1" thickBot="1" x14ac:dyDescent="0.25">
      <c r="A534" s="107"/>
      <c r="B534" s="3"/>
      <c r="C534" s="53"/>
      <c r="D534" s="775"/>
      <c r="E534" s="648"/>
      <c r="F534" s="562"/>
      <c r="G534" s="562"/>
      <c r="H534" s="562"/>
      <c r="I534" s="562"/>
      <c r="J534" s="562"/>
    </row>
    <row r="535" spans="1:10" s="485" customFormat="1" ht="17" hidden="1" thickTop="1" thickBot="1" x14ac:dyDescent="0.25">
      <c r="A535" s="75" t="s">
        <v>2630</v>
      </c>
      <c r="B535" s="131"/>
      <c r="C535" s="131"/>
      <c r="D535" s="819" t="s">
        <v>2631</v>
      </c>
      <c r="E535" s="131"/>
      <c r="F535" s="562"/>
      <c r="G535" s="562"/>
      <c r="H535" s="562"/>
      <c r="I535" s="562"/>
      <c r="J535" s="562"/>
    </row>
    <row r="536" spans="1:10" s="485" customFormat="1" ht="16" hidden="1" thickBot="1" x14ac:dyDescent="0.25">
      <c r="A536" s="107"/>
      <c r="B536" s="3"/>
      <c r="C536" s="53"/>
      <c r="D536" s="820"/>
      <c r="E536" s="648"/>
      <c r="F536" s="562"/>
      <c r="G536" s="562"/>
      <c r="H536" s="562"/>
      <c r="I536" s="562"/>
      <c r="J536" s="562"/>
    </row>
    <row r="537" spans="1:10" s="485" customFormat="1" ht="16" hidden="1" thickBot="1" x14ac:dyDescent="0.25">
      <c r="A537" s="107"/>
      <c r="B537" s="3"/>
      <c r="C537" s="53"/>
      <c r="D537" s="822"/>
      <c r="E537" s="648"/>
      <c r="F537" s="562"/>
      <c r="G537" s="562"/>
      <c r="H537" s="562"/>
      <c r="I537" s="562"/>
      <c r="J537" s="562"/>
    </row>
    <row r="538" spans="1:10" ht="15.75" hidden="1" customHeight="1" thickTop="1" x14ac:dyDescent="0.2">
      <c r="A538" s="75" t="s">
        <v>2632</v>
      </c>
      <c r="B538" s="132"/>
      <c r="C538" s="133"/>
      <c r="D538" s="819" t="s">
        <v>2633</v>
      </c>
      <c r="E538" s="981">
        <f>'Verification Report'!O538</f>
        <v>0</v>
      </c>
      <c r="F538" s="562"/>
      <c r="G538" s="562"/>
      <c r="H538" s="562"/>
      <c r="I538" s="562"/>
      <c r="J538" s="562"/>
    </row>
    <row r="539" spans="1:10" ht="15.75" hidden="1" customHeight="1" x14ac:dyDescent="0.2">
      <c r="A539" s="70"/>
      <c r="B539" s="98"/>
      <c r="C539" s="65"/>
      <c r="D539" s="820"/>
      <c r="E539" s="924">
        <f>'Verification Report'!O539</f>
        <v>0</v>
      </c>
      <c r="F539" s="562"/>
      <c r="G539" s="562"/>
      <c r="H539" s="562"/>
      <c r="I539" s="562"/>
      <c r="J539" s="562"/>
    </row>
    <row r="540" spans="1:10" ht="15.75" hidden="1" customHeight="1" x14ac:dyDescent="0.2">
      <c r="A540" s="70"/>
      <c r="B540" s="98"/>
      <c r="C540" s="65"/>
      <c r="D540" s="820"/>
      <c r="E540" s="924">
        <f>'Verification Report'!O540</f>
        <v>0</v>
      </c>
      <c r="F540" s="562"/>
      <c r="G540" s="562"/>
      <c r="H540" s="562"/>
      <c r="I540" s="562"/>
      <c r="J540" s="562"/>
    </row>
    <row r="541" spans="1:10" ht="15.75" hidden="1" customHeight="1" x14ac:dyDescent="0.2">
      <c r="A541" s="70"/>
      <c r="B541" s="98"/>
      <c r="C541" s="65"/>
      <c r="D541" s="820"/>
      <c r="E541" s="924">
        <f>'Verification Report'!O541</f>
        <v>0</v>
      </c>
      <c r="F541" s="562"/>
      <c r="G541" s="562"/>
      <c r="H541" s="562"/>
      <c r="I541" s="562"/>
      <c r="J541" s="562"/>
    </row>
    <row r="542" spans="1:10" ht="15.75" hidden="1" customHeight="1" x14ac:dyDescent="0.2">
      <c r="A542" s="70"/>
      <c r="B542" s="98"/>
      <c r="C542" s="65"/>
      <c r="D542" s="820"/>
      <c r="E542" s="924">
        <f>'Verification Report'!O542</f>
        <v>0</v>
      </c>
      <c r="F542" s="562"/>
      <c r="G542" s="562"/>
      <c r="H542" s="562"/>
      <c r="I542" s="562"/>
      <c r="J542" s="562"/>
    </row>
    <row r="543" spans="1:10" ht="15.75" hidden="1" customHeight="1" x14ac:dyDescent="0.2">
      <c r="A543" s="70"/>
      <c r="B543" s="98"/>
      <c r="C543" s="65"/>
      <c r="D543" s="820"/>
      <c r="E543" s="924">
        <f>'Verification Report'!O543</f>
        <v>0</v>
      </c>
      <c r="F543" s="562"/>
      <c r="G543" s="562"/>
      <c r="H543" s="562"/>
      <c r="I543" s="562"/>
      <c r="J543" s="562"/>
    </row>
    <row r="544" spans="1:10" ht="15" hidden="1" customHeight="1" x14ac:dyDescent="0.2">
      <c r="A544" s="70"/>
      <c r="B544" s="98"/>
      <c r="C544" s="65"/>
      <c r="D544" s="791" t="s">
        <v>2634</v>
      </c>
      <c r="E544" s="924">
        <f>'Verification Report'!O544</f>
        <v>0</v>
      </c>
      <c r="F544" s="562"/>
      <c r="G544" s="562"/>
      <c r="H544" s="562"/>
      <c r="I544" s="562"/>
      <c r="J544" s="562"/>
    </row>
    <row r="545" spans="1:10" ht="15.75" hidden="1" customHeight="1" x14ac:dyDescent="0.2">
      <c r="A545" s="70"/>
      <c r="B545" s="98"/>
      <c r="C545" s="65"/>
      <c r="D545" s="791"/>
      <c r="E545" s="924">
        <f>'Verification Report'!O545</f>
        <v>0</v>
      </c>
      <c r="F545" s="562"/>
      <c r="G545" s="562"/>
      <c r="H545" s="562"/>
      <c r="I545" s="562"/>
      <c r="J545" s="562"/>
    </row>
    <row r="546" spans="1:10" ht="15.75" hidden="1" customHeight="1" x14ac:dyDescent="0.2">
      <c r="A546" s="70"/>
      <c r="B546" s="98"/>
      <c r="C546" s="65"/>
      <c r="D546" s="791"/>
      <c r="E546" s="924">
        <f>'Verification Report'!O546</f>
        <v>0</v>
      </c>
      <c r="F546" s="562"/>
      <c r="G546" s="562"/>
      <c r="H546" s="562"/>
      <c r="I546" s="562"/>
      <c r="J546" s="562"/>
    </row>
    <row r="547" spans="1:10" ht="15.75" hidden="1" customHeight="1" x14ac:dyDescent="0.2">
      <c r="A547" s="70"/>
      <c r="B547" s="98"/>
      <c r="C547" s="65"/>
      <c r="D547" s="791"/>
      <c r="E547" s="924">
        <f>'Verification Report'!O547</f>
        <v>0</v>
      </c>
      <c r="F547" s="562"/>
      <c r="G547" s="562"/>
      <c r="H547" s="562"/>
      <c r="I547" s="562"/>
      <c r="J547" s="562"/>
    </row>
    <row r="548" spans="1:10" ht="15.75" hidden="1" customHeight="1" x14ac:dyDescent="0.2">
      <c r="A548" s="70"/>
      <c r="B548" s="98"/>
      <c r="C548" s="65"/>
      <c r="D548" s="140" t="s">
        <v>2635</v>
      </c>
      <c r="E548" s="924">
        <f>'Verification Report'!O548</f>
        <v>0</v>
      </c>
      <c r="F548" s="562"/>
      <c r="G548" s="562"/>
      <c r="H548" s="562"/>
      <c r="I548" s="562"/>
      <c r="J548" s="562"/>
    </row>
    <row r="549" spans="1:10" ht="15" hidden="1" customHeight="1" x14ac:dyDescent="0.2">
      <c r="A549" s="70"/>
      <c r="B549" s="134" t="s">
        <v>2181</v>
      </c>
      <c r="C549" s="65"/>
      <c r="D549" s="791" t="s">
        <v>2636</v>
      </c>
      <c r="E549" s="924">
        <f>'Verification Report'!O549</f>
        <v>0</v>
      </c>
      <c r="F549" s="562"/>
      <c r="G549" s="562"/>
      <c r="H549" s="562"/>
      <c r="I549" s="562"/>
      <c r="J549" s="562"/>
    </row>
    <row r="550" spans="1:10" ht="15.75" hidden="1" customHeight="1" x14ac:dyDescent="0.2">
      <c r="A550" s="70"/>
      <c r="B550" s="98"/>
      <c r="C550" s="65"/>
      <c r="D550" s="791"/>
      <c r="E550" s="924">
        <f>'Verification Report'!O550</f>
        <v>0</v>
      </c>
      <c r="F550" s="562"/>
      <c r="G550" s="562"/>
      <c r="H550" s="562"/>
      <c r="I550" s="562"/>
      <c r="J550" s="562"/>
    </row>
    <row r="551" spans="1:10" ht="15" hidden="1" customHeight="1" x14ac:dyDescent="0.2">
      <c r="A551" s="70"/>
      <c r="B551" s="134" t="s">
        <v>2183</v>
      </c>
      <c r="C551" s="65"/>
      <c r="D551" s="791" t="s">
        <v>2637</v>
      </c>
      <c r="E551" s="924">
        <f>'Verification Report'!O551</f>
        <v>0</v>
      </c>
      <c r="F551" s="562"/>
      <c r="G551" s="562"/>
      <c r="H551" s="562"/>
      <c r="I551" s="562"/>
      <c r="J551" s="562"/>
    </row>
    <row r="552" spans="1:10" ht="15.75" hidden="1" customHeight="1" thickBot="1" x14ac:dyDescent="0.25">
      <c r="A552" s="70"/>
      <c r="B552" s="98"/>
      <c r="C552" s="65"/>
      <c r="D552" s="791"/>
      <c r="E552" s="924">
        <f>'Verification Report'!O552</f>
        <v>0</v>
      </c>
      <c r="F552" s="562"/>
      <c r="G552" s="562"/>
      <c r="H552" s="562"/>
      <c r="I552" s="562"/>
      <c r="J552" s="562"/>
    </row>
    <row r="553" spans="1:10" ht="15.75" hidden="1" customHeight="1" thickTop="1" x14ac:dyDescent="0.2">
      <c r="A553" s="75" t="s">
        <v>2638</v>
      </c>
      <c r="B553" s="132"/>
      <c r="C553" s="133"/>
      <c r="D553" s="819" t="s">
        <v>2639</v>
      </c>
      <c r="E553" s="981">
        <f>'Verification Report'!O553</f>
        <v>0</v>
      </c>
      <c r="F553" s="562"/>
      <c r="G553" s="562"/>
      <c r="H553" s="562"/>
      <c r="I553" s="562"/>
      <c r="J553" s="562"/>
    </row>
    <row r="554" spans="1:10" ht="15.75" hidden="1" customHeight="1" x14ac:dyDescent="0.2">
      <c r="A554" s="70"/>
      <c r="B554" s="98"/>
      <c r="C554" s="65"/>
      <c r="D554" s="820"/>
      <c r="E554" s="924">
        <f>'Verification Report'!O554</f>
        <v>0</v>
      </c>
      <c r="F554" s="562"/>
      <c r="G554" s="562"/>
      <c r="H554" s="562"/>
      <c r="I554" s="562"/>
      <c r="J554" s="562"/>
    </row>
    <row r="555" spans="1:10" ht="15" hidden="1" customHeight="1" x14ac:dyDescent="0.2">
      <c r="A555" s="70"/>
      <c r="B555" s="98"/>
      <c r="C555" s="61" t="s">
        <v>2196</v>
      </c>
      <c r="D555" s="791" t="s">
        <v>2640</v>
      </c>
      <c r="E555" s="668"/>
      <c r="F555" s="562"/>
      <c r="G555" s="562"/>
      <c r="H555" s="562"/>
      <c r="I555" s="562"/>
      <c r="J555" s="562"/>
    </row>
    <row r="556" spans="1:10" ht="15.75" hidden="1" customHeight="1" x14ac:dyDescent="0.2">
      <c r="A556" s="70"/>
      <c r="B556" s="98"/>
      <c r="C556" s="65"/>
      <c r="D556" s="791"/>
      <c r="E556" s="668"/>
      <c r="F556" s="562"/>
      <c r="G556" s="562"/>
      <c r="H556" s="562"/>
      <c r="I556" s="562"/>
      <c r="J556" s="562"/>
    </row>
    <row r="557" spans="1:10" ht="15.75" hidden="1" customHeight="1" x14ac:dyDescent="0.2">
      <c r="A557" s="70"/>
      <c r="B557" s="98"/>
      <c r="C557" s="126"/>
      <c r="D557" s="792"/>
      <c r="E557" s="668"/>
      <c r="F557" s="562"/>
      <c r="G557" s="562"/>
      <c r="H557" s="562"/>
      <c r="I557" s="562"/>
      <c r="J557" s="562"/>
    </row>
    <row r="558" spans="1:10" ht="15.75" hidden="1" customHeight="1" x14ac:dyDescent="0.2">
      <c r="A558" s="70"/>
      <c r="B558" s="98"/>
      <c r="C558" s="167" t="s">
        <v>2198</v>
      </c>
      <c r="D558" s="162" t="s">
        <v>2641</v>
      </c>
      <c r="E558" s="668"/>
      <c r="F558" s="562"/>
      <c r="G558" s="562"/>
      <c r="H558" s="562"/>
      <c r="I558" s="562"/>
      <c r="J558" s="562"/>
    </row>
    <row r="559" spans="1:10" ht="15" hidden="1" customHeight="1" x14ac:dyDescent="0.2">
      <c r="A559" s="70"/>
      <c r="B559" s="98"/>
      <c r="C559" s="79" t="s">
        <v>2200</v>
      </c>
      <c r="D559" s="791" t="s">
        <v>3441</v>
      </c>
      <c r="E559" s="668"/>
      <c r="F559" s="562"/>
      <c r="G559" s="562"/>
      <c r="H559" s="562"/>
      <c r="I559" s="562"/>
      <c r="J559" s="562"/>
    </row>
    <row r="560" spans="1:10" ht="15.75" hidden="1" customHeight="1" x14ac:dyDescent="0.2">
      <c r="A560" s="70"/>
      <c r="B560" s="98"/>
      <c r="C560" s="140"/>
      <c r="D560" s="791"/>
      <c r="E560" s="668"/>
      <c r="F560" s="562"/>
      <c r="G560" s="562"/>
      <c r="H560" s="562"/>
      <c r="I560" s="562"/>
      <c r="J560" s="562"/>
    </row>
    <row r="561" spans="1:10" ht="15.75" hidden="1" customHeight="1" thickBot="1" x14ac:dyDescent="0.25">
      <c r="A561" s="70"/>
      <c r="B561" s="98"/>
      <c r="C561" s="65"/>
      <c r="D561" s="791"/>
      <c r="E561" s="668"/>
      <c r="F561" s="562"/>
      <c r="G561" s="562"/>
      <c r="H561" s="562"/>
      <c r="I561" s="562"/>
      <c r="J561" s="562"/>
    </row>
    <row r="562" spans="1:10" ht="15.75" hidden="1" customHeight="1" thickTop="1" x14ac:dyDescent="0.2">
      <c r="A562" s="75" t="s">
        <v>2644</v>
      </c>
      <c r="B562" s="132"/>
      <c r="C562" s="133"/>
      <c r="D562" s="819" t="s">
        <v>2645</v>
      </c>
      <c r="E562" s="981">
        <f>'Verification Report'!O562</f>
        <v>0</v>
      </c>
      <c r="F562" s="562"/>
      <c r="G562" s="562"/>
      <c r="H562" s="562"/>
      <c r="I562" s="562"/>
      <c r="J562" s="562"/>
    </row>
    <row r="563" spans="1:10" ht="16" hidden="1" thickBot="1" x14ac:dyDescent="0.25">
      <c r="A563" s="70"/>
      <c r="B563" s="98"/>
      <c r="C563" s="65"/>
      <c r="D563" s="820"/>
      <c r="E563" s="924">
        <f>'Verification Report'!O563</f>
        <v>0</v>
      </c>
      <c r="F563" s="562"/>
      <c r="G563" s="562"/>
      <c r="H563" s="562"/>
      <c r="I563" s="562"/>
      <c r="J563" s="562"/>
    </row>
    <row r="564" spans="1:10" ht="16" hidden="1" thickBot="1" x14ac:dyDescent="0.25">
      <c r="A564" s="107"/>
      <c r="B564" s="159" t="s">
        <v>2181</v>
      </c>
      <c r="C564" s="126"/>
      <c r="D564" s="126" t="s">
        <v>2647</v>
      </c>
      <c r="E564" s="648"/>
      <c r="F564" s="562"/>
      <c r="G564" s="562"/>
      <c r="H564" s="562"/>
      <c r="I564" s="562"/>
      <c r="J564" s="562"/>
    </row>
    <row r="565" spans="1:10" ht="16" hidden="1" thickBot="1" x14ac:dyDescent="0.25">
      <c r="A565" s="107"/>
      <c r="B565" s="20" t="s">
        <v>2183</v>
      </c>
      <c r="C565" s="53"/>
      <c r="D565" s="53" t="s">
        <v>2648</v>
      </c>
      <c r="E565" s="648"/>
      <c r="F565" s="562"/>
      <c r="G565" s="562"/>
      <c r="H565" s="562"/>
      <c r="I565" s="562"/>
      <c r="J565" s="562"/>
    </row>
    <row r="566" spans="1:10" ht="15.75" hidden="1" customHeight="1" x14ac:dyDescent="0.2">
      <c r="A566" s="107"/>
      <c r="B566" s="3"/>
      <c r="C566" s="125" t="s">
        <v>2196</v>
      </c>
      <c r="D566" s="126" t="s">
        <v>2649</v>
      </c>
      <c r="E566" s="648"/>
      <c r="F566" s="562"/>
      <c r="G566" s="562"/>
      <c r="H566" s="562"/>
      <c r="I566" s="562"/>
      <c r="J566" s="562"/>
    </row>
    <row r="567" spans="1:10" ht="15.75" hidden="1" customHeight="1" x14ac:dyDescent="0.2">
      <c r="A567" s="107"/>
      <c r="B567" s="3"/>
      <c r="C567" s="167" t="s">
        <v>2198</v>
      </c>
      <c r="D567" s="162" t="s">
        <v>2650</v>
      </c>
      <c r="E567" s="648"/>
      <c r="F567" s="562"/>
      <c r="G567" s="562"/>
      <c r="H567" s="562"/>
      <c r="I567" s="562"/>
      <c r="J567" s="562"/>
    </row>
    <row r="568" spans="1:10" ht="15.75" hidden="1" customHeight="1" x14ac:dyDescent="0.2">
      <c r="A568" s="107"/>
      <c r="B568" s="3"/>
      <c r="C568" s="172" t="s">
        <v>2200</v>
      </c>
      <c r="D568" s="162" t="s">
        <v>2651</v>
      </c>
      <c r="E568" s="648"/>
      <c r="F568" s="562"/>
      <c r="G568" s="562"/>
      <c r="H568" s="562"/>
      <c r="I568" s="562"/>
      <c r="J568" s="562"/>
    </row>
    <row r="569" spans="1:10" ht="15.75" hidden="1" customHeight="1" x14ac:dyDescent="0.2">
      <c r="A569" s="107"/>
      <c r="B569" s="3"/>
      <c r="C569" s="173" t="s">
        <v>2247</v>
      </c>
      <c r="D569" s="162" t="s">
        <v>2652</v>
      </c>
      <c r="E569" s="648"/>
      <c r="F569" s="562"/>
      <c r="G569" s="562"/>
      <c r="H569" s="562"/>
      <c r="I569" s="562"/>
      <c r="J569" s="562"/>
    </row>
    <row r="570" spans="1:10" ht="15.75" hidden="1" customHeight="1" x14ac:dyDescent="0.2">
      <c r="A570" s="107"/>
      <c r="B570" s="3"/>
      <c r="C570" s="167" t="s">
        <v>2444</v>
      </c>
      <c r="D570" s="162" t="s">
        <v>2653</v>
      </c>
      <c r="E570" s="648"/>
      <c r="F570" s="562"/>
      <c r="G570" s="562"/>
      <c r="H570" s="562"/>
      <c r="I570" s="562"/>
      <c r="J570" s="562"/>
    </row>
    <row r="571" spans="1:10" ht="15.75" hidden="1" customHeight="1" x14ac:dyDescent="0.2">
      <c r="A571" s="107"/>
      <c r="B571" s="3"/>
      <c r="C571" s="167" t="s">
        <v>2540</v>
      </c>
      <c r="D571" s="162" t="s">
        <v>2654</v>
      </c>
      <c r="E571" s="648"/>
      <c r="F571" s="562"/>
      <c r="G571" s="562"/>
      <c r="H571" s="562"/>
      <c r="I571" s="562"/>
      <c r="J571" s="562"/>
    </row>
    <row r="572" spans="1:10" ht="15.75" hidden="1" customHeight="1" x14ac:dyDescent="0.2">
      <c r="A572" s="107"/>
      <c r="B572" s="3"/>
      <c r="C572" s="172" t="s">
        <v>2542</v>
      </c>
      <c r="D572" s="162" t="s">
        <v>2655</v>
      </c>
      <c r="E572" s="648"/>
      <c r="F572" s="562"/>
      <c r="G572" s="562"/>
      <c r="H572" s="562"/>
      <c r="I572" s="562"/>
      <c r="J572" s="562"/>
    </row>
    <row r="573" spans="1:10" ht="16" hidden="1" thickBot="1" x14ac:dyDescent="0.25">
      <c r="A573" s="107"/>
      <c r="B573" s="562"/>
      <c r="C573" s="173" t="s">
        <v>2544</v>
      </c>
      <c r="D573" s="162" t="s">
        <v>2656</v>
      </c>
      <c r="E573" s="648"/>
      <c r="F573" s="562"/>
      <c r="G573" s="562"/>
      <c r="H573" s="562"/>
      <c r="I573" s="562"/>
      <c r="J573" s="562"/>
    </row>
    <row r="574" spans="1:10" ht="16" hidden="1" thickBot="1" x14ac:dyDescent="0.25">
      <c r="A574" s="107"/>
      <c r="B574" s="562"/>
      <c r="C574" s="55" t="s">
        <v>2657</v>
      </c>
      <c r="D574" s="53" t="s">
        <v>2656</v>
      </c>
      <c r="E574" s="648"/>
      <c r="F574" s="562"/>
      <c r="G574" s="562"/>
      <c r="H574" s="562"/>
      <c r="I574" s="562"/>
      <c r="J574" s="562"/>
    </row>
    <row r="575" spans="1:10" ht="16" hidden="1" thickBot="1" x14ac:dyDescent="0.25">
      <c r="A575" s="107"/>
      <c r="B575" s="562"/>
      <c r="C575" s="55"/>
      <c r="D575" s="567" t="s">
        <v>2658</v>
      </c>
      <c r="E575" s="648"/>
      <c r="F575" s="562"/>
      <c r="G575" s="562"/>
      <c r="H575" s="562"/>
      <c r="I575" s="562"/>
      <c r="J575" s="562"/>
    </row>
    <row r="576" spans="1:10" ht="20" hidden="1" thickBot="1" x14ac:dyDescent="0.3">
      <c r="A576" s="45" t="s">
        <v>2659</v>
      </c>
      <c r="B576" s="16"/>
      <c r="C576" s="52"/>
      <c r="D576" s="50"/>
      <c r="E576" s="44"/>
      <c r="F576" s="562"/>
      <c r="G576" s="562"/>
      <c r="H576" s="562"/>
      <c r="I576" s="562"/>
      <c r="J576" s="562"/>
    </row>
    <row r="577" spans="1:10" ht="16" hidden="1" thickBot="1" x14ac:dyDescent="0.25">
      <c r="A577" s="346" t="s">
        <v>2661</v>
      </c>
      <c r="B577" s="3"/>
      <c r="C577" s="53"/>
      <c r="D577" s="55" t="s">
        <v>2662</v>
      </c>
      <c r="E577" s="648"/>
      <c r="F577" s="562"/>
      <c r="G577" s="562"/>
      <c r="H577" s="562"/>
      <c r="I577" s="562"/>
      <c r="J577" s="562"/>
    </row>
    <row r="578" spans="1:10" ht="17" hidden="1" thickTop="1" thickBot="1" x14ac:dyDescent="0.25">
      <c r="A578" s="75" t="s">
        <v>2663</v>
      </c>
      <c r="B578" s="132"/>
      <c r="C578" s="133"/>
      <c r="D578" s="95" t="s">
        <v>2664</v>
      </c>
      <c r="E578" s="981" t="e">
        <f ca="1">'Verification Report'!O578</f>
        <v>#REF!</v>
      </c>
      <c r="F578" s="562"/>
      <c r="G578" s="562"/>
      <c r="H578" s="562"/>
      <c r="I578" s="562"/>
      <c r="J578" s="562"/>
    </row>
    <row r="579" spans="1:10" ht="15.75" hidden="1" customHeight="1" x14ac:dyDescent="0.2">
      <c r="A579" s="70"/>
      <c r="B579" s="98"/>
      <c r="C579" s="61" t="s">
        <v>2196</v>
      </c>
      <c r="D579" s="65" t="s">
        <v>2665</v>
      </c>
      <c r="E579" s="924">
        <f>'Verification Report'!O579</f>
        <v>0</v>
      </c>
      <c r="F579" s="562"/>
      <c r="G579" s="562"/>
      <c r="H579" s="562"/>
      <c r="I579" s="562"/>
      <c r="J579" s="562"/>
    </row>
    <row r="580" spans="1:10" ht="15.75" hidden="1" customHeight="1" x14ac:dyDescent="0.2">
      <c r="A580" s="70"/>
      <c r="B580" s="98"/>
      <c r="C580" s="61" t="s">
        <v>2198</v>
      </c>
      <c r="D580" s="65" t="s">
        <v>2666</v>
      </c>
      <c r="E580" s="924">
        <f>'Verification Report'!O580</f>
        <v>0</v>
      </c>
      <c r="F580" s="562"/>
      <c r="G580" s="562"/>
      <c r="H580" s="562"/>
      <c r="I580" s="562"/>
      <c r="J580" s="562"/>
    </row>
    <row r="581" spans="1:10" ht="15.75" hidden="1" customHeight="1" x14ac:dyDescent="0.2">
      <c r="A581" s="70"/>
      <c r="B581" s="98"/>
      <c r="C581" s="79" t="s">
        <v>2200</v>
      </c>
      <c r="D581" s="65" t="s">
        <v>2667</v>
      </c>
      <c r="E581" s="924">
        <f>'Verification Report'!O581</f>
        <v>0</v>
      </c>
      <c r="F581" s="562"/>
      <c r="G581" s="562"/>
      <c r="H581" s="562"/>
      <c r="I581" s="562"/>
      <c r="J581" s="562"/>
    </row>
    <row r="582" spans="1:10" ht="15.75" hidden="1" customHeight="1" x14ac:dyDescent="0.2">
      <c r="A582" s="70"/>
      <c r="B582" s="98"/>
      <c r="C582" s="140" t="s">
        <v>2247</v>
      </c>
      <c r="D582" s="65" t="s">
        <v>2668</v>
      </c>
      <c r="E582" s="924">
        <f>'Verification Report'!O582</f>
        <v>0</v>
      </c>
      <c r="F582" s="562"/>
      <c r="G582" s="562"/>
      <c r="H582" s="562"/>
      <c r="I582" s="562"/>
      <c r="J582" s="562"/>
    </row>
    <row r="583" spans="1:10" ht="15.75" hidden="1" customHeight="1" x14ac:dyDescent="0.2">
      <c r="A583" s="70"/>
      <c r="B583" s="98"/>
      <c r="C583" s="61" t="s">
        <v>2444</v>
      </c>
      <c r="D583" s="65" t="s">
        <v>2669</v>
      </c>
      <c r="E583" s="924">
        <f>'Verification Report'!O583</f>
        <v>0</v>
      </c>
      <c r="F583" s="562"/>
      <c r="G583" s="562"/>
      <c r="H583" s="562"/>
      <c r="I583" s="562"/>
      <c r="J583" s="562"/>
    </row>
    <row r="584" spans="1:10" ht="15.75" hidden="1" customHeight="1" x14ac:dyDescent="0.2">
      <c r="A584" s="70"/>
      <c r="B584" s="98"/>
      <c r="C584" s="61" t="s">
        <v>2540</v>
      </c>
      <c r="D584" s="65" t="s">
        <v>2670</v>
      </c>
      <c r="E584" s="924">
        <f>'Verification Report'!O584</f>
        <v>0</v>
      </c>
      <c r="F584" s="562"/>
      <c r="G584" s="562"/>
      <c r="H584" s="562"/>
      <c r="I584" s="562"/>
      <c r="J584" s="562"/>
    </row>
    <row r="585" spans="1:10" ht="15.75" hidden="1" customHeight="1" x14ac:dyDescent="0.2">
      <c r="A585" s="70"/>
      <c r="B585" s="98"/>
      <c r="C585" s="79" t="s">
        <v>2542</v>
      </c>
      <c r="D585" s="65" t="s">
        <v>2671</v>
      </c>
      <c r="E585" s="924">
        <f>'Verification Report'!O585</f>
        <v>0</v>
      </c>
      <c r="F585" s="562"/>
      <c r="G585" s="562"/>
      <c r="H585" s="562"/>
      <c r="I585" s="562"/>
      <c r="J585" s="562"/>
    </row>
    <row r="586" spans="1:10" ht="15" hidden="1" customHeight="1" x14ac:dyDescent="0.2">
      <c r="A586" s="70"/>
      <c r="B586" s="98"/>
      <c r="C586" s="140" t="s">
        <v>2544</v>
      </c>
      <c r="D586" s="791" t="s">
        <v>2672</v>
      </c>
      <c r="E586" s="924">
        <f>'Verification Report'!O586</f>
        <v>0</v>
      </c>
      <c r="F586" s="562"/>
      <c r="G586" s="562"/>
      <c r="H586" s="562"/>
      <c r="I586" s="562"/>
      <c r="J586" s="562"/>
    </row>
    <row r="587" spans="1:10" ht="15.75" hidden="1" customHeight="1" x14ac:dyDescent="0.2">
      <c r="A587" s="70"/>
      <c r="B587" s="98"/>
      <c r="C587" s="140"/>
      <c r="D587" s="791"/>
      <c r="E587" s="924">
        <f>'Verification Report'!O587</f>
        <v>0</v>
      </c>
      <c r="F587" s="562"/>
      <c r="G587" s="562"/>
      <c r="H587" s="562"/>
      <c r="I587" s="562"/>
      <c r="J587" s="562"/>
    </row>
    <row r="588" spans="1:10" ht="15.75" hidden="1" customHeight="1" x14ac:dyDescent="0.2">
      <c r="A588" s="70"/>
      <c r="B588" s="98"/>
      <c r="C588" s="140"/>
      <c r="D588" s="570" t="s">
        <v>2673</v>
      </c>
      <c r="E588" s="668"/>
      <c r="F588" s="562"/>
      <c r="G588" s="562"/>
      <c r="H588" s="562"/>
      <c r="I588" s="562"/>
      <c r="J588" s="562"/>
    </row>
    <row r="589" spans="1:10" ht="15" hidden="1" customHeight="1" x14ac:dyDescent="0.2">
      <c r="A589" s="70"/>
      <c r="B589" s="134" t="s">
        <v>2181</v>
      </c>
      <c r="C589" s="65"/>
      <c r="D589" s="791" t="s">
        <v>2674</v>
      </c>
      <c r="E589" s="668"/>
      <c r="F589" s="562"/>
      <c r="G589" s="562"/>
      <c r="H589" s="562"/>
      <c r="I589" s="562"/>
      <c r="J589" s="562"/>
    </row>
    <row r="590" spans="1:10" ht="15.75" hidden="1" customHeight="1" x14ac:dyDescent="0.2">
      <c r="A590" s="70"/>
      <c r="B590" s="165"/>
      <c r="C590" s="126"/>
      <c r="D590" s="792"/>
      <c r="E590" s="668"/>
      <c r="F590" s="562"/>
      <c r="G590" s="562"/>
      <c r="H590" s="562"/>
      <c r="I590" s="562"/>
      <c r="J590" s="562"/>
    </row>
    <row r="591" spans="1:10" ht="15" hidden="1" customHeight="1" x14ac:dyDescent="0.2">
      <c r="A591" s="70"/>
      <c r="B591" s="164" t="s">
        <v>2183</v>
      </c>
      <c r="C591" s="147"/>
      <c r="D591" s="831" t="s">
        <v>2675</v>
      </c>
      <c r="E591" s="668"/>
      <c r="F591" s="562"/>
      <c r="G591" s="562"/>
      <c r="H591" s="562"/>
      <c r="I591" s="562"/>
      <c r="J591" s="562"/>
    </row>
    <row r="592" spans="1:10" ht="15.75" hidden="1" customHeight="1" x14ac:dyDescent="0.2">
      <c r="A592" s="70"/>
      <c r="B592" s="165"/>
      <c r="C592" s="126"/>
      <c r="D592" s="792"/>
      <c r="E592" s="668"/>
      <c r="F592" s="562"/>
      <c r="G592" s="562"/>
      <c r="H592" s="562"/>
      <c r="I592" s="562"/>
      <c r="J592" s="562"/>
    </row>
    <row r="593" spans="1:10" ht="15" hidden="1" customHeight="1" x14ac:dyDescent="0.2">
      <c r="A593" s="70"/>
      <c r="B593" s="134" t="s">
        <v>2185</v>
      </c>
      <c r="C593" s="65"/>
      <c r="D593" s="791" t="s">
        <v>2676</v>
      </c>
      <c r="E593" s="668"/>
      <c r="F593" s="562"/>
      <c r="G593" s="562"/>
      <c r="H593" s="562"/>
      <c r="I593" s="562"/>
      <c r="J593" s="562"/>
    </row>
    <row r="594" spans="1:10" ht="15.75" hidden="1" customHeight="1" thickBot="1" x14ac:dyDescent="0.25">
      <c r="A594" s="70"/>
      <c r="B594" s="98"/>
      <c r="C594" s="65"/>
      <c r="D594" s="791"/>
      <c r="E594" s="668"/>
      <c r="F594" s="562"/>
      <c r="G594" s="562"/>
      <c r="H594" s="562"/>
      <c r="I594" s="562"/>
      <c r="J594" s="562"/>
    </row>
    <row r="595" spans="1:10" ht="15.75" hidden="1" customHeight="1" thickTop="1" x14ac:dyDescent="0.2">
      <c r="A595" s="75" t="s">
        <v>2678</v>
      </c>
      <c r="B595" s="132"/>
      <c r="C595" s="133"/>
      <c r="D595" s="819" t="s">
        <v>2679</v>
      </c>
      <c r="E595" s="673"/>
      <c r="F595" s="562"/>
      <c r="G595" s="562"/>
      <c r="H595" s="562"/>
      <c r="I595" s="562"/>
      <c r="J595" s="562"/>
    </row>
    <row r="596" spans="1:10" ht="16" hidden="1" thickBot="1" x14ac:dyDescent="0.25">
      <c r="A596" s="70"/>
      <c r="B596" s="98"/>
      <c r="C596" s="65"/>
      <c r="D596" s="820"/>
      <c r="E596" s="668"/>
      <c r="F596" s="562"/>
      <c r="G596" s="562"/>
      <c r="H596" s="562"/>
      <c r="I596" s="562"/>
      <c r="J596" s="562"/>
    </row>
    <row r="597" spans="1:10" ht="16" hidden="1" thickBot="1" x14ac:dyDescent="0.25">
      <c r="A597" s="107"/>
      <c r="B597" s="3"/>
      <c r="C597" s="57" t="s">
        <v>2196</v>
      </c>
      <c r="D597" s="53" t="s">
        <v>2680</v>
      </c>
      <c r="E597" s="648"/>
      <c r="F597" s="562"/>
      <c r="G597" s="562"/>
      <c r="H597" s="562"/>
      <c r="I597" s="562"/>
      <c r="J597" s="562"/>
    </row>
    <row r="598" spans="1:10" ht="15" hidden="1" customHeight="1" x14ac:dyDescent="0.2">
      <c r="A598" s="107"/>
      <c r="B598" s="3"/>
      <c r="C598" s="57" t="s">
        <v>2198</v>
      </c>
      <c r="D598" s="817" t="s">
        <v>2681</v>
      </c>
      <c r="E598" s="648"/>
      <c r="F598" s="562"/>
      <c r="G598" s="562"/>
      <c r="H598" s="562"/>
      <c r="I598" s="562"/>
      <c r="J598" s="562"/>
    </row>
    <row r="599" spans="1:10" ht="16" hidden="1" thickBot="1" x14ac:dyDescent="0.25">
      <c r="A599" s="107"/>
      <c r="B599" s="3"/>
      <c r="C599" s="57"/>
      <c r="D599" s="817"/>
      <c r="E599" s="648"/>
      <c r="F599" s="562"/>
      <c r="G599" s="562"/>
      <c r="H599" s="562"/>
      <c r="I599" s="562"/>
      <c r="J599" s="562"/>
    </row>
    <row r="600" spans="1:10" ht="16" hidden="1" thickBot="1" x14ac:dyDescent="0.25">
      <c r="A600" s="107"/>
      <c r="B600" s="3"/>
      <c r="C600" s="57" t="s">
        <v>2200</v>
      </c>
      <c r="D600" s="118" t="s">
        <v>2682</v>
      </c>
      <c r="E600" s="648"/>
      <c r="F600" s="562"/>
      <c r="G600" s="562"/>
      <c r="H600" s="562"/>
      <c r="I600" s="562"/>
      <c r="J600" s="562"/>
    </row>
    <row r="601" spans="1:10" ht="16" hidden="1" thickBot="1" x14ac:dyDescent="0.25">
      <c r="A601" s="107"/>
      <c r="B601" s="3"/>
      <c r="C601" s="59" t="s">
        <v>2247</v>
      </c>
      <c r="D601" s="118" t="s">
        <v>2683</v>
      </c>
      <c r="E601" s="648"/>
      <c r="F601" s="562"/>
      <c r="G601" s="562"/>
      <c r="H601" s="562"/>
      <c r="I601" s="562"/>
      <c r="J601" s="562"/>
    </row>
    <row r="602" spans="1:10" ht="16" hidden="1" thickBot="1" x14ac:dyDescent="0.25">
      <c r="A602" s="107"/>
      <c r="B602" s="3"/>
      <c r="C602" s="55" t="s">
        <v>2444</v>
      </c>
      <c r="D602" s="118" t="s">
        <v>2684</v>
      </c>
      <c r="E602" s="648"/>
      <c r="F602" s="562"/>
      <c r="G602" s="562"/>
      <c r="H602" s="562"/>
      <c r="I602" s="562"/>
      <c r="J602" s="562"/>
    </row>
    <row r="603" spans="1:10" ht="16" hidden="1" thickBot="1" x14ac:dyDescent="0.25">
      <c r="A603" s="107"/>
      <c r="B603" s="3"/>
      <c r="C603" s="57" t="s">
        <v>2540</v>
      </c>
      <c r="D603" s="53" t="s">
        <v>2685</v>
      </c>
      <c r="E603" s="648"/>
      <c r="F603" s="562"/>
      <c r="G603" s="562"/>
      <c r="H603" s="562"/>
      <c r="I603" s="562"/>
      <c r="J603" s="562"/>
    </row>
    <row r="604" spans="1:10" ht="16" hidden="1" thickBot="1" x14ac:dyDescent="0.25">
      <c r="A604" s="107"/>
      <c r="B604" s="3"/>
      <c r="C604" s="57" t="s">
        <v>2542</v>
      </c>
      <c r="D604" s="53" t="s">
        <v>2686</v>
      </c>
      <c r="E604" s="648"/>
      <c r="F604" s="562"/>
      <c r="G604" s="562"/>
      <c r="H604" s="562"/>
      <c r="I604" s="562"/>
      <c r="J604" s="562"/>
    </row>
    <row r="605" spans="1:10" ht="16" hidden="1" thickBot="1" x14ac:dyDescent="0.25">
      <c r="A605" s="107"/>
      <c r="B605" s="3"/>
      <c r="C605" s="57" t="s">
        <v>2544</v>
      </c>
      <c r="D605" s="53" t="s">
        <v>3445</v>
      </c>
      <c r="E605" s="648"/>
      <c r="F605" s="562"/>
      <c r="G605" s="562"/>
      <c r="H605" s="562"/>
      <c r="I605" s="562"/>
      <c r="J605" s="562"/>
    </row>
    <row r="606" spans="1:10" ht="15" hidden="1" customHeight="1" x14ac:dyDescent="0.2">
      <c r="A606" s="107"/>
      <c r="B606" s="134" t="s">
        <v>2181</v>
      </c>
      <c r="C606" s="65"/>
      <c r="D606" s="791" t="s">
        <v>2688</v>
      </c>
      <c r="E606" s="924">
        <f>'Verification Report'!O606</f>
        <v>0</v>
      </c>
      <c r="F606" s="562"/>
      <c r="G606" s="562"/>
      <c r="H606" s="562"/>
      <c r="I606" s="562"/>
      <c r="J606" s="562"/>
    </row>
    <row r="607" spans="1:10" ht="15.75" hidden="1" customHeight="1" x14ac:dyDescent="0.2">
      <c r="A607" s="107"/>
      <c r="B607" s="134"/>
      <c r="C607" s="65"/>
      <c r="D607" s="791"/>
      <c r="E607" s="924">
        <f>'Verification Report'!O607</f>
        <v>0</v>
      </c>
      <c r="F607" s="562"/>
      <c r="G607" s="562"/>
      <c r="H607" s="562"/>
      <c r="I607" s="562"/>
      <c r="J607" s="562"/>
    </row>
    <row r="608" spans="1:10" ht="15.75" hidden="1" customHeight="1" x14ac:dyDescent="0.2">
      <c r="A608" s="107"/>
      <c r="B608" s="159"/>
      <c r="C608" s="126"/>
      <c r="D608" s="571" t="s">
        <v>2689</v>
      </c>
      <c r="E608" s="942">
        <f>'Verification Report'!O608</f>
        <v>0</v>
      </c>
      <c r="F608" s="562"/>
      <c r="G608" s="562"/>
      <c r="H608" s="562"/>
      <c r="I608" s="562"/>
      <c r="J608" s="562"/>
    </row>
    <row r="609" spans="1:10" ht="15" hidden="1" customHeight="1" x14ac:dyDescent="0.2">
      <c r="A609" s="107"/>
      <c r="B609" s="20" t="s">
        <v>2183</v>
      </c>
      <c r="C609" s="53"/>
      <c r="D609" s="817" t="s">
        <v>2690</v>
      </c>
      <c r="E609" s="887">
        <f>'Verification Report'!O609</f>
        <v>0</v>
      </c>
      <c r="F609" s="562"/>
      <c r="G609" s="562"/>
      <c r="H609" s="562"/>
      <c r="I609" s="562"/>
      <c r="J609" s="562"/>
    </row>
    <row r="610" spans="1:10" ht="15.75" hidden="1" customHeight="1" x14ac:dyDescent="0.2">
      <c r="A610" s="107"/>
      <c r="B610" s="3"/>
      <c r="C610" s="53"/>
      <c r="D610" s="817"/>
      <c r="E610" s="887">
        <f>'Verification Report'!O610</f>
        <v>0</v>
      </c>
      <c r="F610" s="562"/>
      <c r="G610" s="562"/>
      <c r="H610" s="562"/>
      <c r="I610" s="562"/>
      <c r="J610" s="562"/>
    </row>
    <row r="611" spans="1:10" ht="15.75" hidden="1" customHeight="1" thickBot="1" x14ac:dyDescent="0.25">
      <c r="A611" s="107"/>
      <c r="B611" s="3"/>
      <c r="C611" s="53"/>
      <c r="D611" s="580" t="s">
        <v>2689</v>
      </c>
      <c r="E611" s="887">
        <f>'Verification Report'!O611</f>
        <v>0</v>
      </c>
      <c r="F611" s="562"/>
      <c r="G611" s="562"/>
      <c r="H611" s="562"/>
      <c r="I611" s="562"/>
      <c r="J611" s="562"/>
    </row>
    <row r="612" spans="1:10" ht="15.75" hidden="1" customHeight="1" thickTop="1" x14ac:dyDescent="0.2">
      <c r="A612" s="75" t="s">
        <v>2691</v>
      </c>
      <c r="B612" s="132"/>
      <c r="C612" s="133"/>
      <c r="D612" s="819" t="s">
        <v>2692</v>
      </c>
      <c r="E612" s="981">
        <f ca="1">'Verification Report'!O612</f>
        <v>0</v>
      </c>
      <c r="F612" s="562"/>
      <c r="G612" s="562"/>
      <c r="H612" s="562"/>
      <c r="I612" s="562"/>
      <c r="J612" s="562"/>
    </row>
    <row r="613" spans="1:10" ht="15.75" hidden="1" customHeight="1" x14ac:dyDescent="0.2">
      <c r="A613" s="70"/>
      <c r="B613" s="98"/>
      <c r="C613" s="65"/>
      <c r="D613" s="820"/>
      <c r="E613" s="924">
        <f>'Verification Report'!O613</f>
        <v>0</v>
      </c>
      <c r="F613" s="562"/>
      <c r="G613" s="562"/>
      <c r="H613" s="562"/>
      <c r="I613" s="562"/>
      <c r="J613" s="562"/>
    </row>
    <row r="614" spans="1:10" ht="15.75" hidden="1" customHeight="1" x14ac:dyDescent="0.2">
      <c r="A614" s="70"/>
      <c r="B614" s="98"/>
      <c r="C614" s="65"/>
      <c r="D614" s="820"/>
      <c r="E614" s="924">
        <f>'Verification Report'!O614</f>
        <v>0</v>
      </c>
      <c r="F614" s="562"/>
      <c r="G614" s="562"/>
      <c r="H614" s="562"/>
      <c r="I614" s="562"/>
      <c r="J614" s="562"/>
    </row>
    <row r="615" spans="1:10" ht="15.75" hidden="1" customHeight="1" x14ac:dyDescent="0.2">
      <c r="A615" s="70"/>
      <c r="B615" s="98"/>
      <c r="C615" s="65"/>
      <c r="D615" s="820"/>
      <c r="E615" s="924">
        <f>'Verification Report'!O615</f>
        <v>0</v>
      </c>
      <c r="F615" s="562"/>
      <c r="G615" s="562"/>
      <c r="H615" s="562"/>
      <c r="I615" s="562"/>
      <c r="J615" s="562"/>
    </row>
    <row r="616" spans="1:10" ht="15.75" hidden="1" customHeight="1" x14ac:dyDescent="0.2">
      <c r="A616" s="70"/>
      <c r="B616" s="98"/>
      <c r="C616" s="65"/>
      <c r="D616" s="138" t="s">
        <v>2693</v>
      </c>
      <c r="E616" s="924">
        <f>'Verification Report'!O616</f>
        <v>0</v>
      </c>
      <c r="F616" s="562"/>
      <c r="G616" s="562"/>
      <c r="H616" s="562"/>
      <c r="I616" s="562"/>
      <c r="J616" s="562"/>
    </row>
    <row r="617" spans="1:10" ht="15.75" hidden="1" customHeight="1" x14ac:dyDescent="0.2">
      <c r="A617" s="70"/>
      <c r="B617" s="98"/>
      <c r="C617" s="65"/>
      <c r="D617" s="570" t="s">
        <v>2694</v>
      </c>
      <c r="E617" s="924">
        <f>'Verification Report'!O617</f>
        <v>0</v>
      </c>
      <c r="F617" s="562"/>
      <c r="G617" s="562"/>
      <c r="H617" s="562"/>
      <c r="I617" s="562"/>
      <c r="J617" s="562"/>
    </row>
    <row r="618" spans="1:10" ht="20" hidden="1" thickBot="1" x14ac:dyDescent="0.3">
      <c r="A618" s="45" t="s">
        <v>2695</v>
      </c>
      <c r="B618" s="16"/>
      <c r="C618" s="52"/>
      <c r="D618" s="50"/>
      <c r="E618" s="44"/>
      <c r="F618" s="562"/>
      <c r="G618" s="562"/>
      <c r="H618" s="562"/>
      <c r="I618" s="562"/>
      <c r="J618" s="562"/>
    </row>
    <row r="619" spans="1:10" ht="15" hidden="1" customHeight="1" x14ac:dyDescent="0.2">
      <c r="A619" s="107" t="s">
        <v>2696</v>
      </c>
      <c r="B619" s="3"/>
      <c r="C619" s="53"/>
      <c r="D619" s="775" t="s">
        <v>2697</v>
      </c>
      <c r="E619" s="648"/>
      <c r="F619" s="562"/>
      <c r="G619" s="562"/>
      <c r="H619" s="562"/>
      <c r="I619" s="562"/>
      <c r="J619" s="562"/>
    </row>
    <row r="620" spans="1:10" ht="16" hidden="1" thickBot="1" x14ac:dyDescent="0.25">
      <c r="A620" s="107"/>
      <c r="B620" s="3"/>
      <c r="C620" s="53"/>
      <c r="D620" s="775"/>
      <c r="E620" s="648"/>
      <c r="F620" s="562"/>
      <c r="G620" s="562"/>
      <c r="H620" s="562"/>
      <c r="I620" s="562"/>
      <c r="J620" s="562"/>
    </row>
    <row r="621" spans="1:10" ht="15" hidden="1" customHeight="1" x14ac:dyDescent="0.2">
      <c r="A621" s="107"/>
      <c r="B621" s="134" t="s">
        <v>2181</v>
      </c>
      <c r="C621" s="65"/>
      <c r="D621" s="791" t="s">
        <v>2698</v>
      </c>
      <c r="E621" s="924">
        <f>'Verification Report'!O621</f>
        <v>0</v>
      </c>
      <c r="F621" s="562"/>
      <c r="G621" s="562"/>
      <c r="H621" s="562"/>
      <c r="I621" s="562"/>
      <c r="J621" s="562"/>
    </row>
    <row r="622" spans="1:10" ht="15.75" hidden="1" customHeight="1" x14ac:dyDescent="0.2">
      <c r="A622" s="107"/>
      <c r="B622" s="159"/>
      <c r="C622" s="126"/>
      <c r="D622" s="792"/>
      <c r="E622" s="942">
        <f>'Verification Report'!O622</f>
        <v>0</v>
      </c>
      <c r="F622" s="562"/>
      <c r="G622" s="562"/>
      <c r="H622" s="562"/>
      <c r="I622" s="562"/>
      <c r="J622" s="562"/>
    </row>
    <row r="623" spans="1:10" ht="16" hidden="1" thickBot="1" x14ac:dyDescent="0.25">
      <c r="A623" s="107"/>
      <c r="B623" s="20" t="s">
        <v>2183</v>
      </c>
      <c r="C623" s="53"/>
      <c r="D623" s="53" t="s">
        <v>2699</v>
      </c>
      <c r="E623" s="648">
        <f>'Verification Report'!O623</f>
        <v>0</v>
      </c>
      <c r="F623" s="562"/>
      <c r="G623" s="562"/>
      <c r="H623" s="562"/>
      <c r="I623" s="562"/>
      <c r="J623" s="562"/>
    </row>
    <row r="624" spans="1:10" ht="15.75" hidden="1" customHeight="1" thickTop="1" x14ac:dyDescent="0.2">
      <c r="A624" s="75" t="s">
        <v>2700</v>
      </c>
      <c r="B624" s="132"/>
      <c r="C624" s="133"/>
      <c r="D624" s="819" t="s">
        <v>2701</v>
      </c>
      <c r="E624" s="981">
        <f>'Verification Report'!O624</f>
        <v>0</v>
      </c>
      <c r="F624" s="562"/>
      <c r="G624" s="562"/>
      <c r="H624" s="562"/>
      <c r="I624" s="562"/>
      <c r="J624" s="562"/>
    </row>
    <row r="625" spans="1:10" ht="15.75" hidden="1" customHeight="1" x14ac:dyDescent="0.2">
      <c r="A625" s="70"/>
      <c r="B625" s="98"/>
      <c r="C625" s="65"/>
      <c r="D625" s="820"/>
      <c r="E625" s="924">
        <f>'Verification Report'!O625</f>
        <v>0</v>
      </c>
      <c r="F625" s="562"/>
      <c r="G625" s="562"/>
      <c r="H625" s="562"/>
      <c r="I625" s="562"/>
      <c r="J625" s="562"/>
    </row>
    <row r="626" spans="1:10" ht="20" hidden="1" thickBot="1" x14ac:dyDescent="0.3">
      <c r="A626" s="45" t="s">
        <v>2702</v>
      </c>
      <c r="B626" s="16"/>
      <c r="C626" s="52"/>
      <c r="D626" s="50"/>
      <c r="E626" s="44"/>
      <c r="F626" s="562"/>
      <c r="G626" s="562"/>
      <c r="H626" s="562"/>
      <c r="I626" s="562"/>
      <c r="J626" s="562"/>
    </row>
    <row r="627" spans="1:10" ht="15" hidden="1" customHeight="1" x14ac:dyDescent="0.2">
      <c r="A627" s="107" t="s">
        <v>2703</v>
      </c>
      <c r="B627" s="3"/>
      <c r="C627" s="53"/>
      <c r="D627" s="775" t="s">
        <v>2704</v>
      </c>
      <c r="E627" s="887">
        <f ca="1">'Verification Report'!O627</f>
        <v>0</v>
      </c>
      <c r="F627" s="562"/>
      <c r="G627" s="562"/>
      <c r="H627" s="562"/>
      <c r="I627" s="562"/>
      <c r="J627" s="562"/>
    </row>
    <row r="628" spans="1:10" ht="15.75" hidden="1" customHeight="1" x14ac:dyDescent="0.2">
      <c r="A628" s="107"/>
      <c r="B628" s="3"/>
      <c r="C628" s="53"/>
      <c r="D628" s="775"/>
      <c r="E628" s="887">
        <f>'Verification Report'!O628</f>
        <v>0</v>
      </c>
      <c r="F628" s="562"/>
      <c r="G628" s="562"/>
      <c r="H628" s="562"/>
      <c r="I628" s="562"/>
      <c r="J628" s="562"/>
    </row>
    <row r="629" spans="1:10" ht="15.75" hidden="1" customHeight="1" x14ac:dyDescent="0.2">
      <c r="A629" s="107"/>
      <c r="B629" s="3"/>
      <c r="C629" s="53"/>
      <c r="D629" s="775"/>
      <c r="E629" s="887">
        <f>'Verification Report'!O629</f>
        <v>0</v>
      </c>
      <c r="F629" s="562"/>
      <c r="G629" s="562"/>
      <c r="H629" s="562"/>
      <c r="I629" s="562"/>
      <c r="J629" s="562"/>
    </row>
    <row r="630" spans="1:10" ht="15" hidden="1" customHeight="1" x14ac:dyDescent="0.2">
      <c r="A630" s="107"/>
      <c r="B630" s="20" t="s">
        <v>2181</v>
      </c>
      <c r="C630" s="53"/>
      <c r="D630" s="817" t="s">
        <v>2706</v>
      </c>
      <c r="E630" s="887">
        <f>'Verification Report'!O630</f>
        <v>0</v>
      </c>
      <c r="F630" s="562"/>
      <c r="G630" s="562"/>
      <c r="H630" s="562"/>
      <c r="I630" s="562"/>
      <c r="J630" s="562"/>
    </row>
    <row r="631" spans="1:10" ht="15.75" hidden="1" customHeight="1" x14ac:dyDescent="0.2">
      <c r="A631" s="107"/>
      <c r="B631" s="20"/>
      <c r="C631" s="53"/>
      <c r="D631" s="817"/>
      <c r="E631" s="887">
        <f>'Verification Report'!O631</f>
        <v>0</v>
      </c>
      <c r="F631" s="562"/>
      <c r="G631" s="562"/>
      <c r="H631" s="562"/>
      <c r="I631" s="562"/>
      <c r="J631" s="562"/>
    </row>
    <row r="632" spans="1:10" ht="15.75" hidden="1" customHeight="1" x14ac:dyDescent="0.2">
      <c r="A632" s="107"/>
      <c r="B632" s="20" t="s">
        <v>2183</v>
      </c>
      <c r="C632" s="53"/>
      <c r="D632" s="53" t="s">
        <v>2707</v>
      </c>
      <c r="E632" s="887">
        <f>'Verification Report'!O632</f>
        <v>0</v>
      </c>
      <c r="F632" s="562"/>
      <c r="G632" s="562"/>
      <c r="H632" s="562"/>
      <c r="I632" s="562"/>
      <c r="J632" s="562"/>
    </row>
    <row r="633" spans="1:10" ht="15.75" hidden="1" customHeight="1" x14ac:dyDescent="0.2">
      <c r="A633" s="107"/>
      <c r="B633" s="20" t="s">
        <v>2185</v>
      </c>
      <c r="C633" s="53"/>
      <c r="D633" s="53" t="s">
        <v>2708</v>
      </c>
      <c r="E633" s="887">
        <f>'Verification Report'!O633</f>
        <v>0</v>
      </c>
      <c r="F633" s="562"/>
      <c r="G633" s="562"/>
      <c r="H633" s="562"/>
      <c r="I633" s="562"/>
      <c r="J633" s="562"/>
    </row>
    <row r="634" spans="1:10" ht="26.25" hidden="1" customHeight="1" x14ac:dyDescent="0.2">
      <c r="A634" s="107"/>
      <c r="B634" s="20"/>
      <c r="C634" s="53"/>
      <c r="D634" s="567" t="s">
        <v>3841</v>
      </c>
      <c r="E634" s="887">
        <f>'Verification Report'!O634</f>
        <v>0</v>
      </c>
      <c r="F634" s="562"/>
      <c r="G634" s="562"/>
      <c r="H634" s="562"/>
      <c r="I634" s="562"/>
      <c r="J634" s="562"/>
    </row>
    <row r="635" spans="1:10" ht="20" hidden="1" thickBot="1" x14ac:dyDescent="0.3">
      <c r="A635" s="45" t="s">
        <v>2710</v>
      </c>
      <c r="B635" s="16"/>
      <c r="C635" s="52"/>
      <c r="D635" s="50"/>
      <c r="E635" s="44"/>
      <c r="F635" s="562"/>
      <c r="G635" s="562"/>
      <c r="H635" s="562"/>
      <c r="I635" s="562"/>
      <c r="J635" s="562"/>
    </row>
    <row r="636" spans="1:10" ht="15" hidden="1" customHeight="1" x14ac:dyDescent="0.2">
      <c r="A636" s="107" t="s">
        <v>2711</v>
      </c>
      <c r="B636" s="3"/>
      <c r="C636" s="53"/>
      <c r="D636" s="775" t="s">
        <v>2712</v>
      </c>
      <c r="E636" s="887">
        <f ca="1">'Verification Report'!O636</f>
        <v>0</v>
      </c>
      <c r="F636" s="562"/>
      <c r="G636" s="562"/>
      <c r="H636" s="562"/>
      <c r="I636" s="562"/>
      <c r="J636" s="562"/>
    </row>
    <row r="637" spans="1:10" ht="15.75" hidden="1" customHeight="1" x14ac:dyDescent="0.2">
      <c r="A637" s="107"/>
      <c r="B637" s="3"/>
      <c r="C637" s="53"/>
      <c r="D637" s="775"/>
      <c r="E637" s="887">
        <f>'Verification Report'!O637</f>
        <v>0</v>
      </c>
      <c r="F637" s="562"/>
      <c r="G637" s="562"/>
      <c r="H637" s="562"/>
      <c r="I637" s="562"/>
      <c r="J637" s="562"/>
    </row>
    <row r="638" spans="1:10" ht="15" hidden="1" customHeight="1" x14ac:dyDescent="0.2">
      <c r="A638" s="107"/>
      <c r="B638" s="3"/>
      <c r="C638" s="53"/>
      <c r="D638" s="851" t="s">
        <v>2715</v>
      </c>
      <c r="E638" s="887">
        <f>'Verification Report'!O638</f>
        <v>0</v>
      </c>
      <c r="F638" s="562"/>
      <c r="G638" s="562"/>
      <c r="H638" s="562"/>
      <c r="I638" s="562"/>
      <c r="J638" s="562"/>
    </row>
    <row r="639" spans="1:10" ht="15.75" hidden="1" customHeight="1" x14ac:dyDescent="0.2">
      <c r="A639" s="107"/>
      <c r="B639" s="3"/>
      <c r="C639" s="53"/>
      <c r="D639" s="851"/>
      <c r="E639" s="887">
        <f>'Verification Report'!O639</f>
        <v>0</v>
      </c>
      <c r="F639" s="562"/>
      <c r="G639" s="562"/>
      <c r="H639" s="562"/>
      <c r="I639" s="562"/>
      <c r="J639" s="562"/>
    </row>
    <row r="640" spans="1:10" ht="15.75" hidden="1" customHeight="1" x14ac:dyDescent="0.2">
      <c r="A640" s="107"/>
      <c r="B640" s="3"/>
      <c r="C640" s="53"/>
      <c r="D640" s="851"/>
      <c r="E640" s="887">
        <f>'Verification Report'!O640</f>
        <v>0</v>
      </c>
      <c r="F640" s="562"/>
      <c r="G640" s="562"/>
      <c r="H640" s="562"/>
      <c r="I640" s="562"/>
      <c r="J640" s="562"/>
    </row>
    <row r="641" spans="1:10" ht="15" hidden="1" customHeight="1" x14ac:dyDescent="0.2">
      <c r="A641" s="107"/>
      <c r="B641" s="3"/>
      <c r="C641" s="53"/>
      <c r="D641" s="833" t="s">
        <v>3842</v>
      </c>
      <c r="E641" s="887">
        <f>'Verification Report'!O641</f>
        <v>0</v>
      </c>
      <c r="F641" s="562"/>
      <c r="G641" s="562"/>
      <c r="H641" s="562"/>
      <c r="I641" s="562"/>
      <c r="J641" s="562"/>
    </row>
    <row r="642" spans="1:10" ht="15.75" hidden="1" customHeight="1" x14ac:dyDescent="0.2">
      <c r="A642" s="107"/>
      <c r="B642" s="3"/>
      <c r="C642" s="53"/>
      <c r="D642" s="845"/>
      <c r="E642" s="887">
        <f>'Verification Report'!O642</f>
        <v>0</v>
      </c>
      <c r="F642" s="562"/>
      <c r="G642" s="562"/>
      <c r="H642" s="562"/>
      <c r="I642" s="562"/>
      <c r="J642" s="562"/>
    </row>
    <row r="643" spans="1:10" ht="20" hidden="1" thickBot="1" x14ac:dyDescent="0.3">
      <c r="A643" s="45" t="s">
        <v>2718</v>
      </c>
      <c r="B643" s="16"/>
      <c r="C643" s="52"/>
      <c r="D643" s="50"/>
      <c r="E643" s="44"/>
      <c r="F643" s="562"/>
      <c r="G643" s="562"/>
      <c r="H643" s="562"/>
      <c r="I643" s="562"/>
      <c r="J643" s="562"/>
    </row>
    <row r="644" spans="1:10" ht="15" hidden="1" customHeight="1" x14ac:dyDescent="0.2">
      <c r="A644" s="107" t="s">
        <v>2719</v>
      </c>
      <c r="B644" s="3"/>
      <c r="C644" s="53"/>
      <c r="D644" s="775" t="s">
        <v>2720</v>
      </c>
      <c r="E644" s="648"/>
      <c r="F644" s="562"/>
      <c r="G644" s="562"/>
      <c r="H644" s="562"/>
      <c r="I644" s="562"/>
      <c r="J644" s="562"/>
    </row>
    <row r="645" spans="1:10" ht="16" hidden="1" thickBot="1" x14ac:dyDescent="0.25">
      <c r="A645" s="107"/>
      <c r="B645" s="3"/>
      <c r="C645" s="53"/>
      <c r="D645" s="775"/>
      <c r="E645" s="648"/>
      <c r="F645" s="562"/>
      <c r="G645" s="562"/>
      <c r="H645" s="562"/>
      <c r="I645" s="562"/>
      <c r="J645" s="562"/>
    </row>
    <row r="646" spans="1:10" ht="16" hidden="1" thickBot="1" x14ac:dyDescent="0.25">
      <c r="A646" s="107"/>
      <c r="B646" s="3"/>
      <c r="C646" s="53"/>
      <c r="D646" s="775"/>
      <c r="E646" s="648"/>
      <c r="F646" s="562"/>
      <c r="G646" s="562"/>
      <c r="H646" s="562"/>
      <c r="I646" s="562"/>
      <c r="J646" s="562"/>
    </row>
    <row r="647" spans="1:10" ht="16" hidden="1" thickBot="1" x14ac:dyDescent="0.25">
      <c r="A647" s="107"/>
      <c r="B647" s="3"/>
      <c r="C647" s="53"/>
      <c r="D647" s="775"/>
      <c r="E647" s="648"/>
      <c r="F647" s="562"/>
      <c r="G647" s="562"/>
      <c r="H647" s="562"/>
      <c r="I647" s="562"/>
      <c r="J647" s="562"/>
    </row>
    <row r="648" spans="1:10" ht="16" hidden="1" thickBot="1" x14ac:dyDescent="0.25">
      <c r="A648" s="107"/>
      <c r="B648" s="3"/>
      <c r="C648" s="53"/>
      <c r="D648" s="775"/>
      <c r="E648" s="648"/>
      <c r="F648" s="562"/>
      <c r="G648" s="562"/>
      <c r="H648" s="562"/>
      <c r="I648" s="562"/>
      <c r="J648" s="562"/>
    </row>
    <row r="649" spans="1:10" ht="16" hidden="1" thickBot="1" x14ac:dyDescent="0.25">
      <c r="A649" s="107"/>
      <c r="B649" s="3"/>
      <c r="C649" s="53"/>
      <c r="D649" s="775"/>
      <c r="E649" s="648"/>
      <c r="F649" s="562"/>
      <c r="G649" s="562"/>
      <c r="H649" s="562"/>
      <c r="I649" s="562"/>
      <c r="J649" s="562"/>
    </row>
    <row r="650" spans="1:10" ht="15.75" hidden="1" customHeight="1" thickTop="1" x14ac:dyDescent="0.2">
      <c r="A650" s="75" t="s">
        <v>2722</v>
      </c>
      <c r="B650" s="132"/>
      <c r="C650" s="133"/>
      <c r="D650" s="819" t="s">
        <v>2723</v>
      </c>
      <c r="E650" s="673"/>
      <c r="F650" s="562"/>
      <c r="G650" s="562"/>
      <c r="H650" s="562"/>
      <c r="I650" s="562"/>
      <c r="J650" s="562"/>
    </row>
    <row r="651" spans="1:10" ht="16" hidden="1" thickBot="1" x14ac:dyDescent="0.25">
      <c r="A651" s="70"/>
      <c r="B651" s="98"/>
      <c r="C651" s="65"/>
      <c r="D651" s="820"/>
      <c r="E651" s="668"/>
      <c r="F651" s="562"/>
      <c r="G651" s="562"/>
      <c r="H651" s="562"/>
      <c r="I651" s="562"/>
      <c r="J651" s="562"/>
    </row>
    <row r="652" spans="1:10" ht="15" hidden="1" customHeight="1" x14ac:dyDescent="0.2">
      <c r="A652" s="107"/>
      <c r="B652" s="134" t="s">
        <v>2181</v>
      </c>
      <c r="C652" s="65"/>
      <c r="D652" s="791" t="s">
        <v>2724</v>
      </c>
      <c r="E652" s="924">
        <f>'Verification Report'!O652</f>
        <v>0</v>
      </c>
      <c r="F652" s="562"/>
      <c r="G652" s="562"/>
      <c r="H652" s="562"/>
      <c r="I652" s="562"/>
      <c r="J652" s="562"/>
    </row>
    <row r="653" spans="1:10" ht="15.75" hidden="1" customHeight="1" x14ac:dyDescent="0.2">
      <c r="A653" s="107"/>
      <c r="B653" s="98"/>
      <c r="C653" s="65"/>
      <c r="D653" s="791"/>
      <c r="E653" s="924">
        <f>'Verification Report'!O653</f>
        <v>0</v>
      </c>
      <c r="F653" s="562"/>
      <c r="G653" s="562"/>
      <c r="H653" s="562"/>
      <c r="I653" s="562"/>
      <c r="J653" s="562"/>
    </row>
    <row r="654" spans="1:10" ht="15.75" hidden="1" customHeight="1" x14ac:dyDescent="0.2">
      <c r="A654" s="107"/>
      <c r="B654" s="98"/>
      <c r="C654" s="65"/>
      <c r="D654" s="791"/>
      <c r="E654" s="924">
        <f>'Verification Report'!O654</f>
        <v>0</v>
      </c>
      <c r="F654" s="562"/>
      <c r="G654" s="562"/>
      <c r="H654" s="562"/>
      <c r="I654" s="562"/>
      <c r="J654" s="562"/>
    </row>
    <row r="655" spans="1:10" ht="15.75" hidden="1" customHeight="1" x14ac:dyDescent="0.2">
      <c r="A655" s="107"/>
      <c r="B655" s="98"/>
      <c r="C655" s="61" t="s">
        <v>2196</v>
      </c>
      <c r="D655" s="65" t="s">
        <v>2725</v>
      </c>
      <c r="E655" s="924">
        <f>'Verification Report'!O655</f>
        <v>0</v>
      </c>
      <c r="F655" s="562"/>
      <c r="G655" s="562"/>
      <c r="H655" s="562"/>
      <c r="I655" s="562"/>
      <c r="J655" s="562"/>
    </row>
    <row r="656" spans="1:10" ht="15.75" hidden="1" customHeight="1" x14ac:dyDescent="0.2">
      <c r="A656" s="107"/>
      <c r="B656" s="98"/>
      <c r="C656" s="61" t="s">
        <v>2198</v>
      </c>
      <c r="D656" s="65" t="s">
        <v>2726</v>
      </c>
      <c r="E656" s="924">
        <f>'Verification Report'!O656</f>
        <v>0</v>
      </c>
      <c r="F656" s="562"/>
      <c r="G656" s="562"/>
      <c r="H656" s="562"/>
      <c r="I656" s="562"/>
      <c r="J656" s="562"/>
    </row>
    <row r="657" spans="1:10" ht="15.75" hidden="1" customHeight="1" x14ac:dyDescent="0.2">
      <c r="A657" s="107"/>
      <c r="B657" s="98"/>
      <c r="C657" s="61" t="s">
        <v>2200</v>
      </c>
      <c r="D657" s="65" t="s">
        <v>2727</v>
      </c>
      <c r="E657" s="924">
        <f>'Verification Report'!O657</f>
        <v>0</v>
      </c>
      <c r="F657" s="562"/>
      <c r="G657" s="562"/>
      <c r="H657" s="562"/>
      <c r="I657" s="562"/>
      <c r="J657" s="562"/>
    </row>
    <row r="658" spans="1:10" ht="15.75" hidden="1" customHeight="1" x14ac:dyDescent="0.2">
      <c r="A658" s="107"/>
      <c r="B658" s="98"/>
      <c r="C658" s="79" t="s">
        <v>2247</v>
      </c>
      <c r="D658" s="65" t="s">
        <v>2728</v>
      </c>
      <c r="E658" s="924">
        <f>'Verification Report'!O658</f>
        <v>0</v>
      </c>
      <c r="F658" s="562"/>
      <c r="G658" s="562"/>
      <c r="H658" s="562"/>
      <c r="I658" s="562"/>
      <c r="J658" s="562"/>
    </row>
    <row r="659" spans="1:10" ht="15.75" hidden="1" customHeight="1" x14ac:dyDescent="0.2">
      <c r="A659" s="107"/>
      <c r="B659" s="98"/>
      <c r="C659" s="140" t="s">
        <v>2444</v>
      </c>
      <c r="D659" s="65" t="s">
        <v>2729</v>
      </c>
      <c r="E659" s="924">
        <f>'Verification Report'!O659</f>
        <v>0</v>
      </c>
      <c r="F659" s="562"/>
      <c r="G659" s="562"/>
      <c r="H659" s="562"/>
      <c r="I659" s="562"/>
      <c r="J659" s="562"/>
    </row>
    <row r="660" spans="1:10" ht="15.75" hidden="1" customHeight="1" x14ac:dyDescent="0.2">
      <c r="A660" s="107"/>
      <c r="B660" s="165"/>
      <c r="C660" s="125" t="s">
        <v>2540</v>
      </c>
      <c r="D660" s="126" t="s">
        <v>2730</v>
      </c>
      <c r="E660" s="942">
        <f>'Verification Report'!O660</f>
        <v>0</v>
      </c>
      <c r="F660" s="562"/>
      <c r="G660" s="562"/>
      <c r="H660" s="562"/>
      <c r="I660" s="562"/>
      <c r="J660" s="562"/>
    </row>
    <row r="661" spans="1:10" ht="15" hidden="1" customHeight="1" x14ac:dyDescent="0.2">
      <c r="A661" s="107"/>
      <c r="B661" s="164" t="s">
        <v>2183</v>
      </c>
      <c r="C661" s="147"/>
      <c r="D661" s="831" t="s">
        <v>2731</v>
      </c>
      <c r="E661" s="923">
        <f>'Verification Report'!O661</f>
        <v>0</v>
      </c>
      <c r="F661" s="562"/>
      <c r="G661" s="562"/>
      <c r="H661" s="562"/>
      <c r="I661" s="562"/>
      <c r="J661" s="562"/>
    </row>
    <row r="662" spans="1:10" ht="15.75" hidden="1" customHeight="1" x14ac:dyDescent="0.2">
      <c r="A662" s="107"/>
      <c r="B662" s="98"/>
      <c r="C662" s="65"/>
      <c r="D662" s="791"/>
      <c r="E662" s="924">
        <f>'Verification Report'!O662</f>
        <v>0</v>
      </c>
      <c r="F662" s="562"/>
      <c r="G662" s="562"/>
      <c r="H662" s="562"/>
      <c r="I662" s="562"/>
      <c r="J662" s="562"/>
    </row>
    <row r="663" spans="1:10" ht="15.75" hidden="1" customHeight="1" x14ac:dyDescent="0.2">
      <c r="A663" s="107"/>
      <c r="B663" s="98"/>
      <c r="C663" s="65"/>
      <c r="D663" s="791"/>
      <c r="E663" s="924">
        <f>'Verification Report'!O663</f>
        <v>0</v>
      </c>
      <c r="F663" s="562"/>
      <c r="G663" s="562"/>
      <c r="H663" s="562"/>
      <c r="I663" s="562"/>
      <c r="J663" s="562"/>
    </row>
    <row r="664" spans="1:10" ht="15.75" hidden="1" customHeight="1" x14ac:dyDescent="0.2">
      <c r="A664" s="107"/>
      <c r="B664" s="98"/>
      <c r="C664" s="65"/>
      <c r="D664" s="791"/>
      <c r="E664" s="924">
        <f>'Verification Report'!O664</f>
        <v>0</v>
      </c>
      <c r="F664" s="562"/>
      <c r="G664" s="562"/>
      <c r="H664" s="562"/>
      <c r="I664" s="562"/>
      <c r="J664" s="562"/>
    </row>
    <row r="665" spans="1:10" ht="15.75" hidden="1" customHeight="1" x14ac:dyDescent="0.2">
      <c r="A665" s="107"/>
      <c r="B665" s="98"/>
      <c r="C665" s="65"/>
      <c r="D665" s="791"/>
      <c r="E665" s="924">
        <f>'Verification Report'!O665</f>
        <v>0</v>
      </c>
      <c r="F665" s="562"/>
      <c r="G665" s="562"/>
      <c r="H665" s="562"/>
      <c r="I665" s="562"/>
      <c r="J665" s="562"/>
    </row>
    <row r="666" spans="1:10" ht="15.75" hidden="1" customHeight="1" x14ac:dyDescent="0.2">
      <c r="A666" s="107"/>
      <c r="B666" s="98"/>
      <c r="C666" s="65"/>
      <c r="D666" s="791"/>
      <c r="E666" s="924">
        <f>'Verification Report'!O666</f>
        <v>0</v>
      </c>
      <c r="F666" s="562"/>
      <c r="G666" s="562"/>
      <c r="H666" s="562"/>
      <c r="I666" s="562"/>
      <c r="J666" s="562"/>
    </row>
    <row r="667" spans="1:10" ht="15.75" hidden="1" customHeight="1" x14ac:dyDescent="0.2">
      <c r="A667" s="107"/>
      <c r="B667" s="165"/>
      <c r="C667" s="126"/>
      <c r="D667" s="792"/>
      <c r="E667" s="942">
        <f>'Verification Report'!O667</f>
        <v>0</v>
      </c>
      <c r="F667" s="562"/>
      <c r="G667" s="562"/>
      <c r="H667" s="562"/>
      <c r="I667" s="562"/>
      <c r="J667" s="562"/>
    </row>
    <row r="668" spans="1:10" ht="15" hidden="1" customHeight="1" x14ac:dyDescent="0.2">
      <c r="A668" s="107"/>
      <c r="B668" s="20" t="s">
        <v>2185</v>
      </c>
      <c r="C668" s="53"/>
      <c r="D668" s="817" t="s">
        <v>2732</v>
      </c>
      <c r="E668" s="887">
        <f>'Verification Report'!O668</f>
        <v>0</v>
      </c>
      <c r="F668" s="562"/>
      <c r="G668" s="562"/>
      <c r="H668" s="562"/>
      <c r="I668" s="562"/>
      <c r="J668" s="562"/>
    </row>
    <row r="669" spans="1:10" ht="15.75" hidden="1" customHeight="1" thickBot="1" x14ac:dyDescent="0.25">
      <c r="A669" s="107"/>
      <c r="B669" s="3"/>
      <c r="C669" s="53"/>
      <c r="D669" s="817"/>
      <c r="E669" s="887">
        <f>'Verification Report'!O669</f>
        <v>0</v>
      </c>
      <c r="F669" s="562"/>
      <c r="G669" s="562"/>
      <c r="H669" s="562"/>
      <c r="I669" s="562"/>
      <c r="J669" s="562"/>
    </row>
    <row r="670" spans="1:10" ht="15.75" hidden="1" customHeight="1" thickTop="1" x14ac:dyDescent="0.2">
      <c r="A670" s="75" t="s">
        <v>2734</v>
      </c>
      <c r="B670" s="132"/>
      <c r="C670" s="133"/>
      <c r="D670" s="819" t="s">
        <v>2735</v>
      </c>
      <c r="E670" s="981">
        <f ca="1">'Verification Report'!O670</f>
        <v>0</v>
      </c>
      <c r="F670" s="562"/>
      <c r="G670" s="562"/>
      <c r="H670" s="562"/>
      <c r="I670" s="562"/>
      <c r="J670" s="562"/>
    </row>
    <row r="671" spans="1:10" ht="16" hidden="1" thickBot="1" x14ac:dyDescent="0.25">
      <c r="A671" s="70"/>
      <c r="B671" s="98"/>
      <c r="C671" s="65"/>
      <c r="D671" s="820"/>
      <c r="E671" s="924">
        <f>'Verification Report'!O671</f>
        <v>0</v>
      </c>
      <c r="F671" s="562"/>
      <c r="G671" s="562"/>
      <c r="H671" s="562"/>
      <c r="I671" s="562"/>
      <c r="J671" s="562"/>
    </row>
    <row r="672" spans="1:10" ht="16" hidden="1" thickBot="1" x14ac:dyDescent="0.25">
      <c r="A672" s="70"/>
      <c r="B672" s="98"/>
      <c r="C672" s="65"/>
      <c r="D672" s="820"/>
      <c r="E672" s="924">
        <f>'Verification Report'!O672</f>
        <v>0</v>
      </c>
      <c r="F672" s="562"/>
      <c r="G672" s="562"/>
      <c r="H672" s="562"/>
      <c r="I672" s="562"/>
      <c r="J672" s="562"/>
    </row>
    <row r="673" spans="1:10" ht="16" hidden="1" thickBot="1" x14ac:dyDescent="0.25">
      <c r="A673" s="348"/>
      <c r="B673" s="165"/>
      <c r="C673" s="126"/>
      <c r="D673" s="832"/>
      <c r="E673" s="942">
        <f>'Verification Report'!O673</f>
        <v>0</v>
      </c>
      <c r="F673" s="562"/>
      <c r="G673" s="562"/>
      <c r="H673" s="562"/>
      <c r="I673" s="562"/>
      <c r="J673" s="562"/>
    </row>
    <row r="674" spans="1:10" ht="15" hidden="1" customHeight="1" x14ac:dyDescent="0.2">
      <c r="A674" s="350" t="s">
        <v>2738</v>
      </c>
      <c r="B674" s="146"/>
      <c r="C674" s="147"/>
      <c r="D674" s="847" t="s">
        <v>2739</v>
      </c>
      <c r="E674" s="648"/>
      <c r="F674" s="562"/>
      <c r="G674" s="562"/>
      <c r="H674" s="562"/>
      <c r="I674" s="562"/>
      <c r="J674" s="562"/>
    </row>
    <row r="675" spans="1:10" ht="15.75" hidden="1" customHeight="1" x14ac:dyDescent="0.2">
      <c r="A675" s="70"/>
      <c r="B675" s="98"/>
      <c r="C675" s="65"/>
      <c r="D675" s="820"/>
      <c r="E675" s="648"/>
      <c r="F675" s="562"/>
      <c r="G675" s="562"/>
      <c r="H675" s="562"/>
      <c r="I675" s="562"/>
      <c r="J675" s="562"/>
    </row>
    <row r="676" spans="1:10" ht="15.75" hidden="1" customHeight="1" x14ac:dyDescent="0.2">
      <c r="A676" s="70"/>
      <c r="B676" s="98"/>
      <c r="C676" s="65"/>
      <c r="D676" s="820"/>
      <c r="E676" s="648"/>
      <c r="F676" s="562"/>
      <c r="G676" s="562"/>
      <c r="H676" s="562"/>
      <c r="I676" s="562"/>
      <c r="J676" s="562"/>
    </row>
    <row r="677" spans="1:10" ht="15.75" hidden="1" customHeight="1" x14ac:dyDescent="0.2">
      <c r="A677" s="70"/>
      <c r="B677" s="98"/>
      <c r="C677" s="61" t="s">
        <v>2196</v>
      </c>
      <c r="D677" s="65" t="s">
        <v>2725</v>
      </c>
      <c r="E677" s="648"/>
      <c r="F677" s="562"/>
      <c r="G677" s="562"/>
      <c r="H677" s="562"/>
      <c r="I677" s="562"/>
      <c r="J677" s="562"/>
    </row>
    <row r="678" spans="1:10" ht="15.75" hidden="1" customHeight="1" x14ac:dyDescent="0.2">
      <c r="A678" s="70"/>
      <c r="B678" s="98"/>
      <c r="C678" s="61" t="s">
        <v>2198</v>
      </c>
      <c r="D678" s="65" t="s">
        <v>2726</v>
      </c>
      <c r="E678" s="648"/>
      <c r="F678" s="562"/>
      <c r="G678" s="562"/>
      <c r="H678" s="562"/>
      <c r="I678" s="562"/>
      <c r="J678" s="562"/>
    </row>
    <row r="679" spans="1:10" ht="15.75" hidden="1" customHeight="1" x14ac:dyDescent="0.2">
      <c r="A679" s="70"/>
      <c r="B679" s="98"/>
      <c r="C679" s="61" t="s">
        <v>2200</v>
      </c>
      <c r="D679" s="65" t="s">
        <v>2727</v>
      </c>
      <c r="E679" s="648"/>
      <c r="F679" s="562"/>
      <c r="G679" s="562"/>
      <c r="H679" s="562"/>
      <c r="I679" s="562"/>
      <c r="J679" s="562"/>
    </row>
    <row r="680" spans="1:10" ht="15.75" hidden="1" customHeight="1" x14ac:dyDescent="0.2">
      <c r="A680" s="70"/>
      <c r="B680" s="98"/>
      <c r="C680" s="79" t="s">
        <v>2247</v>
      </c>
      <c r="D680" s="65" t="s">
        <v>2728</v>
      </c>
      <c r="E680" s="648"/>
      <c r="F680" s="562"/>
      <c r="G680" s="562"/>
      <c r="H680" s="562"/>
      <c r="I680" s="562"/>
      <c r="J680" s="562"/>
    </row>
    <row r="681" spans="1:10" ht="15" hidden="1" customHeight="1" x14ac:dyDescent="0.2">
      <c r="A681" s="70"/>
      <c r="B681" s="98"/>
      <c r="C681" s="140" t="s">
        <v>2444</v>
      </c>
      <c r="D681" s="65" t="s">
        <v>2729</v>
      </c>
      <c r="E681" s="648"/>
      <c r="F681" s="562"/>
      <c r="G681" s="562"/>
      <c r="H681" s="562"/>
      <c r="I681" s="562"/>
      <c r="J681" s="562"/>
    </row>
    <row r="682" spans="1:10" ht="15.75" hidden="1" customHeight="1" x14ac:dyDescent="0.2">
      <c r="A682" s="70"/>
      <c r="B682" s="98"/>
      <c r="C682" s="61" t="s">
        <v>2540</v>
      </c>
      <c r="D682" s="65" t="s">
        <v>2730</v>
      </c>
      <c r="E682" s="648"/>
      <c r="F682" s="562"/>
      <c r="G682" s="562"/>
      <c r="H682" s="562"/>
      <c r="I682" s="562"/>
      <c r="J682" s="562"/>
    </row>
    <row r="683" spans="1:10" ht="15" hidden="1" customHeight="1" x14ac:dyDescent="0.2">
      <c r="A683" s="70"/>
      <c r="B683" s="98"/>
      <c r="C683" s="64"/>
      <c r="D683" s="846" t="s">
        <v>2743</v>
      </c>
      <c r="E683" s="648"/>
      <c r="F683" s="562"/>
      <c r="G683" s="562"/>
      <c r="H683" s="562"/>
      <c r="I683" s="562"/>
      <c r="J683" s="562"/>
    </row>
    <row r="684" spans="1:10" ht="15.75" hidden="1" customHeight="1" x14ac:dyDescent="0.2">
      <c r="A684" s="70"/>
      <c r="B684" s="98"/>
      <c r="C684" s="631"/>
      <c r="D684" s="846"/>
      <c r="E684" s="648"/>
      <c r="F684" s="562"/>
      <c r="G684" s="562"/>
      <c r="H684" s="562"/>
      <c r="I684" s="562"/>
      <c r="J684" s="562"/>
    </row>
    <row r="685" spans="1:10" ht="15.75" hidden="1" customHeight="1" x14ac:dyDescent="0.2">
      <c r="A685" s="70"/>
      <c r="B685" s="98"/>
      <c r="C685" s="631"/>
      <c r="D685" s="846"/>
      <c r="E685" s="648"/>
      <c r="F685" s="562"/>
      <c r="G685" s="562"/>
      <c r="H685" s="562"/>
      <c r="I685" s="562"/>
      <c r="J685" s="562"/>
    </row>
    <row r="686" spans="1:10" ht="15" hidden="1" customHeight="1" x14ac:dyDescent="0.2">
      <c r="A686" s="70"/>
      <c r="B686" s="98"/>
      <c r="C686" s="631"/>
      <c r="D686" s="849" t="s">
        <v>2744</v>
      </c>
      <c r="E686" s="648"/>
      <c r="F686" s="562"/>
      <c r="G686" s="562"/>
      <c r="H686" s="562"/>
      <c r="I686" s="562"/>
      <c r="J686" s="562"/>
    </row>
    <row r="687" spans="1:10" ht="15.75" hidden="1" customHeight="1" x14ac:dyDescent="0.2">
      <c r="A687" s="348"/>
      <c r="B687" s="165"/>
      <c r="C687" s="637"/>
      <c r="D687" s="850"/>
      <c r="E687" s="648"/>
      <c r="F687" s="562"/>
      <c r="G687" s="562"/>
      <c r="H687" s="562"/>
      <c r="I687" s="562"/>
      <c r="J687" s="562"/>
    </row>
    <row r="688" spans="1:10" ht="15" hidden="1" customHeight="1" x14ac:dyDescent="0.2">
      <c r="A688" s="107" t="s">
        <v>2746</v>
      </c>
      <c r="B688" s="3"/>
      <c r="C688" s="53"/>
      <c r="D688" s="775" t="s">
        <v>2747</v>
      </c>
      <c r="E688" s="648"/>
      <c r="F688" s="562"/>
      <c r="G688" s="562"/>
      <c r="H688" s="562"/>
      <c r="I688" s="562"/>
      <c r="J688" s="562"/>
    </row>
    <row r="689" spans="1:10" ht="15.75" hidden="1" customHeight="1" x14ac:dyDescent="0.2">
      <c r="A689" s="107"/>
      <c r="B689" s="3"/>
      <c r="C689" s="53"/>
      <c r="D689" s="775"/>
      <c r="E689" s="648"/>
      <c r="F689" s="562"/>
      <c r="G689" s="562"/>
      <c r="H689" s="562"/>
      <c r="I689" s="562"/>
      <c r="J689" s="562"/>
    </row>
    <row r="690" spans="1:10" ht="15.75" hidden="1" customHeight="1" x14ac:dyDescent="0.2">
      <c r="A690" s="107"/>
      <c r="B690" s="3"/>
      <c r="C690" s="53"/>
      <c r="D690" s="775"/>
      <c r="E690" s="648"/>
      <c r="F690" s="562"/>
      <c r="G690" s="562"/>
      <c r="H690" s="562"/>
      <c r="I690" s="562"/>
      <c r="J690" s="562"/>
    </row>
    <row r="691" spans="1:10" ht="15.75" hidden="1" customHeight="1" x14ac:dyDescent="0.2">
      <c r="A691" s="107"/>
      <c r="B691" s="3"/>
      <c r="C691" s="53"/>
      <c r="D691" s="775"/>
      <c r="E691" s="648"/>
      <c r="F691" s="562"/>
      <c r="G691" s="562"/>
      <c r="H691" s="562"/>
      <c r="I691" s="562"/>
      <c r="J691" s="562"/>
    </row>
    <row r="692" spans="1:10" ht="15.75" hidden="1" customHeight="1" x14ac:dyDescent="0.2">
      <c r="A692" s="107"/>
      <c r="B692" s="3"/>
      <c r="C692" s="53"/>
      <c r="D692" s="775"/>
      <c r="E692" s="648"/>
      <c r="F692" s="562"/>
      <c r="G692" s="562"/>
      <c r="H692" s="562"/>
      <c r="I692" s="562"/>
      <c r="J692" s="562"/>
    </row>
    <row r="693" spans="1:10" ht="15.75" hidden="1" customHeight="1" x14ac:dyDescent="0.2">
      <c r="A693" s="107"/>
      <c r="B693" s="3"/>
      <c r="C693" s="53"/>
      <c r="D693" s="775"/>
      <c r="E693" s="648"/>
      <c r="F693" s="562"/>
      <c r="G693" s="562"/>
      <c r="H693" s="562"/>
      <c r="I693" s="562"/>
      <c r="J693" s="562"/>
    </row>
    <row r="694" spans="1:10" ht="15.75" hidden="1" customHeight="1" x14ac:dyDescent="0.2">
      <c r="A694" s="107"/>
      <c r="B694" s="3"/>
      <c r="C694" s="53"/>
      <c r="D694" s="775"/>
      <c r="E694" s="648"/>
      <c r="F694" s="562"/>
      <c r="G694" s="562"/>
      <c r="H694" s="562"/>
      <c r="I694" s="562"/>
      <c r="J694" s="562"/>
    </row>
    <row r="695" spans="1:10" ht="15.75" hidden="1" customHeight="1" x14ac:dyDescent="0.2">
      <c r="A695" s="107"/>
      <c r="B695" s="3"/>
      <c r="C695" s="53"/>
      <c r="D695" s="775"/>
      <c r="E695" s="648"/>
      <c r="F695" s="562"/>
      <c r="G695" s="562"/>
      <c r="H695" s="562"/>
      <c r="I695" s="562"/>
      <c r="J695" s="562"/>
    </row>
    <row r="696" spans="1:10" ht="15.75" hidden="1" customHeight="1" x14ac:dyDescent="0.2">
      <c r="A696" s="107"/>
      <c r="B696" s="3"/>
      <c r="C696" s="57" t="s">
        <v>2196</v>
      </c>
      <c r="D696" s="53" t="s">
        <v>2751</v>
      </c>
      <c r="E696" s="648"/>
      <c r="F696" s="562"/>
      <c r="G696" s="562"/>
      <c r="H696" s="562"/>
      <c r="I696" s="562"/>
      <c r="J696" s="562"/>
    </row>
    <row r="697" spans="1:10" ht="15.75" hidden="1" customHeight="1" x14ac:dyDescent="0.2">
      <c r="A697" s="107"/>
      <c r="B697" s="3"/>
      <c r="C697" s="57" t="s">
        <v>2198</v>
      </c>
      <c r="D697" s="53" t="s">
        <v>2752</v>
      </c>
      <c r="E697" s="648"/>
      <c r="F697" s="562"/>
      <c r="G697" s="562"/>
      <c r="H697" s="562"/>
      <c r="I697" s="562"/>
      <c r="J697" s="562"/>
    </row>
    <row r="698" spans="1:10" ht="15.75" hidden="1" customHeight="1" x14ac:dyDescent="0.2">
      <c r="A698" s="107"/>
      <c r="B698" s="3"/>
      <c r="C698" s="57" t="s">
        <v>2200</v>
      </c>
      <c r="D698" s="53" t="s">
        <v>2753</v>
      </c>
      <c r="E698" s="648"/>
      <c r="F698" s="562"/>
      <c r="G698" s="562"/>
      <c r="H698" s="562"/>
      <c r="I698" s="562"/>
      <c r="J698" s="562"/>
    </row>
    <row r="699" spans="1:10" ht="15.75" hidden="1" customHeight="1" x14ac:dyDescent="0.2">
      <c r="A699" s="107"/>
      <c r="B699" s="3"/>
      <c r="C699" s="59" t="s">
        <v>2247</v>
      </c>
      <c r="D699" s="53" t="s">
        <v>2754</v>
      </c>
      <c r="E699" s="648"/>
      <c r="F699" s="562"/>
      <c r="G699" s="562"/>
      <c r="H699" s="562"/>
      <c r="I699" s="562"/>
      <c r="J699" s="562"/>
    </row>
    <row r="700" spans="1:10" ht="15" hidden="1" customHeight="1" x14ac:dyDescent="0.2">
      <c r="A700" s="107"/>
      <c r="B700" s="3"/>
      <c r="C700" s="53"/>
      <c r="D700" s="848" t="s">
        <v>2755</v>
      </c>
      <c r="E700" s="648"/>
      <c r="F700" s="562"/>
      <c r="G700" s="562"/>
      <c r="H700" s="562"/>
      <c r="I700" s="562"/>
      <c r="J700" s="562"/>
    </row>
    <row r="701" spans="1:10" ht="15.75" hidden="1" customHeight="1" x14ac:dyDescent="0.2">
      <c r="A701" s="107"/>
      <c r="B701" s="3"/>
      <c r="C701" s="53"/>
      <c r="D701" s="848"/>
      <c r="E701" s="648"/>
      <c r="F701" s="562"/>
      <c r="G701" s="562"/>
      <c r="H701" s="562"/>
      <c r="I701" s="562"/>
      <c r="J701" s="562"/>
    </row>
    <row r="702" spans="1:10" ht="15.75" hidden="1" customHeight="1" x14ac:dyDescent="0.2">
      <c r="A702" s="107"/>
      <c r="B702" s="3"/>
      <c r="C702" s="57" t="s">
        <v>2196</v>
      </c>
      <c r="D702" s="53" t="s">
        <v>2725</v>
      </c>
      <c r="E702" s="648"/>
      <c r="F702" s="562"/>
      <c r="G702" s="562"/>
      <c r="H702" s="562"/>
      <c r="I702" s="562"/>
      <c r="J702" s="562"/>
    </row>
    <row r="703" spans="1:10" ht="15.75" hidden="1" customHeight="1" x14ac:dyDescent="0.2">
      <c r="A703" s="107"/>
      <c r="B703" s="3"/>
      <c r="C703" s="57" t="s">
        <v>2198</v>
      </c>
      <c r="D703" s="53" t="s">
        <v>2726</v>
      </c>
      <c r="E703" s="648"/>
      <c r="F703" s="562"/>
      <c r="G703" s="562"/>
      <c r="H703" s="562"/>
      <c r="I703" s="562"/>
      <c r="J703" s="562"/>
    </row>
    <row r="704" spans="1:10" ht="15.75" hidden="1" customHeight="1" x14ac:dyDescent="0.2">
      <c r="A704" s="107"/>
      <c r="B704" s="3"/>
      <c r="C704" s="57" t="s">
        <v>2200</v>
      </c>
      <c r="D704" s="53" t="s">
        <v>2727</v>
      </c>
      <c r="E704" s="648"/>
      <c r="F704" s="562"/>
      <c r="G704" s="562"/>
      <c r="H704" s="562"/>
      <c r="I704" s="562"/>
      <c r="J704" s="562"/>
    </row>
    <row r="705" spans="1:10" ht="15.75" hidden="1" customHeight="1" x14ac:dyDescent="0.2">
      <c r="A705" s="107"/>
      <c r="B705" s="3"/>
      <c r="C705" s="59" t="s">
        <v>2247</v>
      </c>
      <c r="D705" s="53" t="s">
        <v>2728</v>
      </c>
      <c r="E705" s="648"/>
      <c r="F705" s="562"/>
      <c r="G705" s="562"/>
      <c r="H705" s="562"/>
      <c r="I705" s="562"/>
      <c r="J705" s="562"/>
    </row>
    <row r="706" spans="1:10" ht="15.75" hidden="1" customHeight="1" x14ac:dyDescent="0.2">
      <c r="A706" s="107"/>
      <c r="B706" s="3"/>
      <c r="C706" s="55" t="s">
        <v>2444</v>
      </c>
      <c r="D706" s="53" t="s">
        <v>2729</v>
      </c>
      <c r="E706" s="648"/>
      <c r="F706" s="562"/>
      <c r="G706" s="562"/>
      <c r="H706" s="562"/>
      <c r="I706" s="562"/>
      <c r="J706" s="562"/>
    </row>
    <row r="707" spans="1:10" ht="15.75" hidden="1" customHeight="1" x14ac:dyDescent="0.2">
      <c r="A707" s="107"/>
      <c r="B707" s="3"/>
      <c r="C707" s="57" t="s">
        <v>2540</v>
      </c>
      <c r="D707" s="53" t="s">
        <v>2730</v>
      </c>
      <c r="E707" s="648"/>
      <c r="F707" s="562"/>
      <c r="G707" s="562"/>
      <c r="H707" s="562"/>
      <c r="I707" s="562"/>
      <c r="J707" s="562"/>
    </row>
    <row r="708" spans="1:10" ht="15" hidden="1" customHeight="1" x14ac:dyDescent="0.2">
      <c r="A708" s="107"/>
      <c r="B708" s="3"/>
      <c r="C708" s="53"/>
      <c r="D708" s="851" t="s">
        <v>2758</v>
      </c>
      <c r="E708" s="648"/>
      <c r="F708" s="562"/>
      <c r="G708" s="562"/>
      <c r="H708" s="562"/>
      <c r="I708" s="562"/>
      <c r="J708" s="562"/>
    </row>
    <row r="709" spans="1:10" ht="15.75" hidden="1" customHeight="1" x14ac:dyDescent="0.2">
      <c r="A709" s="107"/>
      <c r="B709" s="3"/>
      <c r="C709" s="53"/>
      <c r="D709" s="851"/>
      <c r="E709" s="648"/>
      <c r="F709" s="562"/>
      <c r="G709" s="562"/>
      <c r="H709" s="562"/>
      <c r="I709" s="562"/>
      <c r="J709" s="562"/>
    </row>
    <row r="710" spans="1:10" ht="15" hidden="1" customHeight="1" x14ac:dyDescent="0.2">
      <c r="A710" s="107"/>
      <c r="B710" s="3"/>
      <c r="C710" s="53"/>
      <c r="D710" s="833" t="s">
        <v>2759</v>
      </c>
      <c r="E710" s="648"/>
      <c r="F710" s="562"/>
      <c r="G710" s="562"/>
      <c r="H710" s="562"/>
      <c r="I710" s="562"/>
      <c r="J710" s="562"/>
    </row>
    <row r="711" spans="1:10" ht="15.75" hidden="1" customHeight="1" x14ac:dyDescent="0.2">
      <c r="A711" s="107"/>
      <c r="B711" s="3"/>
      <c r="C711" s="53"/>
      <c r="D711" s="845"/>
      <c r="E711" s="648"/>
      <c r="F711" s="562"/>
      <c r="G711" s="562"/>
      <c r="H711" s="562"/>
      <c r="I711" s="562"/>
      <c r="J711" s="562"/>
    </row>
    <row r="712" spans="1:10" ht="20" hidden="1" thickBot="1" x14ac:dyDescent="0.3">
      <c r="A712" s="45" t="s">
        <v>2760</v>
      </c>
      <c r="B712" s="16"/>
      <c r="C712" s="52"/>
      <c r="D712" s="50"/>
      <c r="E712" s="44"/>
      <c r="F712" s="562"/>
      <c r="G712" s="562"/>
      <c r="H712" s="562"/>
      <c r="I712" s="562"/>
      <c r="J712" s="562"/>
    </row>
    <row r="713" spans="1:10" ht="15" hidden="1" customHeight="1" x14ac:dyDescent="0.2">
      <c r="A713" s="107" t="s">
        <v>2761</v>
      </c>
      <c r="B713" s="3"/>
      <c r="C713" s="53"/>
      <c r="D713" s="775" t="s">
        <v>2762</v>
      </c>
      <c r="E713" s="887">
        <f ca="1">'Verification Report'!O713</f>
        <v>0</v>
      </c>
      <c r="F713" s="562"/>
      <c r="G713" s="562"/>
      <c r="H713" s="562"/>
      <c r="I713" s="562"/>
      <c r="J713" s="562"/>
    </row>
    <row r="714" spans="1:10" ht="15.75" hidden="1" customHeight="1" x14ac:dyDescent="0.2">
      <c r="A714" s="107"/>
      <c r="B714" s="3"/>
      <c r="C714" s="53"/>
      <c r="D714" s="775"/>
      <c r="E714" s="887">
        <f>'Verification Report'!O714</f>
        <v>0</v>
      </c>
      <c r="F714" s="562"/>
      <c r="G714" s="562"/>
      <c r="H714" s="562"/>
      <c r="I714" s="562"/>
      <c r="J714" s="562"/>
    </row>
    <row r="715" spans="1:10" ht="15.75" hidden="1" customHeight="1" x14ac:dyDescent="0.2">
      <c r="A715" s="107"/>
      <c r="B715" s="3"/>
      <c r="C715" s="53"/>
      <c r="D715" s="775"/>
      <c r="E715" s="887">
        <f>'Verification Report'!O715</f>
        <v>0</v>
      </c>
      <c r="F715" s="562"/>
      <c r="G715" s="562"/>
      <c r="H715" s="562"/>
      <c r="I715" s="562"/>
      <c r="J715" s="562"/>
    </row>
    <row r="716" spans="1:10" ht="15.75" hidden="1" customHeight="1" x14ac:dyDescent="0.2">
      <c r="A716" s="107"/>
      <c r="B716" s="3"/>
      <c r="C716" s="53"/>
      <c r="D716" s="775"/>
      <c r="E716" s="887">
        <f>'Verification Report'!O716</f>
        <v>0</v>
      </c>
      <c r="F716" s="562"/>
      <c r="G716" s="562"/>
      <c r="H716" s="562"/>
      <c r="I716" s="562"/>
      <c r="J716" s="562"/>
    </row>
    <row r="717" spans="1:10" ht="15.75" hidden="1" customHeight="1" x14ac:dyDescent="0.2">
      <c r="A717" s="107"/>
      <c r="B717" s="3"/>
      <c r="C717" s="53"/>
      <c r="D717" s="775"/>
      <c r="E717" s="887">
        <f>'Verification Report'!O717</f>
        <v>0</v>
      </c>
      <c r="F717" s="562"/>
      <c r="G717" s="562"/>
      <c r="H717" s="562"/>
      <c r="I717" s="562"/>
      <c r="J717" s="562"/>
    </row>
    <row r="718" spans="1:10" ht="15.75" hidden="1" customHeight="1" x14ac:dyDescent="0.2">
      <c r="A718" s="107"/>
      <c r="B718" s="3"/>
      <c r="C718" s="53"/>
      <c r="D718" s="119" t="s">
        <v>2764</v>
      </c>
      <c r="E718" s="887">
        <f>'Verification Report'!O718</f>
        <v>0</v>
      </c>
      <c r="F718" s="562"/>
      <c r="G718" s="562"/>
      <c r="H718" s="562"/>
      <c r="I718" s="562"/>
      <c r="J718" s="562"/>
    </row>
    <row r="719" spans="1:10" ht="15" hidden="1" customHeight="1" x14ac:dyDescent="0.2">
      <c r="A719" s="107"/>
      <c r="B719" s="3"/>
      <c r="C719" s="53"/>
      <c r="D719" s="816" t="s">
        <v>2765</v>
      </c>
      <c r="E719" s="887">
        <f>'Verification Report'!O719</f>
        <v>0</v>
      </c>
      <c r="F719" s="562"/>
      <c r="G719" s="562"/>
      <c r="H719" s="562"/>
      <c r="I719" s="562"/>
      <c r="J719" s="562"/>
    </row>
    <row r="720" spans="1:10" ht="15.75" hidden="1" customHeight="1" thickBot="1" x14ac:dyDescent="0.25">
      <c r="A720" s="107"/>
      <c r="B720" s="3"/>
      <c r="C720" s="53"/>
      <c r="D720" s="833"/>
      <c r="E720" s="887">
        <f>'Verification Report'!O720</f>
        <v>0</v>
      </c>
      <c r="F720" s="562"/>
      <c r="G720" s="562"/>
      <c r="H720" s="562"/>
      <c r="I720" s="562"/>
      <c r="J720" s="562"/>
    </row>
    <row r="721" spans="1:10" ht="15.75" hidden="1" customHeight="1" thickTop="1" x14ac:dyDescent="0.2">
      <c r="A721" s="75" t="s">
        <v>2766</v>
      </c>
      <c r="B721" s="132"/>
      <c r="C721" s="133"/>
      <c r="D721" s="819" t="s">
        <v>2767</v>
      </c>
      <c r="E721" s="981">
        <f>'Verification Report'!O721</f>
        <v>0</v>
      </c>
      <c r="F721" s="562"/>
      <c r="G721" s="562"/>
      <c r="H721" s="562"/>
      <c r="I721" s="562"/>
      <c r="J721" s="562"/>
    </row>
    <row r="722" spans="1:10" ht="16" hidden="1" thickBot="1" x14ac:dyDescent="0.25">
      <c r="A722" s="70"/>
      <c r="B722" s="98"/>
      <c r="C722" s="65"/>
      <c r="D722" s="820"/>
      <c r="E722" s="924">
        <f>'Verification Report'!O722</f>
        <v>0</v>
      </c>
      <c r="F722" s="562"/>
      <c r="G722" s="562"/>
      <c r="H722" s="562"/>
      <c r="I722" s="562"/>
      <c r="J722" s="562"/>
    </row>
    <row r="723" spans="1:10" ht="16" hidden="1" thickBot="1" x14ac:dyDescent="0.25">
      <c r="A723" s="70"/>
      <c r="B723" s="98"/>
      <c r="C723" s="65"/>
      <c r="D723" s="820"/>
      <c r="E723" s="924">
        <f>'Verification Report'!O723</f>
        <v>0</v>
      </c>
      <c r="F723" s="562"/>
      <c r="G723" s="562"/>
      <c r="H723" s="562"/>
      <c r="I723" s="562"/>
      <c r="J723" s="562"/>
    </row>
    <row r="724" spans="1:10" ht="16" hidden="1" thickBot="1" x14ac:dyDescent="0.25">
      <c r="A724" s="107"/>
      <c r="B724" s="159" t="s">
        <v>2181</v>
      </c>
      <c r="C724" s="126"/>
      <c r="D724" s="126" t="s">
        <v>2769</v>
      </c>
      <c r="E724" s="648"/>
      <c r="F724" s="562"/>
      <c r="G724" s="562"/>
      <c r="H724" s="562"/>
      <c r="I724" s="562"/>
      <c r="J724" s="562"/>
    </row>
    <row r="725" spans="1:10" ht="16" hidden="1" thickBot="1" x14ac:dyDescent="0.25">
      <c r="A725" s="107"/>
      <c r="B725" s="161" t="s">
        <v>2183</v>
      </c>
      <c r="C725" s="162"/>
      <c r="D725" s="162" t="s">
        <v>2770</v>
      </c>
      <c r="E725" s="648"/>
      <c r="F725" s="562"/>
      <c r="G725" s="562"/>
      <c r="H725" s="562"/>
      <c r="I725" s="562"/>
      <c r="J725" s="562"/>
    </row>
    <row r="726" spans="1:10" ht="16" hidden="1" thickBot="1" x14ac:dyDescent="0.25">
      <c r="A726" s="107"/>
      <c r="B726" s="161" t="s">
        <v>2185</v>
      </c>
      <c r="C726" s="162"/>
      <c r="D726" s="162" t="s">
        <v>2771</v>
      </c>
      <c r="E726" s="648"/>
      <c r="F726" s="562"/>
      <c r="G726" s="562"/>
      <c r="H726" s="562"/>
      <c r="I726" s="562"/>
      <c r="J726" s="562"/>
    </row>
    <row r="727" spans="1:10" ht="16" hidden="1" thickBot="1" x14ac:dyDescent="0.25">
      <c r="A727" s="107"/>
      <c r="B727" s="161" t="s">
        <v>2192</v>
      </c>
      <c r="C727" s="162"/>
      <c r="D727" s="162" t="s">
        <v>2772</v>
      </c>
      <c r="E727" s="648"/>
      <c r="F727" s="562"/>
      <c r="G727" s="562"/>
      <c r="H727" s="562"/>
      <c r="I727" s="562"/>
      <c r="J727" s="562"/>
    </row>
    <row r="728" spans="1:10" ht="16" hidden="1" thickBot="1" x14ac:dyDescent="0.25">
      <c r="A728" s="107"/>
      <c r="B728" s="161" t="s">
        <v>2194</v>
      </c>
      <c r="C728" s="162"/>
      <c r="D728" s="162" t="s">
        <v>2773</v>
      </c>
      <c r="E728" s="648"/>
      <c r="F728" s="562"/>
      <c r="G728" s="562"/>
      <c r="H728" s="562"/>
      <c r="I728" s="562"/>
      <c r="J728" s="562"/>
    </row>
    <row r="729" spans="1:10" ht="16" hidden="1" thickBot="1" x14ac:dyDescent="0.25">
      <c r="A729" s="107"/>
      <c r="B729" s="161" t="s">
        <v>2221</v>
      </c>
      <c r="C729" s="162"/>
      <c r="D729" s="162" t="s">
        <v>2774</v>
      </c>
      <c r="E729" s="648"/>
      <c r="F729" s="562"/>
      <c r="G729" s="562"/>
      <c r="H729" s="562"/>
      <c r="I729" s="562"/>
      <c r="J729" s="562"/>
    </row>
    <row r="730" spans="1:10" ht="15" hidden="1" customHeight="1" x14ac:dyDescent="0.2">
      <c r="A730" s="107"/>
      <c r="B730" s="20" t="s">
        <v>2223</v>
      </c>
      <c r="C730" s="53"/>
      <c r="D730" s="817" t="s">
        <v>2775</v>
      </c>
      <c r="E730" s="648"/>
      <c r="F730" s="562"/>
      <c r="G730" s="562"/>
      <c r="H730" s="562"/>
      <c r="I730" s="562"/>
      <c r="J730" s="562"/>
    </row>
    <row r="731" spans="1:10" ht="15.75" hidden="1" customHeight="1" thickBot="1" x14ac:dyDescent="0.25">
      <c r="A731" s="107"/>
      <c r="B731" s="20"/>
      <c r="C731" s="53"/>
      <c r="D731" s="817"/>
      <c r="E731" s="648"/>
      <c r="F731" s="562"/>
      <c r="G731" s="562"/>
      <c r="H731" s="562"/>
      <c r="I731" s="562"/>
      <c r="J731" s="562"/>
    </row>
    <row r="732" spans="1:10" ht="15.75" customHeight="1" thickTop="1" x14ac:dyDescent="0.2">
      <c r="A732" s="75" t="s">
        <v>2776</v>
      </c>
      <c r="B732" s="151"/>
      <c r="C732" s="133"/>
      <c r="D732" s="819" t="s">
        <v>2777</v>
      </c>
      <c r="E732" s="981">
        <f>'Verification Report'!O732</f>
        <v>0</v>
      </c>
      <c r="F732" s="562"/>
      <c r="G732" s="562">
        <v>1</v>
      </c>
      <c r="H732" s="562"/>
      <c r="I732" s="562"/>
      <c r="J732" s="562"/>
    </row>
    <row r="733" spans="1:10" x14ac:dyDescent="0.2">
      <c r="A733" s="70"/>
      <c r="B733" s="98"/>
      <c r="C733" s="65"/>
      <c r="D733" s="820"/>
      <c r="E733" s="924">
        <f>'Verification Report'!O733</f>
        <v>0</v>
      </c>
      <c r="F733" s="64"/>
      <c r="G733" s="562">
        <v>1</v>
      </c>
      <c r="H733" s="562"/>
      <c r="I733" s="562"/>
      <c r="J733" s="562"/>
    </row>
    <row r="734" spans="1:10" ht="15" customHeight="1" x14ac:dyDescent="0.2">
      <c r="A734" s="107"/>
      <c r="B734" s="134" t="s">
        <v>2181</v>
      </c>
      <c r="C734" s="65"/>
      <c r="D734" s="791" t="s">
        <v>2778</v>
      </c>
      <c r="E734" s="648"/>
      <c r="F734" s="458" t="str">
        <f>IF('Verification Report'!W734="","",'Verification Report'!W734)</f>
        <v/>
      </c>
      <c r="G734" s="562">
        <v>1</v>
      </c>
      <c r="H734" s="460"/>
      <c r="I734" s="562" t="s">
        <v>3843</v>
      </c>
      <c r="J734" s="562"/>
    </row>
    <row r="735" spans="1:10" x14ac:dyDescent="0.2">
      <c r="A735" s="107"/>
      <c r="B735" s="98"/>
      <c r="C735" s="65"/>
      <c r="D735" s="791"/>
      <c r="E735" s="648"/>
      <c r="F735" s="562"/>
      <c r="G735" s="562">
        <v>1</v>
      </c>
      <c r="H735" s="562"/>
      <c r="I735" s="562"/>
      <c r="J735" s="562"/>
    </row>
    <row r="736" spans="1:10" x14ac:dyDescent="0.2">
      <c r="A736" s="107"/>
      <c r="B736" s="98"/>
      <c r="C736" s="65"/>
      <c r="D736" s="791"/>
      <c r="E736" s="648"/>
      <c r="F736" s="562"/>
      <c r="G736" s="562">
        <v>1</v>
      </c>
      <c r="H736" s="562"/>
      <c r="I736" s="562"/>
      <c r="J736" s="562"/>
    </row>
    <row r="737" spans="1:10" x14ac:dyDescent="0.2">
      <c r="A737" s="107"/>
      <c r="B737" s="98"/>
      <c r="C737" s="65"/>
      <c r="D737" s="791"/>
      <c r="E737" s="648"/>
      <c r="F737" s="562"/>
      <c r="G737" s="562">
        <v>1</v>
      </c>
      <c r="H737" s="562"/>
      <c r="I737" s="562"/>
      <c r="J737" s="562"/>
    </row>
    <row r="738" spans="1:10" ht="16" thickBot="1" x14ac:dyDescent="0.25">
      <c r="A738" s="107"/>
      <c r="B738" s="165"/>
      <c r="C738" s="126"/>
      <c r="D738" s="792"/>
      <c r="E738" s="648"/>
      <c r="F738" s="562"/>
      <c r="G738" s="562">
        <v>1</v>
      </c>
      <c r="H738" s="562"/>
      <c r="I738" s="562"/>
      <c r="J738" s="562"/>
    </row>
    <row r="739" spans="1:10" ht="15" hidden="1" customHeight="1" x14ac:dyDescent="0.2">
      <c r="A739" s="107"/>
      <c r="B739" s="164" t="s">
        <v>2183</v>
      </c>
      <c r="C739" s="147"/>
      <c r="D739" s="831" t="s">
        <v>2779</v>
      </c>
      <c r="E739" s="648"/>
      <c r="F739" s="562"/>
      <c r="G739" s="562"/>
      <c r="H739" s="562"/>
      <c r="I739" s="562"/>
      <c r="J739" s="562"/>
    </row>
    <row r="740" spans="1:10" ht="15.75" hidden="1" customHeight="1" x14ac:dyDescent="0.2">
      <c r="A740" s="107"/>
      <c r="B740" s="98"/>
      <c r="C740" s="65"/>
      <c r="D740" s="791"/>
      <c r="E740" s="648"/>
      <c r="F740" s="562"/>
      <c r="G740" s="562"/>
      <c r="H740" s="562"/>
      <c r="I740" s="562"/>
      <c r="J740" s="562"/>
    </row>
    <row r="741" spans="1:10" ht="15.75" hidden="1" customHeight="1" x14ac:dyDescent="0.2">
      <c r="A741" s="107"/>
      <c r="B741" s="98"/>
      <c r="C741" s="65"/>
      <c r="D741" s="791"/>
      <c r="E741" s="648"/>
      <c r="F741" s="562"/>
      <c r="G741" s="562"/>
      <c r="H741" s="562"/>
      <c r="I741" s="562"/>
      <c r="J741" s="562"/>
    </row>
    <row r="742" spans="1:10" ht="15.75" hidden="1" customHeight="1" x14ac:dyDescent="0.2">
      <c r="A742" s="107"/>
      <c r="B742" s="165"/>
      <c r="C742" s="126"/>
      <c r="D742" s="792"/>
      <c r="E742" s="648"/>
      <c r="F742" s="562"/>
      <c r="G742" s="562"/>
      <c r="H742" s="562"/>
      <c r="I742" s="562"/>
      <c r="J742" s="562"/>
    </row>
    <row r="743" spans="1:10" ht="15" hidden="1" customHeight="1" x14ac:dyDescent="0.2">
      <c r="A743" s="107"/>
      <c r="B743" s="164" t="s">
        <v>2185</v>
      </c>
      <c r="C743" s="147"/>
      <c r="D743" s="831" t="s">
        <v>2780</v>
      </c>
      <c r="E743" s="648"/>
      <c r="F743" s="562"/>
      <c r="G743" s="562"/>
      <c r="H743" s="562"/>
      <c r="I743" s="562"/>
      <c r="J743" s="562"/>
    </row>
    <row r="744" spans="1:10" ht="15.75" hidden="1" customHeight="1" x14ac:dyDescent="0.2">
      <c r="A744" s="107"/>
      <c r="B744" s="165"/>
      <c r="C744" s="126"/>
      <c r="D744" s="792"/>
      <c r="E744" s="648"/>
      <c r="F744" s="562"/>
      <c r="G744" s="562"/>
      <c r="H744" s="562"/>
      <c r="I744" s="562"/>
      <c r="J744" s="562"/>
    </row>
    <row r="745" spans="1:10" ht="15" hidden="1" customHeight="1" x14ac:dyDescent="0.2">
      <c r="A745" s="107"/>
      <c r="B745" s="164" t="s">
        <v>2192</v>
      </c>
      <c r="C745" s="147"/>
      <c r="D745" s="831" t="s">
        <v>2781</v>
      </c>
      <c r="E745" s="648"/>
      <c r="F745" s="562"/>
      <c r="G745" s="562"/>
      <c r="H745" s="562"/>
      <c r="I745" s="562"/>
      <c r="J745" s="562"/>
    </row>
    <row r="746" spans="1:10" ht="15.75" hidden="1" customHeight="1" x14ac:dyDescent="0.2">
      <c r="A746" s="107"/>
      <c r="B746" s="165"/>
      <c r="C746" s="126"/>
      <c r="D746" s="792"/>
      <c r="E746" s="648"/>
      <c r="F746" s="562"/>
      <c r="G746" s="562"/>
      <c r="H746" s="562"/>
      <c r="I746" s="562"/>
      <c r="J746" s="562"/>
    </row>
    <row r="747" spans="1:10" ht="16" hidden="1" thickBot="1" x14ac:dyDescent="0.25">
      <c r="A747" s="107"/>
      <c r="B747" s="161" t="s">
        <v>2194</v>
      </c>
      <c r="C747" s="162"/>
      <c r="D747" s="162" t="s">
        <v>2782</v>
      </c>
      <c r="E747" s="648"/>
      <c r="F747" s="562"/>
      <c r="G747" s="562"/>
      <c r="H747" s="562"/>
      <c r="I747" s="562"/>
      <c r="J747" s="562"/>
    </row>
    <row r="748" spans="1:10" ht="16" hidden="1" thickBot="1" x14ac:dyDescent="0.25">
      <c r="A748" s="107"/>
      <c r="B748" s="161" t="s">
        <v>2221</v>
      </c>
      <c r="C748" s="162"/>
      <c r="D748" s="162" t="s">
        <v>2783</v>
      </c>
      <c r="E748" s="648"/>
      <c r="F748" s="562"/>
      <c r="G748" s="562"/>
      <c r="H748" s="562"/>
      <c r="I748" s="562"/>
      <c r="J748" s="562"/>
    </row>
    <row r="749" spans="1:10" ht="15" hidden="1" customHeight="1" x14ac:dyDescent="0.2">
      <c r="A749" s="107"/>
      <c r="B749" s="164" t="s">
        <v>2223</v>
      </c>
      <c r="C749" s="147"/>
      <c r="D749" s="831" t="s">
        <v>2784</v>
      </c>
      <c r="E749" s="648"/>
      <c r="F749" s="562"/>
      <c r="G749" s="562"/>
      <c r="H749" s="562"/>
      <c r="I749" s="562"/>
      <c r="J749" s="562"/>
    </row>
    <row r="750" spans="1:10" ht="15.75" hidden="1" customHeight="1" x14ac:dyDescent="0.2">
      <c r="A750" s="107"/>
      <c r="B750" s="98"/>
      <c r="C750" s="65"/>
      <c r="D750" s="791"/>
      <c r="E750" s="648"/>
      <c r="F750" s="562"/>
      <c r="G750" s="562"/>
      <c r="H750" s="562"/>
      <c r="I750" s="562"/>
      <c r="J750" s="562"/>
    </row>
    <row r="751" spans="1:10" ht="15.75" hidden="1" customHeight="1" x14ac:dyDescent="0.2">
      <c r="A751" s="107"/>
      <c r="B751" s="98"/>
      <c r="C751" s="65"/>
      <c r="D751" s="791"/>
      <c r="E751" s="648"/>
      <c r="F751" s="562"/>
      <c r="G751" s="562"/>
      <c r="H751" s="562"/>
      <c r="I751" s="562"/>
      <c r="J751" s="562"/>
    </row>
    <row r="752" spans="1:10" ht="15.75" hidden="1" customHeight="1" x14ac:dyDescent="0.2">
      <c r="A752" s="107"/>
      <c r="B752" s="165"/>
      <c r="C752" s="126"/>
      <c r="D752" s="792"/>
      <c r="E752" s="648"/>
      <c r="F752" s="562"/>
      <c r="G752" s="562"/>
      <c r="H752" s="562"/>
      <c r="I752" s="562"/>
      <c r="J752" s="562"/>
    </row>
    <row r="753" spans="1:10" ht="15" hidden="1" customHeight="1" x14ac:dyDescent="0.2">
      <c r="A753" s="107"/>
      <c r="B753" s="164" t="s">
        <v>2282</v>
      </c>
      <c r="C753" s="147"/>
      <c r="D753" s="831" t="s">
        <v>2785</v>
      </c>
      <c r="E753" s="648"/>
      <c r="F753" s="562"/>
      <c r="G753" s="562"/>
      <c r="H753" s="562"/>
      <c r="I753" s="562"/>
      <c r="J753" s="562"/>
    </row>
    <row r="754" spans="1:10" ht="15.75" hidden="1" customHeight="1" x14ac:dyDescent="0.2">
      <c r="A754" s="107"/>
      <c r="B754" s="165"/>
      <c r="C754" s="126"/>
      <c r="D754" s="792"/>
      <c r="E754" s="648"/>
      <c r="F754" s="562"/>
      <c r="G754" s="562"/>
      <c r="H754" s="562"/>
      <c r="I754" s="562"/>
      <c r="J754" s="562"/>
    </row>
    <row r="755" spans="1:10" ht="15" hidden="1" customHeight="1" x14ac:dyDescent="0.2">
      <c r="A755" s="107"/>
      <c r="B755" s="20" t="s">
        <v>2284</v>
      </c>
      <c r="C755" s="53"/>
      <c r="D755" s="817" t="s">
        <v>2786</v>
      </c>
      <c r="E755" s="648"/>
      <c r="F755" s="562"/>
      <c r="G755" s="562"/>
      <c r="H755" s="562"/>
      <c r="I755" s="562"/>
      <c r="J755" s="562"/>
    </row>
    <row r="756" spans="1:10" ht="15.75" hidden="1" customHeight="1" thickBot="1" x14ac:dyDescent="0.25">
      <c r="A756" s="107"/>
      <c r="B756" s="3"/>
      <c r="C756" s="53"/>
      <c r="D756" s="817"/>
      <c r="E756" s="648"/>
      <c r="F756" s="562"/>
      <c r="G756" s="562"/>
      <c r="H756" s="562"/>
      <c r="I756" s="562"/>
      <c r="J756" s="562"/>
    </row>
    <row r="757" spans="1:10" ht="15.75" hidden="1" customHeight="1" thickTop="1" x14ac:dyDescent="0.2">
      <c r="A757" s="75" t="s">
        <v>2787</v>
      </c>
      <c r="B757" s="132"/>
      <c r="C757" s="133"/>
      <c r="D757" s="819" t="s">
        <v>2788</v>
      </c>
      <c r="E757" s="981">
        <f>'Verification Report'!O757</f>
        <v>0</v>
      </c>
      <c r="F757" s="562"/>
      <c r="G757" s="562"/>
      <c r="H757" s="562"/>
      <c r="I757" s="562"/>
      <c r="J757" s="562"/>
    </row>
    <row r="758" spans="1:10" ht="16" hidden="1" thickBot="1" x14ac:dyDescent="0.25">
      <c r="A758" s="70"/>
      <c r="B758" s="98"/>
      <c r="C758" s="65"/>
      <c r="D758" s="820"/>
      <c r="E758" s="924">
        <f>'Verification Report'!O758</f>
        <v>0</v>
      </c>
      <c r="F758" s="562"/>
      <c r="G758" s="562"/>
      <c r="H758" s="562"/>
      <c r="I758" s="562"/>
      <c r="J758" s="562"/>
    </row>
    <row r="759" spans="1:10" ht="16" hidden="1" thickBot="1" x14ac:dyDescent="0.25">
      <c r="A759" s="70"/>
      <c r="B759" s="98"/>
      <c r="C759" s="65"/>
      <c r="D759" s="820"/>
      <c r="E759" s="924">
        <f>'Verification Report'!O759</f>
        <v>0</v>
      </c>
      <c r="F759" s="562"/>
      <c r="G759" s="562"/>
      <c r="H759" s="562"/>
      <c r="I759" s="562"/>
      <c r="J759" s="562"/>
    </row>
    <row r="760" spans="1:10" ht="16" hidden="1" thickBot="1" x14ac:dyDescent="0.25">
      <c r="A760" s="70"/>
      <c r="B760" s="98"/>
      <c r="C760" s="65"/>
      <c r="D760" s="820"/>
      <c r="E760" s="924">
        <f>'Verification Report'!O760</f>
        <v>0</v>
      </c>
      <c r="F760" s="562"/>
      <c r="G760" s="562"/>
      <c r="H760" s="562"/>
      <c r="I760" s="562"/>
      <c r="J760" s="562"/>
    </row>
    <row r="761" spans="1:10" ht="16" hidden="1" thickBot="1" x14ac:dyDescent="0.25">
      <c r="A761" s="348"/>
      <c r="B761" s="165"/>
      <c r="C761" s="126"/>
      <c r="D761" s="832"/>
      <c r="E761" s="942">
        <f>'Verification Report'!O761</f>
        <v>0</v>
      </c>
      <c r="F761" s="562"/>
      <c r="G761" s="562"/>
      <c r="H761" s="562"/>
      <c r="I761" s="562"/>
      <c r="J761" s="562"/>
    </row>
    <row r="762" spans="1:10" ht="15" hidden="1" customHeight="1" x14ac:dyDescent="0.2">
      <c r="A762" s="107" t="s">
        <v>2790</v>
      </c>
      <c r="B762" s="3"/>
      <c r="C762" s="53"/>
      <c r="D762" s="862" t="s">
        <v>2791</v>
      </c>
      <c r="E762" s="648"/>
      <c r="F762" s="562"/>
      <c r="G762" s="562"/>
      <c r="H762" s="562"/>
      <c r="I762" s="562"/>
      <c r="J762" s="562"/>
    </row>
    <row r="763" spans="1:10" ht="15.75" hidden="1" customHeight="1" x14ac:dyDescent="0.2">
      <c r="A763" s="107"/>
      <c r="B763" s="3"/>
      <c r="C763" s="53"/>
      <c r="D763" s="862"/>
      <c r="E763" s="648"/>
      <c r="F763" s="562"/>
      <c r="G763" s="562"/>
      <c r="H763" s="562"/>
      <c r="I763" s="562"/>
      <c r="J763" s="562"/>
    </row>
    <row r="764" spans="1:10" ht="15.75" hidden="1" customHeight="1" x14ac:dyDescent="0.2">
      <c r="A764" s="107"/>
      <c r="B764" s="3"/>
      <c r="C764" s="53"/>
      <c r="D764" s="862"/>
      <c r="E764" s="648"/>
      <c r="F764" s="562"/>
      <c r="G764" s="562"/>
      <c r="H764" s="562"/>
      <c r="I764" s="562"/>
      <c r="J764" s="562"/>
    </row>
    <row r="765" spans="1:10" ht="15.75" hidden="1" customHeight="1" x14ac:dyDescent="0.2">
      <c r="A765" s="107"/>
      <c r="B765" s="3"/>
      <c r="C765" s="53"/>
      <c r="D765" s="862"/>
      <c r="E765" s="648"/>
      <c r="F765" s="562"/>
      <c r="G765" s="562"/>
      <c r="H765" s="562"/>
      <c r="I765" s="562"/>
      <c r="J765" s="562"/>
    </row>
    <row r="766" spans="1:10" ht="15.75" hidden="1" customHeight="1" x14ac:dyDescent="0.2">
      <c r="A766" s="107"/>
      <c r="B766" s="3"/>
      <c r="C766" s="53"/>
      <c r="D766" s="862"/>
      <c r="E766" s="648"/>
      <c r="F766" s="562"/>
      <c r="G766" s="562"/>
      <c r="H766" s="562"/>
      <c r="I766" s="562"/>
      <c r="J766" s="562"/>
    </row>
    <row r="767" spans="1:10" ht="15.75" hidden="1" customHeight="1" x14ac:dyDescent="0.2">
      <c r="A767" s="107"/>
      <c r="B767" s="3"/>
      <c r="C767" s="53"/>
      <c r="D767" s="862"/>
      <c r="E767" s="648"/>
      <c r="F767" s="562"/>
      <c r="G767" s="562"/>
      <c r="H767" s="562"/>
      <c r="I767" s="562"/>
      <c r="J767" s="562"/>
    </row>
    <row r="768" spans="1:10" ht="15.75" hidden="1" customHeight="1" x14ac:dyDescent="0.2">
      <c r="A768" s="107"/>
      <c r="B768" s="3"/>
      <c r="C768" s="53"/>
      <c r="D768" s="862"/>
      <c r="E768" s="648"/>
      <c r="F768" s="562"/>
      <c r="G768" s="562"/>
      <c r="H768" s="562"/>
      <c r="I768" s="562"/>
      <c r="J768" s="562"/>
    </row>
    <row r="769" spans="1:10" ht="15.75" hidden="1" customHeight="1" x14ac:dyDescent="0.2">
      <c r="A769" s="107"/>
      <c r="B769" s="3"/>
      <c r="C769" s="53"/>
      <c r="D769" s="862"/>
      <c r="E769" s="648"/>
      <c r="F769" s="562"/>
      <c r="G769" s="562"/>
      <c r="H769" s="562"/>
      <c r="I769" s="562"/>
      <c r="J769" s="562"/>
    </row>
    <row r="770" spans="1:10" ht="15.75" hidden="1" customHeight="1" x14ac:dyDescent="0.2">
      <c r="A770" s="348"/>
      <c r="B770" s="165"/>
      <c r="C770" s="126"/>
      <c r="D770" s="571" t="s">
        <v>2793</v>
      </c>
      <c r="E770" s="648"/>
      <c r="F770" s="562"/>
      <c r="G770" s="562"/>
      <c r="H770" s="562"/>
      <c r="I770" s="562"/>
      <c r="J770" s="562"/>
    </row>
    <row r="771" spans="1:10" ht="15" hidden="1" customHeight="1" x14ac:dyDescent="0.2">
      <c r="A771" s="70" t="s">
        <v>2795</v>
      </c>
      <c r="B771" s="98"/>
      <c r="C771" s="65"/>
      <c r="D771" s="812" t="s">
        <v>2796</v>
      </c>
      <c r="E771" s="668"/>
      <c r="F771" s="562"/>
      <c r="G771" s="562"/>
      <c r="H771" s="562"/>
      <c r="I771" s="562"/>
      <c r="J771" s="562"/>
    </row>
    <row r="772" spans="1:10" ht="15.75" hidden="1" customHeight="1" x14ac:dyDescent="0.2">
      <c r="A772" s="70"/>
      <c r="B772" s="98"/>
      <c r="C772" s="65"/>
      <c r="D772" s="812"/>
      <c r="E772" s="668"/>
      <c r="F772" s="562"/>
      <c r="G772" s="562"/>
      <c r="H772" s="562"/>
      <c r="I772" s="562"/>
      <c r="J772" s="562"/>
    </row>
    <row r="773" spans="1:10" ht="15.75" hidden="1" customHeight="1" x14ac:dyDescent="0.2">
      <c r="A773" s="70"/>
      <c r="B773" s="98"/>
      <c r="C773" s="65"/>
      <c r="D773" s="812"/>
      <c r="E773" s="668"/>
      <c r="F773" s="562"/>
      <c r="G773" s="562"/>
      <c r="H773" s="562"/>
      <c r="I773" s="562"/>
      <c r="J773" s="562"/>
    </row>
    <row r="774" spans="1:10" ht="15.75" hidden="1" customHeight="1" x14ac:dyDescent="0.2">
      <c r="A774" s="70"/>
      <c r="B774" s="98"/>
      <c r="C774" s="65"/>
      <c r="D774" s="812"/>
      <c r="E774" s="668"/>
      <c r="F774" s="562"/>
      <c r="G774" s="562"/>
      <c r="H774" s="562"/>
      <c r="I774" s="562"/>
      <c r="J774" s="562"/>
    </row>
    <row r="775" spans="1:10" ht="15.75" hidden="1" customHeight="1" x14ac:dyDescent="0.2">
      <c r="A775" s="70"/>
      <c r="B775" s="98"/>
      <c r="C775" s="65"/>
      <c r="D775" s="812"/>
      <c r="E775" s="668"/>
      <c r="F775" s="562"/>
      <c r="G775" s="562"/>
      <c r="H775" s="562"/>
      <c r="I775" s="562"/>
      <c r="J775" s="562"/>
    </row>
    <row r="776" spans="1:10" ht="15.75" hidden="1" customHeight="1" x14ac:dyDescent="0.2">
      <c r="A776" s="70"/>
      <c r="B776" s="98"/>
      <c r="C776" s="65"/>
      <c r="D776" s="812"/>
      <c r="E776" s="668"/>
      <c r="F776" s="562"/>
      <c r="G776" s="562"/>
      <c r="H776" s="562"/>
      <c r="I776" s="562"/>
      <c r="J776" s="562"/>
    </row>
    <row r="777" spans="1:10" ht="15.75" hidden="1" customHeight="1" thickBot="1" x14ac:dyDescent="0.25">
      <c r="A777" s="362"/>
      <c r="B777" s="68"/>
      <c r="C777" s="68"/>
      <c r="D777" s="449" t="s">
        <v>2793</v>
      </c>
      <c r="E777" s="674"/>
      <c r="F777" s="562"/>
      <c r="G777" s="562"/>
      <c r="H777" s="562"/>
      <c r="I777" s="562"/>
      <c r="J777" s="562"/>
    </row>
    <row r="778" spans="1:10" ht="20" hidden="1" thickBot="1" x14ac:dyDescent="0.3">
      <c r="A778" s="50" t="s">
        <v>2806</v>
      </c>
      <c r="B778" s="15"/>
      <c r="C778" s="15"/>
      <c r="D778" s="16"/>
      <c r="E778" s="17"/>
      <c r="F778" s="562"/>
      <c r="G778" s="562"/>
      <c r="H778" s="562"/>
      <c r="I778" s="562"/>
      <c r="J778" s="562"/>
    </row>
    <row r="779" spans="1:10" ht="17" hidden="1" thickTop="1" thickBot="1" x14ac:dyDescent="0.25">
      <c r="A779" s="75" t="s">
        <v>2808</v>
      </c>
      <c r="B779" s="271"/>
      <c r="C779" s="271"/>
      <c r="D779" s="646" t="s">
        <v>2809</v>
      </c>
      <c r="E779" s="623"/>
      <c r="F779" s="562"/>
      <c r="G779" s="562"/>
      <c r="H779" s="562"/>
      <c r="I779" s="562"/>
      <c r="J779" s="562"/>
    </row>
    <row r="780" spans="1:10" s="485" customFormat="1" ht="16" hidden="1" thickBot="1" x14ac:dyDescent="0.25">
      <c r="A780" s="145" t="s">
        <v>2813</v>
      </c>
      <c r="B780" s="638"/>
      <c r="C780" s="638"/>
      <c r="D780" s="847" t="s">
        <v>2814</v>
      </c>
      <c r="E780" s="607"/>
      <c r="F780" s="562"/>
      <c r="G780" s="562"/>
      <c r="H780" s="562"/>
      <c r="I780" s="562"/>
      <c r="J780" s="562"/>
    </row>
    <row r="781" spans="1:10" s="485" customFormat="1" ht="16" hidden="1" thickBot="1" x14ac:dyDescent="0.25">
      <c r="A781" s="98"/>
      <c r="B781" s="598"/>
      <c r="C781" s="598"/>
      <c r="D781" s="820"/>
      <c r="E781" s="607"/>
      <c r="F781" s="562"/>
      <c r="G781" s="562"/>
      <c r="H781" s="562"/>
      <c r="I781" s="562"/>
      <c r="J781" s="562"/>
    </row>
    <row r="782" spans="1:10" s="485" customFormat="1" ht="16" hidden="1" thickBot="1" x14ac:dyDescent="0.25">
      <c r="A782" s="98"/>
      <c r="B782" s="598"/>
      <c r="C782" s="598"/>
      <c r="D782" s="820"/>
      <c r="E782" s="607"/>
      <c r="F782" s="562"/>
      <c r="G782" s="562"/>
      <c r="H782" s="562"/>
      <c r="I782" s="562"/>
      <c r="J782" s="562"/>
    </row>
    <row r="783" spans="1:10" s="485" customFormat="1" ht="16" hidden="1" thickBot="1" x14ac:dyDescent="0.25">
      <c r="A783" s="98"/>
      <c r="B783" s="598"/>
      <c r="C783" s="598"/>
      <c r="D783" s="820"/>
      <c r="E783" s="607"/>
      <c r="F783" s="562"/>
      <c r="G783" s="562"/>
      <c r="H783" s="562"/>
      <c r="I783" s="562"/>
      <c r="J783" s="562"/>
    </row>
    <row r="784" spans="1:10" s="485" customFormat="1" ht="16" hidden="1" thickBot="1" x14ac:dyDescent="0.25">
      <c r="A784" s="98"/>
      <c r="B784" s="598"/>
      <c r="C784" s="598"/>
      <c r="D784" s="820"/>
      <c r="E784" s="607"/>
      <c r="F784" s="562"/>
      <c r="G784" s="562"/>
      <c r="H784" s="562"/>
      <c r="I784" s="562"/>
      <c r="J784" s="562"/>
    </row>
    <row r="785" spans="1:10" s="485" customFormat="1" ht="16" hidden="1" thickBot="1" x14ac:dyDescent="0.25">
      <c r="A785" s="99"/>
      <c r="B785" s="598"/>
      <c r="C785" s="598"/>
      <c r="D785" s="820"/>
      <c r="E785" s="607"/>
      <c r="F785" s="562"/>
      <c r="G785" s="562"/>
      <c r="H785" s="562"/>
      <c r="I785" s="562"/>
      <c r="J785" s="562"/>
    </row>
    <row r="786" spans="1:10" ht="16" hidden="1" thickBot="1" x14ac:dyDescent="0.25">
      <c r="A786" s="348" t="s">
        <v>2816</v>
      </c>
      <c r="B786" s="599"/>
      <c r="C786" s="599"/>
      <c r="D786" s="641" t="s">
        <v>2817</v>
      </c>
      <c r="E786" s="608"/>
      <c r="F786" s="562"/>
      <c r="G786" s="562"/>
      <c r="H786" s="562"/>
      <c r="I786" s="562"/>
      <c r="J786" s="562"/>
    </row>
    <row r="787" spans="1:10" ht="15" hidden="1" customHeight="1" x14ac:dyDescent="0.2">
      <c r="A787" s="350" t="s">
        <v>2819</v>
      </c>
      <c r="B787" s="638"/>
      <c r="C787" s="638"/>
      <c r="D787" s="847" t="s">
        <v>2820</v>
      </c>
      <c r="E787" s="617"/>
      <c r="F787" s="562"/>
      <c r="G787" s="562"/>
      <c r="H787" s="562"/>
      <c r="I787" s="562"/>
      <c r="J787" s="562"/>
    </row>
    <row r="788" spans="1:10" ht="15.75" hidden="1" customHeight="1" x14ac:dyDescent="0.2">
      <c r="A788" s="388"/>
      <c r="B788" s="598"/>
      <c r="C788" s="598"/>
      <c r="D788" s="820"/>
      <c r="E788" s="607"/>
      <c r="F788" s="562"/>
      <c r="G788" s="562"/>
      <c r="H788" s="562"/>
      <c r="I788" s="562"/>
      <c r="J788" s="562"/>
    </row>
    <row r="789" spans="1:10" ht="15.75" hidden="1" customHeight="1" x14ac:dyDescent="0.2">
      <c r="A789" s="160"/>
      <c r="B789" s="599"/>
      <c r="C789" s="599"/>
      <c r="D789" s="832"/>
      <c r="E789" s="608"/>
      <c r="F789" s="562"/>
      <c r="G789" s="562"/>
      <c r="H789" s="562"/>
      <c r="I789" s="562"/>
      <c r="J789" s="562"/>
    </row>
    <row r="790" spans="1:10" ht="15" hidden="1" customHeight="1" x14ac:dyDescent="0.2">
      <c r="A790" s="350" t="s">
        <v>2822</v>
      </c>
      <c r="B790" s="638"/>
      <c r="C790" s="638"/>
      <c r="D790" s="847" t="s">
        <v>3458</v>
      </c>
      <c r="E790" s="617"/>
      <c r="F790" s="562"/>
      <c r="G790" s="562"/>
      <c r="H790" s="562"/>
      <c r="I790" s="562"/>
      <c r="J790" s="562"/>
    </row>
    <row r="791" spans="1:10" ht="15.75" hidden="1" customHeight="1" x14ac:dyDescent="0.2">
      <c r="A791" s="388"/>
      <c r="B791" s="598"/>
      <c r="C791" s="598"/>
      <c r="D791" s="820"/>
      <c r="E791" s="607"/>
      <c r="F791" s="562"/>
      <c r="G791" s="562"/>
      <c r="H791" s="562"/>
      <c r="I791" s="562"/>
      <c r="J791" s="562"/>
    </row>
    <row r="792" spans="1:10" ht="15.75" hidden="1" customHeight="1" x14ac:dyDescent="0.2">
      <c r="A792" s="388"/>
      <c r="B792" s="598"/>
      <c r="C792" s="598"/>
      <c r="D792" s="820"/>
      <c r="E792" s="607"/>
      <c r="F792" s="562"/>
      <c r="G792" s="562"/>
      <c r="H792" s="562"/>
      <c r="I792" s="562"/>
      <c r="J792" s="562"/>
    </row>
    <row r="793" spans="1:10" ht="15.75" hidden="1" customHeight="1" x14ac:dyDescent="0.2">
      <c r="A793" s="388"/>
      <c r="B793" s="598"/>
      <c r="C793" s="598"/>
      <c r="D793" s="820"/>
      <c r="E793" s="607"/>
      <c r="F793" s="562"/>
      <c r="G793" s="562"/>
      <c r="H793" s="562"/>
      <c r="I793" s="562"/>
      <c r="J793" s="562"/>
    </row>
    <row r="794" spans="1:10" ht="15.75" hidden="1" customHeight="1" x14ac:dyDescent="0.2">
      <c r="A794" s="160"/>
      <c r="B794" s="599"/>
      <c r="C794" s="599"/>
      <c r="D794" s="832"/>
      <c r="E794" s="608"/>
      <c r="F794" s="562"/>
      <c r="G794" s="562"/>
      <c r="H794" s="562"/>
      <c r="I794" s="562"/>
      <c r="J794" s="562"/>
    </row>
    <row r="795" spans="1:10" ht="16" hidden="1" thickBot="1" x14ac:dyDescent="0.25">
      <c r="A795" s="350" t="s">
        <v>2825</v>
      </c>
      <c r="B795" s="638"/>
      <c r="C795" s="638"/>
      <c r="D795" s="639" t="s">
        <v>2826</v>
      </c>
      <c r="E795" s="617"/>
      <c r="F795" s="562"/>
      <c r="G795" s="562"/>
      <c r="H795" s="562"/>
      <c r="I795" s="562"/>
      <c r="J795" s="562"/>
    </row>
    <row r="796" spans="1:10" ht="15" hidden="1" customHeight="1" x14ac:dyDescent="0.2">
      <c r="A796" s="70" t="s">
        <v>2827</v>
      </c>
      <c r="B796" s="598"/>
      <c r="C796" s="598"/>
      <c r="D796" s="820" t="s">
        <v>2828</v>
      </c>
      <c r="E796" s="607"/>
      <c r="F796" s="562"/>
      <c r="G796" s="562"/>
      <c r="H796" s="562"/>
      <c r="I796" s="562"/>
      <c r="J796" s="562"/>
    </row>
    <row r="797" spans="1:10" ht="15.75" hidden="1" customHeight="1" x14ac:dyDescent="0.2">
      <c r="A797" s="70"/>
      <c r="B797" s="598"/>
      <c r="C797" s="598"/>
      <c r="D797" s="820"/>
      <c r="E797" s="607"/>
      <c r="F797" s="562"/>
      <c r="G797" s="562"/>
      <c r="H797" s="562"/>
      <c r="I797" s="562"/>
      <c r="J797" s="562"/>
    </row>
    <row r="798" spans="1:10" ht="15.75" hidden="1" customHeight="1" x14ac:dyDescent="0.2">
      <c r="A798" s="348"/>
      <c r="B798" s="599"/>
      <c r="C798" s="599"/>
      <c r="D798" s="832"/>
      <c r="E798" s="608"/>
      <c r="F798" s="562"/>
      <c r="G798" s="562"/>
      <c r="H798" s="562"/>
      <c r="I798" s="562"/>
      <c r="J798" s="562"/>
    </row>
    <row r="799" spans="1:10" ht="15" hidden="1" customHeight="1" x14ac:dyDescent="0.2">
      <c r="A799" s="350" t="s">
        <v>2830</v>
      </c>
      <c r="B799" s="638"/>
      <c r="C799" s="638"/>
      <c r="D799" s="865" t="s">
        <v>2831</v>
      </c>
      <c r="E799" s="617"/>
      <c r="F799" s="562"/>
      <c r="G799" s="562"/>
      <c r="H799" s="562"/>
      <c r="I799" s="562"/>
      <c r="J799" s="562"/>
    </row>
    <row r="800" spans="1:10" s="485" customFormat="1" ht="16" hidden="1" thickBot="1" x14ac:dyDescent="0.25">
      <c r="A800" s="70"/>
      <c r="B800" s="598"/>
      <c r="C800" s="598"/>
      <c r="D800" s="866"/>
      <c r="E800" s="607"/>
      <c r="F800" s="562"/>
      <c r="G800" s="562"/>
      <c r="H800" s="562"/>
      <c r="I800" s="562"/>
      <c r="J800" s="562"/>
    </row>
    <row r="801" spans="1:10" s="485" customFormat="1" ht="16" hidden="1" thickBot="1" x14ac:dyDescent="0.25">
      <c r="A801" s="348"/>
      <c r="B801" s="599"/>
      <c r="C801" s="599"/>
      <c r="D801" s="868"/>
      <c r="E801" s="608"/>
      <c r="F801" s="562"/>
      <c r="G801" s="562"/>
      <c r="H801" s="562"/>
      <c r="I801" s="562"/>
      <c r="J801" s="562"/>
    </row>
    <row r="802" spans="1:10" ht="15" hidden="1" customHeight="1" x14ac:dyDescent="0.2">
      <c r="A802" s="350" t="s">
        <v>2833</v>
      </c>
      <c r="B802" s="638"/>
      <c r="C802" s="638"/>
      <c r="D802" s="847" t="s">
        <v>2834</v>
      </c>
      <c r="E802" s="617"/>
      <c r="F802" s="562"/>
      <c r="G802" s="562"/>
      <c r="H802" s="562"/>
      <c r="I802" s="562"/>
      <c r="J802" s="562"/>
    </row>
    <row r="803" spans="1:10" ht="15.75" hidden="1" customHeight="1" x14ac:dyDescent="0.2">
      <c r="A803" s="348"/>
      <c r="B803" s="599"/>
      <c r="C803" s="599"/>
      <c r="D803" s="832"/>
      <c r="E803" s="608"/>
      <c r="F803" s="562"/>
      <c r="G803" s="562"/>
      <c r="H803" s="562"/>
      <c r="I803" s="562"/>
      <c r="J803" s="562"/>
    </row>
    <row r="804" spans="1:10" ht="15" hidden="1" customHeight="1" x14ac:dyDescent="0.2">
      <c r="A804" s="350" t="s">
        <v>2836</v>
      </c>
      <c r="B804" s="638"/>
      <c r="C804" s="638"/>
      <c r="D804" s="639" t="s">
        <v>2837</v>
      </c>
      <c r="E804" s="617"/>
      <c r="F804" s="562"/>
      <c r="G804" s="562"/>
      <c r="H804" s="562"/>
      <c r="I804" s="562"/>
      <c r="J804" s="562"/>
    </row>
    <row r="805" spans="1:10" ht="15" hidden="1" customHeight="1" x14ac:dyDescent="0.2">
      <c r="A805" s="107" t="s">
        <v>2839</v>
      </c>
      <c r="B805" s="632"/>
      <c r="C805" s="632"/>
      <c r="D805" s="775" t="s">
        <v>2840</v>
      </c>
      <c r="E805" s="609"/>
      <c r="F805" s="562"/>
      <c r="G805" s="562"/>
      <c r="H805" s="562"/>
      <c r="I805" s="562"/>
      <c r="J805" s="562"/>
    </row>
    <row r="806" spans="1:10" ht="15" hidden="1" customHeight="1" x14ac:dyDescent="0.2">
      <c r="A806" s="345"/>
      <c r="B806" s="632"/>
      <c r="C806" s="632"/>
      <c r="D806" s="775"/>
      <c r="E806" s="609"/>
      <c r="F806" s="562"/>
      <c r="G806" s="562"/>
      <c r="H806" s="562"/>
      <c r="I806" s="562"/>
      <c r="J806" s="562"/>
    </row>
    <row r="807" spans="1:10" ht="15" hidden="1" customHeight="1" x14ac:dyDescent="0.2">
      <c r="A807" s="345"/>
      <c r="B807" s="632"/>
      <c r="C807" s="632"/>
      <c r="D807" s="775"/>
      <c r="E807" s="609"/>
      <c r="F807" s="562"/>
      <c r="G807" s="562"/>
      <c r="H807" s="562"/>
      <c r="I807" s="562"/>
      <c r="J807" s="562"/>
    </row>
    <row r="808" spans="1:10" ht="15" hidden="1" customHeight="1" x14ac:dyDescent="0.2">
      <c r="A808" s="345"/>
      <c r="B808" s="632"/>
      <c r="C808" s="632"/>
      <c r="D808" s="775"/>
      <c r="E808" s="609"/>
      <c r="F808" s="562"/>
      <c r="G808" s="562"/>
      <c r="H808" s="562"/>
      <c r="I808" s="562"/>
      <c r="J808" s="562"/>
    </row>
    <row r="809" spans="1:10" s="498" customFormat="1" ht="15" hidden="1" customHeight="1" x14ac:dyDescent="0.2">
      <c r="A809" s="345"/>
      <c r="B809" s="632"/>
      <c r="C809" s="632"/>
      <c r="D809" s="775"/>
      <c r="E809" s="609"/>
      <c r="F809" s="562"/>
      <c r="G809" s="562"/>
      <c r="H809" s="562"/>
      <c r="I809" s="562"/>
      <c r="J809" s="562"/>
    </row>
    <row r="810" spans="1:10" ht="16" hidden="1" thickBot="1" x14ac:dyDescent="0.25">
      <c r="A810" s="345"/>
      <c r="B810" s="632"/>
      <c r="C810" s="181" t="s">
        <v>2196</v>
      </c>
      <c r="D810" s="632" t="s">
        <v>2842</v>
      </c>
      <c r="E810" s="609"/>
      <c r="F810" s="562"/>
      <c r="G810" s="562"/>
      <c r="H810" s="562"/>
      <c r="I810" s="562"/>
      <c r="J810" s="562"/>
    </row>
    <row r="811" spans="1:10" ht="16" hidden="1" thickBot="1" x14ac:dyDescent="0.25">
      <c r="A811" s="345"/>
      <c r="B811" s="632"/>
      <c r="C811" s="181" t="s">
        <v>2198</v>
      </c>
      <c r="D811" s="632" t="s">
        <v>2843</v>
      </c>
      <c r="E811" s="609"/>
      <c r="F811" s="562"/>
      <c r="G811" s="562"/>
      <c r="H811" s="562"/>
      <c r="I811" s="562"/>
      <c r="J811" s="562"/>
    </row>
    <row r="812" spans="1:10" ht="15" hidden="1" customHeight="1" x14ac:dyDescent="0.2">
      <c r="A812" s="345"/>
      <c r="B812" s="632"/>
      <c r="C812" s="182" t="s">
        <v>2200</v>
      </c>
      <c r="D812" s="632" t="s">
        <v>2844</v>
      </c>
      <c r="E812" s="609"/>
      <c r="F812" s="562"/>
      <c r="G812" s="562"/>
      <c r="H812" s="562"/>
      <c r="I812" s="562"/>
      <c r="J812" s="562"/>
    </row>
    <row r="813" spans="1:10" ht="16" hidden="1" thickBot="1" x14ac:dyDescent="0.25">
      <c r="A813" s="345"/>
      <c r="B813" s="632"/>
      <c r="C813" s="654" t="s">
        <v>2247</v>
      </c>
      <c r="D813" s="632" t="s">
        <v>2845</v>
      </c>
      <c r="E813" s="609"/>
      <c r="F813" s="562"/>
      <c r="G813" s="562"/>
      <c r="H813" s="562"/>
      <c r="I813" s="562"/>
      <c r="J813" s="562"/>
    </row>
    <row r="814" spans="1:10" ht="16" hidden="1" thickBot="1" x14ac:dyDescent="0.25">
      <c r="A814" s="345"/>
      <c r="B814" s="632"/>
      <c r="C814" s="654" t="s">
        <v>2444</v>
      </c>
      <c r="D814" s="632" t="s">
        <v>2846</v>
      </c>
      <c r="E814" s="609"/>
      <c r="F814" s="562"/>
      <c r="G814" s="562"/>
      <c r="H814" s="562"/>
      <c r="I814" s="562"/>
      <c r="J814" s="562"/>
    </row>
    <row r="815" spans="1:10" ht="16" hidden="1" thickBot="1" x14ac:dyDescent="0.25">
      <c r="A815" s="345"/>
      <c r="B815" s="632"/>
      <c r="C815" s="182" t="s">
        <v>2540</v>
      </c>
      <c r="D815" s="632" t="s">
        <v>2847</v>
      </c>
      <c r="E815" s="609"/>
      <c r="F815" s="562"/>
      <c r="G815" s="562"/>
      <c r="H815" s="562"/>
      <c r="I815" s="562"/>
      <c r="J815" s="562"/>
    </row>
    <row r="816" spans="1:10" ht="16" hidden="1" thickBot="1" x14ac:dyDescent="0.25">
      <c r="A816" s="345"/>
      <c r="B816" s="632"/>
      <c r="C816" s="654" t="s">
        <v>2542</v>
      </c>
      <c r="D816" s="632" t="s">
        <v>2848</v>
      </c>
      <c r="E816" s="609"/>
      <c r="F816" s="562"/>
      <c r="G816" s="562"/>
      <c r="H816" s="562"/>
      <c r="I816" s="562"/>
      <c r="J816" s="562"/>
    </row>
    <row r="817" spans="1:10" ht="16" hidden="1" thickBot="1" x14ac:dyDescent="0.25">
      <c r="A817" s="345"/>
      <c r="B817" s="632"/>
      <c r="C817" s="654" t="s">
        <v>2544</v>
      </c>
      <c r="D817" s="632" t="s">
        <v>2849</v>
      </c>
      <c r="E817" s="609"/>
      <c r="F817" s="562"/>
      <c r="G817" s="562"/>
      <c r="H817" s="562"/>
      <c r="I817" s="562"/>
      <c r="J817" s="562"/>
    </row>
    <row r="818" spans="1:10" ht="16" hidden="1" thickBot="1" x14ac:dyDescent="0.25">
      <c r="A818" s="345"/>
      <c r="B818" s="632"/>
      <c r="C818" s="654" t="s">
        <v>2657</v>
      </c>
      <c r="D818" s="632" t="s">
        <v>2850</v>
      </c>
      <c r="E818" s="609"/>
      <c r="F818" s="562"/>
      <c r="G818" s="562"/>
      <c r="H818" s="562"/>
      <c r="I818" s="562"/>
      <c r="J818" s="562"/>
    </row>
    <row r="819" spans="1:10" ht="16" hidden="1" thickBot="1" x14ac:dyDescent="0.25">
      <c r="A819" s="345"/>
      <c r="B819" s="632"/>
      <c r="C819" s="654" t="s">
        <v>2851</v>
      </c>
      <c r="D819" s="632" t="s">
        <v>2852</v>
      </c>
      <c r="E819" s="609"/>
      <c r="F819" s="562"/>
      <c r="G819" s="562"/>
      <c r="H819" s="562"/>
      <c r="I819" s="562"/>
      <c r="J819" s="562"/>
    </row>
    <row r="820" spans="1:10" ht="16" hidden="1" thickBot="1" x14ac:dyDescent="0.25">
      <c r="A820" s="388"/>
      <c r="B820" s="598"/>
      <c r="C820" s="640" t="s">
        <v>2853</v>
      </c>
      <c r="D820" s="598" t="s">
        <v>2854</v>
      </c>
      <c r="E820" s="607"/>
      <c r="F820" s="562"/>
      <c r="G820" s="562"/>
      <c r="H820" s="562"/>
      <c r="I820" s="562"/>
      <c r="J820" s="562"/>
    </row>
    <row r="821" spans="1:10" ht="16" hidden="1" thickBot="1" x14ac:dyDescent="0.25">
      <c r="A821" s="160"/>
      <c r="B821" s="599"/>
      <c r="C821" s="641" t="s">
        <v>2855</v>
      </c>
      <c r="D821" s="599" t="s">
        <v>2856</v>
      </c>
      <c r="E821" s="608"/>
      <c r="F821" s="562"/>
      <c r="G821" s="562"/>
      <c r="H821" s="562"/>
      <c r="I821" s="562"/>
      <c r="J821" s="562"/>
    </row>
    <row r="822" spans="1:10" ht="15" hidden="1" customHeight="1" x14ac:dyDescent="0.2">
      <c r="A822" s="107" t="s">
        <v>2858</v>
      </c>
      <c r="B822" s="632"/>
      <c r="C822" s="632"/>
      <c r="D822" s="775" t="s">
        <v>2859</v>
      </c>
      <c r="E822" s="609"/>
      <c r="F822" s="562"/>
      <c r="G822" s="562"/>
      <c r="H822" s="562"/>
      <c r="I822" s="562"/>
      <c r="J822" s="562"/>
    </row>
    <row r="823" spans="1:10" ht="16" hidden="1" thickBot="1" x14ac:dyDescent="0.25">
      <c r="A823" s="345"/>
      <c r="B823" s="632"/>
      <c r="C823" s="632"/>
      <c r="D823" s="775"/>
      <c r="E823" s="609"/>
      <c r="F823" s="562"/>
      <c r="G823" s="562"/>
      <c r="H823" s="562"/>
      <c r="I823" s="562"/>
      <c r="J823" s="562"/>
    </row>
    <row r="824" spans="1:10" ht="16" hidden="1" thickBot="1" x14ac:dyDescent="0.25">
      <c r="A824" s="345"/>
      <c r="B824" s="632"/>
      <c r="C824" s="632"/>
      <c r="D824" s="775"/>
      <c r="E824" s="609"/>
      <c r="F824" s="562"/>
      <c r="G824" s="562"/>
      <c r="H824" s="562"/>
      <c r="I824" s="562"/>
      <c r="J824" s="562"/>
    </row>
    <row r="825" spans="1:10" ht="15" hidden="1" customHeight="1" x14ac:dyDescent="0.2">
      <c r="A825" s="345"/>
      <c r="B825" s="181" t="s">
        <v>2181</v>
      </c>
      <c r="C825" s="632"/>
      <c r="D825" s="775" t="s">
        <v>2863</v>
      </c>
      <c r="E825" s="609"/>
      <c r="F825" s="562"/>
      <c r="G825" s="562"/>
      <c r="H825" s="562"/>
      <c r="I825" s="562"/>
      <c r="J825" s="562"/>
    </row>
    <row r="826" spans="1:10" ht="15.75" hidden="1" customHeight="1" x14ac:dyDescent="0.2">
      <c r="A826" s="345"/>
      <c r="B826" s="632"/>
      <c r="C826" s="632"/>
      <c r="D826" s="775"/>
      <c r="E826" s="609"/>
      <c r="F826" s="562"/>
      <c r="G826" s="562"/>
      <c r="H826" s="562"/>
      <c r="I826" s="562"/>
      <c r="J826" s="562"/>
    </row>
    <row r="827" spans="1:10" ht="15.75" hidden="1" customHeight="1" x14ac:dyDescent="0.2">
      <c r="A827" s="345"/>
      <c r="B827" s="632"/>
      <c r="C827" s="632"/>
      <c r="D827" s="775"/>
      <c r="E827" s="609"/>
      <c r="F827" s="562"/>
      <c r="G827" s="562"/>
      <c r="H827" s="562"/>
      <c r="I827" s="562"/>
      <c r="J827" s="562"/>
    </row>
    <row r="828" spans="1:10" ht="15.75" hidden="1" customHeight="1" x14ac:dyDescent="0.2">
      <c r="A828" s="345"/>
      <c r="B828" s="632"/>
      <c r="C828" s="632"/>
      <c r="D828" s="775"/>
      <c r="E828" s="609"/>
      <c r="F828" s="562"/>
      <c r="G828" s="562"/>
      <c r="H828" s="562"/>
      <c r="I828" s="562"/>
      <c r="J828" s="562"/>
    </row>
    <row r="829" spans="1:10" ht="15.75" hidden="1" customHeight="1" x14ac:dyDescent="0.2">
      <c r="A829" s="345"/>
      <c r="B829" s="632"/>
      <c r="C829" s="632"/>
      <c r="D829" s="775"/>
      <c r="E829" s="609"/>
      <c r="F829" s="562"/>
      <c r="G829" s="562"/>
      <c r="H829" s="562"/>
      <c r="I829" s="562"/>
      <c r="J829" s="562"/>
    </row>
    <row r="830" spans="1:10" ht="16" hidden="1" thickBot="1" x14ac:dyDescent="0.25">
      <c r="A830" s="345"/>
      <c r="B830" s="632"/>
      <c r="C830" s="181" t="s">
        <v>2196</v>
      </c>
      <c r="D830" s="632" t="s">
        <v>2865</v>
      </c>
      <c r="E830" s="609"/>
      <c r="F830" s="562"/>
      <c r="G830" s="562"/>
      <c r="H830" s="562"/>
      <c r="I830" s="562"/>
      <c r="J830" s="562"/>
    </row>
    <row r="831" spans="1:10" ht="15" hidden="1" customHeight="1" x14ac:dyDescent="0.2">
      <c r="A831" s="345"/>
      <c r="B831" s="632"/>
      <c r="C831" s="181" t="s">
        <v>2198</v>
      </c>
      <c r="D831" s="817" t="s">
        <v>2866</v>
      </c>
      <c r="E831" s="609"/>
      <c r="F831" s="562"/>
      <c r="G831" s="562"/>
      <c r="H831" s="562"/>
      <c r="I831" s="562"/>
      <c r="J831" s="562"/>
    </row>
    <row r="832" spans="1:10" ht="15.75" hidden="1" customHeight="1" x14ac:dyDescent="0.2">
      <c r="A832" s="345"/>
      <c r="B832" s="632"/>
      <c r="C832" s="181"/>
      <c r="D832" s="817"/>
      <c r="E832" s="609"/>
      <c r="F832" s="562"/>
      <c r="G832" s="562"/>
      <c r="H832" s="562"/>
      <c r="I832" s="562"/>
      <c r="J832" s="562"/>
    </row>
    <row r="833" spans="1:10" ht="16" hidden="1" thickBot="1" x14ac:dyDescent="0.25">
      <c r="A833" s="345"/>
      <c r="B833" s="632"/>
      <c r="C833" s="182" t="s">
        <v>2200</v>
      </c>
      <c r="D833" s="632" t="s">
        <v>2867</v>
      </c>
      <c r="E833" s="609"/>
      <c r="F833" s="562"/>
      <c r="G833" s="562"/>
      <c r="H833" s="562"/>
      <c r="I833" s="562"/>
      <c r="J833" s="562"/>
    </row>
    <row r="834" spans="1:10" ht="15" hidden="1" customHeight="1" x14ac:dyDescent="0.2">
      <c r="A834" s="345"/>
      <c r="B834" s="632"/>
      <c r="C834" s="654" t="s">
        <v>2247</v>
      </c>
      <c r="D834" s="817" t="s">
        <v>2868</v>
      </c>
      <c r="E834" s="609"/>
      <c r="F834" s="562"/>
      <c r="G834" s="562"/>
      <c r="H834" s="562"/>
      <c r="I834" s="562"/>
      <c r="J834" s="562"/>
    </row>
    <row r="835" spans="1:10" ht="15.75" hidden="1" customHeight="1" x14ac:dyDescent="0.2">
      <c r="A835" s="345"/>
      <c r="B835" s="632"/>
      <c r="C835" s="654"/>
      <c r="D835" s="817"/>
      <c r="E835" s="609"/>
      <c r="F835" s="562"/>
      <c r="G835" s="562"/>
      <c r="H835" s="562"/>
      <c r="I835" s="562"/>
      <c r="J835" s="562"/>
    </row>
    <row r="836" spans="1:10" ht="16" hidden="1" thickBot="1" x14ac:dyDescent="0.25">
      <c r="A836" s="345"/>
      <c r="B836" s="632"/>
      <c r="C836" s="654" t="s">
        <v>2444</v>
      </c>
      <c r="D836" s="632" t="s">
        <v>2869</v>
      </c>
      <c r="E836" s="609"/>
      <c r="F836" s="562"/>
      <c r="G836" s="562"/>
      <c r="H836" s="562"/>
      <c r="I836" s="562"/>
      <c r="J836" s="562"/>
    </row>
    <row r="837" spans="1:10" ht="16" hidden="1" thickBot="1" x14ac:dyDescent="0.25">
      <c r="A837" s="345"/>
      <c r="B837" s="632"/>
      <c r="C837" s="182" t="s">
        <v>2540</v>
      </c>
      <c r="D837" s="632" t="s">
        <v>2870</v>
      </c>
      <c r="E837" s="609"/>
      <c r="F837" s="562"/>
      <c r="G837" s="562"/>
      <c r="H837" s="562"/>
      <c r="I837" s="562"/>
      <c r="J837" s="562"/>
    </row>
    <row r="838" spans="1:10" ht="16" hidden="1" thickBot="1" x14ac:dyDescent="0.25">
      <c r="A838" s="345"/>
      <c r="B838" s="632"/>
      <c r="C838" s="654" t="s">
        <v>2542</v>
      </c>
      <c r="D838" s="632" t="s">
        <v>2871</v>
      </c>
      <c r="E838" s="609"/>
      <c r="F838" s="562"/>
      <c r="G838" s="562"/>
      <c r="H838" s="562"/>
      <c r="I838" s="562"/>
      <c r="J838" s="562"/>
    </row>
    <row r="839" spans="1:10" ht="15" hidden="1" customHeight="1" x14ac:dyDescent="0.2">
      <c r="A839" s="345"/>
      <c r="B839" s="598"/>
      <c r="C839" s="281"/>
      <c r="D839" s="849" t="s">
        <v>2872</v>
      </c>
      <c r="E839" s="609"/>
      <c r="F839" s="562"/>
      <c r="G839" s="562"/>
      <c r="H839" s="562"/>
      <c r="I839" s="562"/>
      <c r="J839" s="562"/>
    </row>
    <row r="840" spans="1:10" ht="15.75" hidden="1" customHeight="1" x14ac:dyDescent="0.2">
      <c r="A840" s="345"/>
      <c r="B840" s="599"/>
      <c r="C840" s="282"/>
      <c r="D840" s="850"/>
      <c r="E840" s="609"/>
      <c r="F840" s="562"/>
      <c r="G840" s="562"/>
      <c r="H840" s="562"/>
      <c r="I840" s="562"/>
      <c r="J840" s="562"/>
    </row>
    <row r="841" spans="1:10" ht="15" hidden="1" customHeight="1" x14ac:dyDescent="0.2">
      <c r="A841" s="388"/>
      <c r="B841" s="270" t="s">
        <v>2183</v>
      </c>
      <c r="C841" s="598"/>
      <c r="D841" s="820" t="s">
        <v>2873</v>
      </c>
      <c r="E841" s="607"/>
      <c r="F841" s="562"/>
      <c r="G841" s="562"/>
      <c r="H841" s="562"/>
      <c r="I841" s="562"/>
      <c r="J841" s="562"/>
    </row>
    <row r="842" spans="1:10" ht="15.75" hidden="1" customHeight="1" x14ac:dyDescent="0.2">
      <c r="A842" s="388"/>
      <c r="B842" s="598"/>
      <c r="C842" s="598"/>
      <c r="D842" s="820"/>
      <c r="E842" s="607"/>
      <c r="F842" s="562"/>
      <c r="G842" s="562"/>
      <c r="H842" s="562"/>
      <c r="I842" s="562"/>
      <c r="J842" s="562"/>
    </row>
    <row r="843" spans="1:10" ht="15.75" hidden="1" customHeight="1" x14ac:dyDescent="0.2">
      <c r="A843" s="160"/>
      <c r="B843" s="599"/>
      <c r="C843" s="599"/>
      <c r="D843" s="217" t="s">
        <v>2874</v>
      </c>
      <c r="E843" s="608"/>
      <c r="F843" s="562"/>
      <c r="G843" s="562"/>
      <c r="H843" s="562"/>
      <c r="I843" s="562"/>
      <c r="J843" s="562"/>
    </row>
    <row r="844" spans="1:10" ht="16" hidden="1" thickBot="1" x14ac:dyDescent="0.25">
      <c r="A844" s="107" t="s">
        <v>2876</v>
      </c>
      <c r="B844" s="632"/>
      <c r="C844" s="632"/>
      <c r="D844" s="654" t="s">
        <v>2877</v>
      </c>
      <c r="E844" s="609"/>
      <c r="F844" s="562"/>
      <c r="G844" s="562"/>
      <c r="H844" s="562"/>
      <c r="I844" s="562"/>
      <c r="J844" s="562"/>
    </row>
    <row r="845" spans="1:10" ht="16" hidden="1" thickBot="1" x14ac:dyDescent="0.25">
      <c r="A845" s="345"/>
      <c r="B845" s="277" t="s">
        <v>2181</v>
      </c>
      <c r="C845" s="599"/>
      <c r="D845" s="599" t="s">
        <v>2878</v>
      </c>
      <c r="E845" s="609"/>
      <c r="F845" s="562"/>
      <c r="G845" s="562"/>
      <c r="H845" s="562"/>
      <c r="I845" s="562"/>
      <c r="J845" s="562"/>
    </row>
    <row r="846" spans="1:10" ht="15" hidden="1" customHeight="1" x14ac:dyDescent="0.2">
      <c r="A846" s="345"/>
      <c r="B846" s="283" t="s">
        <v>2183</v>
      </c>
      <c r="C846" s="638"/>
      <c r="D846" s="831" t="s">
        <v>2879</v>
      </c>
      <c r="E846" s="609"/>
      <c r="F846" s="562"/>
      <c r="G846" s="562"/>
      <c r="H846" s="562"/>
      <c r="I846" s="562"/>
      <c r="J846" s="562"/>
    </row>
    <row r="847" spans="1:10" ht="15.75" hidden="1" customHeight="1" x14ac:dyDescent="0.2">
      <c r="A847" s="345"/>
      <c r="B847" s="277"/>
      <c r="C847" s="599"/>
      <c r="D847" s="792"/>
      <c r="E847" s="609"/>
      <c r="F847" s="562"/>
      <c r="G847" s="562"/>
      <c r="H847" s="562"/>
      <c r="I847" s="562"/>
      <c r="J847" s="562"/>
    </row>
    <row r="848" spans="1:10" ht="16" hidden="1" thickBot="1" x14ac:dyDescent="0.25">
      <c r="A848" s="345"/>
      <c r="B848" s="284" t="s">
        <v>2185</v>
      </c>
      <c r="C848" s="205"/>
      <c r="D848" s="205" t="s">
        <v>2880</v>
      </c>
      <c r="E848" s="609"/>
      <c r="F848" s="562"/>
      <c r="G848" s="562"/>
      <c r="H848" s="562"/>
      <c r="I848" s="562"/>
      <c r="J848" s="562"/>
    </row>
    <row r="849" spans="1:10" ht="15" hidden="1" customHeight="1" x14ac:dyDescent="0.2">
      <c r="A849" s="345"/>
      <c r="B849" s="181" t="s">
        <v>2192</v>
      </c>
      <c r="C849" s="632"/>
      <c r="D849" s="817" t="s">
        <v>2881</v>
      </c>
      <c r="E849" s="609"/>
      <c r="F849" s="562"/>
      <c r="G849" s="562"/>
      <c r="H849" s="562"/>
      <c r="I849" s="562"/>
      <c r="J849" s="562"/>
    </row>
    <row r="850" spans="1:10" ht="15.75" hidden="1" customHeight="1" x14ac:dyDescent="0.2">
      <c r="A850" s="345"/>
      <c r="B850" s="181"/>
      <c r="C850" s="632"/>
      <c r="D850" s="817"/>
      <c r="E850" s="609"/>
      <c r="F850" s="562"/>
      <c r="G850" s="562"/>
      <c r="H850" s="562"/>
      <c r="I850" s="562"/>
      <c r="J850" s="562"/>
    </row>
    <row r="851" spans="1:10" ht="15.75" hidden="1" customHeight="1" x14ac:dyDescent="0.2">
      <c r="A851" s="345"/>
      <c r="B851" s="181"/>
      <c r="C851" s="632"/>
      <c r="D851" s="817"/>
      <c r="E851" s="609"/>
      <c r="F851" s="562"/>
      <c r="G851" s="562"/>
      <c r="H851" s="562"/>
      <c r="I851" s="562"/>
      <c r="J851" s="562"/>
    </row>
    <row r="852" spans="1:10" ht="15.75" hidden="1" customHeight="1" x14ac:dyDescent="0.2">
      <c r="A852" s="345"/>
      <c r="B852" s="181"/>
      <c r="C852" s="632"/>
      <c r="D852" s="817"/>
      <c r="E852" s="609"/>
      <c r="F852" s="562"/>
      <c r="G852" s="562"/>
      <c r="H852" s="562"/>
      <c r="I852" s="562"/>
      <c r="J852" s="562"/>
    </row>
    <row r="853" spans="1:10" ht="15" hidden="1" customHeight="1" x14ac:dyDescent="0.2">
      <c r="A853" s="345"/>
      <c r="B853" s="270" t="s">
        <v>2194</v>
      </c>
      <c r="C853" s="598"/>
      <c r="D853" s="791" t="s">
        <v>2882</v>
      </c>
      <c r="E853" s="609"/>
      <c r="F853" s="562"/>
      <c r="G853" s="562"/>
      <c r="H853" s="562"/>
      <c r="I853" s="562"/>
      <c r="J853" s="562"/>
    </row>
    <row r="854" spans="1:10" ht="15.75" hidden="1" customHeight="1" x14ac:dyDescent="0.2">
      <c r="A854" s="345"/>
      <c r="B854" s="277"/>
      <c r="C854" s="599"/>
      <c r="D854" s="792"/>
      <c r="E854" s="609"/>
      <c r="F854" s="562"/>
      <c r="G854" s="562"/>
      <c r="H854" s="562"/>
      <c r="I854" s="562"/>
      <c r="J854" s="562"/>
    </row>
    <row r="855" spans="1:10" ht="15" hidden="1" customHeight="1" x14ac:dyDescent="0.2">
      <c r="A855" s="345"/>
      <c r="B855" s="283" t="s">
        <v>2221</v>
      </c>
      <c r="C855" s="638"/>
      <c r="D855" s="831" t="s">
        <v>2883</v>
      </c>
      <c r="E855" s="609"/>
      <c r="F855" s="562"/>
      <c r="G855" s="562"/>
      <c r="H855" s="562"/>
      <c r="I855" s="562"/>
      <c r="J855" s="562"/>
    </row>
    <row r="856" spans="1:10" ht="15.75" hidden="1" customHeight="1" x14ac:dyDescent="0.2">
      <c r="A856" s="345"/>
      <c r="B856" s="270"/>
      <c r="C856" s="598"/>
      <c r="D856" s="791"/>
      <c r="E856" s="609"/>
      <c r="F856" s="562"/>
      <c r="G856" s="562"/>
      <c r="H856" s="562"/>
      <c r="I856" s="562"/>
      <c r="J856" s="562"/>
    </row>
    <row r="857" spans="1:10" ht="15.75" hidden="1" customHeight="1" x14ac:dyDescent="0.2">
      <c r="A857" s="345"/>
      <c r="B857" s="277"/>
      <c r="C857" s="599"/>
      <c r="D857" s="792"/>
      <c r="E857" s="609"/>
      <c r="F857" s="562"/>
      <c r="G857" s="562"/>
      <c r="H857" s="562"/>
      <c r="I857" s="562"/>
      <c r="J857" s="562"/>
    </row>
    <row r="858" spans="1:10" ht="15" hidden="1" customHeight="1" x14ac:dyDescent="0.2">
      <c r="A858" s="345"/>
      <c r="B858" s="283" t="s">
        <v>2223</v>
      </c>
      <c r="C858" s="638"/>
      <c r="D858" s="831" t="s">
        <v>2884</v>
      </c>
      <c r="E858" s="609"/>
      <c r="F858" s="562"/>
      <c r="G858" s="562"/>
      <c r="H858" s="562"/>
      <c r="I858" s="562"/>
      <c r="J858" s="562"/>
    </row>
    <row r="859" spans="1:10" ht="15.75" hidden="1" customHeight="1" x14ac:dyDescent="0.2">
      <c r="A859" s="345"/>
      <c r="B859" s="277"/>
      <c r="C859" s="599"/>
      <c r="D859" s="792"/>
      <c r="E859" s="609"/>
      <c r="F859" s="562"/>
      <c r="G859" s="562"/>
      <c r="H859" s="562"/>
      <c r="I859" s="562"/>
      <c r="J859" s="562"/>
    </row>
    <row r="860" spans="1:10" ht="16" hidden="1" thickBot="1" x14ac:dyDescent="0.25">
      <c r="A860" s="345"/>
      <c r="B860" s="284" t="s">
        <v>2282</v>
      </c>
      <c r="C860" s="205"/>
      <c r="D860" s="205" t="s">
        <v>2885</v>
      </c>
      <c r="E860" s="609"/>
      <c r="F860" s="562"/>
      <c r="G860" s="562"/>
      <c r="H860" s="562"/>
      <c r="I860" s="562"/>
      <c r="J860" s="562"/>
    </row>
    <row r="861" spans="1:10" ht="16" hidden="1" thickBot="1" x14ac:dyDescent="0.25">
      <c r="A861" s="345"/>
      <c r="B861" s="284" t="s">
        <v>2284</v>
      </c>
      <c r="C861" s="205"/>
      <c r="D861" s="205" t="s">
        <v>2886</v>
      </c>
      <c r="E861" s="609"/>
      <c r="F861" s="562"/>
      <c r="G861" s="562"/>
      <c r="H861" s="562"/>
      <c r="I861" s="562"/>
      <c r="J861" s="562"/>
    </row>
    <row r="862" spans="1:10" ht="15" hidden="1" customHeight="1" x14ac:dyDescent="0.2">
      <c r="A862" s="345"/>
      <c r="B862" s="283" t="s">
        <v>2286</v>
      </c>
      <c r="C862" s="638"/>
      <c r="D862" s="831" t="s">
        <v>2887</v>
      </c>
      <c r="E862" s="609"/>
      <c r="F862" s="562"/>
      <c r="G862" s="562"/>
      <c r="H862" s="562"/>
      <c r="I862" s="562"/>
      <c r="J862" s="562"/>
    </row>
    <row r="863" spans="1:10" ht="15.75" hidden="1" customHeight="1" x14ac:dyDescent="0.2">
      <c r="A863" s="345"/>
      <c r="B863" s="270"/>
      <c r="C863" s="598"/>
      <c r="D863" s="791"/>
      <c r="E863" s="609"/>
      <c r="F863" s="562"/>
      <c r="G863" s="562"/>
      <c r="H863" s="562"/>
      <c r="I863" s="562"/>
      <c r="J863" s="562"/>
    </row>
    <row r="864" spans="1:10" ht="15.75" hidden="1" customHeight="1" x14ac:dyDescent="0.2">
      <c r="A864" s="345"/>
      <c r="B864" s="277"/>
      <c r="C864" s="599"/>
      <c r="D864" s="792"/>
      <c r="E864" s="609"/>
      <c r="F864" s="562"/>
      <c r="G864" s="562"/>
      <c r="H864" s="562"/>
      <c r="I864" s="562"/>
      <c r="J864" s="562"/>
    </row>
    <row r="865" spans="1:10" ht="15" hidden="1" customHeight="1" x14ac:dyDescent="0.2">
      <c r="A865" s="388"/>
      <c r="B865" s="270" t="s">
        <v>2288</v>
      </c>
      <c r="C865" s="598"/>
      <c r="D865" s="791" t="s">
        <v>2888</v>
      </c>
      <c r="E865" s="607"/>
      <c r="F865" s="562"/>
      <c r="G865" s="562"/>
      <c r="H865" s="562"/>
      <c r="I865" s="562"/>
      <c r="J865" s="562"/>
    </row>
    <row r="866" spans="1:10" ht="15.75" hidden="1" customHeight="1" x14ac:dyDescent="0.2">
      <c r="A866" s="388"/>
      <c r="B866" s="270"/>
      <c r="C866" s="598"/>
      <c r="D866" s="791"/>
      <c r="E866" s="607"/>
      <c r="F866" s="562"/>
      <c r="G866" s="562"/>
      <c r="H866" s="562"/>
      <c r="I866" s="562"/>
      <c r="J866" s="562"/>
    </row>
    <row r="867" spans="1:10" ht="15.75" hidden="1" customHeight="1" x14ac:dyDescent="0.2">
      <c r="A867" s="160"/>
      <c r="B867" s="277"/>
      <c r="C867" s="599"/>
      <c r="D867" s="792"/>
      <c r="E867" s="608"/>
      <c r="F867" s="562"/>
      <c r="G867" s="562"/>
      <c r="H867" s="562"/>
      <c r="I867" s="562"/>
      <c r="J867" s="562"/>
    </row>
    <row r="868" spans="1:10" ht="15" hidden="1" customHeight="1" x14ac:dyDescent="0.2">
      <c r="A868" s="350" t="s">
        <v>2890</v>
      </c>
      <c r="B868" s="638"/>
      <c r="C868" s="638"/>
      <c r="D868" s="847" t="s">
        <v>3464</v>
      </c>
      <c r="E868" s="617"/>
      <c r="F868" s="562"/>
      <c r="G868" s="562"/>
      <c r="H868" s="562"/>
      <c r="I868" s="562"/>
      <c r="J868" s="562"/>
    </row>
    <row r="869" spans="1:10" ht="15.75" hidden="1" customHeight="1" x14ac:dyDescent="0.2">
      <c r="A869" s="70"/>
      <c r="B869" s="598"/>
      <c r="C869" s="598"/>
      <c r="D869" s="820"/>
      <c r="E869" s="607"/>
      <c r="F869" s="562"/>
      <c r="G869" s="562"/>
      <c r="H869" s="562"/>
      <c r="I869" s="562"/>
      <c r="J869" s="562"/>
    </row>
    <row r="870" spans="1:10" ht="15.75" hidden="1" customHeight="1" x14ac:dyDescent="0.2">
      <c r="A870" s="348"/>
      <c r="B870" s="599"/>
      <c r="C870" s="599"/>
      <c r="D870" s="832"/>
      <c r="E870" s="608"/>
      <c r="F870" s="562"/>
      <c r="G870" s="562"/>
      <c r="H870" s="562"/>
      <c r="I870" s="562"/>
      <c r="J870" s="562"/>
    </row>
    <row r="871" spans="1:10" ht="15" hidden="1" customHeight="1" x14ac:dyDescent="0.2">
      <c r="A871" s="350" t="s">
        <v>2894</v>
      </c>
      <c r="B871" s="638"/>
      <c r="C871" s="638"/>
      <c r="D871" s="847" t="s">
        <v>2895</v>
      </c>
      <c r="E871" s="617"/>
      <c r="F871" s="562"/>
      <c r="G871" s="562"/>
      <c r="H871" s="562"/>
      <c r="I871" s="562"/>
      <c r="J871" s="562"/>
    </row>
    <row r="872" spans="1:10" ht="15.75" hidden="1" customHeight="1" x14ac:dyDescent="0.2">
      <c r="A872" s="388"/>
      <c r="B872" s="598"/>
      <c r="C872" s="598"/>
      <c r="D872" s="820"/>
      <c r="E872" s="607"/>
      <c r="F872" s="562"/>
      <c r="G872" s="562"/>
      <c r="H872" s="562"/>
      <c r="I872" s="562"/>
      <c r="J872" s="562"/>
    </row>
    <row r="873" spans="1:10" ht="15.75" hidden="1" customHeight="1" x14ac:dyDescent="0.2">
      <c r="A873" s="388"/>
      <c r="B873" s="598"/>
      <c r="C873" s="598"/>
      <c r="D873" s="820"/>
      <c r="E873" s="607"/>
      <c r="F873" s="562"/>
      <c r="G873" s="562"/>
      <c r="H873" s="562"/>
      <c r="I873" s="562"/>
      <c r="J873" s="562"/>
    </row>
    <row r="874" spans="1:10" ht="15.75" hidden="1" customHeight="1" x14ac:dyDescent="0.2">
      <c r="A874" s="388"/>
      <c r="B874" s="598"/>
      <c r="C874" s="598"/>
      <c r="D874" s="820"/>
      <c r="E874" s="607"/>
      <c r="F874" s="562"/>
      <c r="G874" s="562"/>
      <c r="H874" s="562"/>
      <c r="I874" s="562"/>
      <c r="J874" s="562"/>
    </row>
    <row r="875" spans="1:10" ht="15.75" hidden="1" customHeight="1" x14ac:dyDescent="0.2">
      <c r="A875" s="388"/>
      <c r="B875" s="598"/>
      <c r="C875" s="598"/>
      <c r="D875" s="820"/>
      <c r="E875" s="607"/>
      <c r="F875" s="562"/>
      <c r="G875" s="562"/>
      <c r="H875" s="562"/>
      <c r="I875" s="562"/>
      <c r="J875" s="562"/>
    </row>
    <row r="876" spans="1:10" ht="15.75" hidden="1" customHeight="1" x14ac:dyDescent="0.2">
      <c r="A876" s="160"/>
      <c r="B876" s="599"/>
      <c r="C876" s="599"/>
      <c r="D876" s="832"/>
      <c r="E876" s="608"/>
      <c r="F876" s="562"/>
      <c r="G876" s="562"/>
      <c r="H876" s="562"/>
      <c r="I876" s="562"/>
      <c r="J876" s="562"/>
    </row>
    <row r="877" spans="1:10" ht="15" hidden="1" customHeight="1" x14ac:dyDescent="0.2">
      <c r="A877" s="350" t="s">
        <v>2897</v>
      </c>
      <c r="B877" s="638"/>
      <c r="C877" s="638"/>
      <c r="D877" s="847" t="s">
        <v>2898</v>
      </c>
      <c r="E877" s="617"/>
      <c r="F877" s="562"/>
      <c r="G877" s="562"/>
      <c r="H877" s="562"/>
      <c r="I877" s="562"/>
      <c r="J877" s="562"/>
    </row>
    <row r="878" spans="1:10" ht="15.75" hidden="1" customHeight="1" x14ac:dyDescent="0.2">
      <c r="A878" s="388"/>
      <c r="B878" s="598"/>
      <c r="C878" s="598"/>
      <c r="D878" s="820"/>
      <c r="E878" s="607"/>
      <c r="F878" s="562"/>
      <c r="G878" s="562"/>
      <c r="H878" s="562"/>
      <c r="I878" s="562"/>
      <c r="J878" s="562"/>
    </row>
    <row r="879" spans="1:10" ht="15.75" hidden="1" customHeight="1" x14ac:dyDescent="0.2">
      <c r="A879" s="388"/>
      <c r="B879" s="598"/>
      <c r="C879" s="598"/>
      <c r="D879" s="820"/>
      <c r="E879" s="607"/>
      <c r="F879" s="562"/>
      <c r="G879" s="562"/>
      <c r="H879" s="562"/>
      <c r="I879" s="562"/>
      <c r="J879" s="562"/>
    </row>
    <row r="880" spans="1:10" ht="15.75" hidden="1" customHeight="1" x14ac:dyDescent="0.2">
      <c r="A880" s="388"/>
      <c r="B880" s="598"/>
      <c r="C880" s="598"/>
      <c r="D880" s="820"/>
      <c r="E880" s="607"/>
      <c r="F880" s="562"/>
      <c r="G880" s="562"/>
      <c r="H880" s="562"/>
      <c r="I880" s="562"/>
      <c r="J880" s="562"/>
    </row>
    <row r="881" spans="1:10" ht="15.75" hidden="1" customHeight="1" x14ac:dyDescent="0.2">
      <c r="A881" s="388"/>
      <c r="B881" s="598"/>
      <c r="C881" s="598"/>
      <c r="D881" s="820"/>
      <c r="E881" s="607"/>
      <c r="F881" s="562"/>
      <c r="G881" s="562"/>
      <c r="H881" s="562"/>
      <c r="I881" s="562"/>
      <c r="J881" s="562"/>
    </row>
    <row r="882" spans="1:10" ht="15.75" hidden="1" customHeight="1" x14ac:dyDescent="0.2">
      <c r="A882" s="160"/>
      <c r="B882" s="599"/>
      <c r="C882" s="599"/>
      <c r="D882" s="832"/>
      <c r="E882" s="608"/>
      <c r="F882" s="562"/>
      <c r="G882" s="562"/>
      <c r="H882" s="562"/>
      <c r="I882" s="562"/>
      <c r="J882" s="562"/>
    </row>
    <row r="883" spans="1:10" ht="15" hidden="1" customHeight="1" x14ac:dyDescent="0.2">
      <c r="A883" s="107" t="s">
        <v>2900</v>
      </c>
      <c r="B883" s="632"/>
      <c r="C883" s="632"/>
      <c r="D883" s="775" t="s">
        <v>2901</v>
      </c>
      <c r="E883" s="609"/>
      <c r="F883" s="562"/>
      <c r="G883" s="562"/>
      <c r="H883" s="562"/>
      <c r="I883" s="562"/>
      <c r="J883" s="562"/>
    </row>
    <row r="884" spans="1:10" ht="16" hidden="1" thickBot="1" x14ac:dyDescent="0.25">
      <c r="A884" s="345"/>
      <c r="B884" s="632"/>
      <c r="C884" s="632"/>
      <c r="D884" s="775"/>
      <c r="E884" s="609"/>
      <c r="F884" s="562"/>
      <c r="G884" s="562"/>
      <c r="H884" s="562"/>
      <c r="I884" s="562"/>
      <c r="J884" s="562"/>
    </row>
    <row r="885" spans="1:10" ht="15" hidden="1" customHeight="1" x14ac:dyDescent="0.2">
      <c r="A885" s="345"/>
      <c r="B885" s="270" t="s">
        <v>2181</v>
      </c>
      <c r="C885" s="598"/>
      <c r="D885" s="791" t="s">
        <v>2902</v>
      </c>
      <c r="E885" s="609"/>
      <c r="F885" s="562"/>
      <c r="G885" s="562"/>
      <c r="H885" s="562"/>
      <c r="I885" s="562"/>
      <c r="J885" s="562"/>
    </row>
    <row r="886" spans="1:10" ht="15.75" hidden="1" customHeight="1" x14ac:dyDescent="0.2">
      <c r="A886" s="345"/>
      <c r="B886" s="277"/>
      <c r="C886" s="599"/>
      <c r="D886" s="792"/>
      <c r="E886" s="609"/>
      <c r="F886" s="562"/>
      <c r="G886" s="562"/>
      <c r="H886" s="562"/>
      <c r="I886" s="562"/>
      <c r="J886" s="562"/>
    </row>
    <row r="887" spans="1:10" ht="16" hidden="1" thickBot="1" x14ac:dyDescent="0.25">
      <c r="A887" s="160"/>
      <c r="B887" s="277" t="s">
        <v>2183</v>
      </c>
      <c r="C887" s="599"/>
      <c r="D887" s="599" t="s">
        <v>2903</v>
      </c>
      <c r="E887" s="608"/>
      <c r="F887" s="562"/>
      <c r="G887" s="562"/>
      <c r="H887" s="562"/>
      <c r="I887" s="562"/>
      <c r="J887" s="562"/>
    </row>
    <row r="888" spans="1:10" ht="15" hidden="1" customHeight="1" x14ac:dyDescent="0.2">
      <c r="A888" s="107" t="s">
        <v>2905</v>
      </c>
      <c r="B888" s="632"/>
      <c r="C888" s="632"/>
      <c r="D888" s="865" t="s">
        <v>2906</v>
      </c>
      <c r="E888" s="609"/>
      <c r="F888" s="562"/>
      <c r="G888" s="562"/>
      <c r="H888" s="562"/>
      <c r="I888" s="562"/>
      <c r="J888" s="562"/>
    </row>
    <row r="889" spans="1:10" s="485" customFormat="1" ht="16" hidden="1" thickBot="1" x14ac:dyDescent="0.25">
      <c r="A889" s="107"/>
      <c r="B889" s="632"/>
      <c r="C889" s="632"/>
      <c r="D889" s="896"/>
      <c r="E889" s="609"/>
      <c r="F889" s="562"/>
      <c r="G889" s="562"/>
      <c r="H889" s="562"/>
      <c r="I889" s="562"/>
      <c r="J889" s="562"/>
    </row>
    <row r="890" spans="1:10" s="485" customFormat="1" ht="15" hidden="1" customHeight="1" x14ac:dyDescent="0.2">
      <c r="A890" s="268" t="s">
        <v>2908</v>
      </c>
      <c r="B890" s="598"/>
      <c r="C890" s="598"/>
      <c r="D890" s="866" t="s">
        <v>2909</v>
      </c>
      <c r="E890" s="609"/>
      <c r="F890" s="562"/>
      <c r="G890" s="562"/>
      <c r="H890" s="562"/>
      <c r="I890" s="562"/>
      <c r="J890" s="562"/>
    </row>
    <row r="891" spans="1:10" s="485" customFormat="1" ht="16" hidden="1" thickBot="1" x14ac:dyDescent="0.25">
      <c r="A891" s="268"/>
      <c r="B891" s="598"/>
      <c r="C891" s="598"/>
      <c r="D891" s="866"/>
      <c r="E891" s="609"/>
      <c r="F891" s="562"/>
      <c r="G891" s="562"/>
      <c r="H891" s="562"/>
      <c r="I891" s="562"/>
      <c r="J891" s="562"/>
    </row>
    <row r="892" spans="1:10" s="485" customFormat="1" ht="16" hidden="1" thickBot="1" x14ac:dyDescent="0.25">
      <c r="A892" s="268"/>
      <c r="B892" s="598"/>
      <c r="C892" s="598"/>
      <c r="D892" s="866"/>
      <c r="E892" s="609"/>
      <c r="F892" s="562"/>
      <c r="G892" s="562"/>
      <c r="H892" s="562"/>
      <c r="I892" s="562"/>
      <c r="J892" s="562"/>
    </row>
    <row r="893" spans="1:10" s="528" customFormat="1" ht="16" hidden="1" thickBot="1" x14ac:dyDescent="0.25">
      <c r="A893" s="98"/>
      <c r="B893" s="598"/>
      <c r="C893" s="598"/>
      <c r="D893" s="275" t="s">
        <v>2911</v>
      </c>
      <c r="E893" s="609"/>
      <c r="F893" s="562"/>
      <c r="G893" s="562"/>
      <c r="H893" s="562"/>
      <c r="I893" s="562"/>
      <c r="J893" s="562"/>
    </row>
    <row r="894" spans="1:10" s="485" customFormat="1" ht="15" hidden="1" customHeight="1" x14ac:dyDescent="0.2">
      <c r="A894" s="278" t="s">
        <v>2913</v>
      </c>
      <c r="B894" s="638"/>
      <c r="C894" s="638"/>
      <c r="D894" s="865" t="s">
        <v>2914</v>
      </c>
      <c r="E894" s="609"/>
      <c r="F894" s="562"/>
      <c r="G894" s="562"/>
      <c r="H894" s="562"/>
      <c r="I894" s="562"/>
      <c r="J894" s="562"/>
    </row>
    <row r="895" spans="1:10" s="485" customFormat="1" ht="16" hidden="1" thickBot="1" x14ac:dyDescent="0.25">
      <c r="A895" s="268"/>
      <c r="B895" s="598"/>
      <c r="C895" s="598"/>
      <c r="D895" s="866"/>
      <c r="E895" s="609"/>
      <c r="F895" s="562"/>
      <c r="G895" s="562"/>
      <c r="H895" s="562"/>
      <c r="I895" s="562"/>
      <c r="J895" s="562"/>
    </row>
    <row r="896" spans="1:10" s="485" customFormat="1" ht="16" hidden="1" thickBot="1" x14ac:dyDescent="0.25">
      <c r="A896" s="562"/>
      <c r="B896" s="562"/>
      <c r="C896" s="562"/>
      <c r="D896" s="866"/>
      <c r="E896" s="609"/>
      <c r="F896" s="562"/>
      <c r="G896" s="562"/>
      <c r="H896" s="562"/>
      <c r="I896" s="562"/>
      <c r="J896" s="562"/>
    </row>
    <row r="897" spans="1:10" s="485" customFormat="1" ht="16" hidden="1" thickBot="1" x14ac:dyDescent="0.25">
      <c r="A897" s="3"/>
      <c r="B897" s="3"/>
      <c r="C897" s="3"/>
      <c r="D897" s="866"/>
      <c r="E897" s="609"/>
      <c r="F897" s="562"/>
      <c r="G897" s="562"/>
      <c r="H897" s="562"/>
      <c r="I897" s="562"/>
      <c r="J897" s="562"/>
    </row>
    <row r="898" spans="1:10" s="528" customFormat="1" ht="16" hidden="1" thickBot="1" x14ac:dyDescent="0.25">
      <c r="A898" s="98"/>
      <c r="B898" s="598"/>
      <c r="C898" s="598"/>
      <c r="D898" s="275" t="s">
        <v>2911</v>
      </c>
      <c r="E898" s="609"/>
      <c r="F898" s="562"/>
      <c r="G898" s="562"/>
      <c r="H898" s="562"/>
      <c r="I898" s="562"/>
      <c r="J898" s="562"/>
    </row>
    <row r="899" spans="1:10" ht="20" hidden="1" thickBot="1" x14ac:dyDescent="0.3">
      <c r="A899" s="50" t="s">
        <v>2979</v>
      </c>
      <c r="B899" s="15"/>
      <c r="C899" s="15"/>
      <c r="D899" s="16"/>
      <c r="E899" s="17"/>
      <c r="F899" s="562"/>
      <c r="G899" s="562"/>
      <c r="H899" s="562"/>
      <c r="I899" s="562"/>
      <c r="J899" s="562"/>
    </row>
    <row r="900" spans="1:10" ht="16" hidden="1" thickBot="1" x14ac:dyDescent="0.25">
      <c r="A900" s="352" t="s">
        <v>2981</v>
      </c>
      <c r="B900" s="3"/>
      <c r="C900" s="3"/>
      <c r="D900" s="654" t="s">
        <v>2982</v>
      </c>
      <c r="E900" s="616"/>
      <c r="F900" s="562"/>
      <c r="G900" s="562"/>
      <c r="H900" s="562"/>
      <c r="I900" s="562"/>
      <c r="J900" s="562"/>
    </row>
    <row r="901" spans="1:10" ht="16" hidden="1" thickBot="1" x14ac:dyDescent="0.25">
      <c r="A901" s="353" t="s">
        <v>2983</v>
      </c>
      <c r="B901" s="98"/>
      <c r="C901" s="98"/>
      <c r="D901" s="640" t="s">
        <v>2984</v>
      </c>
      <c r="E901" s="610"/>
      <c r="F901" s="562"/>
      <c r="G901" s="562"/>
      <c r="H901" s="562"/>
      <c r="I901" s="562"/>
      <c r="J901" s="562"/>
    </row>
    <row r="902" spans="1:10" ht="15" hidden="1" customHeight="1" x14ac:dyDescent="0.2">
      <c r="A902" s="353" t="s">
        <v>2986</v>
      </c>
      <c r="B902" s="98"/>
      <c r="C902" s="98"/>
      <c r="D902" s="820" t="s">
        <v>2987</v>
      </c>
      <c r="E902" s="793">
        <f>'Verification Report'!O913</f>
        <v>0</v>
      </c>
      <c r="F902" s="562"/>
      <c r="G902" s="562"/>
      <c r="H902" s="562"/>
      <c r="I902" s="562"/>
      <c r="J902" s="562"/>
    </row>
    <row r="903" spans="1:10" ht="15.75" hidden="1" customHeight="1" x14ac:dyDescent="0.2">
      <c r="A903" s="388"/>
      <c r="B903" s="98"/>
      <c r="C903" s="98"/>
      <c r="D903" s="820"/>
      <c r="E903" s="793">
        <f>'Verification Report'!O914</f>
        <v>0</v>
      </c>
      <c r="F903" s="562"/>
      <c r="G903" s="562"/>
      <c r="H903" s="562"/>
      <c r="I903" s="562"/>
      <c r="J903" s="562"/>
    </row>
    <row r="904" spans="1:10" ht="15.75" hidden="1" customHeight="1" x14ac:dyDescent="0.2">
      <c r="A904" s="388"/>
      <c r="B904" s="98"/>
      <c r="C904" s="98"/>
      <c r="D904" s="820"/>
      <c r="E904" s="793">
        <f>'Verification Report'!O915</f>
        <v>0</v>
      </c>
      <c r="F904" s="562"/>
      <c r="G904" s="562"/>
      <c r="H904" s="562"/>
      <c r="I904" s="562"/>
      <c r="J904" s="562"/>
    </row>
    <row r="905" spans="1:10" ht="15.75" hidden="1" customHeight="1" x14ac:dyDescent="0.2">
      <c r="A905" s="388"/>
      <c r="B905" s="98"/>
      <c r="C905" s="98"/>
      <c r="D905" s="820"/>
      <c r="E905" s="793">
        <f>'Verification Report'!O916</f>
        <v>0</v>
      </c>
      <c r="F905" s="562"/>
      <c r="G905" s="562"/>
      <c r="H905" s="562"/>
      <c r="I905" s="562"/>
      <c r="J905" s="562"/>
    </row>
    <row r="906" spans="1:10" ht="15" hidden="1" customHeight="1" x14ac:dyDescent="0.2">
      <c r="A906" s="388"/>
      <c r="B906" s="98"/>
      <c r="C906" s="98"/>
      <c r="D906" s="881" t="s">
        <v>2988</v>
      </c>
      <c r="E906" s="793">
        <f>'Verification Report'!O917</f>
        <v>0</v>
      </c>
      <c r="F906" s="562"/>
      <c r="G906" s="562"/>
      <c r="H906" s="562"/>
      <c r="I906" s="562"/>
      <c r="J906" s="562"/>
    </row>
    <row r="907" spans="1:10" ht="15.75" hidden="1" customHeight="1" x14ac:dyDescent="0.2">
      <c r="A907" s="160"/>
      <c r="B907" s="165"/>
      <c r="C907" s="165"/>
      <c r="D907" s="882"/>
      <c r="E907" s="794">
        <f>'Verification Report'!O918</f>
        <v>0</v>
      </c>
      <c r="F907" s="562"/>
      <c r="G907" s="562"/>
      <c r="H907" s="562"/>
      <c r="I907" s="562"/>
      <c r="J907" s="562"/>
    </row>
    <row r="908" spans="1:10" ht="15" hidden="1" customHeight="1" x14ac:dyDescent="0.2">
      <c r="A908" s="350" t="s">
        <v>2990</v>
      </c>
      <c r="B908" s="146"/>
      <c r="C908" s="146"/>
      <c r="D908" s="847" t="s">
        <v>2991</v>
      </c>
      <c r="E908" s="815">
        <f>'Verification Report'!O919</f>
        <v>0</v>
      </c>
      <c r="F908" s="562"/>
      <c r="G908" s="562"/>
      <c r="H908" s="562"/>
      <c r="I908" s="562"/>
      <c r="J908" s="562"/>
    </row>
    <row r="909" spans="1:10" ht="15.75" hidden="1" customHeight="1" x14ac:dyDescent="0.2">
      <c r="A909" s="388"/>
      <c r="B909" s="98"/>
      <c r="C909" s="98"/>
      <c r="D909" s="820"/>
      <c r="E909" s="793">
        <f>'Verification Report'!O920</f>
        <v>0</v>
      </c>
      <c r="F909" s="562"/>
      <c r="G909" s="562"/>
      <c r="H909" s="562"/>
      <c r="I909" s="562"/>
      <c r="J909" s="562"/>
    </row>
    <row r="910" spans="1:10" ht="15.75" hidden="1" customHeight="1" x14ac:dyDescent="0.2">
      <c r="A910" s="160"/>
      <c r="B910" s="165"/>
      <c r="C910" s="165"/>
      <c r="D910" s="571" t="s">
        <v>2992</v>
      </c>
      <c r="E910" s="608"/>
      <c r="F910" s="562"/>
      <c r="G910" s="562"/>
      <c r="H910" s="562"/>
      <c r="I910" s="562"/>
      <c r="J910" s="562"/>
    </row>
    <row r="911" spans="1:10" ht="15" hidden="1" customHeight="1" x14ac:dyDescent="0.2">
      <c r="A911" s="107" t="s">
        <v>2994</v>
      </c>
      <c r="B911" s="3"/>
      <c r="C911" s="3"/>
      <c r="D911" s="775" t="s">
        <v>2995</v>
      </c>
      <c r="E911" s="609"/>
      <c r="F911" s="562"/>
      <c r="G911" s="562"/>
      <c r="H911" s="562"/>
      <c r="I911" s="562"/>
      <c r="J911" s="562"/>
    </row>
    <row r="912" spans="1:10" ht="16" hidden="1" thickBot="1" x14ac:dyDescent="0.25">
      <c r="A912" s="345"/>
      <c r="B912" s="3"/>
      <c r="C912" s="3"/>
      <c r="D912" s="775"/>
      <c r="E912" s="609"/>
      <c r="F912" s="562"/>
      <c r="G912" s="562"/>
      <c r="H912" s="562"/>
      <c r="I912" s="562"/>
      <c r="J912" s="562"/>
    </row>
    <row r="913" spans="1:10" ht="15.75" hidden="1" customHeight="1" x14ac:dyDescent="0.2">
      <c r="A913" s="345"/>
      <c r="B913" s="20" t="s">
        <v>2181</v>
      </c>
      <c r="C913" s="3"/>
      <c r="D913" s="632" t="s">
        <v>2996</v>
      </c>
      <c r="E913" s="609">
        <f ca="1">'Verification Report'!O924</f>
        <v>0</v>
      </c>
      <c r="F913" s="562"/>
      <c r="G913" s="562"/>
      <c r="H913" s="562"/>
      <c r="I913" s="562"/>
      <c r="J913" s="562"/>
    </row>
    <row r="914" spans="1:10" ht="15.75" hidden="1" customHeight="1" x14ac:dyDescent="0.2">
      <c r="A914" s="345"/>
      <c r="B914" s="20"/>
      <c r="C914" s="20" t="s">
        <v>2196</v>
      </c>
      <c r="D914" s="632" t="s">
        <v>2997</v>
      </c>
      <c r="E914" s="609"/>
      <c r="F914" s="562"/>
      <c r="G914" s="562"/>
      <c r="H914" s="562"/>
      <c r="I914" s="562"/>
      <c r="J914" s="562"/>
    </row>
    <row r="915" spans="1:10" ht="15.75" hidden="1" customHeight="1" x14ac:dyDescent="0.2">
      <c r="A915" s="345"/>
      <c r="B915" s="159"/>
      <c r="C915" s="159" t="s">
        <v>2198</v>
      </c>
      <c r="D915" s="599" t="s">
        <v>2998</v>
      </c>
      <c r="E915" s="608"/>
      <c r="F915" s="562"/>
      <c r="G915" s="562"/>
      <c r="H915" s="562"/>
      <c r="I915" s="562"/>
      <c r="J915" s="562"/>
    </row>
    <row r="916" spans="1:10" ht="15.75" hidden="1" customHeight="1" x14ac:dyDescent="0.2">
      <c r="A916" s="388"/>
      <c r="B916" s="134" t="s">
        <v>2183</v>
      </c>
      <c r="C916" s="98"/>
      <c r="D916" s="598" t="s">
        <v>2999</v>
      </c>
      <c r="E916" s="607">
        <f ca="1">'Verification Report'!O927</f>
        <v>0</v>
      </c>
      <c r="F916" s="562"/>
      <c r="G916" s="562"/>
      <c r="H916" s="562"/>
      <c r="I916" s="562"/>
      <c r="J916" s="562"/>
    </row>
    <row r="917" spans="1:10" ht="15.75" hidden="1" customHeight="1" x14ac:dyDescent="0.2">
      <c r="A917" s="388"/>
      <c r="B917" s="98"/>
      <c r="C917" s="134" t="s">
        <v>2196</v>
      </c>
      <c r="D917" s="598" t="s">
        <v>3000</v>
      </c>
      <c r="E917" s="607"/>
      <c r="F917" s="562"/>
      <c r="G917" s="562"/>
      <c r="H917" s="562"/>
      <c r="I917" s="562"/>
      <c r="J917" s="562"/>
    </row>
    <row r="918" spans="1:10" ht="15.75" hidden="1" customHeight="1" x14ac:dyDescent="0.2">
      <c r="A918" s="160"/>
      <c r="B918" s="165"/>
      <c r="C918" s="159" t="s">
        <v>2198</v>
      </c>
      <c r="D918" s="599" t="s">
        <v>3001</v>
      </c>
      <c r="E918" s="608"/>
      <c r="F918" s="562"/>
      <c r="G918" s="562"/>
      <c r="H918" s="562"/>
      <c r="I918" s="562"/>
      <c r="J918" s="562"/>
    </row>
    <row r="919" spans="1:10" ht="15" hidden="1" customHeight="1" x14ac:dyDescent="0.2">
      <c r="A919" s="350" t="s">
        <v>3003</v>
      </c>
      <c r="B919" s="98"/>
      <c r="C919" s="98"/>
      <c r="D919" s="820" t="s">
        <v>3004</v>
      </c>
      <c r="E919" s="607"/>
      <c r="F919" s="562"/>
      <c r="G919" s="562"/>
      <c r="H919" s="562"/>
      <c r="I919" s="562"/>
      <c r="J919" s="562"/>
    </row>
    <row r="920" spans="1:10" ht="15.75" hidden="1" customHeight="1" x14ac:dyDescent="0.2">
      <c r="A920" s="388"/>
      <c r="B920" s="98"/>
      <c r="C920" s="98"/>
      <c r="D920" s="820"/>
      <c r="E920" s="607"/>
      <c r="F920" s="562"/>
      <c r="G920" s="562"/>
      <c r="H920" s="562"/>
      <c r="I920" s="562"/>
      <c r="J920" s="562"/>
    </row>
    <row r="921" spans="1:10" ht="15.75" hidden="1" customHeight="1" x14ac:dyDescent="0.2">
      <c r="A921" s="388"/>
      <c r="B921" s="98"/>
      <c r="C921" s="98"/>
      <c r="D921" s="820"/>
      <c r="E921" s="607"/>
      <c r="F921" s="562"/>
      <c r="G921" s="562"/>
      <c r="H921" s="562"/>
      <c r="I921" s="562"/>
      <c r="J921" s="562"/>
    </row>
    <row r="922" spans="1:10" ht="15.75" hidden="1" customHeight="1" x14ac:dyDescent="0.2">
      <c r="A922" s="160"/>
      <c r="B922" s="165"/>
      <c r="C922" s="165"/>
      <c r="D922" s="832"/>
      <c r="E922" s="608"/>
      <c r="F922" s="562"/>
      <c r="G922" s="562"/>
      <c r="H922" s="562"/>
      <c r="I922" s="562"/>
      <c r="J922" s="562"/>
    </row>
    <row r="923" spans="1:10" ht="15" hidden="1" customHeight="1" x14ac:dyDescent="0.2">
      <c r="A923" s="70" t="s">
        <v>3006</v>
      </c>
      <c r="B923" s="98"/>
      <c r="C923" s="98"/>
      <c r="D923" s="820" t="s">
        <v>3007</v>
      </c>
      <c r="E923" s="793">
        <f>'Verification Report'!O934</f>
        <v>0</v>
      </c>
      <c r="F923" s="562"/>
      <c r="G923" s="562"/>
      <c r="H923" s="562"/>
      <c r="I923" s="562"/>
      <c r="J923" s="562"/>
    </row>
    <row r="924" spans="1:10" ht="15.75" hidden="1" customHeight="1" x14ac:dyDescent="0.2">
      <c r="A924" s="388"/>
      <c r="B924" s="98"/>
      <c r="C924" s="98"/>
      <c r="D924" s="820"/>
      <c r="E924" s="793">
        <f>'Verification Report'!O935</f>
        <v>0</v>
      </c>
      <c r="F924" s="562"/>
      <c r="G924" s="562"/>
      <c r="H924" s="562"/>
      <c r="I924" s="562"/>
      <c r="J924" s="562"/>
    </row>
    <row r="925" spans="1:10" ht="15.75" hidden="1" customHeight="1" x14ac:dyDescent="0.2">
      <c r="A925" s="160"/>
      <c r="B925" s="165"/>
      <c r="C925" s="165"/>
      <c r="D925" s="832"/>
      <c r="E925" s="794">
        <f>'Verification Report'!O936</f>
        <v>0</v>
      </c>
      <c r="F925" s="562"/>
      <c r="G925" s="562"/>
      <c r="H925" s="562"/>
      <c r="I925" s="562"/>
      <c r="J925" s="562"/>
    </row>
    <row r="926" spans="1:10" ht="15.75" hidden="1" customHeight="1" x14ac:dyDescent="0.2">
      <c r="A926" s="70" t="s">
        <v>3009</v>
      </c>
      <c r="B926" s="98"/>
      <c r="C926" s="98"/>
      <c r="D926" s="640" t="s">
        <v>3010</v>
      </c>
      <c r="E926" s="607">
        <f ca="1">'Verification Report'!O937</f>
        <v>0</v>
      </c>
      <c r="F926" s="562"/>
      <c r="G926" s="562"/>
      <c r="H926" s="562"/>
      <c r="I926" s="562"/>
      <c r="J926" s="562"/>
    </row>
    <row r="927" spans="1:10" ht="15.75" hidden="1" customHeight="1" x14ac:dyDescent="0.2">
      <c r="A927" s="388"/>
      <c r="B927" s="159" t="s">
        <v>2181</v>
      </c>
      <c r="C927" s="165"/>
      <c r="D927" s="599" t="s">
        <v>3011</v>
      </c>
      <c r="E927" s="607"/>
      <c r="F927" s="562"/>
      <c r="G927" s="562"/>
      <c r="H927" s="562"/>
      <c r="I927" s="562"/>
      <c r="J927" s="562"/>
    </row>
    <row r="928" spans="1:10" ht="15.75" hidden="1" customHeight="1" thickBot="1" x14ac:dyDescent="0.25">
      <c r="A928" s="354"/>
      <c r="B928" s="143" t="s">
        <v>2183</v>
      </c>
      <c r="C928" s="185"/>
      <c r="D928" s="626" t="s">
        <v>3012</v>
      </c>
      <c r="E928" s="622"/>
      <c r="F928" s="562"/>
      <c r="G928" s="562"/>
      <c r="H928" s="562"/>
      <c r="I928" s="562"/>
      <c r="J928" s="562"/>
    </row>
    <row r="929" spans="1:10" ht="16" thickTop="1" x14ac:dyDescent="0.2">
      <c r="A929" s="75" t="s">
        <v>3013</v>
      </c>
      <c r="B929" s="132"/>
      <c r="C929" s="132"/>
      <c r="D929" s="646" t="s">
        <v>3014</v>
      </c>
      <c r="E929" s="623"/>
      <c r="F929" s="562"/>
      <c r="G929" s="562">
        <v>1</v>
      </c>
      <c r="H929" s="562"/>
      <c r="I929" s="562"/>
      <c r="J929" s="562"/>
    </row>
    <row r="930" spans="1:10" ht="15" customHeight="1" x14ac:dyDescent="0.2">
      <c r="A930" s="107" t="s">
        <v>3016</v>
      </c>
      <c r="B930" s="3"/>
      <c r="C930" s="3"/>
      <c r="D930" s="775" t="s">
        <v>3017</v>
      </c>
      <c r="E930" s="609"/>
      <c r="F930" s="562"/>
      <c r="G930" s="562">
        <v>1</v>
      </c>
      <c r="H930" s="460"/>
      <c r="I930" s="562" t="s">
        <v>3844</v>
      </c>
      <c r="J930" s="562"/>
    </row>
    <row r="931" spans="1:10" x14ac:dyDescent="0.2">
      <c r="A931" s="345"/>
      <c r="B931" s="3"/>
      <c r="C931" s="3"/>
      <c r="D931" s="775"/>
      <c r="E931" s="609"/>
      <c r="F931" s="562"/>
      <c r="G931" s="562">
        <v>1</v>
      </c>
      <c r="H931" s="562"/>
      <c r="I931" s="562"/>
      <c r="J931" s="562"/>
    </row>
    <row r="932" spans="1:10" ht="15" customHeight="1" x14ac:dyDescent="0.2">
      <c r="A932" s="345"/>
      <c r="B932" s="134" t="s">
        <v>2181</v>
      </c>
      <c r="C932" s="98"/>
      <c r="D932" s="791" t="s">
        <v>3018</v>
      </c>
      <c r="E932" s="793">
        <f>'Verification Report'!O943</f>
        <v>0</v>
      </c>
      <c r="F932" s="562"/>
      <c r="G932" s="562">
        <v>1</v>
      </c>
      <c r="H932" s="562"/>
      <c r="I932" s="562"/>
      <c r="J932" s="562"/>
    </row>
    <row r="933" spans="1:10" x14ac:dyDescent="0.2">
      <c r="A933" s="345"/>
      <c r="B933" s="98"/>
      <c r="C933" s="98"/>
      <c r="D933" s="791"/>
      <c r="E933" s="793">
        <f>'Verification Report'!O944</f>
        <v>0</v>
      </c>
      <c r="F933" s="562"/>
      <c r="G933" s="562">
        <v>1</v>
      </c>
      <c r="H933" s="562"/>
      <c r="I933" s="562"/>
      <c r="J933" s="562"/>
    </row>
    <row r="934" spans="1:10" x14ac:dyDescent="0.2">
      <c r="A934" s="345"/>
      <c r="B934" s="165"/>
      <c r="C934" s="165"/>
      <c r="D934" s="792"/>
      <c r="E934" s="794">
        <f>'Verification Report'!O945</f>
        <v>0</v>
      </c>
      <c r="F934" s="562"/>
      <c r="G934" s="562">
        <v>1</v>
      </c>
      <c r="H934" s="562"/>
      <c r="I934" s="562"/>
      <c r="J934" s="562"/>
    </row>
    <row r="935" spans="1:10" ht="15" customHeight="1" x14ac:dyDescent="0.2">
      <c r="A935" s="345"/>
      <c r="B935" s="134" t="s">
        <v>2183</v>
      </c>
      <c r="C935" s="98"/>
      <c r="D935" s="791" t="s">
        <v>3019</v>
      </c>
      <c r="E935" s="793">
        <f>'Verification Report'!O946</f>
        <v>0</v>
      </c>
      <c r="F935" s="562"/>
      <c r="G935" s="562">
        <v>1</v>
      </c>
      <c r="H935" s="562"/>
      <c r="I935" s="562"/>
      <c r="J935" s="562"/>
    </row>
    <row r="936" spans="1:10" x14ac:dyDescent="0.2">
      <c r="A936" s="345"/>
      <c r="B936" s="159"/>
      <c r="C936" s="165"/>
      <c r="D936" s="792"/>
      <c r="E936" s="794">
        <f>'Verification Report'!O947</f>
        <v>0</v>
      </c>
      <c r="F936" s="562"/>
      <c r="G936" s="562">
        <v>1</v>
      </c>
      <c r="H936" s="562"/>
      <c r="I936" s="562"/>
      <c r="J936" s="562"/>
    </row>
    <row r="937" spans="1:10" ht="15" customHeight="1" x14ac:dyDescent="0.2">
      <c r="A937" s="345"/>
      <c r="B937" s="134" t="s">
        <v>2185</v>
      </c>
      <c r="C937" s="98"/>
      <c r="D937" s="791" t="s">
        <v>3020</v>
      </c>
      <c r="E937" s="793">
        <f>'Verification Report'!O948</f>
        <v>0</v>
      </c>
      <c r="F937" s="562"/>
      <c r="G937" s="562">
        <v>1</v>
      </c>
      <c r="H937" s="562"/>
      <c r="I937" s="562"/>
      <c r="J937" s="562"/>
    </row>
    <row r="938" spans="1:10" x14ac:dyDescent="0.2">
      <c r="A938" s="345"/>
      <c r="B938" s="134"/>
      <c r="C938" s="98"/>
      <c r="D938" s="791"/>
      <c r="E938" s="793">
        <f>'Verification Report'!O949</f>
        <v>0</v>
      </c>
      <c r="F938" s="562"/>
      <c r="G938" s="562">
        <v>1</v>
      </c>
      <c r="H938" s="562"/>
      <c r="I938" s="562"/>
      <c r="J938" s="562"/>
    </row>
    <row r="939" spans="1:10" x14ac:dyDescent="0.2">
      <c r="A939" s="345"/>
      <c r="B939" s="159"/>
      <c r="C939" s="165"/>
      <c r="D939" s="792"/>
      <c r="E939" s="794">
        <f>'Verification Report'!O950</f>
        <v>0</v>
      </c>
      <c r="F939" s="562"/>
      <c r="G939" s="562">
        <v>1</v>
      </c>
      <c r="H939" s="562"/>
      <c r="I939" s="562"/>
      <c r="J939" s="562"/>
    </row>
    <row r="940" spans="1:10" ht="15" customHeight="1" x14ac:dyDescent="0.2">
      <c r="A940" s="345"/>
      <c r="B940" s="134" t="s">
        <v>2192</v>
      </c>
      <c r="C940" s="98"/>
      <c r="D940" s="776" t="s">
        <v>3021</v>
      </c>
      <c r="E940" s="793">
        <f>'Verification Report'!O951</f>
        <v>0</v>
      </c>
      <c r="F940" s="562"/>
      <c r="G940" s="562">
        <v>1</v>
      </c>
      <c r="H940" s="562"/>
      <c r="I940" s="562"/>
      <c r="J940" s="562"/>
    </row>
    <row r="941" spans="1:10" x14ac:dyDescent="0.2">
      <c r="A941" s="345"/>
      <c r="B941" s="159"/>
      <c r="C941" s="165"/>
      <c r="D941" s="777"/>
      <c r="E941" s="794">
        <f>'Verification Report'!O952</f>
        <v>0</v>
      </c>
      <c r="F941" s="562"/>
      <c r="G941" s="562">
        <v>1</v>
      </c>
      <c r="H941" s="562"/>
      <c r="I941" s="562"/>
      <c r="J941" s="562"/>
    </row>
    <row r="942" spans="1:10" ht="15" customHeight="1" x14ac:dyDescent="0.2">
      <c r="A942" s="388"/>
      <c r="B942" s="134" t="s">
        <v>2194</v>
      </c>
      <c r="C942" s="98"/>
      <c r="D942" s="791" t="s">
        <v>3022</v>
      </c>
      <c r="E942" s="793">
        <f>'Verification Report'!O953</f>
        <v>0</v>
      </c>
      <c r="F942" s="562"/>
      <c r="G942" s="562">
        <v>1</v>
      </c>
      <c r="H942" s="562"/>
      <c r="I942" s="562"/>
      <c r="J942" s="562"/>
    </row>
    <row r="943" spans="1:10" x14ac:dyDescent="0.2">
      <c r="A943" s="160"/>
      <c r="B943" s="159"/>
      <c r="C943" s="165"/>
      <c r="D943" s="792"/>
      <c r="E943" s="794">
        <f>'Verification Report'!O954</f>
        <v>0</v>
      </c>
      <c r="F943" s="562"/>
      <c r="G943" s="562">
        <v>1</v>
      </c>
      <c r="H943" s="562"/>
      <c r="I943" s="562"/>
      <c r="J943" s="562"/>
    </row>
    <row r="944" spans="1:10" ht="16" thickBot="1" x14ac:dyDescent="0.25">
      <c r="A944" s="349" t="s">
        <v>3024</v>
      </c>
      <c r="B944" s="185"/>
      <c r="C944" s="185"/>
      <c r="D944" s="273" t="s">
        <v>3025</v>
      </c>
      <c r="E944" s="622">
        <f>'Verification Report'!O955</f>
        <v>0</v>
      </c>
      <c r="F944" s="562"/>
      <c r="G944" s="562">
        <v>1</v>
      </c>
      <c r="H944" s="460"/>
      <c r="I944" s="562" t="s">
        <v>3844</v>
      </c>
      <c r="J944" s="562"/>
    </row>
    <row r="945" spans="1:10" ht="16" thickTop="1" x14ac:dyDescent="0.2">
      <c r="A945" s="107" t="s">
        <v>3026</v>
      </c>
      <c r="B945" s="3"/>
      <c r="C945" s="3"/>
      <c r="D945" s="654" t="s">
        <v>3027</v>
      </c>
      <c r="E945" s="609"/>
      <c r="F945" s="562"/>
      <c r="G945" s="562">
        <v>1</v>
      </c>
      <c r="H945" s="562"/>
      <c r="I945" s="562"/>
      <c r="J945" s="562"/>
    </row>
    <row r="946" spans="1:10" x14ac:dyDescent="0.2">
      <c r="A946" s="345"/>
      <c r="B946" s="20" t="s">
        <v>2181</v>
      </c>
      <c r="C946" s="3"/>
      <c r="D946" s="632" t="s">
        <v>3028</v>
      </c>
      <c r="E946" s="609"/>
      <c r="F946" s="562"/>
      <c r="G946" s="562">
        <v>1</v>
      </c>
      <c r="H946" s="460"/>
      <c r="I946" s="562" t="s">
        <v>3845</v>
      </c>
      <c r="J946" s="562"/>
    </row>
    <row r="947" spans="1:10" ht="15" customHeight="1" x14ac:dyDescent="0.2">
      <c r="A947" s="345"/>
      <c r="B947" s="3"/>
      <c r="C947" s="134" t="s">
        <v>2196</v>
      </c>
      <c r="D947" s="791" t="s">
        <v>3029</v>
      </c>
      <c r="E947" s="793">
        <f>'Verification Report'!O958</f>
        <v>0</v>
      </c>
      <c r="F947" s="562"/>
      <c r="G947" s="562">
        <v>1</v>
      </c>
      <c r="H947" s="562"/>
      <c r="I947" s="562"/>
      <c r="J947" s="562"/>
    </row>
    <row r="948" spans="1:10" x14ac:dyDescent="0.2">
      <c r="A948" s="345"/>
      <c r="B948" s="3"/>
      <c r="C948" s="159"/>
      <c r="D948" s="792"/>
      <c r="E948" s="794">
        <f>'Verification Report'!O959</f>
        <v>0</v>
      </c>
      <c r="F948" s="562"/>
      <c r="G948" s="562">
        <v>1</v>
      </c>
      <c r="H948" s="562"/>
      <c r="I948" s="562"/>
      <c r="J948" s="562"/>
    </row>
    <row r="949" spans="1:10" ht="15" customHeight="1" x14ac:dyDescent="0.2">
      <c r="A949" s="345"/>
      <c r="B949" s="3"/>
      <c r="C949" s="134" t="s">
        <v>2198</v>
      </c>
      <c r="D949" s="791" t="s">
        <v>3030</v>
      </c>
      <c r="E949" s="793">
        <f>'Verification Report'!O960</f>
        <v>0</v>
      </c>
      <c r="F949" s="562"/>
      <c r="G949" s="562">
        <v>1</v>
      </c>
      <c r="H949" s="562"/>
      <c r="I949" s="562"/>
      <c r="J949" s="562"/>
    </row>
    <row r="950" spans="1:10" x14ac:dyDescent="0.2">
      <c r="A950" s="345"/>
      <c r="B950" s="3"/>
      <c r="C950" s="165"/>
      <c r="D950" s="792"/>
      <c r="E950" s="794">
        <f>'Verification Report'!O961</f>
        <v>0</v>
      </c>
      <c r="F950" s="562"/>
      <c r="G950" s="562">
        <v>1</v>
      </c>
      <c r="H950" s="562"/>
      <c r="I950" s="562"/>
      <c r="J950" s="562"/>
    </row>
    <row r="951" spans="1:10" ht="15" customHeight="1" x14ac:dyDescent="0.2">
      <c r="A951" s="345"/>
      <c r="B951" s="98"/>
      <c r="C951" s="134" t="s">
        <v>2200</v>
      </c>
      <c r="D951" s="791" t="s">
        <v>3031</v>
      </c>
      <c r="E951" s="793">
        <f ca="1">'Verification Report'!O962</f>
        <v>0</v>
      </c>
      <c r="F951" s="562"/>
      <c r="G951" s="562">
        <v>1</v>
      </c>
      <c r="H951" s="562"/>
      <c r="I951" s="562"/>
      <c r="J951" s="562"/>
    </row>
    <row r="952" spans="1:10" x14ac:dyDescent="0.2">
      <c r="A952" s="345"/>
      <c r="B952" s="98"/>
      <c r="C952" s="98"/>
      <c r="D952" s="791"/>
      <c r="E952" s="793">
        <f>'Verification Report'!O963</f>
        <v>0</v>
      </c>
      <c r="F952" s="562"/>
      <c r="G952" s="562">
        <v>1</v>
      </c>
      <c r="H952" s="562"/>
      <c r="I952" s="562"/>
      <c r="J952" s="562"/>
    </row>
    <row r="953" spans="1:10" x14ac:dyDescent="0.2">
      <c r="A953" s="345"/>
      <c r="B953" s="98"/>
      <c r="C953" s="98"/>
      <c r="D953" s="791"/>
      <c r="E953" s="793">
        <f>'Verification Report'!O964</f>
        <v>0</v>
      </c>
      <c r="F953" s="562"/>
      <c r="G953" s="562">
        <v>1</v>
      </c>
      <c r="H953" s="562"/>
      <c r="I953" s="562"/>
      <c r="J953" s="562"/>
    </row>
    <row r="954" spans="1:10" x14ac:dyDescent="0.2">
      <c r="A954" s="345"/>
      <c r="B954" s="98"/>
      <c r="C954" s="98"/>
      <c r="D954" s="791"/>
      <c r="E954" s="793">
        <f>'Verification Report'!O965</f>
        <v>0</v>
      </c>
      <c r="F954" s="562"/>
      <c r="G954" s="562">
        <v>1</v>
      </c>
      <c r="H954" s="562"/>
      <c r="I954" s="562"/>
      <c r="J954" s="562"/>
    </row>
    <row r="955" spans="1:10" x14ac:dyDescent="0.2">
      <c r="A955" s="345"/>
      <c r="B955" s="98"/>
      <c r="C955" s="98"/>
      <c r="D955" s="791"/>
      <c r="E955" s="793">
        <f>'Verification Report'!O966</f>
        <v>0</v>
      </c>
      <c r="F955" s="562"/>
      <c r="G955" s="562">
        <v>1</v>
      </c>
      <c r="H955" s="562"/>
      <c r="I955" s="562"/>
      <c r="J955" s="562"/>
    </row>
    <row r="956" spans="1:10" x14ac:dyDescent="0.2">
      <c r="A956" s="345"/>
      <c r="B956" s="165"/>
      <c r="C956" s="165"/>
      <c r="D956" s="792"/>
      <c r="E956" s="794">
        <f>'Verification Report'!O967</f>
        <v>0</v>
      </c>
      <c r="F956" s="562"/>
      <c r="G956" s="562">
        <v>1</v>
      </c>
      <c r="H956" s="562"/>
      <c r="I956" s="562"/>
      <c r="J956" s="562"/>
    </row>
    <row r="957" spans="1:10" ht="15" customHeight="1" thickBot="1" x14ac:dyDescent="0.25">
      <c r="A957" s="354"/>
      <c r="B957" s="143" t="s">
        <v>2183</v>
      </c>
      <c r="C957" s="185"/>
      <c r="D957" s="626" t="s">
        <v>3032</v>
      </c>
      <c r="E957" s="622">
        <f>'Verification Report'!O968</f>
        <v>0</v>
      </c>
      <c r="F957" s="562"/>
      <c r="G957" s="562">
        <v>1</v>
      </c>
      <c r="H957" s="460"/>
      <c r="I957" s="562" t="s">
        <v>3845</v>
      </c>
      <c r="J957" s="562"/>
    </row>
    <row r="958" spans="1:10" ht="15.75" hidden="1" customHeight="1" thickTop="1" x14ac:dyDescent="0.2">
      <c r="A958" s="107" t="s">
        <v>3033</v>
      </c>
      <c r="B958" s="3"/>
      <c r="C958" s="3"/>
      <c r="D958" s="817" t="s">
        <v>3034</v>
      </c>
      <c r="E958" s="823">
        <f ca="1">'Verification Report'!O969</f>
        <v>0</v>
      </c>
      <c r="F958" s="562"/>
      <c r="G958" s="562"/>
      <c r="H958" s="562"/>
      <c r="I958" s="562"/>
      <c r="J958" s="562"/>
    </row>
    <row r="959" spans="1:10" ht="16" hidden="1" thickTop="1" x14ac:dyDescent="0.2">
      <c r="A959" s="345"/>
      <c r="B959" s="3"/>
      <c r="C959" s="3"/>
      <c r="D959" s="817"/>
      <c r="E959" s="795">
        <f>'Verification Report'!O970</f>
        <v>0</v>
      </c>
      <c r="F959" s="562"/>
      <c r="G959" s="562"/>
      <c r="H959" s="562"/>
      <c r="I959" s="562"/>
      <c r="J959" s="562"/>
    </row>
    <row r="960" spans="1:10" s="496" customFormat="1" ht="16" hidden="1" thickTop="1" x14ac:dyDescent="0.2">
      <c r="A960" s="345"/>
      <c r="B960" s="3"/>
      <c r="C960" s="3"/>
      <c r="D960" s="817"/>
      <c r="E960" s="795"/>
      <c r="F960" s="562"/>
      <c r="G960" s="562"/>
      <c r="H960" s="562"/>
      <c r="I960" s="562"/>
      <c r="J960" s="562"/>
    </row>
    <row r="961" spans="1:6" ht="16" hidden="1" thickTop="1" x14ac:dyDescent="0.2">
      <c r="A961" s="345"/>
      <c r="B961" s="3"/>
      <c r="C961" s="3"/>
      <c r="D961" s="817"/>
      <c r="E961" s="795">
        <f>'Verification Report'!O972</f>
        <v>0</v>
      </c>
      <c r="F961" s="562"/>
    </row>
    <row r="962" spans="1:6" ht="15" hidden="1" customHeight="1" x14ac:dyDescent="0.2">
      <c r="A962" s="345"/>
      <c r="B962" s="134" t="s">
        <v>2181</v>
      </c>
      <c r="C962" s="98"/>
      <c r="D962" s="791" t="s">
        <v>3035</v>
      </c>
      <c r="E962" s="562"/>
      <c r="F962" s="562"/>
    </row>
    <row r="963" spans="1:6" ht="15.75" hidden="1" customHeight="1" x14ac:dyDescent="0.2">
      <c r="A963" s="345"/>
      <c r="B963" s="98"/>
      <c r="C963" s="98"/>
      <c r="D963" s="791"/>
      <c r="E963" s="609"/>
      <c r="F963" s="562"/>
    </row>
    <row r="964" spans="1:6" ht="15.75" hidden="1" customHeight="1" x14ac:dyDescent="0.2">
      <c r="A964" s="345"/>
      <c r="B964" s="98"/>
      <c r="C964" s="98"/>
      <c r="D964" s="791"/>
      <c r="E964" s="609"/>
      <c r="F964" s="562"/>
    </row>
    <row r="965" spans="1:6" ht="15.75" hidden="1" customHeight="1" x14ac:dyDescent="0.2">
      <c r="A965" s="345"/>
      <c r="B965" s="98"/>
      <c r="C965" s="98"/>
      <c r="D965" s="791"/>
      <c r="E965" s="609"/>
      <c r="F965" s="562"/>
    </row>
    <row r="966" spans="1:6" ht="15.75" hidden="1" customHeight="1" x14ac:dyDescent="0.2">
      <c r="A966" s="345"/>
      <c r="B966" s="165"/>
      <c r="C966" s="165"/>
      <c r="D966" s="571" t="s">
        <v>3036</v>
      </c>
      <c r="E966" s="609"/>
      <c r="F966" s="562"/>
    </row>
    <row r="967" spans="1:6" ht="15.75" hidden="1" customHeight="1" x14ac:dyDescent="0.2">
      <c r="A967" s="388"/>
      <c r="B967" s="98"/>
      <c r="C967" s="98"/>
      <c r="D967" s="598" t="s">
        <v>3037</v>
      </c>
      <c r="E967" s="607"/>
      <c r="F967" s="562"/>
    </row>
    <row r="968" spans="1:6" ht="15.75" hidden="1" customHeight="1" x14ac:dyDescent="0.2">
      <c r="A968" s="388"/>
      <c r="B968" s="98"/>
      <c r="C968" s="98"/>
      <c r="D968" s="598" t="s">
        <v>3038</v>
      </c>
      <c r="E968" s="607"/>
      <c r="F968" s="562"/>
    </row>
    <row r="969" spans="1:6" ht="15.75" hidden="1" customHeight="1" x14ac:dyDescent="0.2">
      <c r="A969" s="388"/>
      <c r="B969" s="98"/>
      <c r="C969" s="98"/>
      <c r="D969" s="598" t="s">
        <v>3039</v>
      </c>
      <c r="E969" s="607"/>
      <c r="F969" s="562"/>
    </row>
    <row r="970" spans="1:6" ht="15.75" hidden="1" customHeight="1" x14ac:dyDescent="0.2">
      <c r="A970" s="388"/>
      <c r="B970" s="98"/>
      <c r="C970" s="98"/>
      <c r="D970" s="598" t="s">
        <v>3040</v>
      </c>
      <c r="E970" s="607"/>
      <c r="F970" s="562"/>
    </row>
    <row r="971" spans="1:6" ht="15" hidden="1" customHeight="1" x14ac:dyDescent="0.2">
      <c r="A971" s="388"/>
      <c r="B971" s="134" t="s">
        <v>2183</v>
      </c>
      <c r="C971" s="98"/>
      <c r="D971" s="791" t="s">
        <v>3041</v>
      </c>
      <c r="E971" s="607"/>
      <c r="F971" s="562"/>
    </row>
    <row r="972" spans="1:6" ht="15.75" hidden="1" customHeight="1" x14ac:dyDescent="0.2">
      <c r="A972" s="388"/>
      <c r="B972" s="165"/>
      <c r="C972" s="165"/>
      <c r="D972" s="792"/>
      <c r="E972" s="607"/>
      <c r="F972" s="562"/>
    </row>
    <row r="973" spans="1:6" ht="15.75" hidden="1" customHeight="1" x14ac:dyDescent="0.2">
      <c r="A973" s="388"/>
      <c r="B973" s="159" t="s">
        <v>2185</v>
      </c>
      <c r="C973" s="165"/>
      <c r="D973" s="599" t="s">
        <v>3042</v>
      </c>
      <c r="E973" s="607"/>
      <c r="F973" s="562"/>
    </row>
    <row r="974" spans="1:6" ht="15.75" hidden="1" customHeight="1" x14ac:dyDescent="0.2">
      <c r="A974" s="388"/>
      <c r="B974" s="159" t="s">
        <v>2192</v>
      </c>
      <c r="C974" s="165"/>
      <c r="D974" s="599" t="s">
        <v>3043</v>
      </c>
      <c r="E974" s="607"/>
      <c r="F974" s="562"/>
    </row>
    <row r="975" spans="1:6" ht="15" hidden="1" customHeight="1" x14ac:dyDescent="0.2">
      <c r="A975" s="388"/>
      <c r="B975" s="134" t="s">
        <v>2194</v>
      </c>
      <c r="C975" s="98"/>
      <c r="D975" s="791" t="s">
        <v>3044</v>
      </c>
      <c r="E975" s="607"/>
      <c r="F975" s="562"/>
    </row>
    <row r="976" spans="1:6" ht="15.75" hidden="1" customHeight="1" x14ac:dyDescent="0.2">
      <c r="A976" s="388"/>
      <c r="B976" s="159"/>
      <c r="C976" s="165"/>
      <c r="D976" s="792"/>
      <c r="E976" s="607"/>
      <c r="F976" s="562"/>
    </row>
    <row r="977" spans="1:6" ht="16.5" hidden="1" customHeight="1" thickBot="1" x14ac:dyDescent="0.25">
      <c r="A977" s="354"/>
      <c r="B977" s="143" t="s">
        <v>2221</v>
      </c>
      <c r="C977" s="185"/>
      <c r="D977" s="626" t="s">
        <v>3045</v>
      </c>
      <c r="E977" s="622"/>
      <c r="F977" s="562"/>
    </row>
    <row r="978" spans="1:6" ht="15.75" hidden="1" customHeight="1" thickTop="1" x14ac:dyDescent="0.2">
      <c r="A978" s="107" t="s">
        <v>3046</v>
      </c>
      <c r="B978" s="3"/>
      <c r="C978" s="3"/>
      <c r="D978" s="775" t="s">
        <v>3047</v>
      </c>
      <c r="E978" s="609"/>
      <c r="F978" s="562"/>
    </row>
    <row r="979" spans="1:6" ht="16" hidden="1" thickTop="1" x14ac:dyDescent="0.2">
      <c r="A979" s="345"/>
      <c r="B979" s="3"/>
      <c r="C979" s="3"/>
      <c r="D979" s="775"/>
      <c r="E979" s="609"/>
      <c r="F979" s="562"/>
    </row>
    <row r="980" spans="1:6" ht="16" hidden="1" thickTop="1" x14ac:dyDescent="0.2">
      <c r="A980" s="345"/>
      <c r="B980" s="3"/>
      <c r="C980" s="3"/>
      <c r="D980" s="635" t="s">
        <v>3048</v>
      </c>
      <c r="E980" s="609"/>
      <c r="F980" s="562"/>
    </row>
    <row r="981" spans="1:6" ht="15" hidden="1" customHeight="1" x14ac:dyDescent="0.2">
      <c r="A981" s="345"/>
      <c r="B981" s="134" t="s">
        <v>2181</v>
      </c>
      <c r="C981" s="98"/>
      <c r="D981" s="791" t="s">
        <v>3049</v>
      </c>
      <c r="E981" s="793">
        <f>'Verification Report'!O992</f>
        <v>0</v>
      </c>
      <c r="F981" s="562"/>
    </row>
    <row r="982" spans="1:6" ht="15.75" hidden="1" customHeight="1" x14ac:dyDescent="0.2">
      <c r="A982" s="345"/>
      <c r="B982" s="165"/>
      <c r="C982" s="165"/>
      <c r="D982" s="792"/>
      <c r="E982" s="794">
        <f>'Verification Report'!O993</f>
        <v>0</v>
      </c>
      <c r="F982" s="562"/>
    </row>
    <row r="983" spans="1:6" ht="15" hidden="1" customHeight="1" x14ac:dyDescent="0.2">
      <c r="A983" s="388"/>
      <c r="B983" s="134" t="s">
        <v>2183</v>
      </c>
      <c r="C983" s="98"/>
      <c r="D983" s="791" t="s">
        <v>3050</v>
      </c>
      <c r="E983" s="793">
        <f>'Verification Report'!O994</f>
        <v>0</v>
      </c>
      <c r="F983" s="562"/>
    </row>
    <row r="984" spans="1:6" ht="15.75" hidden="1" customHeight="1" x14ac:dyDescent="0.2">
      <c r="A984" s="388"/>
      <c r="B984" s="98"/>
      <c r="C984" s="98"/>
      <c r="D984" s="791"/>
      <c r="E984" s="793">
        <f>'Verification Report'!O995</f>
        <v>0</v>
      </c>
      <c r="F984" s="562"/>
    </row>
    <row r="985" spans="1:6" ht="16.5" hidden="1" customHeight="1" thickBot="1" x14ac:dyDescent="0.25">
      <c r="A985" s="354"/>
      <c r="B985" s="185"/>
      <c r="C985" s="185"/>
      <c r="D985" s="818"/>
      <c r="E985" s="821">
        <f>'Verification Report'!O996</f>
        <v>0</v>
      </c>
      <c r="F985" s="562"/>
    </row>
    <row r="986" spans="1:6" ht="15.75" hidden="1" customHeight="1" thickTop="1" x14ac:dyDescent="0.2">
      <c r="A986" s="75" t="s">
        <v>3051</v>
      </c>
      <c r="B986" s="132"/>
      <c r="C986" s="132"/>
      <c r="D986" s="819" t="s">
        <v>3052</v>
      </c>
      <c r="E986" s="623"/>
      <c r="F986" s="562"/>
    </row>
    <row r="987" spans="1:6" ht="16.5" hidden="1" customHeight="1" thickBot="1" x14ac:dyDescent="0.25">
      <c r="A987" s="354"/>
      <c r="B987" s="185"/>
      <c r="C987" s="185"/>
      <c r="D987" s="822"/>
      <c r="E987" s="622"/>
      <c r="F987" s="562"/>
    </row>
    <row r="988" spans="1:6" ht="15.75" hidden="1" customHeight="1" thickTop="1" x14ac:dyDescent="0.2">
      <c r="A988" s="107" t="s">
        <v>3053</v>
      </c>
      <c r="B988" s="3"/>
      <c r="C988" s="3"/>
      <c r="D988" s="775" t="s">
        <v>3054</v>
      </c>
      <c r="E988" s="795">
        <f>'Verification Report'!O999</f>
        <v>0</v>
      </c>
      <c r="F988" s="562"/>
    </row>
    <row r="989" spans="1:6" ht="16" hidden="1" thickTop="1" x14ac:dyDescent="0.2">
      <c r="A989" s="345"/>
      <c r="B989" s="3"/>
      <c r="C989" s="3"/>
      <c r="D989" s="775"/>
      <c r="E989" s="795">
        <f>'Verification Report'!O1000</f>
        <v>0</v>
      </c>
      <c r="F989" s="562"/>
    </row>
    <row r="990" spans="1:6" ht="16" hidden="1" thickTop="1" x14ac:dyDescent="0.2">
      <c r="A990" s="345"/>
      <c r="B990" s="3"/>
      <c r="C990" s="3"/>
      <c r="D990" s="775"/>
      <c r="E990" s="795">
        <f>'Verification Report'!O1001</f>
        <v>0</v>
      </c>
      <c r="F990" s="562"/>
    </row>
    <row r="991" spans="1:6" ht="16" hidden="1" thickTop="1" x14ac:dyDescent="0.2">
      <c r="A991" s="345"/>
      <c r="B991" s="3"/>
      <c r="C991" s="3"/>
      <c r="D991" s="775"/>
      <c r="E991" s="795">
        <f>'Verification Report'!O1002</f>
        <v>0</v>
      </c>
      <c r="F991" s="562"/>
    </row>
    <row r="992" spans="1:6" ht="16" hidden="1" thickTop="1" x14ac:dyDescent="0.2">
      <c r="A992" s="345"/>
      <c r="B992" s="3"/>
      <c r="C992" s="3"/>
      <c r="D992" s="775"/>
      <c r="E992" s="795">
        <f>'Verification Report'!O1003</f>
        <v>0</v>
      </c>
      <c r="F992" s="562"/>
    </row>
    <row r="993" spans="1:6" ht="15" hidden="1" customHeight="1" x14ac:dyDescent="0.2">
      <c r="A993" s="345"/>
      <c r="B993" s="3"/>
      <c r="C993" s="3"/>
      <c r="D993" s="851" t="s">
        <v>3056</v>
      </c>
      <c r="E993" s="795">
        <f>'Verification Report'!O1004</f>
        <v>0</v>
      </c>
      <c r="F993" s="562"/>
    </row>
    <row r="994" spans="1:6" ht="16" hidden="1" thickTop="1" x14ac:dyDescent="0.2">
      <c r="A994" s="345"/>
      <c r="B994" s="3"/>
      <c r="C994" s="3"/>
      <c r="D994" s="851"/>
      <c r="E994" s="795">
        <f>'Verification Report'!O1005</f>
        <v>0</v>
      </c>
      <c r="F994" s="562"/>
    </row>
    <row r="995" spans="1:6" ht="15" hidden="1" customHeight="1" x14ac:dyDescent="0.2">
      <c r="A995" s="345"/>
      <c r="B995" s="20" t="s">
        <v>2181</v>
      </c>
      <c r="C995" s="3"/>
      <c r="D995" s="817" t="s">
        <v>3058</v>
      </c>
      <c r="E995" s="609"/>
      <c r="F995" s="562"/>
    </row>
    <row r="996" spans="1:6" ht="15.75" hidden="1" customHeight="1" x14ac:dyDescent="0.2">
      <c r="A996" s="345"/>
      <c r="B996" s="3"/>
      <c r="C996" s="3"/>
      <c r="D996" s="817"/>
      <c r="E996" s="609"/>
      <c r="F996" s="562"/>
    </row>
    <row r="997" spans="1:6" ht="15.75" hidden="1" customHeight="1" x14ac:dyDescent="0.2">
      <c r="A997" s="345"/>
      <c r="B997" s="3"/>
      <c r="C997" s="3"/>
      <c r="D997" s="817"/>
      <c r="E997" s="609"/>
      <c r="F997" s="562"/>
    </row>
    <row r="998" spans="1:6" ht="15.75" hidden="1" customHeight="1" x14ac:dyDescent="0.2">
      <c r="A998" s="345"/>
      <c r="B998" s="3"/>
      <c r="C998" s="3"/>
      <c r="D998" s="817"/>
      <c r="E998" s="609"/>
      <c r="F998" s="562"/>
    </row>
    <row r="999" spans="1:6" ht="15.75" hidden="1" customHeight="1" x14ac:dyDescent="0.2">
      <c r="A999" s="345"/>
      <c r="B999" s="3"/>
      <c r="C999" s="20" t="s">
        <v>2196</v>
      </c>
      <c r="D999" s="632" t="s">
        <v>3059</v>
      </c>
      <c r="E999" s="609"/>
      <c r="F999" s="562"/>
    </row>
    <row r="1000" spans="1:6" ht="15.75" hidden="1" customHeight="1" x14ac:dyDescent="0.2">
      <c r="A1000" s="345"/>
      <c r="B1000" s="3"/>
      <c r="C1000" s="20" t="s">
        <v>2198</v>
      </c>
      <c r="D1000" s="632" t="s">
        <v>3060</v>
      </c>
      <c r="E1000" s="609"/>
      <c r="F1000" s="562"/>
    </row>
    <row r="1001" spans="1:6" ht="15.75" hidden="1" customHeight="1" x14ac:dyDescent="0.2">
      <c r="A1001" s="345"/>
      <c r="B1001" s="3"/>
      <c r="C1001" s="20" t="s">
        <v>2200</v>
      </c>
      <c r="D1001" s="632" t="s">
        <v>3061</v>
      </c>
      <c r="E1001" s="609"/>
      <c r="F1001" s="562"/>
    </row>
    <row r="1002" spans="1:6" ht="15.75" hidden="1" customHeight="1" x14ac:dyDescent="0.2">
      <c r="A1002" s="345"/>
      <c r="B1002" s="3"/>
      <c r="C1002" s="20" t="s">
        <v>2247</v>
      </c>
      <c r="D1002" s="632" t="s">
        <v>3062</v>
      </c>
      <c r="E1002" s="609"/>
      <c r="F1002" s="562"/>
    </row>
    <row r="1003" spans="1:6" ht="15.75" hidden="1" customHeight="1" x14ac:dyDescent="0.2">
      <c r="A1003" s="345"/>
      <c r="B1003" s="3"/>
      <c r="C1003" s="20" t="s">
        <v>2444</v>
      </c>
      <c r="D1003" s="632" t="s">
        <v>3063</v>
      </c>
      <c r="E1003" s="609"/>
      <c r="F1003" s="562"/>
    </row>
    <row r="1004" spans="1:6" s="496" customFormat="1" ht="15.75" hidden="1" customHeight="1" x14ac:dyDescent="0.2">
      <c r="A1004" s="345"/>
      <c r="B1004" s="3"/>
      <c r="C1004" s="134" t="s">
        <v>2540</v>
      </c>
      <c r="D1004" s="598" t="s">
        <v>3064</v>
      </c>
      <c r="E1004" s="609"/>
      <c r="F1004" s="562"/>
    </row>
    <row r="1005" spans="1:6" ht="15.75" hidden="1" customHeight="1" x14ac:dyDescent="0.2">
      <c r="A1005" s="345"/>
      <c r="B1005" s="165"/>
      <c r="C1005" s="159" t="s">
        <v>2542</v>
      </c>
      <c r="D1005" s="599" t="s">
        <v>3065</v>
      </c>
      <c r="E1005" s="609"/>
      <c r="F1005" s="562"/>
    </row>
    <row r="1006" spans="1:6" ht="15.75" hidden="1" customHeight="1" x14ac:dyDescent="0.2">
      <c r="A1006" s="388"/>
      <c r="B1006" s="159" t="s">
        <v>2183</v>
      </c>
      <c r="C1006" s="165"/>
      <c r="D1006" s="599" t="s">
        <v>3067</v>
      </c>
      <c r="E1006" s="607"/>
      <c r="F1006" s="562"/>
    </row>
    <row r="1007" spans="1:6" ht="15.75" hidden="1" customHeight="1" x14ac:dyDescent="0.2">
      <c r="A1007" s="388"/>
      <c r="B1007" s="134" t="s">
        <v>2185</v>
      </c>
      <c r="C1007" s="98"/>
      <c r="D1007" s="598" t="s">
        <v>3068</v>
      </c>
      <c r="E1007" s="607"/>
      <c r="F1007" s="562"/>
    </row>
    <row r="1008" spans="1:6" ht="15" hidden="1" customHeight="1" x14ac:dyDescent="0.2">
      <c r="A1008" s="388"/>
      <c r="B1008" s="98"/>
      <c r="C1008" s="98"/>
      <c r="D1008" s="846" t="s">
        <v>3069</v>
      </c>
      <c r="E1008" s="607"/>
      <c r="F1008" s="562"/>
    </row>
    <row r="1009" spans="1:6" ht="16.5" hidden="1" customHeight="1" thickBot="1" x14ac:dyDescent="0.25">
      <c r="A1009" s="354"/>
      <c r="B1009" s="185"/>
      <c r="C1009" s="185"/>
      <c r="D1009" s="860"/>
      <c r="E1009" s="622"/>
      <c r="F1009" s="562"/>
    </row>
    <row r="1010" spans="1:6" ht="15.75" hidden="1" customHeight="1" thickTop="1" x14ac:dyDescent="0.2">
      <c r="A1010" s="75" t="s">
        <v>3070</v>
      </c>
      <c r="B1010" s="132"/>
      <c r="C1010" s="132"/>
      <c r="D1010" s="819" t="s">
        <v>3071</v>
      </c>
      <c r="E1010" s="823">
        <f>'Verification Report'!O1021</f>
        <v>0</v>
      </c>
      <c r="F1010" s="562"/>
    </row>
    <row r="1011" spans="1:6" ht="15.75" hidden="1" customHeight="1" x14ac:dyDescent="0.2">
      <c r="A1011" s="388"/>
      <c r="B1011" s="98"/>
      <c r="C1011" s="98"/>
      <c r="D1011" s="820"/>
      <c r="E1011" s="793">
        <f>'Verification Report'!O1022</f>
        <v>0</v>
      </c>
      <c r="F1011" s="562"/>
    </row>
    <row r="1012" spans="1:6" ht="15.75" hidden="1" customHeight="1" x14ac:dyDescent="0.2">
      <c r="A1012" s="388"/>
      <c r="B1012" s="98"/>
      <c r="C1012" s="98"/>
      <c r="D1012" s="820"/>
      <c r="E1012" s="793">
        <f>'Verification Report'!O1023</f>
        <v>0</v>
      </c>
      <c r="F1012" s="562"/>
    </row>
    <row r="1013" spans="1:6" ht="15.75" hidden="1" customHeight="1" x14ac:dyDescent="0.2">
      <c r="A1013" s="388"/>
      <c r="B1013" s="98"/>
      <c r="C1013" s="98"/>
      <c r="D1013" s="820"/>
      <c r="E1013" s="793">
        <f>'Verification Report'!O1024</f>
        <v>0</v>
      </c>
      <c r="F1013" s="562"/>
    </row>
    <row r="1014" spans="1:6" ht="15.75" hidden="1" customHeight="1" x14ac:dyDescent="0.2">
      <c r="A1014" s="388"/>
      <c r="B1014" s="98"/>
      <c r="C1014" s="98"/>
      <c r="D1014" s="820"/>
      <c r="E1014" s="793">
        <f>'Verification Report'!O1025</f>
        <v>0</v>
      </c>
      <c r="F1014" s="562"/>
    </row>
    <row r="1015" spans="1:6" ht="16.5" hidden="1" customHeight="1" thickBot="1" x14ac:dyDescent="0.25">
      <c r="A1015" s="354"/>
      <c r="B1015" s="185"/>
      <c r="C1015" s="185"/>
      <c r="D1015" s="822"/>
      <c r="E1015" s="821">
        <f>'Verification Report'!O1026</f>
        <v>0</v>
      </c>
      <c r="F1015" s="562"/>
    </row>
    <row r="1016" spans="1:6" ht="15.75" hidden="1" customHeight="1" thickTop="1" x14ac:dyDescent="0.2">
      <c r="A1016" s="75" t="s">
        <v>3072</v>
      </c>
      <c r="B1016" s="132"/>
      <c r="C1016" s="132"/>
      <c r="D1016" s="819" t="s">
        <v>3073</v>
      </c>
      <c r="E1016" s="623"/>
      <c r="F1016" s="562"/>
    </row>
    <row r="1017" spans="1:6" ht="15.75" hidden="1" customHeight="1" x14ac:dyDescent="0.2">
      <c r="A1017" s="388"/>
      <c r="B1017" s="98"/>
      <c r="C1017" s="98"/>
      <c r="D1017" s="820"/>
      <c r="E1017" s="607"/>
      <c r="F1017" s="562"/>
    </row>
    <row r="1018" spans="1:6" s="497" customFormat="1" ht="15.75" hidden="1" customHeight="1" x14ac:dyDescent="0.2">
      <c r="A1018" s="388"/>
      <c r="B1018" s="98"/>
      <c r="C1018" s="98"/>
      <c r="D1018" s="820"/>
      <c r="E1018" s="607"/>
      <c r="F1018" s="562"/>
    </row>
    <row r="1019" spans="1:6" ht="15.75" hidden="1" customHeight="1" x14ac:dyDescent="0.2">
      <c r="A1019" s="388"/>
      <c r="B1019" s="98"/>
      <c r="C1019" s="98"/>
      <c r="D1019" s="820"/>
      <c r="E1019" s="607"/>
      <c r="F1019" s="562"/>
    </row>
    <row r="1020" spans="1:6" ht="15" hidden="1" customHeight="1" x14ac:dyDescent="0.2">
      <c r="A1020" s="107" t="s">
        <v>3075</v>
      </c>
      <c r="B1020" s="3"/>
      <c r="C1020" s="3"/>
      <c r="D1020" s="775" t="s">
        <v>3076</v>
      </c>
      <c r="E1020" s="795">
        <f>'Verification Report'!O1031</f>
        <v>0</v>
      </c>
      <c r="F1020" s="562"/>
    </row>
    <row r="1021" spans="1:6" ht="16" hidden="1" thickTop="1" x14ac:dyDescent="0.2">
      <c r="A1021" s="345"/>
      <c r="B1021" s="3"/>
      <c r="C1021" s="3"/>
      <c r="D1021" s="775"/>
      <c r="E1021" s="795">
        <f>'Verification Report'!O1032</f>
        <v>0</v>
      </c>
      <c r="F1021" s="562"/>
    </row>
    <row r="1022" spans="1:6" ht="15" hidden="1" customHeight="1" x14ac:dyDescent="0.2">
      <c r="A1022" s="345"/>
      <c r="B1022" s="134" t="s">
        <v>2181</v>
      </c>
      <c r="C1022" s="98"/>
      <c r="D1022" s="791" t="s">
        <v>3077</v>
      </c>
      <c r="E1022" s="609"/>
      <c r="F1022" s="562"/>
    </row>
    <row r="1023" spans="1:6" ht="15.75" hidden="1" customHeight="1" x14ac:dyDescent="0.2">
      <c r="A1023" s="345"/>
      <c r="B1023" s="165"/>
      <c r="C1023" s="165"/>
      <c r="D1023" s="792"/>
      <c r="E1023" s="609"/>
      <c r="F1023" s="562"/>
    </row>
    <row r="1024" spans="1:6" ht="16" hidden="1" thickTop="1" x14ac:dyDescent="0.2">
      <c r="A1024" s="345"/>
      <c r="B1024" s="159" t="s">
        <v>2183</v>
      </c>
      <c r="C1024" s="165"/>
      <c r="D1024" s="599" t="s">
        <v>3078</v>
      </c>
      <c r="E1024" s="609"/>
      <c r="F1024" s="562"/>
    </row>
    <row r="1025" spans="1:6" ht="15.75" hidden="1" customHeight="1" x14ac:dyDescent="0.2">
      <c r="A1025" s="388"/>
      <c r="B1025" s="134" t="s">
        <v>2185</v>
      </c>
      <c r="C1025" s="98"/>
      <c r="D1025" s="598" t="s">
        <v>3079</v>
      </c>
      <c r="E1025" s="607"/>
      <c r="F1025" s="562"/>
    </row>
    <row r="1026" spans="1:6" ht="15.75" hidden="1" customHeight="1" x14ac:dyDescent="0.2">
      <c r="A1026" s="365"/>
      <c r="B1026" s="129"/>
      <c r="C1026" s="129"/>
      <c r="D1026" s="217" t="s">
        <v>3080</v>
      </c>
      <c r="E1026" s="165"/>
      <c r="F1026" s="562"/>
    </row>
    <row r="1027" spans="1:6" ht="15" hidden="1" customHeight="1" x14ac:dyDescent="0.2">
      <c r="A1027" s="350" t="s">
        <v>3082</v>
      </c>
      <c r="B1027" s="146"/>
      <c r="C1027" s="146"/>
      <c r="D1027" s="847" t="s">
        <v>3485</v>
      </c>
      <c r="E1027" s="815">
        <f>'Verification Report'!O1038</f>
        <v>0</v>
      </c>
      <c r="F1027" s="562"/>
    </row>
    <row r="1028" spans="1:6" ht="15.75" hidden="1" customHeight="1" x14ac:dyDescent="0.2">
      <c r="A1028" s="388"/>
      <c r="B1028" s="98"/>
      <c r="C1028" s="98"/>
      <c r="D1028" s="820"/>
      <c r="E1028" s="793">
        <f>'Verification Report'!O1039</f>
        <v>0</v>
      </c>
      <c r="F1028" s="562"/>
    </row>
    <row r="1029" spans="1:6" ht="15" hidden="1" customHeight="1" x14ac:dyDescent="0.2">
      <c r="A1029" s="388"/>
      <c r="B1029" s="98"/>
      <c r="C1029" s="98"/>
      <c r="D1029" s="881" t="s">
        <v>3084</v>
      </c>
      <c r="E1029" s="793">
        <f>'Verification Report'!O1040</f>
        <v>0</v>
      </c>
      <c r="F1029" s="562"/>
    </row>
    <row r="1030" spans="1:6" ht="15.75" hidden="1" customHeight="1" x14ac:dyDescent="0.2">
      <c r="A1030" s="388"/>
      <c r="B1030" s="98"/>
      <c r="C1030" s="98"/>
      <c r="D1030" s="881"/>
      <c r="E1030" s="793">
        <f>'Verification Report'!O1041</f>
        <v>0</v>
      </c>
      <c r="F1030" s="562"/>
    </row>
    <row r="1031" spans="1:6" ht="15.75" hidden="1" customHeight="1" x14ac:dyDescent="0.2">
      <c r="A1031" s="160"/>
      <c r="B1031" s="165"/>
      <c r="C1031" s="165"/>
      <c r="D1031" s="217" t="s">
        <v>3085</v>
      </c>
      <c r="E1031" s="608"/>
      <c r="F1031" s="562"/>
    </row>
    <row r="1032" spans="1:6" ht="15" hidden="1" customHeight="1" x14ac:dyDescent="0.2">
      <c r="A1032" s="70" t="s">
        <v>3087</v>
      </c>
      <c r="B1032" s="98"/>
      <c r="C1032" s="98"/>
      <c r="D1032" s="847" t="s">
        <v>3088</v>
      </c>
      <c r="E1032" s="793">
        <f>'Verification Report'!O1043</f>
        <v>0</v>
      </c>
      <c r="F1032" s="562"/>
    </row>
    <row r="1033" spans="1:6" ht="15.75" hidden="1" customHeight="1" x14ac:dyDescent="0.2">
      <c r="A1033" s="388"/>
      <c r="B1033" s="98"/>
      <c r="C1033" s="98"/>
      <c r="D1033" s="820"/>
      <c r="E1033" s="793">
        <f>'Verification Report'!O1044</f>
        <v>0</v>
      </c>
      <c r="F1033" s="562"/>
    </row>
    <row r="1034" spans="1:6" ht="15.75" hidden="1" customHeight="1" x14ac:dyDescent="0.2">
      <c r="A1034" s="388"/>
      <c r="B1034" s="98"/>
      <c r="C1034" s="98"/>
      <c r="D1034" s="820"/>
      <c r="E1034" s="793">
        <f>'Verification Report'!O1045</f>
        <v>0</v>
      </c>
      <c r="F1034" s="562"/>
    </row>
    <row r="1035" spans="1:6" ht="15.75" hidden="1" customHeight="1" x14ac:dyDescent="0.2">
      <c r="A1035" s="388"/>
      <c r="B1035" s="98"/>
      <c r="C1035" s="98"/>
      <c r="D1035" s="820"/>
      <c r="E1035" s="793">
        <f>'Verification Report'!O1046</f>
        <v>0</v>
      </c>
      <c r="F1035" s="562"/>
    </row>
    <row r="1036" spans="1:6" ht="15.75" hidden="1" customHeight="1" x14ac:dyDescent="0.2">
      <c r="A1036" s="388"/>
      <c r="B1036" s="98"/>
      <c r="C1036" s="98"/>
      <c r="D1036" s="820"/>
      <c r="E1036" s="793">
        <f>'Verification Report'!O1047</f>
        <v>0</v>
      </c>
      <c r="F1036" s="562"/>
    </row>
    <row r="1037" spans="1:6" ht="16.5" hidden="1" customHeight="1" x14ac:dyDescent="0.2">
      <c r="A1037" s="388"/>
      <c r="B1037" s="98"/>
      <c r="C1037" s="98"/>
      <c r="D1037" s="832"/>
      <c r="E1037" s="793">
        <f>'Verification Report'!O1048</f>
        <v>0</v>
      </c>
      <c r="F1037" s="562"/>
    </row>
    <row r="1038" spans="1:6" s="498" customFormat="1" ht="16.5" hidden="1" customHeight="1" x14ac:dyDescent="0.2">
      <c r="A1038" s="350" t="s">
        <v>3090</v>
      </c>
      <c r="B1038" s="146"/>
      <c r="C1038" s="146"/>
      <c r="D1038" s="847" t="s">
        <v>3846</v>
      </c>
      <c r="E1038" s="617"/>
      <c r="F1038" s="562"/>
    </row>
    <row r="1039" spans="1:6" s="498" customFormat="1" ht="16.5" hidden="1" customHeight="1" x14ac:dyDescent="0.2">
      <c r="A1039" s="70"/>
      <c r="B1039" s="98"/>
      <c r="C1039" s="98"/>
      <c r="D1039" s="820"/>
      <c r="E1039" s="607"/>
      <c r="F1039" s="562"/>
    </row>
    <row r="1040" spans="1:6" s="498" customFormat="1" ht="16.5" hidden="1" customHeight="1" thickBot="1" x14ac:dyDescent="0.25">
      <c r="A1040" s="354"/>
      <c r="B1040" s="185"/>
      <c r="C1040" s="185"/>
      <c r="D1040" s="822"/>
      <c r="E1040" s="622"/>
      <c r="F1040" s="562"/>
    </row>
    <row r="1041" spans="1:6" ht="15.75" hidden="1" customHeight="1" thickTop="1" x14ac:dyDescent="0.2">
      <c r="A1041" s="355" t="s">
        <v>3093</v>
      </c>
      <c r="B1041" s="3"/>
      <c r="C1041" s="3"/>
      <c r="D1041" s="775" t="s">
        <v>3094</v>
      </c>
      <c r="E1041" s="795">
        <f>'Verification Report'!O1052</f>
        <v>0</v>
      </c>
      <c r="F1041" s="562"/>
    </row>
    <row r="1042" spans="1:6" ht="16" hidden="1" thickTop="1" x14ac:dyDescent="0.2">
      <c r="A1042" s="345"/>
      <c r="B1042" s="3"/>
      <c r="C1042" s="3"/>
      <c r="D1042" s="775"/>
      <c r="E1042" s="795">
        <f>'Verification Report'!O1053</f>
        <v>0</v>
      </c>
      <c r="F1042" s="562"/>
    </row>
    <row r="1043" spans="1:6" s="497" customFormat="1" ht="16" hidden="1" thickTop="1" x14ac:dyDescent="0.2">
      <c r="A1043" s="345"/>
      <c r="B1043" s="3"/>
      <c r="C1043" s="3"/>
      <c r="D1043" s="775"/>
      <c r="E1043" s="795"/>
      <c r="F1043" s="562"/>
    </row>
    <row r="1044" spans="1:6" ht="16" hidden="1" thickTop="1" x14ac:dyDescent="0.2">
      <c r="A1044" s="345"/>
      <c r="B1044" s="3"/>
      <c r="C1044" s="3"/>
      <c r="D1044" s="775"/>
      <c r="E1044" s="795">
        <f>'Verification Report'!O1055</f>
        <v>0</v>
      </c>
      <c r="F1044" s="562"/>
    </row>
    <row r="1045" spans="1:6" ht="15" hidden="1" customHeight="1" x14ac:dyDescent="0.2">
      <c r="A1045" s="345"/>
      <c r="B1045" s="134" t="s">
        <v>2181</v>
      </c>
      <c r="C1045" s="98"/>
      <c r="D1045" s="791" t="s">
        <v>3095</v>
      </c>
      <c r="E1045" s="609"/>
      <c r="F1045" s="562"/>
    </row>
    <row r="1046" spans="1:6" ht="15.75" hidden="1" customHeight="1" x14ac:dyDescent="0.2">
      <c r="A1046" s="345"/>
      <c r="B1046" s="98"/>
      <c r="C1046" s="98"/>
      <c r="D1046" s="791"/>
      <c r="E1046" s="609"/>
      <c r="F1046" s="562"/>
    </row>
    <row r="1047" spans="1:6" ht="15.75" hidden="1" customHeight="1" x14ac:dyDescent="0.2">
      <c r="A1047" s="345"/>
      <c r="B1047" s="98"/>
      <c r="C1047" s="98"/>
      <c r="D1047" s="791"/>
      <c r="E1047" s="609"/>
      <c r="F1047" s="562"/>
    </row>
    <row r="1048" spans="1:6" ht="15.75" hidden="1" customHeight="1" x14ac:dyDescent="0.2">
      <c r="A1048" s="345"/>
      <c r="B1048" s="98"/>
      <c r="C1048" s="98"/>
      <c r="D1048" s="791"/>
      <c r="E1048" s="609"/>
      <c r="F1048" s="562"/>
    </row>
    <row r="1049" spans="1:6" ht="15.75" hidden="1" customHeight="1" x14ac:dyDescent="0.2">
      <c r="A1049" s="345"/>
      <c r="B1049" s="165"/>
      <c r="C1049" s="165"/>
      <c r="D1049" s="792"/>
      <c r="E1049" s="609"/>
      <c r="F1049" s="562"/>
    </row>
    <row r="1050" spans="1:6" ht="16" hidden="1" thickTop="1" x14ac:dyDescent="0.2">
      <c r="A1050" s="345"/>
      <c r="B1050" s="159" t="s">
        <v>2183</v>
      </c>
      <c r="C1050" s="165"/>
      <c r="D1050" s="599" t="s">
        <v>3096</v>
      </c>
      <c r="E1050" s="609"/>
      <c r="F1050" s="562"/>
    </row>
    <row r="1051" spans="1:6" ht="15" hidden="1" customHeight="1" x14ac:dyDescent="0.2">
      <c r="A1051" s="388"/>
      <c r="B1051" s="134" t="s">
        <v>2185</v>
      </c>
      <c r="C1051" s="98"/>
      <c r="D1051" s="791" t="s">
        <v>3097</v>
      </c>
      <c r="E1051" s="607"/>
      <c r="F1051" s="562"/>
    </row>
    <row r="1052" spans="1:6" ht="15.75" hidden="1" customHeight="1" x14ac:dyDescent="0.2">
      <c r="A1052" s="388"/>
      <c r="B1052" s="98"/>
      <c r="C1052" s="98"/>
      <c r="D1052" s="791"/>
      <c r="E1052" s="607"/>
      <c r="F1052" s="562"/>
    </row>
    <row r="1053" spans="1:6" ht="15.75" hidden="1" customHeight="1" x14ac:dyDescent="0.2">
      <c r="A1053" s="388"/>
      <c r="B1053" s="98"/>
      <c r="C1053" s="98"/>
      <c r="D1053" s="791"/>
      <c r="E1053" s="607"/>
      <c r="F1053" s="562"/>
    </row>
    <row r="1054" spans="1:6" ht="16.5" hidden="1" customHeight="1" thickBot="1" x14ac:dyDescent="0.25">
      <c r="A1054" s="354"/>
      <c r="B1054" s="185"/>
      <c r="C1054" s="185"/>
      <c r="D1054" s="217" t="s">
        <v>3098</v>
      </c>
      <c r="E1054" s="622"/>
      <c r="F1054" s="562"/>
    </row>
    <row r="1055" spans="1:6" ht="15.75" hidden="1" customHeight="1" thickTop="1" x14ac:dyDescent="0.2">
      <c r="A1055" s="75" t="s">
        <v>3099</v>
      </c>
      <c r="B1055" s="132"/>
      <c r="C1055" s="132"/>
      <c r="D1055" s="819" t="s">
        <v>3100</v>
      </c>
      <c r="E1055" s="823">
        <f>'Verification Report'!O1066</f>
        <v>0</v>
      </c>
      <c r="F1055" s="562"/>
    </row>
    <row r="1056" spans="1:6" ht="15.75" hidden="1" customHeight="1" x14ac:dyDescent="0.2">
      <c r="A1056" s="388"/>
      <c r="B1056" s="98"/>
      <c r="C1056" s="98"/>
      <c r="D1056" s="820"/>
      <c r="E1056" s="793">
        <f>'Verification Report'!O1067</f>
        <v>0</v>
      </c>
      <c r="F1056" s="562"/>
    </row>
    <row r="1057" spans="1:6" ht="15.75" hidden="1" customHeight="1" x14ac:dyDescent="0.2">
      <c r="A1057" s="388"/>
      <c r="B1057" s="98"/>
      <c r="C1057" s="98"/>
      <c r="D1057" s="820"/>
      <c r="E1057" s="793">
        <f>'Verification Report'!O1068</f>
        <v>0</v>
      </c>
      <c r="F1057" s="562"/>
    </row>
    <row r="1058" spans="1:6" ht="15.75" hidden="1" customHeight="1" x14ac:dyDescent="0.2">
      <c r="A1058" s="388"/>
      <c r="B1058" s="98"/>
      <c r="C1058" s="98"/>
      <c r="D1058" s="820"/>
      <c r="E1058" s="793">
        <f>'Verification Report'!O1069</f>
        <v>0</v>
      </c>
      <c r="F1058" s="562"/>
    </row>
    <row r="1059" spans="1:6" ht="16.5" hidden="1" customHeight="1" thickBot="1" x14ac:dyDescent="0.25">
      <c r="A1059" s="354"/>
      <c r="B1059" s="185"/>
      <c r="C1059" s="185"/>
      <c r="D1059" s="822"/>
      <c r="E1059" s="821">
        <f>'Verification Report'!O1070</f>
        <v>0</v>
      </c>
      <c r="F1059" s="562"/>
    </row>
    <row r="1060" spans="1:6" ht="15.75" hidden="1" customHeight="1" thickTop="1" x14ac:dyDescent="0.2">
      <c r="A1060" s="75" t="s">
        <v>3101</v>
      </c>
      <c r="B1060" s="132"/>
      <c r="C1060" s="132"/>
      <c r="D1060" s="819" t="s">
        <v>3102</v>
      </c>
      <c r="E1060" s="623"/>
      <c r="F1060" s="562"/>
    </row>
    <row r="1061" spans="1:6" ht="16.5" hidden="1" customHeight="1" thickBot="1" x14ac:dyDescent="0.25">
      <c r="A1061" s="354"/>
      <c r="B1061" s="185"/>
      <c r="C1061" s="185"/>
      <c r="D1061" s="822"/>
      <c r="E1061" s="622"/>
      <c r="F1061" s="562"/>
    </row>
    <row r="1062" spans="1:6" ht="15.75" hidden="1" customHeight="1" thickTop="1" x14ac:dyDescent="0.2">
      <c r="A1062" s="75" t="s">
        <v>3103</v>
      </c>
      <c r="B1062" s="132"/>
      <c r="C1062" s="132"/>
      <c r="D1062" s="819" t="s">
        <v>3104</v>
      </c>
      <c r="E1062" s="823">
        <f ca="1">'Verification Report'!O1073</f>
        <v>0</v>
      </c>
      <c r="F1062" s="562"/>
    </row>
    <row r="1063" spans="1:6" ht="15.75" hidden="1" customHeight="1" x14ac:dyDescent="0.2">
      <c r="A1063" s="388"/>
      <c r="B1063" s="98"/>
      <c r="C1063" s="98"/>
      <c r="D1063" s="820"/>
      <c r="E1063" s="793">
        <f>'Verification Report'!O1074</f>
        <v>0</v>
      </c>
      <c r="F1063" s="562"/>
    </row>
    <row r="1064" spans="1:6" ht="26.25" hidden="1" customHeight="1" x14ac:dyDescent="0.2">
      <c r="A1064" s="388"/>
      <c r="B1064" s="159" t="s">
        <v>2181</v>
      </c>
      <c r="C1064" s="165"/>
      <c r="D1064" s="599" t="s">
        <v>3105</v>
      </c>
      <c r="E1064" s="607"/>
      <c r="F1064" s="562"/>
    </row>
    <row r="1065" spans="1:6" ht="27" hidden="1" customHeight="1" thickBot="1" x14ac:dyDescent="0.25">
      <c r="A1065" s="354"/>
      <c r="B1065" s="143" t="s">
        <v>2183</v>
      </c>
      <c r="C1065" s="185"/>
      <c r="D1065" s="626" t="s">
        <v>3106</v>
      </c>
      <c r="E1065" s="622"/>
      <c r="F1065" s="562"/>
    </row>
    <row r="1066" spans="1:6" ht="15.75" hidden="1" customHeight="1" thickTop="1" x14ac:dyDescent="0.2">
      <c r="A1066" s="75" t="s">
        <v>3107</v>
      </c>
      <c r="B1066" s="3"/>
      <c r="C1066" s="3"/>
      <c r="D1066" s="775" t="s">
        <v>3108</v>
      </c>
      <c r="E1066" s="609"/>
      <c r="F1066" s="562"/>
    </row>
    <row r="1067" spans="1:6" ht="16" hidden="1" thickTop="1" x14ac:dyDescent="0.2">
      <c r="A1067" s="388"/>
      <c r="B1067" s="3"/>
      <c r="C1067" s="3"/>
      <c r="D1067" s="775"/>
      <c r="E1067" s="609"/>
      <c r="F1067" s="562"/>
    </row>
    <row r="1068" spans="1:6" ht="15" hidden="1" customHeight="1" x14ac:dyDescent="0.2">
      <c r="A1068" s="345"/>
      <c r="B1068" s="134" t="s">
        <v>2181</v>
      </c>
      <c r="C1068" s="98"/>
      <c r="D1068" s="791" t="s">
        <v>3109</v>
      </c>
      <c r="E1068" s="793">
        <f ca="1">'Verification Report'!O1079</f>
        <v>0</v>
      </c>
      <c r="F1068" s="562"/>
    </row>
    <row r="1069" spans="1:6" ht="15.75" hidden="1" customHeight="1" x14ac:dyDescent="0.2">
      <c r="A1069" s="345"/>
      <c r="B1069" s="165"/>
      <c r="C1069" s="165"/>
      <c r="D1069" s="792"/>
      <c r="E1069" s="794">
        <f>'Verification Report'!O1080</f>
        <v>0</v>
      </c>
      <c r="F1069" s="562"/>
    </row>
    <row r="1070" spans="1:6" ht="15" hidden="1" customHeight="1" x14ac:dyDescent="0.2">
      <c r="A1070" s="345"/>
      <c r="B1070" s="20" t="s">
        <v>2183</v>
      </c>
      <c r="C1070" s="3"/>
      <c r="D1070" s="817" t="s">
        <v>3110</v>
      </c>
      <c r="E1070" s="795">
        <f ca="1">'Verification Report'!O1081</f>
        <v>0</v>
      </c>
      <c r="F1070" s="562"/>
    </row>
    <row r="1071" spans="1:6" ht="15.75" hidden="1" customHeight="1" thickBot="1" x14ac:dyDescent="0.25">
      <c r="A1071" s="345"/>
      <c r="B1071" s="3"/>
      <c r="C1071" s="3"/>
      <c r="D1071" s="817"/>
      <c r="E1071" s="795">
        <f>'Verification Report'!O1082</f>
        <v>0</v>
      </c>
      <c r="F1071" s="562"/>
    </row>
    <row r="1072" spans="1:6" s="497" customFormat="1" ht="15.75" hidden="1" customHeight="1" thickTop="1" x14ac:dyDescent="0.2">
      <c r="A1072" s="75" t="s">
        <v>3112</v>
      </c>
      <c r="B1072" s="132"/>
      <c r="C1072" s="132"/>
      <c r="D1072" s="819" t="s">
        <v>3113</v>
      </c>
      <c r="E1072" s="623"/>
      <c r="F1072" s="562"/>
    </row>
    <row r="1073" spans="1:6" s="497" customFormat="1" ht="15.75" hidden="1" customHeight="1" thickBot="1" x14ac:dyDescent="0.25">
      <c r="A1073" s="354"/>
      <c r="B1073" s="185"/>
      <c r="C1073" s="185"/>
      <c r="D1073" s="822"/>
      <c r="E1073" s="622"/>
      <c r="F1073" s="562"/>
    </row>
    <row r="1074" spans="1:6" ht="20" hidden="1" thickTop="1" x14ac:dyDescent="0.25">
      <c r="A1074" s="45" t="s">
        <v>3114</v>
      </c>
      <c r="B1074" s="16"/>
      <c r="C1074" s="16"/>
      <c r="D1074" s="54"/>
      <c r="E1074" s="264"/>
      <c r="F1074" s="562"/>
    </row>
    <row r="1075" spans="1:6" ht="17" hidden="1" thickTop="1" thickBot="1" x14ac:dyDescent="0.25">
      <c r="A1075" s="356" t="s">
        <v>3116</v>
      </c>
      <c r="B1075" s="185"/>
      <c r="C1075" s="185"/>
      <c r="D1075" s="647" t="s">
        <v>3117</v>
      </c>
      <c r="E1075" s="622"/>
      <c r="F1075" s="562"/>
    </row>
    <row r="1076" spans="1:6" ht="16" hidden="1" thickTop="1" x14ac:dyDescent="0.2">
      <c r="A1076" s="107" t="s">
        <v>3118</v>
      </c>
      <c r="B1076" s="3"/>
      <c r="C1076" s="3"/>
      <c r="D1076" s="654" t="s">
        <v>3119</v>
      </c>
      <c r="E1076" s="609"/>
      <c r="F1076" s="562"/>
    </row>
    <row r="1077" spans="1:6" ht="16" hidden="1" thickTop="1" x14ac:dyDescent="0.2">
      <c r="A1077" s="107" t="s">
        <v>3120</v>
      </c>
      <c r="B1077" s="3"/>
      <c r="C1077" s="3"/>
      <c r="D1077" s="654" t="s">
        <v>3121</v>
      </c>
      <c r="E1077" s="609"/>
      <c r="F1077" s="562"/>
    </row>
    <row r="1078" spans="1:6" ht="15" hidden="1" customHeight="1" x14ac:dyDescent="0.2">
      <c r="A1078" s="345"/>
      <c r="B1078" s="20" t="s">
        <v>2181</v>
      </c>
      <c r="C1078" s="3"/>
      <c r="D1078" s="817" t="s">
        <v>3122</v>
      </c>
      <c r="E1078" s="609"/>
      <c r="F1078" s="562"/>
    </row>
    <row r="1079" spans="1:6" ht="15.75" hidden="1" customHeight="1" x14ac:dyDescent="0.2">
      <c r="A1079" s="345"/>
      <c r="B1079" s="3"/>
      <c r="C1079" s="3"/>
      <c r="D1079" s="817"/>
      <c r="E1079" s="609"/>
      <c r="F1079" s="562"/>
    </row>
    <row r="1080" spans="1:6" ht="15" hidden="1" customHeight="1" x14ac:dyDescent="0.2">
      <c r="A1080" s="345"/>
      <c r="B1080" s="134"/>
      <c r="C1080" s="134" t="s">
        <v>2196</v>
      </c>
      <c r="D1080" s="791" t="s">
        <v>3123</v>
      </c>
      <c r="E1080" s="793">
        <f>'Verification Report'!O1091</f>
        <v>0</v>
      </c>
      <c r="F1080" s="562"/>
    </row>
    <row r="1081" spans="1:6" ht="15.75" hidden="1" customHeight="1" x14ac:dyDescent="0.2">
      <c r="A1081" s="345"/>
      <c r="B1081" s="159"/>
      <c r="C1081" s="165"/>
      <c r="D1081" s="792"/>
      <c r="E1081" s="794">
        <f>'Verification Report'!O1092</f>
        <v>0</v>
      </c>
      <c r="F1081" s="562"/>
    </row>
    <row r="1082" spans="1:6" ht="15" hidden="1" customHeight="1" x14ac:dyDescent="0.2">
      <c r="A1082" s="345"/>
      <c r="B1082" s="134" t="s">
        <v>2183</v>
      </c>
      <c r="C1082" s="98"/>
      <c r="D1082" s="791" t="s">
        <v>3125</v>
      </c>
      <c r="E1082" s="609"/>
      <c r="F1082" s="562"/>
    </row>
    <row r="1083" spans="1:6" ht="15.75" hidden="1" customHeight="1" x14ac:dyDescent="0.2">
      <c r="A1083" s="345"/>
      <c r="B1083" s="159"/>
      <c r="C1083" s="165"/>
      <c r="D1083" s="792"/>
      <c r="E1083" s="608"/>
      <c r="F1083" s="562"/>
    </row>
    <row r="1084" spans="1:6" ht="15" hidden="1" customHeight="1" x14ac:dyDescent="0.2">
      <c r="A1084" s="388"/>
      <c r="B1084" s="134" t="s">
        <v>2185</v>
      </c>
      <c r="C1084" s="98"/>
      <c r="D1084" s="791" t="s">
        <v>3127</v>
      </c>
      <c r="E1084" s="793">
        <f>'Verification Report'!O1095</f>
        <v>0</v>
      </c>
      <c r="F1084" s="562"/>
    </row>
    <row r="1085" spans="1:6" ht="15.75" hidden="1" customHeight="1" x14ac:dyDescent="0.2">
      <c r="A1085" s="388"/>
      <c r="B1085" s="134"/>
      <c r="C1085" s="98"/>
      <c r="D1085" s="791"/>
      <c r="E1085" s="793">
        <f>'Verification Report'!O1096</f>
        <v>0</v>
      </c>
      <c r="F1085" s="562"/>
    </row>
    <row r="1086" spans="1:6" ht="15.75" hidden="1" customHeight="1" x14ac:dyDescent="0.2">
      <c r="A1086" s="160"/>
      <c r="B1086" s="165"/>
      <c r="C1086" s="165"/>
      <c r="D1086" s="792"/>
      <c r="E1086" s="794">
        <f>'Verification Report'!O1097</f>
        <v>0</v>
      </c>
      <c r="F1086" s="562"/>
    </row>
    <row r="1087" spans="1:6" ht="15" hidden="1" customHeight="1" x14ac:dyDescent="0.2">
      <c r="A1087" s="350" t="s">
        <v>3129</v>
      </c>
      <c r="B1087" s="146"/>
      <c r="C1087" s="146"/>
      <c r="D1087" s="847" t="s">
        <v>3130</v>
      </c>
      <c r="E1087" s="815">
        <f>'Verification Report'!O1098</f>
        <v>0</v>
      </c>
      <c r="F1087" s="562"/>
    </row>
    <row r="1088" spans="1:6" ht="15.75" hidden="1" customHeight="1" x14ac:dyDescent="0.2">
      <c r="A1088" s="388"/>
      <c r="B1088" s="98"/>
      <c r="C1088" s="98"/>
      <c r="D1088" s="820"/>
      <c r="E1088" s="793">
        <f>'Verification Report'!O1099</f>
        <v>0</v>
      </c>
      <c r="F1088" s="562"/>
    </row>
    <row r="1089" spans="1:6" ht="15.75" hidden="1" customHeight="1" x14ac:dyDescent="0.2">
      <c r="A1089" s="388"/>
      <c r="B1089" s="159" t="s">
        <v>2181</v>
      </c>
      <c r="C1089" s="165"/>
      <c r="D1089" s="599" t="s">
        <v>3133</v>
      </c>
      <c r="E1089" s="607"/>
      <c r="F1089" s="562"/>
    </row>
    <row r="1090" spans="1:6" ht="15.75" hidden="1" customHeight="1" x14ac:dyDescent="0.2">
      <c r="A1090" s="160"/>
      <c r="B1090" s="159" t="s">
        <v>2183</v>
      </c>
      <c r="C1090" s="165"/>
      <c r="D1090" s="599" t="s">
        <v>3135</v>
      </c>
      <c r="E1090" s="608"/>
      <c r="F1090" s="562"/>
    </row>
    <row r="1091" spans="1:6" ht="15" hidden="1" customHeight="1" x14ac:dyDescent="0.2">
      <c r="A1091" s="350" t="s">
        <v>3137</v>
      </c>
      <c r="B1091" s="146"/>
      <c r="C1091" s="146"/>
      <c r="D1091" s="847" t="s">
        <v>3138</v>
      </c>
      <c r="E1091" s="815">
        <f>'Verification Report'!O1102</f>
        <v>0</v>
      </c>
      <c r="F1091" s="562"/>
    </row>
    <row r="1092" spans="1:6" ht="15.75" hidden="1" customHeight="1" x14ac:dyDescent="0.2">
      <c r="A1092" s="388"/>
      <c r="B1092" s="98"/>
      <c r="C1092" s="98"/>
      <c r="D1092" s="820"/>
      <c r="E1092" s="793">
        <f>'Verification Report'!O1103</f>
        <v>0</v>
      </c>
      <c r="F1092" s="562"/>
    </row>
    <row r="1093" spans="1:6" ht="15.75" hidden="1" customHeight="1" x14ac:dyDescent="0.2">
      <c r="A1093" s="388"/>
      <c r="B1093" s="98"/>
      <c r="C1093" s="134" t="s">
        <v>2196</v>
      </c>
      <c r="D1093" s="598" t="s">
        <v>3139</v>
      </c>
      <c r="E1093" s="607"/>
      <c r="F1093" s="562"/>
    </row>
    <row r="1094" spans="1:6" ht="26.25" hidden="1" customHeight="1" x14ac:dyDescent="0.2">
      <c r="A1094" s="160"/>
      <c r="B1094" s="165"/>
      <c r="C1094" s="159" t="s">
        <v>2198</v>
      </c>
      <c r="D1094" s="599" t="s">
        <v>3140</v>
      </c>
      <c r="E1094" s="608"/>
      <c r="F1094" s="562"/>
    </row>
    <row r="1095" spans="1:6" ht="15.75" hidden="1" customHeight="1" x14ac:dyDescent="0.2">
      <c r="A1095" s="350" t="s">
        <v>3142</v>
      </c>
      <c r="B1095" s="146"/>
      <c r="C1095" s="146"/>
      <c r="D1095" s="639" t="s">
        <v>3143</v>
      </c>
      <c r="E1095" s="617">
        <f>'Verification Report'!O1106</f>
        <v>0</v>
      </c>
      <c r="F1095" s="562"/>
    </row>
    <row r="1096" spans="1:6" ht="15.75" hidden="1" customHeight="1" x14ac:dyDescent="0.2">
      <c r="A1096" s="388"/>
      <c r="B1096" s="134" t="s">
        <v>2181</v>
      </c>
      <c r="C1096" s="98"/>
      <c r="D1096" s="598" t="s">
        <v>3144</v>
      </c>
      <c r="E1096" s="607"/>
      <c r="F1096" s="562"/>
    </row>
    <row r="1097" spans="1:6" ht="15.75" hidden="1" customHeight="1" x14ac:dyDescent="0.2">
      <c r="A1097" s="388"/>
      <c r="B1097" s="159"/>
      <c r="C1097" s="165"/>
      <c r="D1097" s="637" t="s">
        <v>3146</v>
      </c>
      <c r="E1097" s="607"/>
      <c r="F1097" s="562"/>
    </row>
    <row r="1098" spans="1:6" ht="15.75" hidden="1" customHeight="1" x14ac:dyDescent="0.2">
      <c r="A1098" s="388"/>
      <c r="B1098" s="134" t="s">
        <v>2183</v>
      </c>
      <c r="C1098" s="98"/>
      <c r="D1098" s="598" t="s">
        <v>3147</v>
      </c>
      <c r="E1098" s="607"/>
      <c r="F1098" s="562"/>
    </row>
    <row r="1099" spans="1:6" ht="15.75" hidden="1" customHeight="1" x14ac:dyDescent="0.2">
      <c r="A1099" s="160"/>
      <c r="B1099" s="165"/>
      <c r="C1099" s="165"/>
      <c r="D1099" s="637" t="s">
        <v>3146</v>
      </c>
      <c r="E1099" s="608"/>
      <c r="F1099" s="562"/>
    </row>
    <row r="1100" spans="1:6" ht="15" hidden="1" customHeight="1" x14ac:dyDescent="0.2">
      <c r="A1100" s="350" t="s">
        <v>3149</v>
      </c>
      <c r="B1100" s="3"/>
      <c r="C1100" s="3"/>
      <c r="D1100" s="775" t="s">
        <v>3150</v>
      </c>
      <c r="E1100" s="795">
        <f>'Verification Report'!O1111</f>
        <v>0</v>
      </c>
      <c r="F1100" s="562"/>
    </row>
    <row r="1101" spans="1:6" ht="16" hidden="1" thickTop="1" x14ac:dyDescent="0.2">
      <c r="A1101" s="388"/>
      <c r="B1101" s="3"/>
      <c r="C1101" s="3"/>
      <c r="D1101" s="775"/>
      <c r="E1101" s="795">
        <f>'Verification Report'!O1112</f>
        <v>0</v>
      </c>
      <c r="F1101" s="562"/>
    </row>
    <row r="1102" spans="1:6" ht="15" hidden="1" customHeight="1" x14ac:dyDescent="0.2">
      <c r="A1102" s="345"/>
      <c r="B1102" s="134" t="s">
        <v>2181</v>
      </c>
      <c r="C1102" s="98"/>
      <c r="D1102" s="791" t="s">
        <v>3151</v>
      </c>
      <c r="E1102" s="609"/>
      <c r="F1102" s="562"/>
    </row>
    <row r="1103" spans="1:6" ht="15.75" hidden="1" customHeight="1" x14ac:dyDescent="0.2">
      <c r="A1103" s="345"/>
      <c r="B1103" s="159"/>
      <c r="C1103" s="165"/>
      <c r="D1103" s="792"/>
      <c r="E1103" s="609"/>
      <c r="F1103" s="562"/>
    </row>
    <row r="1104" spans="1:6" ht="15" hidden="1" customHeight="1" x14ac:dyDescent="0.2">
      <c r="A1104" s="345"/>
      <c r="B1104" s="134" t="s">
        <v>2183</v>
      </c>
      <c r="C1104" s="98"/>
      <c r="D1104" s="791" t="s">
        <v>3152</v>
      </c>
      <c r="E1104" s="609"/>
      <c r="F1104" s="562"/>
    </row>
    <row r="1105" spans="1:6" ht="15.75" hidden="1" customHeight="1" x14ac:dyDescent="0.2">
      <c r="A1105" s="345"/>
      <c r="B1105" s="165"/>
      <c r="C1105" s="165"/>
      <c r="D1105" s="792"/>
      <c r="E1105" s="609"/>
      <c r="F1105" s="562"/>
    </row>
    <row r="1106" spans="1:6" ht="15" hidden="1" customHeight="1" x14ac:dyDescent="0.2">
      <c r="A1106" s="388"/>
      <c r="B1106" s="134" t="s">
        <v>2185</v>
      </c>
      <c r="C1106" s="98"/>
      <c r="D1106" s="791" t="s">
        <v>3153</v>
      </c>
      <c r="E1106" s="607"/>
      <c r="F1106" s="562"/>
    </row>
    <row r="1107" spans="1:6" ht="15.75" hidden="1" customHeight="1" x14ac:dyDescent="0.2">
      <c r="A1107" s="388"/>
      <c r="B1107" s="98"/>
      <c r="C1107" s="98"/>
      <c r="D1107" s="791"/>
      <c r="E1107" s="607"/>
      <c r="F1107" s="562"/>
    </row>
    <row r="1108" spans="1:6" ht="16.5" hidden="1" customHeight="1" thickBot="1" x14ac:dyDescent="0.25">
      <c r="A1108" s="354"/>
      <c r="B1108" s="185"/>
      <c r="C1108" s="185"/>
      <c r="D1108" s="818"/>
      <c r="E1108" s="622"/>
      <c r="F1108" s="562"/>
    </row>
    <row r="1109" spans="1:6" ht="16" hidden="1" thickTop="1" x14ac:dyDescent="0.2">
      <c r="A1109" s="75" t="s">
        <v>3154</v>
      </c>
      <c r="B1109" s="132"/>
      <c r="C1109" s="132"/>
      <c r="D1109" s="646" t="s">
        <v>3155</v>
      </c>
      <c r="E1109" s="623"/>
      <c r="F1109" s="562"/>
    </row>
    <row r="1110" spans="1:6" ht="15" hidden="1" customHeight="1" x14ac:dyDescent="0.2">
      <c r="A1110" s="70" t="s">
        <v>3157</v>
      </c>
      <c r="B1110" s="98"/>
      <c r="C1110" s="98"/>
      <c r="D1110" s="820" t="s">
        <v>3158</v>
      </c>
      <c r="E1110" s="793">
        <f ca="1">'Verification Report'!O1121</f>
        <v>0</v>
      </c>
      <c r="F1110" s="562"/>
    </row>
    <row r="1111" spans="1:6" ht="15.75" hidden="1" customHeight="1" x14ac:dyDescent="0.2">
      <c r="A1111" s="388"/>
      <c r="B1111" s="98"/>
      <c r="C1111" s="98"/>
      <c r="D1111" s="820"/>
      <c r="E1111" s="793">
        <f>'Verification Report'!O1122</f>
        <v>0</v>
      </c>
      <c r="F1111" s="562"/>
    </row>
    <row r="1112" spans="1:6" s="496" customFormat="1" ht="15.75" hidden="1" customHeight="1" x14ac:dyDescent="0.2">
      <c r="A1112" s="388"/>
      <c r="B1112" s="98"/>
      <c r="C1112" s="98"/>
      <c r="D1112" s="820"/>
      <c r="E1112" s="793"/>
      <c r="F1112" s="562"/>
    </row>
    <row r="1113" spans="1:6" ht="15.75" hidden="1" customHeight="1" x14ac:dyDescent="0.2">
      <c r="A1113" s="388"/>
      <c r="B1113" s="98"/>
      <c r="C1113" s="98"/>
      <c r="D1113" s="820"/>
      <c r="E1113" s="793">
        <f>'Verification Report'!O1124</f>
        <v>0</v>
      </c>
      <c r="F1113" s="562"/>
    </row>
    <row r="1114" spans="1:6" ht="15" hidden="1" customHeight="1" x14ac:dyDescent="0.2">
      <c r="A1114" s="388"/>
      <c r="B1114" s="134" t="s">
        <v>2181</v>
      </c>
      <c r="C1114" s="98"/>
      <c r="D1114" s="776" t="s">
        <v>3159</v>
      </c>
      <c r="E1114" s="607"/>
      <c r="F1114" s="562"/>
    </row>
    <row r="1115" spans="1:6" ht="15.75" hidden="1" customHeight="1" x14ac:dyDescent="0.2">
      <c r="A1115" s="388"/>
      <c r="B1115" s="159"/>
      <c r="C1115" s="165"/>
      <c r="D1115" s="777"/>
      <c r="E1115" s="607"/>
      <c r="F1115" s="562"/>
    </row>
    <row r="1116" spans="1:6" ht="15" hidden="1" customHeight="1" x14ac:dyDescent="0.2">
      <c r="A1116" s="388"/>
      <c r="B1116" s="134" t="s">
        <v>2183</v>
      </c>
      <c r="C1116" s="98"/>
      <c r="D1116" s="791" t="s">
        <v>3160</v>
      </c>
      <c r="E1116" s="607"/>
      <c r="F1116" s="562"/>
    </row>
    <row r="1117" spans="1:6" ht="15.75" hidden="1" customHeight="1" x14ac:dyDescent="0.2">
      <c r="A1117" s="388"/>
      <c r="B1117" s="165"/>
      <c r="C1117" s="165"/>
      <c r="D1117" s="792"/>
      <c r="E1117" s="607"/>
      <c r="F1117" s="562"/>
    </row>
    <row r="1118" spans="1:6" ht="15.75" hidden="1" customHeight="1" x14ac:dyDescent="0.2">
      <c r="A1118" s="388"/>
      <c r="B1118" s="159" t="s">
        <v>2185</v>
      </c>
      <c r="C1118" s="165"/>
      <c r="D1118" s="599" t="s">
        <v>3161</v>
      </c>
      <c r="E1118" s="607"/>
      <c r="F1118" s="562"/>
    </row>
    <row r="1119" spans="1:6" ht="15.75" hidden="1" customHeight="1" x14ac:dyDescent="0.2">
      <c r="A1119" s="160"/>
      <c r="B1119" s="159" t="s">
        <v>2192</v>
      </c>
      <c r="C1119" s="165"/>
      <c r="D1119" s="599" t="s">
        <v>3162</v>
      </c>
      <c r="E1119" s="608"/>
      <c r="F1119" s="562"/>
    </row>
    <row r="1120" spans="1:6" ht="15" hidden="1" customHeight="1" x14ac:dyDescent="0.2">
      <c r="A1120" s="350" t="s">
        <v>3164</v>
      </c>
      <c r="B1120" s="146"/>
      <c r="C1120" s="146"/>
      <c r="D1120" s="847" t="s">
        <v>3165</v>
      </c>
      <c r="E1120" s="815">
        <f ca="1">'Verification Report'!O1131</f>
        <v>0</v>
      </c>
      <c r="F1120" s="562"/>
    </row>
    <row r="1121" spans="1:6" ht="15.75" hidden="1" customHeight="1" x14ac:dyDescent="0.2">
      <c r="A1121" s="160"/>
      <c r="B1121" s="165"/>
      <c r="C1121" s="165"/>
      <c r="D1121" s="832"/>
      <c r="E1121" s="794">
        <f>'Verification Report'!O1132</f>
        <v>0</v>
      </c>
      <c r="F1121" s="562"/>
    </row>
    <row r="1122" spans="1:6" ht="15" hidden="1" customHeight="1" x14ac:dyDescent="0.2">
      <c r="A1122" s="350" t="s">
        <v>3167</v>
      </c>
      <c r="B1122" s="146"/>
      <c r="C1122" s="146"/>
      <c r="D1122" s="847" t="s">
        <v>3168</v>
      </c>
      <c r="E1122" s="815">
        <f>'Verification Report'!O1133</f>
        <v>0</v>
      </c>
      <c r="F1122" s="562"/>
    </row>
    <row r="1123" spans="1:6" ht="15.75" hidden="1" customHeight="1" x14ac:dyDescent="0.2">
      <c r="A1123" s="388"/>
      <c r="B1123" s="98"/>
      <c r="C1123" s="98"/>
      <c r="D1123" s="820"/>
      <c r="E1123" s="793">
        <f>'Verification Report'!O1134</f>
        <v>0</v>
      </c>
      <c r="F1123" s="562"/>
    </row>
    <row r="1124" spans="1:6" ht="15.75" hidden="1" customHeight="1" x14ac:dyDescent="0.2">
      <c r="A1124" s="160"/>
      <c r="B1124" s="165"/>
      <c r="C1124" s="165"/>
      <c r="D1124" s="832"/>
      <c r="E1124" s="794">
        <f>'Verification Report'!O1135</f>
        <v>0</v>
      </c>
      <c r="F1124" s="562"/>
    </row>
    <row r="1125" spans="1:6" ht="15" hidden="1" customHeight="1" x14ac:dyDescent="0.2">
      <c r="A1125" s="70" t="s">
        <v>3170</v>
      </c>
      <c r="B1125" s="98"/>
      <c r="C1125" s="98"/>
      <c r="D1125" s="820" t="s">
        <v>3171</v>
      </c>
      <c r="E1125" s="793">
        <f>'Verification Report'!O1136</f>
        <v>0</v>
      </c>
      <c r="F1125" s="562"/>
    </row>
    <row r="1126" spans="1:6" ht="15.75" hidden="1" customHeight="1" x14ac:dyDescent="0.2">
      <c r="A1126" s="388"/>
      <c r="B1126" s="98"/>
      <c r="C1126" s="98"/>
      <c r="D1126" s="820"/>
      <c r="E1126" s="793">
        <f>'Verification Report'!O1137</f>
        <v>0</v>
      </c>
      <c r="F1126" s="562"/>
    </row>
    <row r="1127" spans="1:6" ht="16.5" hidden="1" customHeight="1" thickBot="1" x14ac:dyDescent="0.25">
      <c r="A1127" s="354"/>
      <c r="B1127" s="185"/>
      <c r="C1127" s="185"/>
      <c r="D1127" s="822"/>
      <c r="E1127" s="821">
        <f>'Verification Report'!O1138</f>
        <v>0</v>
      </c>
      <c r="F1127" s="562"/>
    </row>
    <row r="1128" spans="1:6" ht="15.75" hidden="1" customHeight="1" thickTop="1" x14ac:dyDescent="0.2">
      <c r="A1128" s="75" t="s">
        <v>3172</v>
      </c>
      <c r="B1128" s="132"/>
      <c r="C1128" s="132"/>
      <c r="D1128" s="819" t="s">
        <v>3173</v>
      </c>
      <c r="E1128" s="623"/>
      <c r="F1128" s="562"/>
    </row>
    <row r="1129" spans="1:6" s="497" customFormat="1" ht="15.75" hidden="1" customHeight="1" x14ac:dyDescent="0.2">
      <c r="A1129" s="70"/>
      <c r="B1129" s="98"/>
      <c r="C1129" s="98"/>
      <c r="D1129" s="820"/>
      <c r="E1129" s="607"/>
      <c r="F1129" s="562"/>
    </row>
    <row r="1130" spans="1:6" ht="15.75" hidden="1" customHeight="1" x14ac:dyDescent="0.2">
      <c r="A1130" s="388"/>
      <c r="B1130" s="98"/>
      <c r="C1130" s="98"/>
      <c r="D1130" s="820"/>
      <c r="E1130" s="607"/>
      <c r="F1130" s="562"/>
    </row>
    <row r="1131" spans="1:6" ht="15.75" hidden="1" customHeight="1" x14ac:dyDescent="0.2">
      <c r="A1131" s="388"/>
      <c r="B1131" s="134" t="s">
        <v>2181</v>
      </c>
      <c r="C1131" s="98"/>
      <c r="D1131" s="598" t="s">
        <v>3174</v>
      </c>
      <c r="E1131" s="607">
        <f ca="1">'Verification Report'!O1142</f>
        <v>0</v>
      </c>
      <c r="F1131" s="562"/>
    </row>
    <row r="1132" spans="1:6" ht="15.75" hidden="1" customHeight="1" x14ac:dyDescent="0.2">
      <c r="A1132" s="388"/>
      <c r="B1132" s="98"/>
      <c r="C1132" s="134" t="s">
        <v>2196</v>
      </c>
      <c r="D1132" s="598" t="s">
        <v>3175</v>
      </c>
      <c r="E1132" s="607"/>
      <c r="F1132" s="562"/>
    </row>
    <row r="1133" spans="1:6" ht="15.75" hidden="1" customHeight="1" x14ac:dyDescent="0.2">
      <c r="A1133" s="388"/>
      <c r="B1133" s="165"/>
      <c r="C1133" s="159" t="s">
        <v>2198</v>
      </c>
      <c r="D1133" s="599" t="s">
        <v>3176</v>
      </c>
      <c r="E1133" s="607"/>
      <c r="F1133" s="562"/>
    </row>
    <row r="1134" spans="1:6" ht="15.75" hidden="1" customHeight="1" x14ac:dyDescent="0.2">
      <c r="A1134" s="388"/>
      <c r="B1134" s="134" t="s">
        <v>2183</v>
      </c>
      <c r="C1134" s="98"/>
      <c r="D1134" s="598" t="s">
        <v>3177</v>
      </c>
      <c r="E1134" s="607"/>
      <c r="F1134" s="562"/>
    </row>
    <row r="1135" spans="1:6" ht="16.5" hidden="1" customHeight="1" thickBot="1" x14ac:dyDescent="0.25">
      <c r="A1135" s="354"/>
      <c r="B1135" s="185"/>
      <c r="C1135" s="143" t="s">
        <v>2196</v>
      </c>
      <c r="D1135" s="626" t="s">
        <v>3178</v>
      </c>
      <c r="E1135" s="622">
        <f>'Verification Report'!O1146</f>
        <v>0</v>
      </c>
      <c r="F1135" s="562"/>
    </row>
    <row r="1136" spans="1:6" ht="15.75" hidden="1" customHeight="1" thickTop="1" x14ac:dyDescent="0.2">
      <c r="A1136" s="107" t="s">
        <v>3179</v>
      </c>
      <c r="B1136" s="3"/>
      <c r="C1136" s="3"/>
      <c r="D1136" s="775" t="s">
        <v>3180</v>
      </c>
      <c r="E1136" s="795">
        <f>'Verification Report'!O1147</f>
        <v>0</v>
      </c>
      <c r="F1136" s="562"/>
    </row>
    <row r="1137" spans="1:6" ht="16" hidden="1" thickTop="1" x14ac:dyDescent="0.2">
      <c r="A1137" s="345"/>
      <c r="B1137" s="3"/>
      <c r="C1137" s="3"/>
      <c r="D1137" s="775"/>
      <c r="E1137" s="795">
        <f>'Verification Report'!O1148</f>
        <v>0</v>
      </c>
      <c r="F1137" s="562"/>
    </row>
    <row r="1138" spans="1:6" ht="15" hidden="1" customHeight="1" x14ac:dyDescent="0.2">
      <c r="A1138" s="345"/>
      <c r="B1138" s="134" t="s">
        <v>2181</v>
      </c>
      <c r="C1138" s="98"/>
      <c r="D1138" s="791" t="s">
        <v>3181</v>
      </c>
      <c r="E1138" s="609"/>
      <c r="F1138" s="562"/>
    </row>
    <row r="1139" spans="1:6" ht="15.75" hidden="1" customHeight="1" x14ac:dyDescent="0.2">
      <c r="A1139" s="345"/>
      <c r="B1139" s="159"/>
      <c r="C1139" s="165"/>
      <c r="D1139" s="792"/>
      <c r="E1139" s="609"/>
      <c r="F1139" s="562"/>
    </row>
    <row r="1140" spans="1:6" ht="15" hidden="1" customHeight="1" x14ac:dyDescent="0.2">
      <c r="A1140" s="388"/>
      <c r="B1140" s="134" t="s">
        <v>2183</v>
      </c>
      <c r="C1140" s="98"/>
      <c r="D1140" s="791" t="s">
        <v>3182</v>
      </c>
      <c r="E1140" s="607"/>
      <c r="F1140" s="562"/>
    </row>
    <row r="1141" spans="1:6" ht="15.75" hidden="1" customHeight="1" x14ac:dyDescent="0.2">
      <c r="A1141" s="388"/>
      <c r="B1141" s="98"/>
      <c r="C1141" s="98"/>
      <c r="D1141" s="791"/>
      <c r="E1141" s="607"/>
      <c r="F1141" s="562"/>
    </row>
    <row r="1142" spans="1:6" ht="16.5" hidden="1" customHeight="1" thickBot="1" x14ac:dyDescent="0.25">
      <c r="A1142" s="354"/>
      <c r="B1142" s="185"/>
      <c r="C1142" s="185"/>
      <c r="D1142" s="818"/>
      <c r="E1142" s="622"/>
      <c r="F1142" s="562"/>
    </row>
    <row r="1143" spans="1:6" ht="15.75" hidden="1" customHeight="1" thickTop="1" x14ac:dyDescent="0.2">
      <c r="A1143" s="75" t="s">
        <v>3183</v>
      </c>
      <c r="B1143" s="132"/>
      <c r="C1143" s="132"/>
      <c r="D1143" s="883" t="s">
        <v>3184</v>
      </c>
      <c r="E1143" s="823">
        <f>'Verification Report'!O1154</f>
        <v>0</v>
      </c>
      <c r="F1143" s="562"/>
    </row>
    <row r="1144" spans="1:6" ht="16.5" hidden="1" customHeight="1" thickBot="1" x14ac:dyDescent="0.25">
      <c r="A1144" s="349"/>
      <c r="B1144" s="185"/>
      <c r="C1144" s="185"/>
      <c r="D1144" s="884"/>
      <c r="E1144" s="821">
        <f>'Verification Report'!O1155</f>
        <v>0</v>
      </c>
      <c r="F1144" s="562"/>
    </row>
    <row r="1145" spans="1:6" ht="15.75" hidden="1" customHeight="1" thickTop="1" x14ac:dyDescent="0.2">
      <c r="A1145" s="107" t="s">
        <v>3185</v>
      </c>
      <c r="B1145" s="3"/>
      <c r="C1145" s="3"/>
      <c r="D1145" s="775" t="s">
        <v>3186</v>
      </c>
      <c r="E1145" s="609"/>
      <c r="F1145" s="562"/>
    </row>
    <row r="1146" spans="1:6" ht="15.75" hidden="1" customHeight="1" x14ac:dyDescent="0.2">
      <c r="A1146" s="345"/>
      <c r="B1146" s="3"/>
      <c r="C1146" s="3"/>
      <c r="D1146" s="775"/>
      <c r="E1146" s="609"/>
      <c r="F1146" s="562"/>
    </row>
    <row r="1147" spans="1:6" ht="20" hidden="1" thickTop="1" x14ac:dyDescent="0.25">
      <c r="A1147" s="45" t="s">
        <v>3187</v>
      </c>
      <c r="B1147" s="16"/>
      <c r="C1147" s="16"/>
      <c r="D1147" s="54"/>
      <c r="E1147" s="264"/>
      <c r="F1147" s="562"/>
    </row>
    <row r="1148" spans="1:6" ht="17" hidden="1" thickTop="1" thickBot="1" x14ac:dyDescent="0.25">
      <c r="A1148" s="356" t="s">
        <v>3189</v>
      </c>
      <c r="B1148" s="185"/>
      <c r="C1148" s="185"/>
      <c r="D1148" s="647" t="s">
        <v>3190</v>
      </c>
      <c r="E1148" s="622"/>
      <c r="F1148" s="562"/>
    </row>
    <row r="1149" spans="1:6" ht="15.75" hidden="1" customHeight="1" thickTop="1" x14ac:dyDescent="0.2">
      <c r="A1149" s="357" t="s">
        <v>3191</v>
      </c>
      <c r="B1149" s="132"/>
      <c r="C1149" s="132"/>
      <c r="D1149" s="646" t="s">
        <v>3192</v>
      </c>
      <c r="E1149" s="623">
        <f ca="1">'Verification Report'!O1160</f>
        <v>0</v>
      </c>
      <c r="F1149" s="562"/>
    </row>
    <row r="1150" spans="1:6" ht="15" hidden="1" customHeight="1" x14ac:dyDescent="0.2">
      <c r="A1150" s="388"/>
      <c r="B1150" s="134" t="s">
        <v>2181</v>
      </c>
      <c r="C1150" s="98"/>
      <c r="D1150" s="791" t="s">
        <v>3194</v>
      </c>
      <c r="E1150" s="607"/>
      <c r="F1150" s="562"/>
    </row>
    <row r="1151" spans="1:6" ht="15.75" hidden="1" customHeight="1" x14ac:dyDescent="0.2">
      <c r="A1151" s="388"/>
      <c r="B1151" s="159"/>
      <c r="C1151" s="165"/>
      <c r="D1151" s="832"/>
      <c r="E1151" s="607"/>
      <c r="F1151" s="562"/>
    </row>
    <row r="1152" spans="1:6" ht="16.5" hidden="1" customHeight="1" thickBot="1" x14ac:dyDescent="0.25">
      <c r="A1152" s="354"/>
      <c r="B1152" s="143" t="s">
        <v>2183</v>
      </c>
      <c r="C1152" s="185"/>
      <c r="D1152" s="626" t="s">
        <v>3196</v>
      </c>
      <c r="E1152" s="622"/>
      <c r="F1152" s="562"/>
    </row>
    <row r="1153" spans="1:6" ht="15.75" hidden="1" customHeight="1" thickTop="1" x14ac:dyDescent="0.2">
      <c r="A1153" s="75" t="s">
        <v>3197</v>
      </c>
      <c r="B1153" s="132"/>
      <c r="C1153" s="132"/>
      <c r="D1153" s="646" t="s">
        <v>3198</v>
      </c>
      <c r="E1153" s="623">
        <f ca="1">'Verification Report'!O1164</f>
        <v>0</v>
      </c>
      <c r="F1153" s="562"/>
    </row>
    <row r="1154" spans="1:6" ht="15.75" hidden="1" customHeight="1" x14ac:dyDescent="0.2">
      <c r="A1154" s="388"/>
      <c r="B1154" s="159" t="s">
        <v>2181</v>
      </c>
      <c r="C1154" s="165"/>
      <c r="D1154" s="599" t="s">
        <v>3199</v>
      </c>
      <c r="E1154" s="607"/>
      <c r="F1154" s="562"/>
    </row>
    <row r="1155" spans="1:6" ht="15" hidden="1" customHeight="1" x14ac:dyDescent="0.2">
      <c r="A1155" s="388"/>
      <c r="B1155" s="134" t="s">
        <v>2183</v>
      </c>
      <c r="C1155" s="98"/>
      <c r="D1155" s="791" t="s">
        <v>3200</v>
      </c>
      <c r="E1155" s="607"/>
      <c r="F1155" s="562"/>
    </row>
    <row r="1156" spans="1:6" ht="16.5" hidden="1" customHeight="1" thickBot="1" x14ac:dyDescent="0.25">
      <c r="A1156" s="354"/>
      <c r="B1156" s="185"/>
      <c r="C1156" s="185"/>
      <c r="D1156" s="818"/>
      <c r="E1156" s="622"/>
      <c r="F1156" s="562"/>
    </row>
    <row r="1157" spans="1:6" ht="15.75" hidden="1" customHeight="1" thickTop="1" x14ac:dyDescent="0.2">
      <c r="A1157" s="75" t="s">
        <v>3201</v>
      </c>
      <c r="B1157" s="3"/>
      <c r="C1157" s="3"/>
      <c r="D1157" s="775" t="s">
        <v>3202</v>
      </c>
      <c r="E1157" s="795">
        <f>'Verification Report'!O1168</f>
        <v>0</v>
      </c>
      <c r="F1157" s="562"/>
    </row>
    <row r="1158" spans="1:6" ht="15.75" hidden="1" customHeight="1" x14ac:dyDescent="0.2">
      <c r="A1158" s="388"/>
      <c r="B1158" s="3"/>
      <c r="C1158" s="3"/>
      <c r="D1158" s="775"/>
      <c r="E1158" s="795">
        <f>'Verification Report'!O1169</f>
        <v>0</v>
      </c>
      <c r="F1158" s="562"/>
    </row>
    <row r="1159" spans="1:6" ht="15.75" hidden="1" customHeight="1" x14ac:dyDescent="0.2">
      <c r="A1159" s="345"/>
      <c r="B1159" s="159" t="s">
        <v>2181</v>
      </c>
      <c r="C1159" s="129"/>
      <c r="D1159" s="599" t="s">
        <v>3203</v>
      </c>
      <c r="E1159" s="607"/>
      <c r="F1159" s="562"/>
    </row>
    <row r="1160" spans="1:6" ht="15" hidden="1" customHeight="1" x14ac:dyDescent="0.2">
      <c r="A1160" s="345"/>
      <c r="B1160" s="20" t="s">
        <v>2183</v>
      </c>
      <c r="C1160" s="562"/>
      <c r="D1160" s="848" t="s">
        <v>3204</v>
      </c>
      <c r="E1160" s="607"/>
      <c r="F1160" s="562"/>
    </row>
    <row r="1161" spans="1:6" ht="15.75" hidden="1" customHeight="1" x14ac:dyDescent="0.2">
      <c r="A1161" s="345"/>
      <c r="B1161" s="3"/>
      <c r="C1161" s="20"/>
      <c r="D1161" s="848"/>
      <c r="E1161" s="609"/>
      <c r="F1161" s="562"/>
    </row>
    <row r="1162" spans="1:6" ht="20" hidden="1" thickTop="1" x14ac:dyDescent="0.25">
      <c r="A1162" s="45" t="s">
        <v>3205</v>
      </c>
      <c r="B1162" s="16"/>
      <c r="C1162" s="16"/>
      <c r="D1162" s="54"/>
      <c r="E1162" s="264"/>
      <c r="F1162" s="562"/>
    </row>
    <row r="1163" spans="1:6" ht="15" hidden="1" customHeight="1" x14ac:dyDescent="0.2">
      <c r="A1163" s="353" t="s">
        <v>3207</v>
      </c>
      <c r="B1163" s="98"/>
      <c r="C1163" s="98"/>
      <c r="D1163" s="820" t="s">
        <v>3208</v>
      </c>
      <c r="E1163" s="607"/>
      <c r="F1163" s="562"/>
    </row>
    <row r="1164" spans="1:6" ht="17" hidden="1" thickTop="1" thickBot="1" x14ac:dyDescent="0.25">
      <c r="A1164" s="354"/>
      <c r="B1164" s="185"/>
      <c r="C1164" s="185"/>
      <c r="D1164" s="822"/>
      <c r="E1164" s="622"/>
      <c r="F1164" s="562"/>
    </row>
    <row r="1165" spans="1:6" ht="15.75" hidden="1" customHeight="1" thickTop="1" x14ac:dyDescent="0.2">
      <c r="A1165" s="357" t="s">
        <v>3209</v>
      </c>
      <c r="B1165" s="132"/>
      <c r="C1165" s="132"/>
      <c r="D1165" s="819" t="s">
        <v>3210</v>
      </c>
      <c r="E1165" s="823">
        <f>'Verification Report'!O1176</f>
        <v>0</v>
      </c>
      <c r="F1165" s="562"/>
    </row>
    <row r="1166" spans="1:6" ht="15.75" hidden="1" customHeight="1" x14ac:dyDescent="0.2">
      <c r="A1166" s="388"/>
      <c r="B1166" s="98"/>
      <c r="C1166" s="98"/>
      <c r="D1166" s="820"/>
      <c r="E1166" s="793">
        <f>'Verification Report'!O1177</f>
        <v>0</v>
      </c>
      <c r="F1166" s="562"/>
    </row>
    <row r="1167" spans="1:6" ht="15.75" hidden="1" customHeight="1" x14ac:dyDescent="0.2">
      <c r="A1167" s="388"/>
      <c r="B1167" s="98"/>
      <c r="C1167" s="98"/>
      <c r="D1167" s="820"/>
      <c r="E1167" s="793">
        <f>'Verification Report'!O1178</f>
        <v>0</v>
      </c>
      <c r="F1167" s="562"/>
    </row>
    <row r="1168" spans="1:6" ht="15.75" hidden="1" customHeight="1" x14ac:dyDescent="0.2">
      <c r="A1168" s="388"/>
      <c r="B1168" s="98"/>
      <c r="C1168" s="98"/>
      <c r="D1168" s="820"/>
      <c r="E1168" s="793">
        <f>'Verification Report'!O1179</f>
        <v>0</v>
      </c>
      <c r="F1168" s="562"/>
    </row>
    <row r="1169" spans="1:7" ht="16.5" hidden="1" customHeight="1" thickBot="1" x14ac:dyDescent="0.25">
      <c r="A1169" s="354"/>
      <c r="B1169" s="185"/>
      <c r="C1169" s="185"/>
      <c r="D1169" s="822"/>
      <c r="E1169" s="821">
        <f>'Verification Report'!O1180</f>
        <v>0</v>
      </c>
      <c r="F1169" s="562"/>
      <c r="G1169" s="562"/>
    </row>
    <row r="1170" spans="1:7" ht="15.75" hidden="1" customHeight="1" thickTop="1" x14ac:dyDescent="0.2">
      <c r="A1170" s="107" t="s">
        <v>3212</v>
      </c>
      <c r="B1170" s="3"/>
      <c r="C1170" s="3"/>
      <c r="D1170" s="775" t="s">
        <v>3213</v>
      </c>
      <c r="E1170" s="795">
        <f>'Verification Report'!O1181</f>
        <v>0</v>
      </c>
      <c r="F1170" s="562"/>
      <c r="G1170" s="562"/>
    </row>
    <row r="1171" spans="1:7" ht="15.75" hidden="1" customHeight="1" x14ac:dyDescent="0.2">
      <c r="A1171" s="345"/>
      <c r="B1171" s="3"/>
      <c r="C1171" s="3"/>
      <c r="D1171" s="775"/>
      <c r="E1171" s="795">
        <f>'Verification Report'!O1182</f>
        <v>0</v>
      </c>
      <c r="F1171" s="562"/>
      <c r="G1171" s="562"/>
    </row>
    <row r="1172" spans="1:7" ht="15.75" hidden="1" customHeight="1" x14ac:dyDescent="0.2">
      <c r="A1172" s="345"/>
      <c r="B1172" s="3"/>
      <c r="C1172" s="3"/>
      <c r="D1172" s="775"/>
      <c r="E1172" s="795">
        <f>'Verification Report'!O1183</f>
        <v>0</v>
      </c>
      <c r="F1172" s="562"/>
      <c r="G1172" s="562"/>
    </row>
    <row r="1173" spans="1:7" ht="20" hidden="1" thickTop="1" x14ac:dyDescent="0.25">
      <c r="A1173" s="45" t="s">
        <v>3214</v>
      </c>
      <c r="B1173" s="16"/>
      <c r="C1173" s="16"/>
      <c r="D1173" s="54"/>
      <c r="E1173" s="264"/>
      <c r="F1173" s="562"/>
      <c r="G1173" s="562"/>
    </row>
    <row r="1174" spans="1:7" ht="15" hidden="1" customHeight="1" x14ac:dyDescent="0.2">
      <c r="A1174" s="70" t="s">
        <v>3215</v>
      </c>
      <c r="B1174" s="98"/>
      <c r="C1174" s="98"/>
      <c r="D1174" s="820" t="s">
        <v>3216</v>
      </c>
      <c r="E1174" s="793">
        <f>'Verification Report'!O1185</f>
        <v>0</v>
      </c>
      <c r="F1174" s="562"/>
      <c r="G1174" s="562"/>
    </row>
    <row r="1175" spans="1:7" ht="15.75" hidden="1" customHeight="1" x14ac:dyDescent="0.2">
      <c r="A1175" s="388"/>
      <c r="B1175" s="98"/>
      <c r="C1175" s="98"/>
      <c r="D1175" s="820"/>
      <c r="E1175" s="793">
        <f>'Verification Report'!O1186</f>
        <v>0</v>
      </c>
      <c r="F1175" s="562"/>
      <c r="G1175" s="562"/>
    </row>
    <row r="1176" spans="1:7" ht="15.75" hidden="1" customHeight="1" x14ac:dyDescent="0.2">
      <c r="A1176" s="388"/>
      <c r="B1176" s="98"/>
      <c r="C1176" s="98"/>
      <c r="D1176" s="820"/>
      <c r="E1176" s="793">
        <f>'Verification Report'!O1187</f>
        <v>0</v>
      </c>
      <c r="F1176" s="562"/>
      <c r="G1176" s="562"/>
    </row>
    <row r="1177" spans="1:7" ht="15.75" hidden="1" customHeight="1" x14ac:dyDescent="0.2">
      <c r="A1177" s="388"/>
      <c r="B1177" s="98"/>
      <c r="C1177" s="98"/>
      <c r="D1177" s="820"/>
      <c r="E1177" s="793">
        <f>'Verification Report'!O1188</f>
        <v>0</v>
      </c>
      <c r="F1177" s="562"/>
      <c r="G1177" s="562"/>
    </row>
    <row r="1178" spans="1:7" ht="16.5" hidden="1" customHeight="1" thickBot="1" x14ac:dyDescent="0.25">
      <c r="A1178" s="354"/>
      <c r="B1178" s="185"/>
      <c r="C1178" s="185"/>
      <c r="D1178" s="822"/>
      <c r="E1178" s="821">
        <f>'Verification Report'!O1189</f>
        <v>0</v>
      </c>
      <c r="F1178" s="562"/>
      <c r="G1178" s="562"/>
    </row>
    <row r="1179" spans="1:7" ht="15.75" hidden="1" customHeight="1" thickTop="1" x14ac:dyDescent="0.2">
      <c r="A1179" s="107" t="s">
        <v>3217</v>
      </c>
      <c r="B1179" s="3"/>
      <c r="C1179" s="3"/>
      <c r="D1179" s="775" t="s">
        <v>3218</v>
      </c>
      <c r="E1179" s="795">
        <f>'Verification Report'!O1190</f>
        <v>0</v>
      </c>
      <c r="F1179" s="562"/>
      <c r="G1179" s="562"/>
    </row>
    <row r="1180" spans="1:7" ht="15.75" hidden="1" customHeight="1" x14ac:dyDescent="0.2">
      <c r="A1180" s="345"/>
      <c r="B1180" s="3"/>
      <c r="C1180" s="3"/>
      <c r="D1180" s="775"/>
      <c r="E1180" s="795">
        <f>'Verification Report'!O1191</f>
        <v>0</v>
      </c>
      <c r="F1180" s="562"/>
      <c r="G1180" s="562"/>
    </row>
    <row r="1181" spans="1:7" ht="20" hidden="1" thickTop="1" x14ac:dyDescent="0.25">
      <c r="A1181" s="50" t="s">
        <v>3227</v>
      </c>
      <c r="B1181" s="15"/>
      <c r="C1181" s="15"/>
      <c r="D1181" s="16"/>
      <c r="E1181" s="17"/>
      <c r="F1181" s="562"/>
      <c r="G1181" s="562"/>
    </row>
    <row r="1182" spans="1:7" ht="15" hidden="1" customHeight="1" x14ac:dyDescent="0.2">
      <c r="A1182" s="353" t="s">
        <v>3229</v>
      </c>
      <c r="B1182" s="98"/>
      <c r="C1182" s="98"/>
      <c r="D1182" s="820" t="s">
        <v>3230</v>
      </c>
      <c r="E1182" s="64"/>
      <c r="F1182" s="562"/>
      <c r="G1182" s="562"/>
    </row>
    <row r="1183" spans="1:7" ht="17" hidden="1" thickTop="1" thickBot="1" x14ac:dyDescent="0.25">
      <c r="A1183" s="354"/>
      <c r="B1183" s="185"/>
      <c r="C1183" s="185"/>
      <c r="D1183" s="822"/>
      <c r="E1183" s="68"/>
      <c r="F1183" s="562"/>
      <c r="G1183" s="562"/>
    </row>
    <row r="1184" spans="1:7" ht="15.75" hidden="1" customHeight="1" thickTop="1" x14ac:dyDescent="0.2">
      <c r="A1184" s="107" t="s">
        <v>3231</v>
      </c>
      <c r="B1184" s="3"/>
      <c r="C1184" s="3"/>
      <c r="D1184" s="775" t="s">
        <v>3232</v>
      </c>
      <c r="E1184" s="795"/>
      <c r="F1184" s="562"/>
      <c r="G1184" s="562"/>
    </row>
    <row r="1185" spans="1:7" ht="16" hidden="1" thickTop="1" x14ac:dyDescent="0.2">
      <c r="A1185" s="345"/>
      <c r="B1185" s="3"/>
      <c r="C1185" s="3"/>
      <c r="D1185" s="775"/>
      <c r="E1185" s="795"/>
      <c r="F1185" s="562"/>
      <c r="G1185" s="562"/>
    </row>
    <row r="1186" spans="1:7" ht="16" hidden="1" thickTop="1" x14ac:dyDescent="0.2">
      <c r="A1186" s="345"/>
      <c r="B1186" s="3"/>
      <c r="C1186" s="3"/>
      <c r="D1186" s="175" t="s">
        <v>3233</v>
      </c>
      <c r="E1186" s="795"/>
      <c r="F1186" s="562"/>
      <c r="G1186" s="562"/>
    </row>
    <row r="1187" spans="1:7" ht="16" hidden="1" thickTop="1" x14ac:dyDescent="0.2">
      <c r="A1187" s="345"/>
      <c r="B1187" s="159" t="s">
        <v>2181</v>
      </c>
      <c r="C1187" s="165"/>
      <c r="D1187" s="599" t="s">
        <v>3234</v>
      </c>
      <c r="E1187" s="609"/>
      <c r="F1187" s="562"/>
      <c r="G1187" s="562"/>
    </row>
    <row r="1188" spans="1:7" ht="16" hidden="1" thickTop="1" x14ac:dyDescent="0.2">
      <c r="A1188" s="345"/>
      <c r="B1188" s="161" t="s">
        <v>2183</v>
      </c>
      <c r="C1188" s="186"/>
      <c r="D1188" s="205" t="s">
        <v>3235</v>
      </c>
      <c r="E1188" s="609"/>
      <c r="F1188" s="562"/>
      <c r="G1188" s="562"/>
    </row>
    <row r="1189" spans="1:7" ht="15" hidden="1" customHeight="1" x14ac:dyDescent="0.2">
      <c r="A1189" s="345"/>
      <c r="B1189" s="164" t="s">
        <v>2185</v>
      </c>
      <c r="C1189" s="146"/>
      <c r="D1189" s="831" t="s">
        <v>3236</v>
      </c>
      <c r="E1189" s="609"/>
      <c r="F1189" s="562"/>
      <c r="G1189" s="562"/>
    </row>
    <row r="1190" spans="1:7" ht="15.75" hidden="1" customHeight="1" x14ac:dyDescent="0.2">
      <c r="A1190" s="345"/>
      <c r="B1190" s="134"/>
      <c r="C1190" s="98"/>
      <c r="D1190" s="791"/>
      <c r="E1190" s="609"/>
      <c r="F1190" s="562"/>
      <c r="G1190" s="562"/>
    </row>
    <row r="1191" spans="1:7" ht="15.75" hidden="1" customHeight="1" x14ac:dyDescent="0.2">
      <c r="A1191" s="345"/>
      <c r="B1191" s="134"/>
      <c r="C1191" s="98"/>
      <c r="D1191" s="791"/>
      <c r="E1191" s="609"/>
      <c r="F1191" s="562"/>
      <c r="G1191" s="562"/>
    </row>
    <row r="1192" spans="1:7" ht="15.75" hidden="1" customHeight="1" x14ac:dyDescent="0.2">
      <c r="A1192" s="345"/>
      <c r="B1192" s="159"/>
      <c r="C1192" s="165"/>
      <c r="D1192" s="792"/>
      <c r="E1192" s="609"/>
      <c r="F1192" s="562"/>
      <c r="G1192" s="562"/>
    </row>
    <row r="1193" spans="1:7" ht="16" hidden="1" thickTop="1" x14ac:dyDescent="0.2">
      <c r="A1193" s="345"/>
      <c r="B1193" s="161" t="s">
        <v>2192</v>
      </c>
      <c r="C1193" s="186"/>
      <c r="D1193" s="205" t="s">
        <v>3237</v>
      </c>
      <c r="E1193" s="609"/>
      <c r="F1193" s="562"/>
      <c r="G1193" s="562"/>
    </row>
    <row r="1194" spans="1:7" ht="16" hidden="1" thickTop="1" x14ac:dyDescent="0.2">
      <c r="A1194" s="345"/>
      <c r="B1194" s="161" t="s">
        <v>2194</v>
      </c>
      <c r="C1194" s="186"/>
      <c r="D1194" s="205" t="s">
        <v>3238</v>
      </c>
      <c r="E1194" s="609"/>
      <c r="F1194" s="562"/>
      <c r="G1194" s="562"/>
    </row>
    <row r="1195" spans="1:7" ht="15" hidden="1" customHeight="1" x14ac:dyDescent="0.2">
      <c r="A1195" s="345"/>
      <c r="B1195" s="164" t="s">
        <v>2221</v>
      </c>
      <c r="C1195" s="146"/>
      <c r="D1195" s="831" t="s">
        <v>3239</v>
      </c>
      <c r="E1195" s="609"/>
      <c r="F1195" s="562"/>
      <c r="G1195" s="562"/>
    </row>
    <row r="1196" spans="1:7" ht="15.75" hidden="1" customHeight="1" x14ac:dyDescent="0.2">
      <c r="A1196" s="345"/>
      <c r="B1196" s="159"/>
      <c r="C1196" s="165"/>
      <c r="D1196" s="792"/>
      <c r="E1196" s="609"/>
      <c r="F1196" s="562"/>
      <c r="G1196" s="562"/>
    </row>
    <row r="1197" spans="1:7" ht="15" hidden="1" customHeight="1" x14ac:dyDescent="0.2">
      <c r="A1197" s="345"/>
      <c r="B1197" s="164" t="s">
        <v>2223</v>
      </c>
      <c r="C1197" s="146"/>
      <c r="D1197" s="831" t="s">
        <v>3240</v>
      </c>
      <c r="E1197" s="609"/>
      <c r="F1197" s="562"/>
      <c r="G1197" s="562"/>
    </row>
    <row r="1198" spans="1:7" ht="15.75" hidden="1" customHeight="1" x14ac:dyDescent="0.2">
      <c r="A1198" s="345"/>
      <c r="B1198" s="159"/>
      <c r="C1198" s="165"/>
      <c r="D1198" s="792"/>
      <c r="E1198" s="609"/>
      <c r="F1198" s="562"/>
      <c r="G1198" s="562"/>
    </row>
    <row r="1199" spans="1:7" ht="16" hidden="1" thickTop="1" x14ac:dyDescent="0.2">
      <c r="A1199" s="345"/>
      <c r="B1199" s="161" t="s">
        <v>2282</v>
      </c>
      <c r="C1199" s="186"/>
      <c r="D1199" s="205" t="s">
        <v>3241</v>
      </c>
      <c r="E1199" s="609"/>
      <c r="F1199" s="562"/>
      <c r="G1199" s="562"/>
    </row>
    <row r="1200" spans="1:7" ht="15" hidden="1" customHeight="1" x14ac:dyDescent="0.2">
      <c r="A1200" s="345"/>
      <c r="B1200" s="20" t="s">
        <v>2284</v>
      </c>
      <c r="C1200" s="3"/>
      <c r="D1200" s="857" t="s">
        <v>3242</v>
      </c>
      <c r="E1200" s="609"/>
      <c r="F1200" s="562"/>
      <c r="G1200" s="562"/>
    </row>
    <row r="1201" spans="1:7" ht="15.75" hidden="1" customHeight="1" x14ac:dyDescent="0.2">
      <c r="A1201" s="345"/>
      <c r="B1201" s="20"/>
      <c r="C1201" s="3"/>
      <c r="D1201" s="777"/>
      <c r="E1201" s="609"/>
      <c r="F1201" s="562"/>
      <c r="G1201" s="562"/>
    </row>
    <row r="1202" spans="1:7" ht="16" hidden="1" thickTop="1" x14ac:dyDescent="0.2">
      <c r="A1202" s="345"/>
      <c r="B1202" s="161" t="s">
        <v>2286</v>
      </c>
      <c r="C1202" s="186"/>
      <c r="D1202" s="205" t="s">
        <v>3243</v>
      </c>
      <c r="E1202" s="609"/>
      <c r="F1202" s="562"/>
      <c r="G1202" s="562"/>
    </row>
    <row r="1203" spans="1:7" ht="16" hidden="1" thickTop="1" x14ac:dyDescent="0.2">
      <c r="A1203" s="345"/>
      <c r="B1203" s="20" t="s">
        <v>2288</v>
      </c>
      <c r="C1203" s="3"/>
      <c r="D1203" s="632" t="s">
        <v>3244</v>
      </c>
      <c r="E1203" s="609"/>
      <c r="F1203" s="562"/>
      <c r="G1203" s="562"/>
    </row>
    <row r="1204" spans="1:7" ht="15" hidden="1" customHeight="1" x14ac:dyDescent="0.2">
      <c r="A1204" s="345"/>
      <c r="B1204" s="164" t="s">
        <v>2290</v>
      </c>
      <c r="C1204" s="146"/>
      <c r="D1204" s="831" t="s">
        <v>3245</v>
      </c>
      <c r="E1204" s="609"/>
      <c r="F1204" s="562"/>
      <c r="G1204" s="562"/>
    </row>
    <row r="1205" spans="1:7" ht="15.75" hidden="1" customHeight="1" x14ac:dyDescent="0.2">
      <c r="A1205" s="345"/>
      <c r="B1205" s="98"/>
      <c r="C1205" s="98"/>
      <c r="D1205" s="791"/>
      <c r="E1205" s="609"/>
      <c r="F1205" s="562"/>
      <c r="G1205" s="562"/>
    </row>
    <row r="1206" spans="1:7" ht="15.75" hidden="1" customHeight="1" x14ac:dyDescent="0.2">
      <c r="A1206" s="345"/>
      <c r="B1206" s="98"/>
      <c r="C1206" s="134" t="s">
        <v>2196</v>
      </c>
      <c r="D1206" s="598" t="s">
        <v>3246</v>
      </c>
      <c r="E1206" s="609"/>
      <c r="F1206" s="562"/>
      <c r="G1206" s="562"/>
    </row>
    <row r="1207" spans="1:7" ht="15.75" hidden="1" customHeight="1" x14ac:dyDescent="0.2">
      <c r="A1207" s="345"/>
      <c r="B1207" s="98"/>
      <c r="C1207" s="134" t="s">
        <v>2198</v>
      </c>
      <c r="D1207" s="598" t="s">
        <v>3247</v>
      </c>
      <c r="E1207" s="609"/>
      <c r="F1207" s="562"/>
      <c r="G1207" s="562"/>
    </row>
    <row r="1208" spans="1:7" ht="15" hidden="1" customHeight="1" x14ac:dyDescent="0.2">
      <c r="A1208" s="345"/>
      <c r="B1208" s="98"/>
      <c r="C1208" s="134" t="s">
        <v>2200</v>
      </c>
      <c r="D1208" s="791" t="s">
        <v>3248</v>
      </c>
      <c r="E1208" s="609"/>
      <c r="F1208" s="562"/>
      <c r="G1208" s="562"/>
    </row>
    <row r="1209" spans="1:7" ht="15.75" hidden="1" customHeight="1" x14ac:dyDescent="0.2">
      <c r="A1209" s="345"/>
      <c r="B1209" s="165"/>
      <c r="C1209" s="165"/>
      <c r="D1209" s="792"/>
      <c r="E1209" s="609"/>
      <c r="F1209" s="562"/>
      <c r="G1209" s="562"/>
    </row>
    <row r="1210" spans="1:7" ht="15" hidden="1" customHeight="1" x14ac:dyDescent="0.2">
      <c r="A1210" s="345"/>
      <c r="B1210" s="164" t="s">
        <v>3249</v>
      </c>
      <c r="C1210" s="146"/>
      <c r="D1210" s="831" t="s">
        <v>3250</v>
      </c>
      <c r="E1210" s="609"/>
      <c r="F1210" s="562"/>
      <c r="G1210" s="562"/>
    </row>
    <row r="1211" spans="1:7" ht="15.75" hidden="1" customHeight="1" x14ac:dyDescent="0.2">
      <c r="A1211" s="345"/>
      <c r="B1211" s="98"/>
      <c r="C1211" s="98"/>
      <c r="D1211" s="791"/>
      <c r="E1211" s="609"/>
      <c r="F1211" s="562"/>
      <c r="G1211" s="562"/>
    </row>
    <row r="1212" spans="1:7" ht="15.75" hidden="1" customHeight="1" x14ac:dyDescent="0.2">
      <c r="A1212" s="345"/>
      <c r="B1212" s="98"/>
      <c r="C1212" s="98"/>
      <c r="D1212" s="791"/>
      <c r="E1212" s="609"/>
      <c r="F1212" s="562"/>
      <c r="G1212" s="562"/>
    </row>
    <row r="1213" spans="1:7" ht="15.75" hidden="1" customHeight="1" x14ac:dyDescent="0.2">
      <c r="A1213" s="345"/>
      <c r="B1213" s="165"/>
      <c r="C1213" s="165"/>
      <c r="D1213" s="792"/>
      <c r="E1213" s="609"/>
      <c r="F1213" s="562"/>
      <c r="G1213" s="562"/>
    </row>
    <row r="1214" spans="1:7" ht="15" hidden="1" customHeight="1" x14ac:dyDescent="0.2">
      <c r="A1214" s="345"/>
      <c r="B1214" s="164" t="s">
        <v>3251</v>
      </c>
      <c r="C1214" s="146"/>
      <c r="D1214" s="831" t="s">
        <v>3252</v>
      </c>
      <c r="E1214" s="609"/>
      <c r="F1214" s="562"/>
      <c r="G1214" s="562"/>
    </row>
    <row r="1215" spans="1:7" ht="15.75" hidden="1" customHeight="1" x14ac:dyDescent="0.2">
      <c r="A1215" s="345"/>
      <c r="B1215" s="165"/>
      <c r="C1215" s="165"/>
      <c r="D1215" s="792"/>
      <c r="E1215" s="609"/>
      <c r="F1215" s="562"/>
      <c r="G1215" s="562"/>
    </row>
    <row r="1216" spans="1:7" ht="15" hidden="1" customHeight="1" x14ac:dyDescent="0.2">
      <c r="A1216" s="345"/>
      <c r="B1216" s="164" t="s">
        <v>3253</v>
      </c>
      <c r="C1216" s="146"/>
      <c r="D1216" s="831" t="s">
        <v>3254</v>
      </c>
      <c r="E1216" s="609"/>
      <c r="F1216" s="562"/>
      <c r="G1216" s="562"/>
    </row>
    <row r="1217" spans="1:7" ht="15.75" hidden="1" customHeight="1" x14ac:dyDescent="0.2">
      <c r="A1217" s="345"/>
      <c r="B1217" s="165"/>
      <c r="C1217" s="165"/>
      <c r="D1217" s="792"/>
      <c r="E1217" s="609"/>
      <c r="F1217" s="562"/>
      <c r="G1217" s="562"/>
    </row>
    <row r="1218" spans="1:7" ht="16" hidden="1" thickTop="1" x14ac:dyDescent="0.2">
      <c r="A1218" s="345"/>
      <c r="B1218" s="161" t="s">
        <v>3255</v>
      </c>
      <c r="C1218" s="186"/>
      <c r="D1218" s="205" t="s">
        <v>3256</v>
      </c>
      <c r="E1218" s="609"/>
      <c r="F1218" s="562"/>
      <c r="G1218" s="562"/>
    </row>
    <row r="1219" spans="1:7" ht="15" hidden="1" customHeight="1" x14ac:dyDescent="0.2">
      <c r="A1219" s="345"/>
      <c r="B1219" s="164" t="s">
        <v>3257</v>
      </c>
      <c r="C1219" s="146"/>
      <c r="D1219" s="857" t="s">
        <v>3258</v>
      </c>
      <c r="E1219" s="609"/>
      <c r="F1219" s="562"/>
      <c r="G1219" s="562"/>
    </row>
    <row r="1220" spans="1:7" ht="15.75" hidden="1" customHeight="1" x14ac:dyDescent="0.2">
      <c r="A1220" s="345"/>
      <c r="B1220" s="159"/>
      <c r="C1220" s="165"/>
      <c r="D1220" s="777"/>
      <c r="E1220" s="609"/>
      <c r="F1220" s="562"/>
      <c r="G1220" s="562"/>
    </row>
    <row r="1221" spans="1:7" ht="15" hidden="1" customHeight="1" x14ac:dyDescent="0.2">
      <c r="A1221" s="345"/>
      <c r="B1221" s="164" t="s">
        <v>3259</v>
      </c>
      <c r="C1221" s="146"/>
      <c r="D1221" s="831" t="s">
        <v>3260</v>
      </c>
      <c r="E1221" s="609"/>
      <c r="F1221" s="562"/>
      <c r="G1221" s="562"/>
    </row>
    <row r="1222" spans="1:7" ht="15.75" hidden="1" customHeight="1" x14ac:dyDescent="0.2">
      <c r="A1222" s="345"/>
      <c r="B1222" s="165"/>
      <c r="C1222" s="165"/>
      <c r="D1222" s="792"/>
      <c r="E1222" s="609"/>
      <c r="F1222" s="562"/>
      <c r="G1222" s="562"/>
    </row>
    <row r="1223" spans="1:7" ht="16" hidden="1" thickTop="1" x14ac:dyDescent="0.2">
      <c r="A1223" s="345"/>
      <c r="B1223" s="161" t="s">
        <v>3261</v>
      </c>
      <c r="C1223" s="186"/>
      <c r="D1223" s="205" t="s">
        <v>3262</v>
      </c>
      <c r="E1223" s="609"/>
      <c r="F1223" s="562"/>
      <c r="G1223" s="562"/>
    </row>
    <row r="1224" spans="1:7" ht="15" hidden="1" customHeight="1" x14ac:dyDescent="0.2">
      <c r="A1224" s="345"/>
      <c r="B1224" s="164" t="s">
        <v>3263</v>
      </c>
      <c r="C1224" s="146"/>
      <c r="D1224" s="831" t="s">
        <v>3264</v>
      </c>
      <c r="E1224" s="609"/>
      <c r="F1224" s="562"/>
      <c r="G1224" s="562"/>
    </row>
    <row r="1225" spans="1:7" ht="15.75" hidden="1" customHeight="1" x14ac:dyDescent="0.2">
      <c r="A1225" s="345"/>
      <c r="B1225" s="165"/>
      <c r="C1225" s="165"/>
      <c r="D1225" s="792"/>
      <c r="E1225" s="609"/>
      <c r="F1225" s="562"/>
      <c r="G1225" s="562"/>
    </row>
    <row r="1226" spans="1:7" ht="15" hidden="1" customHeight="1" x14ac:dyDescent="0.2">
      <c r="A1226" s="345"/>
      <c r="B1226" s="164" t="s">
        <v>3265</v>
      </c>
      <c r="C1226" s="146"/>
      <c r="D1226" s="831" t="s">
        <v>3266</v>
      </c>
      <c r="E1226" s="609"/>
      <c r="F1226" s="562"/>
      <c r="G1226" s="562"/>
    </row>
    <row r="1227" spans="1:7" ht="15.75" hidden="1" customHeight="1" x14ac:dyDescent="0.2">
      <c r="A1227" s="345"/>
      <c r="B1227" s="165"/>
      <c r="C1227" s="165"/>
      <c r="D1227" s="792"/>
      <c r="E1227" s="609"/>
      <c r="F1227" s="562"/>
      <c r="G1227" s="562"/>
    </row>
    <row r="1228" spans="1:7" ht="15" hidden="1" customHeight="1" x14ac:dyDescent="0.2">
      <c r="A1228" s="345"/>
      <c r="B1228" s="164" t="s">
        <v>3267</v>
      </c>
      <c r="C1228" s="146"/>
      <c r="D1228" s="831" t="s">
        <v>3268</v>
      </c>
      <c r="E1228" s="609"/>
      <c r="F1228" s="562"/>
      <c r="G1228" s="562"/>
    </row>
    <row r="1229" spans="1:7" ht="15.75" hidden="1" customHeight="1" x14ac:dyDescent="0.2">
      <c r="A1229" s="345"/>
      <c r="B1229" s="165"/>
      <c r="C1229" s="165"/>
      <c r="D1229" s="792"/>
      <c r="E1229" s="609"/>
      <c r="F1229" s="562"/>
      <c r="G1229" s="562"/>
    </row>
    <row r="1230" spans="1:7" s="497" customFormat="1" ht="15" hidden="1" customHeight="1" x14ac:dyDescent="0.2">
      <c r="A1230" s="345"/>
      <c r="B1230" s="164" t="s">
        <v>3269</v>
      </c>
      <c r="C1230" s="146"/>
      <c r="D1230" s="831" t="s">
        <v>3270</v>
      </c>
      <c r="E1230" s="609"/>
      <c r="F1230" s="562"/>
      <c r="G1230" s="562"/>
    </row>
    <row r="1231" spans="1:7" s="497" customFormat="1" ht="15.75" hidden="1" customHeight="1" x14ac:dyDescent="0.2">
      <c r="A1231" s="345"/>
      <c r="B1231" s="165"/>
      <c r="C1231" s="165"/>
      <c r="D1231" s="792"/>
      <c r="E1231" s="609"/>
      <c r="F1231" s="562"/>
      <c r="G1231" s="562"/>
    </row>
    <row r="1232" spans="1:7" ht="16" hidden="1" thickTop="1" x14ac:dyDescent="0.2">
      <c r="A1232" s="345"/>
      <c r="B1232" s="161" t="s">
        <v>3271</v>
      </c>
      <c r="C1232" s="186"/>
      <c r="D1232" s="205" t="s">
        <v>3272</v>
      </c>
      <c r="E1232" s="609"/>
      <c r="F1232" s="562"/>
      <c r="G1232" s="562"/>
    </row>
    <row r="1233" spans="1:7" ht="17" hidden="1" thickTop="1" thickBot="1" x14ac:dyDescent="0.25">
      <c r="A1233" s="354"/>
      <c r="B1233" s="143" t="s">
        <v>3273</v>
      </c>
      <c r="C1233" s="185"/>
      <c r="D1233" s="626" t="s">
        <v>3274</v>
      </c>
      <c r="E1233" s="622"/>
      <c r="F1233" s="562"/>
      <c r="G1233" s="562"/>
    </row>
    <row r="1234" spans="1:7" ht="15.75" hidden="1" customHeight="1" thickTop="1" x14ac:dyDescent="0.2">
      <c r="A1234" s="75" t="s">
        <v>3275</v>
      </c>
      <c r="B1234" s="3"/>
      <c r="C1234" s="3"/>
      <c r="D1234" s="775" t="s">
        <v>3276</v>
      </c>
      <c r="E1234" s="609"/>
      <c r="F1234" s="562"/>
      <c r="G1234" s="562"/>
    </row>
    <row r="1235" spans="1:7" ht="15.75" hidden="1" customHeight="1" x14ac:dyDescent="0.2">
      <c r="A1235" s="388"/>
      <c r="B1235" s="3"/>
      <c r="C1235" s="3"/>
      <c r="D1235" s="775"/>
      <c r="E1235" s="609"/>
      <c r="F1235" s="562"/>
      <c r="G1235" s="562"/>
    </row>
    <row r="1236" spans="1:7" ht="15.75" hidden="1" customHeight="1" x14ac:dyDescent="0.2">
      <c r="A1236" s="388"/>
      <c r="B1236" s="3"/>
      <c r="C1236" s="3"/>
      <c r="D1236" s="775"/>
      <c r="E1236" s="609"/>
      <c r="F1236" s="562"/>
      <c r="G1236" s="562"/>
    </row>
    <row r="1237" spans="1:7" ht="15.75" hidden="1" customHeight="1" x14ac:dyDescent="0.2">
      <c r="A1237" s="388"/>
      <c r="B1237" s="3"/>
      <c r="C1237" s="3"/>
      <c r="D1237" s="775"/>
      <c r="E1237" s="609"/>
      <c r="F1237" s="562"/>
      <c r="G1237" s="562"/>
    </row>
    <row r="1238" spans="1:7" ht="15.75" hidden="1" customHeight="1" x14ac:dyDescent="0.2">
      <c r="A1238" s="345"/>
      <c r="B1238" s="134" t="s">
        <v>2181</v>
      </c>
      <c r="C1238" s="98"/>
      <c r="D1238" s="659" t="s">
        <v>3277</v>
      </c>
      <c r="E1238" s="609"/>
      <c r="F1238" s="562"/>
      <c r="G1238" s="562"/>
    </row>
    <row r="1239" spans="1:7" ht="15.75" hidden="1" customHeight="1" x14ac:dyDescent="0.2">
      <c r="A1239" s="345"/>
      <c r="B1239" s="134" t="s">
        <v>2183</v>
      </c>
      <c r="C1239" s="98"/>
      <c r="D1239" s="659" t="s">
        <v>3278</v>
      </c>
      <c r="E1239" s="609"/>
      <c r="F1239" s="562"/>
      <c r="G1239" s="562"/>
    </row>
    <row r="1240" spans="1:7" ht="15.75" hidden="1" customHeight="1" x14ac:dyDescent="0.2">
      <c r="A1240" s="345"/>
      <c r="B1240" s="134" t="s">
        <v>2185</v>
      </c>
      <c r="C1240" s="98"/>
      <c r="D1240" s="659" t="s">
        <v>3279</v>
      </c>
      <c r="E1240" s="609"/>
      <c r="F1240" s="562"/>
      <c r="G1240" s="562"/>
    </row>
    <row r="1241" spans="1:7" ht="15.75" hidden="1" customHeight="1" x14ac:dyDescent="0.2">
      <c r="A1241" s="345"/>
      <c r="B1241" s="134" t="s">
        <v>2192</v>
      </c>
      <c r="C1241" s="98"/>
      <c r="D1241" s="659" t="s">
        <v>3280</v>
      </c>
      <c r="E1241" s="609"/>
      <c r="F1241" s="562"/>
      <c r="G1241" s="562"/>
    </row>
    <row r="1242" spans="1:7" ht="15.75" hidden="1" customHeight="1" x14ac:dyDescent="0.2">
      <c r="A1242" s="345"/>
      <c r="B1242" s="134" t="s">
        <v>2194</v>
      </c>
      <c r="C1242" s="98"/>
      <c r="D1242" s="659" t="s">
        <v>3281</v>
      </c>
      <c r="E1242" s="609"/>
      <c r="F1242" s="562"/>
      <c r="G1242" s="562"/>
    </row>
    <row r="1243" spans="1:7" ht="15.75" hidden="1" customHeight="1" x14ac:dyDescent="0.2">
      <c r="A1243" s="345"/>
      <c r="B1243" s="134" t="s">
        <v>2221</v>
      </c>
      <c r="C1243" s="98"/>
      <c r="D1243" s="659" t="s">
        <v>3282</v>
      </c>
      <c r="E1243" s="609"/>
      <c r="F1243" s="562"/>
      <c r="G1243" s="562"/>
    </row>
    <row r="1244" spans="1:7" ht="15.75" hidden="1" customHeight="1" x14ac:dyDescent="0.2">
      <c r="A1244" s="345"/>
      <c r="B1244" s="20" t="s">
        <v>2223</v>
      </c>
      <c r="C1244" s="3"/>
      <c r="D1244" s="661" t="s">
        <v>3283</v>
      </c>
      <c r="E1244" s="609"/>
      <c r="F1244" s="562"/>
      <c r="G1244" s="562"/>
    </row>
    <row r="1245" spans="1:7" ht="20" hidden="1" thickTop="1" x14ac:dyDescent="0.25">
      <c r="A1245" s="45" t="s">
        <v>3284</v>
      </c>
      <c r="B1245" s="16"/>
      <c r="C1245" s="16"/>
      <c r="D1245" s="179"/>
      <c r="E1245" s="264"/>
      <c r="F1245" s="562"/>
      <c r="G1245" s="562"/>
    </row>
    <row r="1246" spans="1:7" ht="15" hidden="1" customHeight="1" x14ac:dyDescent="0.2">
      <c r="A1246" s="353" t="s">
        <v>3286</v>
      </c>
      <c r="B1246" s="98"/>
      <c r="C1246" s="98"/>
      <c r="D1246" s="820" t="s">
        <v>3287</v>
      </c>
      <c r="E1246" s="607"/>
      <c r="F1246" s="562"/>
      <c r="G1246" s="562"/>
    </row>
    <row r="1247" spans="1:7" ht="16" hidden="1" thickTop="1" x14ac:dyDescent="0.2">
      <c r="A1247" s="388"/>
      <c r="B1247" s="98"/>
      <c r="C1247" s="98"/>
      <c r="D1247" s="820"/>
      <c r="E1247" s="607"/>
      <c r="F1247" s="562"/>
      <c r="G1247" s="562"/>
    </row>
    <row r="1248" spans="1:7" ht="16" hidden="1" thickTop="1" x14ac:dyDescent="0.2">
      <c r="A1248" s="388"/>
      <c r="B1248" s="98"/>
      <c r="C1248" s="98"/>
      <c r="D1248" s="820"/>
      <c r="E1248" s="607"/>
      <c r="F1248" s="562"/>
      <c r="G1248" s="562"/>
    </row>
    <row r="1249" spans="1:7" ht="16" hidden="1" thickTop="1" x14ac:dyDescent="0.2">
      <c r="A1249" s="388"/>
      <c r="B1249" s="98"/>
      <c r="C1249" s="98"/>
      <c r="D1249" s="820"/>
      <c r="E1249" s="607"/>
      <c r="F1249" s="562"/>
      <c r="G1249" s="562"/>
    </row>
    <row r="1250" spans="1:7" ht="16" hidden="1" thickTop="1" x14ac:dyDescent="0.2">
      <c r="A1250" s="388"/>
      <c r="B1250" s="98"/>
      <c r="C1250" s="98"/>
      <c r="D1250" s="820"/>
      <c r="E1250" s="607"/>
      <c r="F1250" s="562"/>
      <c r="G1250" s="562"/>
    </row>
    <row r="1251" spans="1:7" ht="17" hidden="1" thickTop="1" thickBot="1" x14ac:dyDescent="0.25">
      <c r="A1251" s="354"/>
      <c r="B1251" s="185"/>
      <c r="C1251" s="185"/>
      <c r="D1251" s="822"/>
      <c r="E1251" s="622"/>
      <c r="F1251" s="562"/>
      <c r="G1251" s="562"/>
    </row>
    <row r="1252" spans="1:7" ht="15.75" hidden="1" customHeight="1" thickTop="1" x14ac:dyDescent="0.2">
      <c r="A1252" s="107" t="s">
        <v>3288</v>
      </c>
      <c r="B1252" s="3"/>
      <c r="C1252" s="3"/>
      <c r="D1252" s="775" t="s">
        <v>3289</v>
      </c>
      <c r="E1252" s="885"/>
      <c r="F1252" s="562"/>
      <c r="G1252" s="562"/>
    </row>
    <row r="1253" spans="1:7" ht="16" hidden="1" thickTop="1" x14ac:dyDescent="0.2">
      <c r="A1253" s="345"/>
      <c r="B1253" s="3"/>
      <c r="C1253" s="3"/>
      <c r="D1253" s="775"/>
      <c r="E1253" s="885"/>
      <c r="F1253" s="562"/>
      <c r="G1253" s="562"/>
    </row>
    <row r="1254" spans="1:7" ht="16" hidden="1" thickTop="1" x14ac:dyDescent="0.2">
      <c r="A1254" s="345"/>
      <c r="B1254" s="3"/>
      <c r="C1254" s="3"/>
      <c r="D1254" s="176" t="s">
        <v>3290</v>
      </c>
      <c r="E1254" s="885"/>
      <c r="F1254" s="562"/>
      <c r="G1254" s="562"/>
    </row>
    <row r="1255" spans="1:7" ht="15" hidden="1" customHeight="1" x14ac:dyDescent="0.2">
      <c r="A1255" s="345"/>
      <c r="B1255" s="20" t="s">
        <v>2181</v>
      </c>
      <c r="C1255" s="3"/>
      <c r="D1255" s="817" t="s">
        <v>3291</v>
      </c>
      <c r="E1255" s="609"/>
      <c r="F1255" s="562"/>
      <c r="G1255" s="562"/>
    </row>
    <row r="1256" spans="1:7" ht="15.75" hidden="1" customHeight="1" x14ac:dyDescent="0.2">
      <c r="A1256" s="345"/>
      <c r="B1256" s="20"/>
      <c r="C1256" s="3"/>
      <c r="D1256" s="817"/>
      <c r="E1256" s="609"/>
      <c r="F1256" s="562"/>
      <c r="G1256" s="562"/>
    </row>
    <row r="1257" spans="1:7" ht="15.75" hidden="1" customHeight="1" x14ac:dyDescent="0.2">
      <c r="A1257" s="345"/>
      <c r="B1257" s="20"/>
      <c r="C1257" s="3"/>
      <c r="D1257" s="817"/>
      <c r="E1257" s="609"/>
      <c r="F1257" s="562"/>
      <c r="G1257" s="562"/>
    </row>
    <row r="1258" spans="1:7" ht="15" hidden="1" customHeight="1" x14ac:dyDescent="0.2">
      <c r="A1258" s="345"/>
      <c r="B1258" s="164" t="s">
        <v>2183</v>
      </c>
      <c r="C1258" s="146"/>
      <c r="D1258" s="831" t="s">
        <v>3292</v>
      </c>
      <c r="E1258" s="609"/>
      <c r="F1258" s="562"/>
      <c r="G1258" s="562"/>
    </row>
    <row r="1259" spans="1:7" ht="15.75" hidden="1" customHeight="1" x14ac:dyDescent="0.2">
      <c r="A1259" s="345"/>
      <c r="B1259" s="134"/>
      <c r="C1259" s="98"/>
      <c r="D1259" s="791"/>
      <c r="E1259" s="609"/>
      <c r="F1259" s="562"/>
      <c r="G1259" s="562"/>
    </row>
    <row r="1260" spans="1:7" ht="15.75" hidden="1" customHeight="1" x14ac:dyDescent="0.2">
      <c r="A1260" s="345"/>
      <c r="B1260" s="159"/>
      <c r="C1260" s="165"/>
      <c r="D1260" s="792"/>
      <c r="E1260" s="609"/>
      <c r="F1260" s="562"/>
      <c r="G1260" s="562"/>
    </row>
    <row r="1261" spans="1:7" ht="15" hidden="1" customHeight="1" x14ac:dyDescent="0.2">
      <c r="A1261" s="345"/>
      <c r="B1261" s="20" t="s">
        <v>2185</v>
      </c>
      <c r="C1261" s="3"/>
      <c r="D1261" s="817" t="s">
        <v>3293</v>
      </c>
      <c r="E1261" s="609"/>
      <c r="F1261" s="562"/>
      <c r="G1261" s="562"/>
    </row>
    <row r="1262" spans="1:7" ht="15.75" hidden="1" customHeight="1" x14ac:dyDescent="0.2">
      <c r="A1262" s="345"/>
      <c r="B1262" s="20"/>
      <c r="C1262" s="3"/>
      <c r="D1262" s="817"/>
      <c r="E1262" s="609"/>
      <c r="F1262" s="562"/>
      <c r="G1262" s="562"/>
    </row>
    <row r="1263" spans="1:7" ht="16" hidden="1" thickTop="1" x14ac:dyDescent="0.2">
      <c r="A1263" s="345"/>
      <c r="B1263" s="161" t="s">
        <v>2192</v>
      </c>
      <c r="C1263" s="186"/>
      <c r="D1263" s="205" t="s">
        <v>3294</v>
      </c>
      <c r="E1263" s="609"/>
      <c r="F1263" s="562"/>
      <c r="G1263" s="562"/>
    </row>
    <row r="1264" spans="1:7" ht="15" hidden="1" customHeight="1" x14ac:dyDescent="0.2">
      <c r="A1264" s="345"/>
      <c r="B1264" s="20" t="s">
        <v>2194</v>
      </c>
      <c r="C1264" s="3"/>
      <c r="D1264" s="817" t="s">
        <v>3295</v>
      </c>
      <c r="E1264" s="609"/>
      <c r="F1264" s="562"/>
      <c r="G1264" s="562"/>
    </row>
    <row r="1265" spans="1:7" ht="15.75" hidden="1" customHeight="1" x14ac:dyDescent="0.2">
      <c r="A1265" s="345"/>
      <c r="B1265" s="20"/>
      <c r="C1265" s="3"/>
      <c r="D1265" s="817"/>
      <c r="E1265" s="609"/>
      <c r="F1265" s="562"/>
      <c r="G1265" s="562"/>
    </row>
    <row r="1266" spans="1:7" ht="16" hidden="1" thickTop="1" x14ac:dyDescent="0.2">
      <c r="A1266" s="345"/>
      <c r="B1266" s="161" t="s">
        <v>2221</v>
      </c>
      <c r="C1266" s="186"/>
      <c r="D1266" s="205" t="s">
        <v>3244</v>
      </c>
      <c r="E1266" s="609"/>
      <c r="F1266" s="562"/>
      <c r="G1266" s="562"/>
    </row>
    <row r="1267" spans="1:7" ht="16" hidden="1" thickTop="1" x14ac:dyDescent="0.2">
      <c r="A1267" s="345"/>
      <c r="B1267" s="161" t="s">
        <v>2223</v>
      </c>
      <c r="C1267" s="186"/>
      <c r="D1267" s="205" t="s">
        <v>3296</v>
      </c>
      <c r="E1267" s="609"/>
      <c r="F1267" s="562"/>
      <c r="G1267" s="562"/>
    </row>
    <row r="1268" spans="1:7" ht="15" hidden="1" customHeight="1" x14ac:dyDescent="0.2">
      <c r="A1268" s="388"/>
      <c r="B1268" s="134" t="s">
        <v>2282</v>
      </c>
      <c r="C1268" s="98"/>
      <c r="D1268" s="791" t="s">
        <v>3297</v>
      </c>
      <c r="E1268" s="607"/>
      <c r="F1268" s="562"/>
      <c r="G1268" s="562"/>
    </row>
    <row r="1269" spans="1:7" ht="16.5" hidden="1" customHeight="1" thickBot="1" x14ac:dyDescent="0.25">
      <c r="A1269" s="354"/>
      <c r="B1269" s="185"/>
      <c r="C1269" s="185"/>
      <c r="D1269" s="818"/>
      <c r="E1269" s="622"/>
      <c r="F1269" s="562"/>
      <c r="G1269" s="562"/>
    </row>
    <row r="1270" spans="1:7" ht="15.75" hidden="1" customHeight="1" thickTop="1" x14ac:dyDescent="0.2">
      <c r="A1270" s="75" t="s">
        <v>3298</v>
      </c>
      <c r="B1270" s="3"/>
      <c r="C1270" s="3"/>
      <c r="D1270" s="775" t="s">
        <v>3299</v>
      </c>
      <c r="E1270" s="885"/>
      <c r="F1270" s="562"/>
      <c r="G1270" s="562"/>
    </row>
    <row r="1271" spans="1:7" ht="16" hidden="1" thickTop="1" x14ac:dyDescent="0.2">
      <c r="A1271" s="388"/>
      <c r="B1271" s="3"/>
      <c r="C1271" s="3"/>
      <c r="D1271" s="775"/>
      <c r="E1271" s="885"/>
      <c r="F1271" s="562"/>
      <c r="G1271" s="562"/>
    </row>
    <row r="1272" spans="1:7" ht="16" hidden="1" thickTop="1" x14ac:dyDescent="0.2">
      <c r="A1272" s="388"/>
      <c r="B1272" s="3"/>
      <c r="C1272" s="3"/>
      <c r="D1272" s="775"/>
      <c r="E1272" s="885"/>
      <c r="F1272" s="562"/>
      <c r="G1272" s="562"/>
    </row>
    <row r="1273" spans="1:7" ht="16" hidden="1" thickTop="1" x14ac:dyDescent="0.2">
      <c r="A1273" s="345"/>
      <c r="B1273" s="3"/>
      <c r="C1273" s="3"/>
      <c r="D1273" s="177" t="s">
        <v>3290</v>
      </c>
      <c r="E1273" s="885"/>
      <c r="F1273" s="562"/>
      <c r="G1273" s="562"/>
    </row>
    <row r="1274" spans="1:7" ht="15" hidden="1" customHeight="1" x14ac:dyDescent="0.2">
      <c r="A1274" s="345"/>
      <c r="B1274" s="134" t="s">
        <v>2181</v>
      </c>
      <c r="C1274" s="98"/>
      <c r="D1274" s="791" t="s">
        <v>3300</v>
      </c>
      <c r="E1274" s="609"/>
      <c r="F1274" s="562"/>
      <c r="G1274" s="562"/>
    </row>
    <row r="1275" spans="1:7" ht="15.75" hidden="1" customHeight="1" x14ac:dyDescent="0.2">
      <c r="A1275" s="345"/>
      <c r="B1275" s="159"/>
      <c r="C1275" s="165"/>
      <c r="D1275" s="792"/>
      <c r="E1275" s="609"/>
      <c r="F1275" s="562"/>
      <c r="G1275" s="562"/>
    </row>
    <row r="1276" spans="1:7" ht="15" hidden="1" customHeight="1" x14ac:dyDescent="0.2">
      <c r="A1276" s="345"/>
      <c r="B1276" s="164" t="s">
        <v>2183</v>
      </c>
      <c r="C1276" s="146"/>
      <c r="D1276" s="831" t="s">
        <v>3301</v>
      </c>
      <c r="E1276" s="609"/>
      <c r="F1276" s="562"/>
      <c r="G1276" s="562"/>
    </row>
    <row r="1277" spans="1:7" ht="15.75" hidden="1" customHeight="1" x14ac:dyDescent="0.2">
      <c r="A1277" s="345"/>
      <c r="B1277" s="134"/>
      <c r="C1277" s="98"/>
      <c r="D1277" s="791"/>
      <c r="E1277" s="609"/>
      <c r="F1277" s="562"/>
      <c r="G1277" s="562"/>
    </row>
    <row r="1278" spans="1:7" ht="15.75" hidden="1" customHeight="1" x14ac:dyDescent="0.2">
      <c r="A1278" s="345"/>
      <c r="B1278" s="159"/>
      <c r="C1278" s="165"/>
      <c r="D1278" s="792"/>
      <c r="E1278" s="609"/>
      <c r="F1278" s="562"/>
      <c r="G1278" s="562"/>
    </row>
    <row r="1279" spans="1:7" ht="15" hidden="1" customHeight="1" x14ac:dyDescent="0.2">
      <c r="A1279" s="345"/>
      <c r="B1279" s="164" t="s">
        <v>2185</v>
      </c>
      <c r="C1279" s="146"/>
      <c r="D1279" s="831" t="s">
        <v>3260</v>
      </c>
      <c r="E1279" s="609"/>
      <c r="F1279" s="562"/>
      <c r="G1279" s="562"/>
    </row>
    <row r="1280" spans="1:7" ht="15.75" hidden="1" customHeight="1" x14ac:dyDescent="0.2">
      <c r="A1280" s="345"/>
      <c r="B1280" s="165"/>
      <c r="C1280" s="165"/>
      <c r="D1280" s="792"/>
      <c r="E1280" s="609"/>
      <c r="F1280" s="562"/>
      <c r="G1280" s="562"/>
    </row>
    <row r="1281" spans="1:7" ht="15" hidden="1" customHeight="1" x14ac:dyDescent="0.2">
      <c r="A1281" s="345"/>
      <c r="B1281" s="20" t="s">
        <v>2192</v>
      </c>
      <c r="C1281" s="3"/>
      <c r="D1281" s="817" t="s">
        <v>3302</v>
      </c>
      <c r="E1281" s="609"/>
      <c r="F1281" s="562"/>
      <c r="G1281" s="562"/>
    </row>
    <row r="1282" spans="1:7" ht="15.75" hidden="1" customHeight="1" x14ac:dyDescent="0.2">
      <c r="A1282" s="345"/>
      <c r="B1282" s="3"/>
      <c r="C1282" s="3"/>
      <c r="D1282" s="817"/>
      <c r="E1282" s="609"/>
      <c r="F1282" s="562"/>
      <c r="G1282" s="562"/>
    </row>
    <row r="1283" spans="1:7" ht="15.75" hidden="1" customHeight="1" x14ac:dyDescent="0.2">
      <c r="A1283" s="345"/>
      <c r="B1283" s="3"/>
      <c r="C1283" s="3"/>
      <c r="D1283" s="817"/>
      <c r="E1283" s="609"/>
      <c r="F1283" s="562"/>
      <c r="G1283" s="562"/>
    </row>
    <row r="1284" spans="1:7" ht="15" hidden="1" customHeight="1" x14ac:dyDescent="0.2">
      <c r="A1284" s="345"/>
      <c r="B1284" s="164" t="s">
        <v>2194</v>
      </c>
      <c r="C1284" s="146"/>
      <c r="D1284" s="831" t="s">
        <v>3303</v>
      </c>
      <c r="E1284" s="609"/>
      <c r="F1284" s="562"/>
      <c r="G1284" s="562"/>
    </row>
    <row r="1285" spans="1:7" ht="15.75" hidden="1" customHeight="1" x14ac:dyDescent="0.2">
      <c r="A1285" s="345"/>
      <c r="B1285" s="159"/>
      <c r="C1285" s="165"/>
      <c r="D1285" s="792"/>
      <c r="E1285" s="609"/>
      <c r="F1285" s="562"/>
      <c r="G1285" s="562"/>
    </row>
    <row r="1286" spans="1:7" ht="16" hidden="1" thickTop="1" x14ac:dyDescent="0.2">
      <c r="A1286" s="345"/>
      <c r="B1286" s="20" t="s">
        <v>2221</v>
      </c>
      <c r="C1286" s="3"/>
      <c r="D1286" s="632" t="s">
        <v>3243</v>
      </c>
      <c r="E1286" s="609"/>
      <c r="F1286" s="562"/>
      <c r="G1286" s="562"/>
    </row>
    <row r="1287" spans="1:7" ht="15" hidden="1" customHeight="1" x14ac:dyDescent="0.2">
      <c r="A1287" s="345"/>
      <c r="B1287" s="164" t="s">
        <v>2223</v>
      </c>
      <c r="C1287" s="146"/>
      <c r="D1287" s="831" t="s">
        <v>3304</v>
      </c>
      <c r="E1287" s="609"/>
      <c r="F1287" s="562"/>
      <c r="G1287" s="562"/>
    </row>
    <row r="1288" spans="1:7" ht="15.75" hidden="1" customHeight="1" x14ac:dyDescent="0.2">
      <c r="A1288" s="345"/>
      <c r="B1288" s="165"/>
      <c r="C1288" s="165"/>
      <c r="D1288" s="792"/>
      <c r="E1288" s="609"/>
      <c r="F1288" s="562"/>
      <c r="G1288" s="562"/>
    </row>
    <row r="1289" spans="1:7" ht="15" hidden="1" customHeight="1" x14ac:dyDescent="0.2">
      <c r="A1289" s="345"/>
      <c r="B1289" s="20" t="s">
        <v>2282</v>
      </c>
      <c r="C1289" s="3"/>
      <c r="D1289" s="848" t="s">
        <v>3258</v>
      </c>
      <c r="E1289" s="609"/>
      <c r="F1289" s="562"/>
      <c r="G1289" s="562"/>
    </row>
    <row r="1290" spans="1:7" ht="15.75" hidden="1" customHeight="1" x14ac:dyDescent="0.2">
      <c r="A1290" s="345"/>
      <c r="B1290" s="20"/>
      <c r="C1290" s="3"/>
      <c r="D1290" s="848"/>
      <c r="E1290" s="609"/>
      <c r="F1290" s="562"/>
      <c r="G1290" s="562"/>
    </row>
    <row r="1291" spans="1:7" ht="16" hidden="1" thickTop="1" x14ac:dyDescent="0.2">
      <c r="A1291" s="345"/>
      <c r="B1291" s="164" t="s">
        <v>2284</v>
      </c>
      <c r="C1291" s="146"/>
      <c r="D1291" s="638" t="s">
        <v>3305</v>
      </c>
      <c r="E1291" s="609"/>
      <c r="F1291" s="562"/>
      <c r="G1291" s="562"/>
    </row>
    <row r="1292" spans="1:7" ht="15" hidden="1" customHeight="1" x14ac:dyDescent="0.2">
      <c r="A1292" s="345"/>
      <c r="B1292" s="164" t="s">
        <v>2286</v>
      </c>
      <c r="C1292" s="146"/>
      <c r="D1292" s="831" t="s">
        <v>3306</v>
      </c>
      <c r="E1292" s="609"/>
      <c r="F1292" s="562"/>
      <c r="G1292" s="562"/>
    </row>
    <row r="1293" spans="1:7" ht="15.75" hidden="1" customHeight="1" x14ac:dyDescent="0.2">
      <c r="A1293" s="345"/>
      <c r="B1293" s="134"/>
      <c r="C1293" s="98"/>
      <c r="D1293" s="791"/>
      <c r="E1293" s="609"/>
      <c r="F1293" s="562"/>
      <c r="G1293" s="562"/>
    </row>
    <row r="1294" spans="1:7" ht="15.75" hidden="1" customHeight="1" x14ac:dyDescent="0.2">
      <c r="A1294" s="345"/>
      <c r="B1294" s="159"/>
      <c r="C1294" s="165"/>
      <c r="D1294" s="792"/>
      <c r="E1294" s="609"/>
      <c r="F1294" s="562"/>
      <c r="G1294" s="562"/>
    </row>
    <row r="1295" spans="1:7" ht="15" hidden="1" customHeight="1" x14ac:dyDescent="0.2">
      <c r="A1295" s="388"/>
      <c r="B1295" s="134" t="s">
        <v>2288</v>
      </c>
      <c r="C1295" s="98"/>
      <c r="D1295" s="776" t="s">
        <v>3307</v>
      </c>
      <c r="E1295" s="607"/>
      <c r="F1295" s="562"/>
      <c r="G1295" s="562"/>
    </row>
    <row r="1296" spans="1:7" ht="16.5" hidden="1" customHeight="1" thickBot="1" x14ac:dyDescent="0.25">
      <c r="A1296" s="354"/>
      <c r="B1296" s="143"/>
      <c r="C1296" s="185"/>
      <c r="D1296" s="828"/>
      <c r="E1296" s="622"/>
      <c r="F1296" s="562"/>
      <c r="G1296" s="562"/>
    </row>
    <row r="1297" spans="1:7" ht="15.75" hidden="1" customHeight="1" thickTop="1" x14ac:dyDescent="0.2">
      <c r="A1297" s="75" t="s">
        <v>3308</v>
      </c>
      <c r="B1297" s="3"/>
      <c r="C1297" s="3"/>
      <c r="D1297" s="775" t="s">
        <v>3309</v>
      </c>
      <c r="E1297" s="885"/>
      <c r="F1297" s="562"/>
      <c r="G1297" s="562"/>
    </row>
    <row r="1298" spans="1:7" ht="16" hidden="1" thickTop="1" x14ac:dyDescent="0.2">
      <c r="A1298" s="388"/>
      <c r="B1298" s="3"/>
      <c r="C1298" s="3"/>
      <c r="D1298" s="775"/>
      <c r="E1298" s="885"/>
      <c r="F1298" s="562"/>
      <c r="G1298" s="562"/>
    </row>
    <row r="1299" spans="1:7" ht="16" hidden="1" thickTop="1" x14ac:dyDescent="0.2">
      <c r="A1299" s="388"/>
      <c r="B1299" s="3"/>
      <c r="C1299" s="3"/>
      <c r="D1299" s="775"/>
      <c r="E1299" s="885"/>
      <c r="F1299" s="562"/>
      <c r="G1299" s="562"/>
    </row>
    <row r="1300" spans="1:7" ht="16" hidden="1" thickTop="1" x14ac:dyDescent="0.2">
      <c r="A1300" s="345"/>
      <c r="B1300" s="3"/>
      <c r="C1300" s="3"/>
      <c r="D1300" s="177" t="s">
        <v>3290</v>
      </c>
      <c r="E1300" s="885"/>
      <c r="F1300" s="562"/>
      <c r="G1300" s="562"/>
    </row>
    <row r="1301" spans="1:7" ht="15" hidden="1" customHeight="1" x14ac:dyDescent="0.2">
      <c r="A1301" s="345"/>
      <c r="B1301" s="134" t="s">
        <v>2181</v>
      </c>
      <c r="C1301" s="98"/>
      <c r="D1301" s="791" t="s">
        <v>3310</v>
      </c>
      <c r="E1301" s="609"/>
      <c r="F1301" s="562"/>
      <c r="G1301" s="562"/>
    </row>
    <row r="1302" spans="1:7" ht="15.75" hidden="1" customHeight="1" x14ac:dyDescent="0.2">
      <c r="A1302" s="345"/>
      <c r="B1302" s="159"/>
      <c r="C1302" s="165"/>
      <c r="D1302" s="792"/>
      <c r="E1302" s="609"/>
      <c r="F1302" s="562"/>
      <c r="G1302" s="562"/>
    </row>
    <row r="1303" spans="1:7" ht="15" hidden="1" customHeight="1" x14ac:dyDescent="0.2">
      <c r="A1303" s="345"/>
      <c r="B1303" s="164" t="s">
        <v>2183</v>
      </c>
      <c r="C1303" s="146"/>
      <c r="D1303" s="831" t="s">
        <v>3250</v>
      </c>
      <c r="E1303" s="609"/>
      <c r="F1303" s="562"/>
      <c r="G1303" s="562"/>
    </row>
    <row r="1304" spans="1:7" ht="15.75" hidden="1" customHeight="1" x14ac:dyDescent="0.2">
      <c r="A1304" s="345"/>
      <c r="B1304" s="98"/>
      <c r="C1304" s="98"/>
      <c r="D1304" s="791"/>
      <c r="E1304" s="609"/>
      <c r="F1304" s="562"/>
      <c r="G1304" s="562"/>
    </row>
    <row r="1305" spans="1:7" ht="15.75" hidden="1" customHeight="1" x14ac:dyDescent="0.2">
      <c r="A1305" s="345"/>
      <c r="B1305" s="98"/>
      <c r="C1305" s="98"/>
      <c r="D1305" s="791"/>
      <c r="E1305" s="609"/>
      <c r="F1305" s="562"/>
      <c r="G1305" s="562"/>
    </row>
    <row r="1306" spans="1:7" ht="15.75" hidden="1" customHeight="1" x14ac:dyDescent="0.2">
      <c r="A1306" s="345"/>
      <c r="B1306" s="165"/>
      <c r="C1306" s="165"/>
      <c r="D1306" s="792"/>
      <c r="E1306" s="609"/>
      <c r="F1306" s="562"/>
      <c r="G1306" s="562"/>
    </row>
    <row r="1307" spans="1:7" ht="15.75" hidden="1" customHeight="1" x14ac:dyDescent="0.2">
      <c r="A1307" s="345"/>
      <c r="B1307" s="164" t="s">
        <v>2185</v>
      </c>
      <c r="C1307" s="146"/>
      <c r="D1307" s="657" t="s">
        <v>3311</v>
      </c>
      <c r="E1307" s="609"/>
      <c r="F1307" s="562"/>
      <c r="G1307" s="562"/>
    </row>
    <row r="1308" spans="1:7" ht="15.75" hidden="1" customHeight="1" x14ac:dyDescent="0.2">
      <c r="A1308" s="345"/>
      <c r="B1308" s="98"/>
      <c r="C1308" s="134" t="s">
        <v>2196</v>
      </c>
      <c r="D1308" s="659" t="s">
        <v>3312</v>
      </c>
      <c r="E1308" s="609"/>
      <c r="F1308" s="562"/>
      <c r="G1308" s="562"/>
    </row>
    <row r="1309" spans="1:7" ht="15.75" hidden="1" customHeight="1" x14ac:dyDescent="0.2">
      <c r="A1309" s="345"/>
      <c r="B1309" s="98"/>
      <c r="C1309" s="134" t="s">
        <v>2198</v>
      </c>
      <c r="D1309" s="659" t="s">
        <v>3313</v>
      </c>
      <c r="E1309" s="609"/>
      <c r="F1309" s="562"/>
      <c r="G1309" s="562"/>
    </row>
    <row r="1310" spans="1:7" ht="15.75" hidden="1" customHeight="1" x14ac:dyDescent="0.2">
      <c r="A1310" s="345"/>
      <c r="B1310" s="98"/>
      <c r="C1310" s="134" t="s">
        <v>2200</v>
      </c>
      <c r="D1310" s="659" t="s">
        <v>3314</v>
      </c>
      <c r="E1310" s="609"/>
      <c r="F1310" s="562"/>
      <c r="G1310" s="562"/>
    </row>
    <row r="1311" spans="1:7" ht="15.75" hidden="1" customHeight="1" x14ac:dyDescent="0.2">
      <c r="A1311" s="345"/>
      <c r="B1311" s="98"/>
      <c r="C1311" s="134" t="s">
        <v>2247</v>
      </c>
      <c r="D1311" s="659" t="s">
        <v>3315</v>
      </c>
      <c r="E1311" s="609"/>
      <c r="F1311" s="562"/>
      <c r="G1311" s="562"/>
    </row>
    <row r="1312" spans="1:7" ht="15.75" hidden="1" customHeight="1" x14ac:dyDescent="0.2">
      <c r="A1312" s="345"/>
      <c r="B1312" s="98"/>
      <c r="C1312" s="134" t="s">
        <v>2444</v>
      </c>
      <c r="D1312" s="659" t="s">
        <v>3316</v>
      </c>
      <c r="E1312" s="609"/>
      <c r="F1312" s="562"/>
      <c r="G1312" s="562"/>
    </row>
    <row r="1313" spans="1:7" ht="15.75" hidden="1" customHeight="1" x14ac:dyDescent="0.2">
      <c r="A1313" s="345"/>
      <c r="B1313" s="165"/>
      <c r="C1313" s="159" t="s">
        <v>2540</v>
      </c>
      <c r="D1313" s="658" t="s">
        <v>3317</v>
      </c>
      <c r="E1313" s="609"/>
      <c r="F1313" s="562"/>
      <c r="G1313" s="562"/>
    </row>
    <row r="1314" spans="1:7" ht="15" hidden="1" customHeight="1" x14ac:dyDescent="0.2">
      <c r="A1314" s="345"/>
      <c r="B1314" s="20" t="s">
        <v>2192</v>
      </c>
      <c r="C1314" s="3"/>
      <c r="D1314" s="817" t="s">
        <v>3254</v>
      </c>
      <c r="E1314" s="609"/>
      <c r="F1314" s="562"/>
      <c r="G1314" s="562"/>
    </row>
    <row r="1315" spans="1:7" ht="15.75" hidden="1" customHeight="1" x14ac:dyDescent="0.2">
      <c r="A1315" s="345"/>
      <c r="B1315" s="3"/>
      <c r="C1315" s="3"/>
      <c r="D1315" s="817"/>
      <c r="E1315" s="609"/>
      <c r="F1315" s="562"/>
      <c r="G1315" s="562"/>
    </row>
    <row r="1316" spans="1:7" ht="16" hidden="1" thickTop="1" x14ac:dyDescent="0.2">
      <c r="A1316" s="345"/>
      <c r="B1316" s="161" t="s">
        <v>2194</v>
      </c>
      <c r="C1316" s="186"/>
      <c r="D1316" s="187" t="s">
        <v>3256</v>
      </c>
      <c r="E1316" s="609"/>
      <c r="F1316" s="562"/>
      <c r="G1316" s="562"/>
    </row>
    <row r="1317" spans="1:7" ht="15" hidden="1" customHeight="1" x14ac:dyDescent="0.2">
      <c r="A1317" s="345"/>
      <c r="B1317" s="20" t="s">
        <v>2221</v>
      </c>
      <c r="C1317" s="3"/>
      <c r="D1317" s="817" t="s">
        <v>3318</v>
      </c>
      <c r="E1317" s="609"/>
      <c r="F1317" s="562"/>
      <c r="G1317" s="562"/>
    </row>
    <row r="1318" spans="1:7" ht="15.75" hidden="1" customHeight="1" x14ac:dyDescent="0.2">
      <c r="A1318" s="345"/>
      <c r="B1318" s="20"/>
      <c r="C1318" s="3"/>
      <c r="D1318" s="817"/>
      <c r="E1318" s="609"/>
      <c r="F1318" s="562"/>
      <c r="G1318" s="562"/>
    </row>
    <row r="1319" spans="1:7" ht="16" hidden="1" thickTop="1" x14ac:dyDescent="0.2">
      <c r="A1319" s="345"/>
      <c r="B1319" s="161" t="s">
        <v>2223</v>
      </c>
      <c r="C1319" s="186"/>
      <c r="D1319" s="187" t="s">
        <v>3262</v>
      </c>
      <c r="E1319" s="609"/>
      <c r="F1319" s="562"/>
      <c r="G1319" s="562"/>
    </row>
    <row r="1320" spans="1:7" ht="16" hidden="1" thickTop="1" x14ac:dyDescent="0.2">
      <c r="A1320" s="345"/>
      <c r="B1320" s="20" t="s">
        <v>2282</v>
      </c>
      <c r="C1320" s="3"/>
      <c r="D1320" s="661" t="s">
        <v>3319</v>
      </c>
      <c r="E1320" s="609"/>
      <c r="F1320" s="562"/>
      <c r="G1320" s="562"/>
    </row>
    <row r="1321" spans="1:7" ht="16" hidden="1" thickTop="1" x14ac:dyDescent="0.2">
      <c r="A1321" s="345"/>
      <c r="B1321" s="161" t="s">
        <v>2284</v>
      </c>
      <c r="C1321" s="186"/>
      <c r="D1321" s="187" t="s">
        <v>3320</v>
      </c>
      <c r="E1321" s="609"/>
      <c r="F1321" s="562"/>
      <c r="G1321" s="562"/>
    </row>
    <row r="1322" spans="1:7" ht="17" hidden="1" thickTop="1" thickBot="1" x14ac:dyDescent="0.25">
      <c r="A1322" s="354"/>
      <c r="B1322" s="143" t="s">
        <v>2286</v>
      </c>
      <c r="C1322" s="185"/>
      <c r="D1322" s="660" t="s">
        <v>3321</v>
      </c>
      <c r="E1322" s="622"/>
      <c r="F1322" s="562"/>
      <c r="G1322" s="562"/>
    </row>
    <row r="1323" spans="1:7" ht="15.75" hidden="1" customHeight="1" thickTop="1" x14ac:dyDescent="0.2">
      <c r="A1323" s="75" t="s">
        <v>3322</v>
      </c>
      <c r="B1323" s="3"/>
      <c r="C1323" s="3"/>
      <c r="D1323" s="775" t="s">
        <v>3323</v>
      </c>
      <c r="E1323" s="609"/>
      <c r="F1323" s="562"/>
      <c r="G1323" s="562"/>
    </row>
    <row r="1324" spans="1:7" ht="15.75" hidden="1" customHeight="1" x14ac:dyDescent="0.2">
      <c r="A1324" s="388"/>
      <c r="B1324" s="3"/>
      <c r="C1324" s="3"/>
      <c r="D1324" s="775"/>
      <c r="E1324" s="609"/>
      <c r="F1324" s="562"/>
      <c r="G1324" s="562"/>
    </row>
    <row r="1325" spans="1:7" ht="15.75" hidden="1" customHeight="1" x14ac:dyDescent="0.2">
      <c r="A1325" s="388"/>
      <c r="B1325" s="3"/>
      <c r="C1325" s="3"/>
      <c r="D1325" s="775"/>
      <c r="E1325" s="609"/>
      <c r="F1325" s="562"/>
      <c r="G1325" s="562"/>
    </row>
    <row r="1326" spans="1:7" ht="15.75" hidden="1" customHeight="1" x14ac:dyDescent="0.2">
      <c r="A1326" s="388"/>
      <c r="B1326" s="3"/>
      <c r="C1326" s="3"/>
      <c r="D1326" s="775"/>
      <c r="E1326" s="609"/>
      <c r="F1326" s="562"/>
      <c r="G1326" s="562"/>
    </row>
    <row r="1327" spans="1:7" ht="15.75" hidden="1" customHeight="1" x14ac:dyDescent="0.2">
      <c r="A1327" s="388"/>
      <c r="B1327" s="3"/>
      <c r="C1327" s="3"/>
      <c r="D1327" s="775"/>
      <c r="E1327" s="609"/>
      <c r="F1327" s="562"/>
      <c r="G1327" s="562"/>
    </row>
    <row r="1328" spans="1:7" ht="15.75" hidden="1" customHeight="1" x14ac:dyDescent="0.2">
      <c r="A1328" s="345"/>
      <c r="B1328" s="20" t="s">
        <v>2181</v>
      </c>
      <c r="C1328" s="3"/>
      <c r="D1328" s="661" t="s">
        <v>3312</v>
      </c>
      <c r="E1328" s="609"/>
      <c r="F1328" s="562"/>
      <c r="G1328" s="562"/>
    </row>
    <row r="1329" spans="1:7" ht="15.75" hidden="1" customHeight="1" x14ac:dyDescent="0.2">
      <c r="A1329" s="345"/>
      <c r="B1329" s="20" t="s">
        <v>2183</v>
      </c>
      <c r="C1329" s="3"/>
      <c r="D1329" s="661" t="s">
        <v>3313</v>
      </c>
      <c r="E1329" s="609"/>
      <c r="F1329" s="562"/>
      <c r="G1329" s="562"/>
    </row>
    <row r="1330" spans="1:7" ht="15.75" hidden="1" customHeight="1" x14ac:dyDescent="0.2">
      <c r="A1330" s="345"/>
      <c r="B1330" s="20" t="s">
        <v>2185</v>
      </c>
      <c r="C1330" s="3"/>
      <c r="D1330" s="661" t="s">
        <v>3314</v>
      </c>
      <c r="E1330" s="609"/>
      <c r="F1330" s="562"/>
      <c r="G1330" s="562"/>
    </row>
    <row r="1331" spans="1:7" ht="15.75" hidden="1" customHeight="1" x14ac:dyDescent="0.2">
      <c r="A1331" s="345"/>
      <c r="B1331" s="20" t="s">
        <v>2192</v>
      </c>
      <c r="C1331" s="3"/>
      <c r="D1331" s="661" t="s">
        <v>3324</v>
      </c>
      <c r="E1331" s="609"/>
      <c r="F1331" s="562"/>
      <c r="G1331" s="562"/>
    </row>
    <row r="1332" spans="1:7" ht="15.75" hidden="1" customHeight="1" x14ac:dyDescent="0.2">
      <c r="A1332" s="345"/>
      <c r="B1332" s="20" t="s">
        <v>2194</v>
      </c>
      <c r="C1332" s="3"/>
      <c r="D1332" s="661" t="s">
        <v>3325</v>
      </c>
      <c r="E1332" s="609"/>
      <c r="F1332" s="562"/>
      <c r="G1332" s="562"/>
    </row>
    <row r="1333" spans="1:7" ht="15.75" hidden="1" customHeight="1" x14ac:dyDescent="0.2">
      <c r="A1333" s="345"/>
      <c r="B1333" s="20" t="s">
        <v>2221</v>
      </c>
      <c r="C1333" s="3"/>
      <c r="D1333" s="661" t="s">
        <v>3317</v>
      </c>
      <c r="E1333" s="609"/>
      <c r="F1333" s="562"/>
      <c r="G1333" s="562"/>
    </row>
    <row r="1334" spans="1:7" ht="15.75" hidden="1" customHeight="1" x14ac:dyDescent="0.2">
      <c r="A1334" s="345"/>
      <c r="B1334" s="20" t="s">
        <v>2223</v>
      </c>
      <c r="C1334" s="3"/>
      <c r="D1334" s="661" t="s">
        <v>3326</v>
      </c>
      <c r="E1334" s="609"/>
      <c r="F1334" s="562"/>
      <c r="G1334" s="562"/>
    </row>
    <row r="1335" spans="1:7" ht="20" hidden="1" thickTop="1" x14ac:dyDescent="0.25">
      <c r="A1335" s="45" t="s">
        <v>3327</v>
      </c>
      <c r="B1335" s="16"/>
      <c r="C1335" s="16"/>
      <c r="D1335" s="179"/>
      <c r="E1335" s="264"/>
      <c r="F1335" s="562"/>
      <c r="G1335" s="562"/>
    </row>
    <row r="1336" spans="1:7" ht="15" hidden="1" customHeight="1" x14ac:dyDescent="0.2">
      <c r="A1336" s="70">
        <v>11.100300000000001</v>
      </c>
      <c r="B1336" s="98"/>
      <c r="C1336" s="98"/>
      <c r="D1336" s="820" t="s">
        <v>3330</v>
      </c>
      <c r="E1336" s="607"/>
      <c r="F1336" s="562"/>
      <c r="G1336" s="562"/>
    </row>
    <row r="1337" spans="1:7" ht="16" hidden="1" thickTop="1" x14ac:dyDescent="0.2">
      <c r="A1337" s="70"/>
      <c r="B1337" s="98"/>
      <c r="C1337" s="98"/>
      <c r="D1337" s="820"/>
      <c r="E1337" s="607"/>
      <c r="F1337" s="562"/>
      <c r="G1337" s="562"/>
    </row>
    <row r="1338" spans="1:7" ht="17" hidden="1" thickTop="1" thickBot="1" x14ac:dyDescent="0.25">
      <c r="A1338" s="70"/>
      <c r="B1338" s="185"/>
      <c r="C1338" s="185"/>
      <c r="D1338" s="822"/>
      <c r="E1338" s="622"/>
      <c r="F1338" s="562"/>
      <c r="G1338" s="562"/>
    </row>
    <row r="1339" spans="1:7" ht="16" hidden="1" thickTop="1" x14ac:dyDescent="0.2">
      <c r="A1339" s="107" t="s">
        <v>3331</v>
      </c>
      <c r="B1339" s="3"/>
      <c r="C1339" s="3"/>
      <c r="D1339" s="178" t="s">
        <v>3332</v>
      </c>
      <c r="E1339" s="609"/>
      <c r="F1339" s="562"/>
      <c r="G1339" s="562"/>
    </row>
    <row r="1340" spans="1:7" ht="15" hidden="1" customHeight="1" x14ac:dyDescent="0.2">
      <c r="A1340" s="450"/>
      <c r="B1340" s="134" t="s">
        <v>2181</v>
      </c>
      <c r="C1340" s="98"/>
      <c r="D1340" s="820" t="s">
        <v>3334</v>
      </c>
      <c r="E1340" s="609"/>
      <c r="F1340" s="562"/>
      <c r="G1340" s="562"/>
    </row>
    <row r="1341" spans="1:7" ht="15.75" hidden="1" customHeight="1" x14ac:dyDescent="0.2">
      <c r="A1341" s="450"/>
      <c r="B1341" s="159"/>
      <c r="C1341" s="165"/>
      <c r="D1341" s="832"/>
      <c r="E1341" s="609"/>
      <c r="F1341" s="562"/>
      <c r="G1341" s="562"/>
    </row>
    <row r="1342" spans="1:7" ht="15" hidden="1" customHeight="1" x14ac:dyDescent="0.2">
      <c r="A1342" s="450"/>
      <c r="B1342" s="164" t="s">
        <v>2183</v>
      </c>
      <c r="C1342" s="146"/>
      <c r="D1342" s="847" t="s">
        <v>3335</v>
      </c>
      <c r="E1342" s="609"/>
      <c r="F1342" s="562"/>
      <c r="G1342" s="562"/>
    </row>
    <row r="1343" spans="1:7" ht="15.75" hidden="1" customHeight="1" x14ac:dyDescent="0.2">
      <c r="A1343" s="450"/>
      <c r="B1343" s="134"/>
      <c r="C1343" s="98"/>
      <c r="D1343" s="820"/>
      <c r="E1343" s="609"/>
      <c r="F1343" s="562"/>
      <c r="G1343" s="562"/>
    </row>
    <row r="1344" spans="1:7" ht="15.75" hidden="1" customHeight="1" x14ac:dyDescent="0.2">
      <c r="A1344" s="450"/>
      <c r="B1344" s="159"/>
      <c r="C1344" s="165"/>
      <c r="D1344" s="832"/>
      <c r="E1344" s="609"/>
      <c r="F1344" s="562"/>
      <c r="G1344" s="562"/>
    </row>
    <row r="1345" spans="1:7" ht="15" hidden="1" customHeight="1" x14ac:dyDescent="0.2">
      <c r="A1345" s="450"/>
      <c r="B1345" s="20" t="s">
        <v>2185</v>
      </c>
      <c r="C1345" s="3"/>
      <c r="D1345" s="775" t="s">
        <v>3336</v>
      </c>
      <c r="E1345" s="609"/>
      <c r="F1345" s="562"/>
      <c r="G1345" s="562"/>
    </row>
    <row r="1346" spans="1:7" ht="15.75" hidden="1" customHeight="1" x14ac:dyDescent="0.2">
      <c r="A1346" s="450"/>
      <c r="B1346" s="3"/>
      <c r="C1346" s="3"/>
      <c r="D1346" s="775"/>
      <c r="E1346" s="609"/>
      <c r="F1346" s="562"/>
      <c r="G1346" s="562"/>
    </row>
    <row r="1347" spans="1:7" ht="15.75" hidden="1" customHeight="1" x14ac:dyDescent="0.2">
      <c r="A1347" s="450"/>
      <c r="B1347" s="3"/>
      <c r="C1347" s="3"/>
      <c r="D1347" s="775"/>
      <c r="E1347" s="609"/>
      <c r="F1347" s="562"/>
      <c r="G1347" s="562"/>
    </row>
    <row r="1348" spans="1:7" hidden="1" x14ac:dyDescent="0.2">
      <c r="A1348" s="562"/>
      <c r="B1348" s="562"/>
      <c r="C1348" s="562"/>
      <c r="D1348" s="562"/>
      <c r="E1348" s="562"/>
      <c r="F1348" s="562"/>
      <c r="G1348" s="562"/>
    </row>
    <row r="1349" spans="1:7" ht="16" thickTop="1" x14ac:dyDescent="0.2">
      <c r="A1349" s="562"/>
      <c r="B1349" s="562"/>
      <c r="C1349" s="562"/>
      <c r="D1349" s="562"/>
      <c r="E1349" s="562"/>
      <c r="F1349" s="562"/>
      <c r="G1349" s="562"/>
    </row>
  </sheetData>
  <sheetProtection algorithmName="SHA-512" hashValue="yQI4nbEgU4FVqHz8PVNgnIuPZ7huua2YlMUVvrheJIRmaYiYoE9iB67s4jBG75rvfT99skSSTG0bjC32wMW+lA==" saltValue="hpmE2az0Onr7JmixJB0mBg==" spinCount="100000" sheet="1" objects="1" scenarios="1" selectLockedCells="1"/>
  <autoFilter ref="G7:G1348" xr:uid="{00000000-0009-0000-0000-000010000000}">
    <filterColumn colId="0">
      <customFilters>
        <customFilter operator="notEqual" val=" "/>
      </customFilters>
    </filterColumn>
  </autoFilter>
  <mergeCells count="496">
    <mergeCell ref="D4:D5"/>
    <mergeCell ref="D13:D14"/>
    <mergeCell ref="D15:D16"/>
    <mergeCell ref="D9:D11"/>
    <mergeCell ref="A6:C7"/>
    <mergeCell ref="D6:D7"/>
    <mergeCell ref="D42:D45"/>
    <mergeCell ref="D50:D51"/>
    <mergeCell ref="D37:D40"/>
    <mergeCell ref="D31:D32"/>
    <mergeCell ref="D28:D30"/>
    <mergeCell ref="D19:D22"/>
    <mergeCell ref="D17:D18"/>
    <mergeCell ref="D47:D48"/>
    <mergeCell ref="D73:D74"/>
    <mergeCell ref="D76:D77"/>
    <mergeCell ref="D78:D79"/>
    <mergeCell ref="D65:D66"/>
    <mergeCell ref="D70:D71"/>
    <mergeCell ref="D58:D59"/>
    <mergeCell ref="D63:D64"/>
    <mergeCell ref="D52:D53"/>
    <mergeCell ref="D56:D57"/>
    <mergeCell ref="D108:D109"/>
    <mergeCell ref="D110:D111"/>
    <mergeCell ref="D112:D113"/>
    <mergeCell ref="D96:D99"/>
    <mergeCell ref="D103:D104"/>
    <mergeCell ref="D93:D95"/>
    <mergeCell ref="D81:D82"/>
    <mergeCell ref="D86:D89"/>
    <mergeCell ref="D90:D92"/>
    <mergeCell ref="D144:D145"/>
    <mergeCell ref="D142:D143"/>
    <mergeCell ref="D140:D141"/>
    <mergeCell ref="D137:D139"/>
    <mergeCell ref="D135:D136"/>
    <mergeCell ref="D130:D134"/>
    <mergeCell ref="D122:D123"/>
    <mergeCell ref="D120:D121"/>
    <mergeCell ref="D118:D119"/>
    <mergeCell ref="D160:D161"/>
    <mergeCell ref="D162:D165"/>
    <mergeCell ref="D153:D154"/>
    <mergeCell ref="D155:D156"/>
    <mergeCell ref="D157:D158"/>
    <mergeCell ref="D146:D147"/>
    <mergeCell ref="D150:D151"/>
    <mergeCell ref="D201:D203"/>
    <mergeCell ref="D188:D190"/>
    <mergeCell ref="D184:D187"/>
    <mergeCell ref="D182:D183"/>
    <mergeCell ref="D180:D181"/>
    <mergeCell ref="D174:D176"/>
    <mergeCell ref="D177:D178"/>
    <mergeCell ref="D167:D168"/>
    <mergeCell ref="D170:D171"/>
    <mergeCell ref="D172:D173"/>
    <mergeCell ref="D242:D247"/>
    <mergeCell ref="D239:D241"/>
    <mergeCell ref="D229:D231"/>
    <mergeCell ref="D219:D220"/>
    <mergeCell ref="D221:D223"/>
    <mergeCell ref="D224:D227"/>
    <mergeCell ref="D213:D214"/>
    <mergeCell ref="D204:D205"/>
    <mergeCell ref="D206:D207"/>
    <mergeCell ref="D291:D293"/>
    <mergeCell ref="D300:D302"/>
    <mergeCell ref="E288:E290"/>
    <mergeCell ref="D278:D280"/>
    <mergeCell ref="D288:D290"/>
    <mergeCell ref="D274:D276"/>
    <mergeCell ref="D267:D268"/>
    <mergeCell ref="D271:D273"/>
    <mergeCell ref="D249:D252"/>
    <mergeCell ref="D253:D256"/>
    <mergeCell ref="D263:D264"/>
    <mergeCell ref="D265:D266"/>
    <mergeCell ref="E300:E302"/>
    <mergeCell ref="D269:D270"/>
    <mergeCell ref="D281:D282"/>
    <mergeCell ref="D294:D295"/>
    <mergeCell ref="D332:D333"/>
    <mergeCell ref="D336:D338"/>
    <mergeCell ref="D340:D342"/>
    <mergeCell ref="D328:D330"/>
    <mergeCell ref="D321:D322"/>
    <mergeCell ref="D323:D327"/>
    <mergeCell ref="D305:D306"/>
    <mergeCell ref="D310:D311"/>
    <mergeCell ref="D314:D315"/>
    <mergeCell ref="D316:D317"/>
    <mergeCell ref="D319:D320"/>
    <mergeCell ref="D371:D372"/>
    <mergeCell ref="D377:D378"/>
    <mergeCell ref="D364:D368"/>
    <mergeCell ref="D369:D370"/>
    <mergeCell ref="D356:D359"/>
    <mergeCell ref="D360:D361"/>
    <mergeCell ref="D349:D350"/>
    <mergeCell ref="D352:D354"/>
    <mergeCell ref="D343:D345"/>
    <mergeCell ref="D373:D374"/>
    <mergeCell ref="D407:D410"/>
    <mergeCell ref="D405:D406"/>
    <mergeCell ref="D403:D404"/>
    <mergeCell ref="D400:D401"/>
    <mergeCell ref="D398:D399"/>
    <mergeCell ref="D389:D392"/>
    <mergeCell ref="D393:D395"/>
    <mergeCell ref="D379:D381"/>
    <mergeCell ref="D382:D383"/>
    <mergeCell ref="D385:D388"/>
    <mergeCell ref="D452:D457"/>
    <mergeCell ref="D463:D464"/>
    <mergeCell ref="D449:D450"/>
    <mergeCell ref="D444:D446"/>
    <mergeCell ref="D447:D448"/>
    <mergeCell ref="D439:D442"/>
    <mergeCell ref="D435:D437"/>
    <mergeCell ref="D411:D413"/>
    <mergeCell ref="D415:D419"/>
    <mergeCell ref="D427:D428"/>
    <mergeCell ref="D420:D422"/>
    <mergeCell ref="D433:D434"/>
    <mergeCell ref="D482:D485"/>
    <mergeCell ref="D486:D487"/>
    <mergeCell ref="E478:E479"/>
    <mergeCell ref="E482:E485"/>
    <mergeCell ref="D472:D475"/>
    <mergeCell ref="D476:D477"/>
    <mergeCell ref="D478:D479"/>
    <mergeCell ref="D465:D466"/>
    <mergeCell ref="D469:D470"/>
    <mergeCell ref="D467:D468"/>
    <mergeCell ref="D510:D512"/>
    <mergeCell ref="D513:D515"/>
    <mergeCell ref="D517:D519"/>
    <mergeCell ref="D505:D506"/>
    <mergeCell ref="D507:D508"/>
    <mergeCell ref="D496:D500"/>
    <mergeCell ref="D501:D502"/>
    <mergeCell ref="D489:D491"/>
    <mergeCell ref="D492:D494"/>
    <mergeCell ref="D544:D547"/>
    <mergeCell ref="D549:D550"/>
    <mergeCell ref="D551:D552"/>
    <mergeCell ref="D553:D554"/>
    <mergeCell ref="D533:D534"/>
    <mergeCell ref="D538:D543"/>
    <mergeCell ref="D524:D525"/>
    <mergeCell ref="D528:D529"/>
    <mergeCell ref="D520:D521"/>
    <mergeCell ref="D535:D537"/>
    <mergeCell ref="D609:D610"/>
    <mergeCell ref="D595:D596"/>
    <mergeCell ref="D598:D599"/>
    <mergeCell ref="D606:D607"/>
    <mergeCell ref="D586:D587"/>
    <mergeCell ref="D589:D590"/>
    <mergeCell ref="D591:D592"/>
    <mergeCell ref="D593:D594"/>
    <mergeCell ref="D555:D557"/>
    <mergeCell ref="D559:D561"/>
    <mergeCell ref="D562:D563"/>
    <mergeCell ref="D636:D637"/>
    <mergeCell ref="D638:D640"/>
    <mergeCell ref="D641:D642"/>
    <mergeCell ref="D627:D629"/>
    <mergeCell ref="D630:D631"/>
    <mergeCell ref="D624:D625"/>
    <mergeCell ref="D619:D620"/>
    <mergeCell ref="D621:D622"/>
    <mergeCell ref="D612:D615"/>
    <mergeCell ref="D670:D673"/>
    <mergeCell ref="D674:D676"/>
    <mergeCell ref="D683:D685"/>
    <mergeCell ref="D686:D687"/>
    <mergeCell ref="D668:D669"/>
    <mergeCell ref="D661:D667"/>
    <mergeCell ref="E661:E667"/>
    <mergeCell ref="D644:D649"/>
    <mergeCell ref="D650:D651"/>
    <mergeCell ref="D652:D654"/>
    <mergeCell ref="E668:E669"/>
    <mergeCell ref="E670:E673"/>
    <mergeCell ref="D732:D733"/>
    <mergeCell ref="D721:D723"/>
    <mergeCell ref="D730:D731"/>
    <mergeCell ref="D708:D709"/>
    <mergeCell ref="D710:D711"/>
    <mergeCell ref="D713:D717"/>
    <mergeCell ref="D719:D720"/>
    <mergeCell ref="D688:D695"/>
    <mergeCell ref="D700:D701"/>
    <mergeCell ref="D762:D769"/>
    <mergeCell ref="D771:D776"/>
    <mergeCell ref="D755:D756"/>
    <mergeCell ref="D757:D761"/>
    <mergeCell ref="D749:D752"/>
    <mergeCell ref="D753:D754"/>
    <mergeCell ref="D743:D744"/>
    <mergeCell ref="D745:D746"/>
    <mergeCell ref="D734:D738"/>
    <mergeCell ref="D739:D742"/>
    <mergeCell ref="D787:D789"/>
    <mergeCell ref="D839:D840"/>
    <mergeCell ref="D841:D842"/>
    <mergeCell ref="D831:D832"/>
    <mergeCell ref="D834:D835"/>
    <mergeCell ref="D822:D824"/>
    <mergeCell ref="D825:D829"/>
    <mergeCell ref="D802:D803"/>
    <mergeCell ref="D790:D794"/>
    <mergeCell ref="D796:D798"/>
    <mergeCell ref="D805:D809"/>
    <mergeCell ref="D871:D876"/>
    <mergeCell ref="D877:D882"/>
    <mergeCell ref="D865:D867"/>
    <mergeCell ref="D868:D870"/>
    <mergeCell ref="D858:D859"/>
    <mergeCell ref="D862:D864"/>
    <mergeCell ref="D853:D854"/>
    <mergeCell ref="D855:D857"/>
    <mergeCell ref="D846:D847"/>
    <mergeCell ref="D849:D852"/>
    <mergeCell ref="D883:D884"/>
    <mergeCell ref="D885:D886"/>
    <mergeCell ref="D923:D925"/>
    <mergeCell ref="D911:D912"/>
    <mergeCell ref="D919:D922"/>
    <mergeCell ref="D908:D909"/>
    <mergeCell ref="D902:D905"/>
    <mergeCell ref="D906:D907"/>
    <mergeCell ref="E902:E907"/>
    <mergeCell ref="E908:E909"/>
    <mergeCell ref="E923:E925"/>
    <mergeCell ref="D942:D943"/>
    <mergeCell ref="D947:D948"/>
    <mergeCell ref="D940:D941"/>
    <mergeCell ref="E937:E939"/>
    <mergeCell ref="E940:E941"/>
    <mergeCell ref="D935:D936"/>
    <mergeCell ref="D937:D939"/>
    <mergeCell ref="D930:D931"/>
    <mergeCell ref="D932:D934"/>
    <mergeCell ref="E942:E943"/>
    <mergeCell ref="E947:E948"/>
    <mergeCell ref="E932:E934"/>
    <mergeCell ref="E935:E936"/>
    <mergeCell ref="D978:D979"/>
    <mergeCell ref="D981:D982"/>
    <mergeCell ref="D971:D972"/>
    <mergeCell ref="D975:D976"/>
    <mergeCell ref="D958:D961"/>
    <mergeCell ref="D962:D965"/>
    <mergeCell ref="D949:D950"/>
    <mergeCell ref="D951:D956"/>
    <mergeCell ref="E949:E950"/>
    <mergeCell ref="E951:E956"/>
    <mergeCell ref="E958:E961"/>
    <mergeCell ref="E981:E982"/>
    <mergeCell ref="D1016:D1019"/>
    <mergeCell ref="D1020:D1021"/>
    <mergeCell ref="D1010:D1015"/>
    <mergeCell ref="D995:D998"/>
    <mergeCell ref="D1008:D1009"/>
    <mergeCell ref="D986:D987"/>
    <mergeCell ref="D988:D992"/>
    <mergeCell ref="D993:D994"/>
    <mergeCell ref="D983:D985"/>
    <mergeCell ref="D1060:D1061"/>
    <mergeCell ref="D1062:D1063"/>
    <mergeCell ref="D1051:D1053"/>
    <mergeCell ref="D1055:D1059"/>
    <mergeCell ref="D1041:D1044"/>
    <mergeCell ref="D1045:D1049"/>
    <mergeCell ref="D1029:D1030"/>
    <mergeCell ref="D1032:D1037"/>
    <mergeCell ref="D1022:D1023"/>
    <mergeCell ref="D1027:D1028"/>
    <mergeCell ref="D1038:D1040"/>
    <mergeCell ref="D1100:D1101"/>
    <mergeCell ref="D1091:D1092"/>
    <mergeCell ref="D1087:D1088"/>
    <mergeCell ref="D1082:D1083"/>
    <mergeCell ref="D1084:D1086"/>
    <mergeCell ref="D1078:D1079"/>
    <mergeCell ref="D1080:D1081"/>
    <mergeCell ref="D1070:D1071"/>
    <mergeCell ref="D1066:D1067"/>
    <mergeCell ref="D1068:D1069"/>
    <mergeCell ref="D1072:D1073"/>
    <mergeCell ref="D1125:D1127"/>
    <mergeCell ref="D1122:D1124"/>
    <mergeCell ref="D1116:D1117"/>
    <mergeCell ref="D1120:D1121"/>
    <mergeCell ref="D1106:D1108"/>
    <mergeCell ref="D1110:D1113"/>
    <mergeCell ref="D1114:D1115"/>
    <mergeCell ref="D1102:D1103"/>
    <mergeCell ref="D1104:D1105"/>
    <mergeCell ref="D1155:D1156"/>
    <mergeCell ref="D1157:D1158"/>
    <mergeCell ref="D1145:D1146"/>
    <mergeCell ref="D1150:D1151"/>
    <mergeCell ref="D1143:D1144"/>
    <mergeCell ref="D1138:D1139"/>
    <mergeCell ref="D1140:D1142"/>
    <mergeCell ref="D1128:D1130"/>
    <mergeCell ref="D1136:D1137"/>
    <mergeCell ref="D1182:D1183"/>
    <mergeCell ref="D1184:D1185"/>
    <mergeCell ref="D1189:D1192"/>
    <mergeCell ref="D1179:D1180"/>
    <mergeCell ref="D1174:D1178"/>
    <mergeCell ref="D1170:D1172"/>
    <mergeCell ref="D1160:D1161"/>
    <mergeCell ref="D1163:D1164"/>
    <mergeCell ref="D1165:D1169"/>
    <mergeCell ref="D1216:D1217"/>
    <mergeCell ref="D1219:D1220"/>
    <mergeCell ref="D1210:D1213"/>
    <mergeCell ref="D1214:D1215"/>
    <mergeCell ref="D1200:D1201"/>
    <mergeCell ref="D1204:D1205"/>
    <mergeCell ref="D1208:D1209"/>
    <mergeCell ref="D1195:D1196"/>
    <mergeCell ref="D1197:D1198"/>
    <mergeCell ref="D1255:D1257"/>
    <mergeCell ref="D1258:D1260"/>
    <mergeCell ref="D1234:D1237"/>
    <mergeCell ref="D1246:D1251"/>
    <mergeCell ref="D1252:D1253"/>
    <mergeCell ref="D1226:D1227"/>
    <mergeCell ref="D1228:D1229"/>
    <mergeCell ref="D1221:D1222"/>
    <mergeCell ref="D1224:D1225"/>
    <mergeCell ref="D1230:D1231"/>
    <mergeCell ref="D1287:D1288"/>
    <mergeCell ref="D1279:D1280"/>
    <mergeCell ref="D1281:D1283"/>
    <mergeCell ref="D1274:D1275"/>
    <mergeCell ref="D1276:D1278"/>
    <mergeCell ref="D1268:D1269"/>
    <mergeCell ref="D1270:D1272"/>
    <mergeCell ref="D1261:D1262"/>
    <mergeCell ref="D1264:D1265"/>
    <mergeCell ref="E6:E7"/>
    <mergeCell ref="E13:E14"/>
    <mergeCell ref="E15:E16"/>
    <mergeCell ref="E17:E18"/>
    <mergeCell ref="D1342:D1344"/>
    <mergeCell ref="D1345:D1347"/>
    <mergeCell ref="D1323:D1327"/>
    <mergeCell ref="D1336:D1338"/>
    <mergeCell ref="D1340:D1341"/>
    <mergeCell ref="D1314:D1315"/>
    <mergeCell ref="D1317:D1318"/>
    <mergeCell ref="D1301:D1302"/>
    <mergeCell ref="D1303:D1306"/>
    <mergeCell ref="D1295:D1296"/>
    <mergeCell ref="D1297:D1299"/>
    <mergeCell ref="D1289:D1290"/>
    <mergeCell ref="D1292:D1294"/>
    <mergeCell ref="D1284:D1285"/>
    <mergeCell ref="E19:E27"/>
    <mergeCell ref="E28:E30"/>
    <mergeCell ref="E31:E32"/>
    <mergeCell ref="E37:E40"/>
    <mergeCell ref="E50:E51"/>
    <mergeCell ref="E52:E53"/>
    <mergeCell ref="E78:E84"/>
    <mergeCell ref="E56:E57"/>
    <mergeCell ref="E58:E59"/>
    <mergeCell ref="E63:E64"/>
    <mergeCell ref="E65:E66"/>
    <mergeCell ref="E70:E71"/>
    <mergeCell ref="E76:E77"/>
    <mergeCell ref="E142:E143"/>
    <mergeCell ref="E144:E145"/>
    <mergeCell ref="E135:E136"/>
    <mergeCell ref="E137:E139"/>
    <mergeCell ref="E140:E141"/>
    <mergeCell ref="E93:E95"/>
    <mergeCell ref="E96:E99"/>
    <mergeCell ref="E103:E104"/>
    <mergeCell ref="E112:E113"/>
    <mergeCell ref="E118:E119"/>
    <mergeCell ref="E170:E171"/>
    <mergeCell ref="E172:E173"/>
    <mergeCell ref="E177:E178"/>
    <mergeCell ref="E180:E181"/>
    <mergeCell ref="E182:E183"/>
    <mergeCell ref="E162:E166"/>
    <mergeCell ref="E120:E121"/>
    <mergeCell ref="E122:E123"/>
    <mergeCell ref="E130:E134"/>
    <mergeCell ref="E146:E147"/>
    <mergeCell ref="E155:E156"/>
    <mergeCell ref="E157:E158"/>
    <mergeCell ref="E229:E231"/>
    <mergeCell ref="E239:E241"/>
    <mergeCell ref="E242:E247"/>
    <mergeCell ref="E253:E256"/>
    <mergeCell ref="E271:E273"/>
    <mergeCell ref="E274:E276"/>
    <mergeCell ref="E184:E187"/>
    <mergeCell ref="E188:E190"/>
    <mergeCell ref="E192:E199"/>
    <mergeCell ref="E206:E207"/>
    <mergeCell ref="E213:E214"/>
    <mergeCell ref="E219:E220"/>
    <mergeCell ref="E352:E354"/>
    <mergeCell ref="E360:E361"/>
    <mergeCell ref="E369:E370"/>
    <mergeCell ref="E377:E378"/>
    <mergeCell ref="E379:E381"/>
    <mergeCell ref="E385:E388"/>
    <mergeCell ref="E305:E306"/>
    <mergeCell ref="E323:E330"/>
    <mergeCell ref="E340:E342"/>
    <mergeCell ref="E343:E347"/>
    <mergeCell ref="E407:E410"/>
    <mergeCell ref="E435:E437"/>
    <mergeCell ref="E439:E442"/>
    <mergeCell ref="E449:E450"/>
    <mergeCell ref="E452:E464"/>
    <mergeCell ref="E469:E471"/>
    <mergeCell ref="E389:E392"/>
    <mergeCell ref="E393:E395"/>
    <mergeCell ref="E398:E399"/>
    <mergeCell ref="E400:E402"/>
    <mergeCell ref="E403:E404"/>
    <mergeCell ref="E405:E406"/>
    <mergeCell ref="E538:E552"/>
    <mergeCell ref="E553:E554"/>
    <mergeCell ref="E562:E563"/>
    <mergeCell ref="E578:E587"/>
    <mergeCell ref="E606:E608"/>
    <mergeCell ref="E609:E611"/>
    <mergeCell ref="E492:E494"/>
    <mergeCell ref="E501:E502"/>
    <mergeCell ref="E507:E512"/>
    <mergeCell ref="E513:E519"/>
    <mergeCell ref="E520:E522"/>
    <mergeCell ref="E524:E531"/>
    <mergeCell ref="E1027:E1030"/>
    <mergeCell ref="E1032:E1037"/>
    <mergeCell ref="E1041:E1044"/>
    <mergeCell ref="E713:E720"/>
    <mergeCell ref="E721:E723"/>
    <mergeCell ref="E732:E733"/>
    <mergeCell ref="E757:E761"/>
    <mergeCell ref="E983:E985"/>
    <mergeCell ref="E612:E617"/>
    <mergeCell ref="E621:E622"/>
    <mergeCell ref="E624:E625"/>
    <mergeCell ref="E627:E634"/>
    <mergeCell ref="E636:E642"/>
    <mergeCell ref="E652:E660"/>
    <mergeCell ref="E1184:E1186"/>
    <mergeCell ref="E1252:E1254"/>
    <mergeCell ref="E1270:E1273"/>
    <mergeCell ref="E1297:E1300"/>
    <mergeCell ref="E1125:E1127"/>
    <mergeCell ref="E1136:E1137"/>
    <mergeCell ref="E1143:E1144"/>
    <mergeCell ref="E1157:E1158"/>
    <mergeCell ref="E1165:E1169"/>
    <mergeCell ref="E1170:E1172"/>
    <mergeCell ref="D780:D785"/>
    <mergeCell ref="D799:D801"/>
    <mergeCell ref="D888:D889"/>
    <mergeCell ref="D890:D892"/>
    <mergeCell ref="D894:D897"/>
    <mergeCell ref="D1:D3"/>
    <mergeCell ref="F6:F7"/>
    <mergeCell ref="E1174:E1178"/>
    <mergeCell ref="E1179:E1180"/>
    <mergeCell ref="E1087:E1088"/>
    <mergeCell ref="E1091:E1092"/>
    <mergeCell ref="E1100:E1101"/>
    <mergeCell ref="E1110:E1113"/>
    <mergeCell ref="E1120:E1121"/>
    <mergeCell ref="E1122:E1124"/>
    <mergeCell ref="E1055:E1059"/>
    <mergeCell ref="E1062:E1063"/>
    <mergeCell ref="E1068:E1069"/>
    <mergeCell ref="E1070:E1071"/>
    <mergeCell ref="E1080:E1081"/>
    <mergeCell ref="E1084:E1086"/>
    <mergeCell ref="E988:E994"/>
    <mergeCell ref="E1010:E1015"/>
    <mergeCell ref="E1020:E1021"/>
  </mergeCells>
  <conditionalFormatting sqref="E1297:E1300">
    <cfRule type="cellIs" dxfId="59" priority="2241" operator="greaterThan">
      <formula>0</formula>
    </cfRule>
  </conditionalFormatting>
  <conditionalFormatting sqref="E1270:E1273">
    <cfRule type="cellIs" dxfId="58" priority="2240" operator="greaterThan">
      <formula>0</formula>
    </cfRule>
  </conditionalFormatting>
  <conditionalFormatting sqref="E1252:E1254">
    <cfRule type="cellIs" dxfId="57" priority="2239" operator="greaterThan">
      <formula>0</formula>
    </cfRule>
  </conditionalFormatting>
  <conditionalFormatting sqref="E103 E118 E124 E129:E130 E177 E179:E180 E206 E219 E229 E232 E253 E300 E305 E452 E469 E478 E480:E481 E492 E501 E503 E732 E932 E935 E937 E940 E942 E944 E947 E949 E951 E957">
    <cfRule type="cellIs" dxfId="56" priority="30" operator="greaterThan">
      <formula>0</formula>
    </cfRule>
  </conditionalFormatting>
  <conditionalFormatting sqref="F734">
    <cfRule type="notContainsBlanks" dxfId="55" priority="19">
      <formula>LEN(TRIM(F734))&gt;0</formula>
    </cfRule>
  </conditionalFormatting>
  <conditionalFormatting sqref="F61">
    <cfRule type="notContainsBlanks" dxfId="54" priority="28">
      <formula>LEN(TRIM(F61))&gt;0</formula>
    </cfRule>
  </conditionalFormatting>
  <conditionalFormatting sqref="F221">
    <cfRule type="notContainsBlanks" dxfId="53" priority="27">
      <formula>LEN(TRIM(F221))&gt;0</formula>
    </cfRule>
  </conditionalFormatting>
  <conditionalFormatting sqref="F224">
    <cfRule type="notContainsBlanks" dxfId="52" priority="26">
      <formula>LEN(TRIM(F224))&gt;0</formula>
    </cfRule>
  </conditionalFormatting>
  <conditionalFormatting sqref="F309:F310">
    <cfRule type="notContainsBlanks" dxfId="51" priority="25">
      <formula>LEN(TRIM(F309))&gt;0</formula>
    </cfRule>
  </conditionalFormatting>
  <conditionalFormatting sqref="F316">
    <cfRule type="notContainsBlanks" dxfId="50" priority="23">
      <formula>LEN(TRIM(F316))&gt;0</formula>
    </cfRule>
  </conditionalFormatting>
  <conditionalFormatting sqref="F411">
    <cfRule type="notContainsBlanks" dxfId="49" priority="22">
      <formula>LEN(TRIM(F411))&gt;0</formula>
    </cfRule>
  </conditionalFormatting>
  <conditionalFormatting sqref="F453">
    <cfRule type="notContainsBlanks" dxfId="48" priority="21">
      <formula>LEN(TRIM(F453))&gt;0</formula>
    </cfRule>
  </conditionalFormatting>
  <conditionalFormatting sqref="F496">
    <cfRule type="notContainsBlanks" dxfId="47" priority="20">
      <formula>LEN(TRIM(F496))&gt;0</formula>
    </cfRule>
  </conditionalFormatting>
  <conditionalFormatting sqref="H60 H103 H118 H124 H129:H130 H177 H179:H180 H206 H221 H224 H229 H232 H253 H300 H309:H310 H316 H411 H452 H469 H478 H480:H481 H492 H496 H501 H503 H734 H930 H944 H946 H957">
    <cfRule type="cellIs" dxfId="46" priority="9939" operator="equal">
      <formula>$H$9</formula>
    </cfRule>
    <cfRule type="cellIs" dxfId="45" priority="9940" operator="equal">
      <formula>$H$11</formula>
    </cfRule>
    <cfRule type="cellIs" dxfId="44" priority="9941" operator="equal">
      <formula>$H$10</formula>
    </cfRule>
  </conditionalFormatting>
  <dataValidations count="1">
    <dataValidation type="list" allowBlank="1" showInputMessage="1" showErrorMessage="1" sqref="H503 H944 H946 H60 H103 H118 H124 H129:H130 H177 H179:H180 H206 H221 H224 H229 H232 H253 H309:H310 H316 H734 H452 H469 H478 H480:H481 H492 H496 H501 H300 H957 H930 H411" xr:uid="{00000000-0002-0000-1000-000000000000}">
      <formula1>photoRevList</formula1>
    </dataValidation>
  </dataValidations>
  <hyperlinks>
    <hyperlink ref="D898" location="'Table 703.2.5.1'!A1" display="See Table 703.2.5.1" xr:uid="{EC61AA70-50E1-463B-A68A-1B4B5DA7C502}"/>
    <hyperlink ref="D893" location="'Table 703.2.5.1'!A1" display="See Table 703.2.5.1" xr:uid="{9960DFC5-428F-4254-8F4D-E70A1ECBF0FB}"/>
  </hyperlinks>
  <pageMargins left="0.7" right="0.7" top="0.75" bottom="0.75" header="0.3" footer="0.3"/>
  <pageSetup scale="49"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74"/>
  <sheetViews>
    <sheetView showGridLines="0" zoomScaleNormal="100" workbookViewId="0">
      <selection activeCell="C38" sqref="C38:D39"/>
    </sheetView>
  </sheetViews>
  <sheetFormatPr baseColWidth="10" defaultColWidth="9.1640625" defaultRowHeight="15" x14ac:dyDescent="0.2"/>
  <cols>
    <col min="1" max="2" width="10.6640625" style="285" customWidth="1"/>
    <col min="3" max="3" width="43.33203125" style="285" customWidth="1"/>
    <col min="4" max="9" width="15.6640625" style="285" customWidth="1"/>
    <col min="10" max="11" width="15.6640625" style="285" hidden="1" customWidth="1"/>
    <col min="12" max="13" width="30.6640625" style="285" hidden="1" customWidth="1"/>
    <col min="14" max="16384" width="9.1640625" style="285"/>
  </cols>
  <sheetData>
    <row r="1" spans="1:13" x14ac:dyDescent="0.2">
      <c r="A1" s="562"/>
      <c r="B1" s="562"/>
      <c r="C1" s="562"/>
      <c r="D1" s="887" t="s">
        <v>46</v>
      </c>
      <c r="E1" s="887"/>
      <c r="F1" s="887"/>
      <c r="G1" s="887"/>
      <c r="H1" s="887"/>
      <c r="I1" s="887"/>
      <c r="J1" s="217"/>
      <c r="K1" s="217"/>
      <c r="L1" s="562"/>
      <c r="M1" s="562"/>
    </row>
    <row r="2" spans="1:13" x14ac:dyDescent="0.2">
      <c r="A2" s="562"/>
      <c r="B2" s="562"/>
      <c r="C2" s="562"/>
      <c r="D2" s="887"/>
      <c r="E2" s="887"/>
      <c r="F2" s="887"/>
      <c r="G2" s="887"/>
      <c r="H2" s="887"/>
      <c r="I2" s="887"/>
      <c r="J2" s="217"/>
      <c r="K2" s="217"/>
      <c r="L2" s="562"/>
      <c r="M2" s="562"/>
    </row>
    <row r="3" spans="1:13" x14ac:dyDescent="0.2">
      <c r="A3" s="562"/>
      <c r="B3" s="562"/>
      <c r="C3" s="562"/>
      <c r="D3" s="887"/>
      <c r="E3" s="887"/>
      <c r="F3" s="887"/>
      <c r="G3" s="887"/>
      <c r="H3" s="887"/>
      <c r="I3" s="887"/>
      <c r="J3" s="217"/>
      <c r="K3" s="217"/>
      <c r="L3" s="562"/>
      <c r="M3" s="562"/>
    </row>
    <row r="4" spans="1:13" s="331" customFormat="1" x14ac:dyDescent="0.2">
      <c r="A4" s="562"/>
      <c r="B4" s="562"/>
      <c r="C4" s="562"/>
      <c r="D4" s="887"/>
      <c r="E4" s="887"/>
      <c r="F4" s="887"/>
      <c r="G4" s="887"/>
      <c r="H4" s="887"/>
      <c r="I4" s="887"/>
      <c r="J4" s="217"/>
      <c r="K4" s="217"/>
      <c r="L4" s="562"/>
      <c r="M4" s="562"/>
    </row>
    <row r="5" spans="1:13" x14ac:dyDescent="0.2">
      <c r="A5" s="562"/>
      <c r="B5" s="562"/>
      <c r="C5" s="562"/>
      <c r="D5" s="887"/>
      <c r="E5" s="887"/>
      <c r="F5" s="887"/>
      <c r="G5" s="887"/>
      <c r="H5" s="887"/>
      <c r="I5" s="887"/>
      <c r="J5" s="217"/>
      <c r="K5" s="217"/>
      <c r="L5" s="562"/>
      <c r="M5" s="562"/>
    </row>
    <row r="6" spans="1:13" ht="19" x14ac:dyDescent="0.25">
      <c r="A6" s="391"/>
      <c r="B6" s="391"/>
      <c r="C6" s="8" t="s">
        <v>3847</v>
      </c>
      <c r="D6" s="391"/>
      <c r="E6" s="391"/>
      <c r="F6" s="391"/>
      <c r="G6" s="391"/>
      <c r="H6" s="391"/>
      <c r="I6" s="391"/>
      <c r="J6" s="392" t="s">
        <v>48</v>
      </c>
      <c r="K6" s="392" t="s">
        <v>48</v>
      </c>
      <c r="L6" s="586" t="s">
        <v>48</v>
      </c>
      <c r="M6" s="586" t="s">
        <v>48</v>
      </c>
    </row>
    <row r="7" spans="1:13" x14ac:dyDescent="0.2">
      <c r="A7" s="562"/>
      <c r="B7" s="562"/>
      <c r="C7" s="562"/>
      <c r="D7" s="562"/>
      <c r="E7" s="562"/>
      <c r="F7" s="562"/>
      <c r="G7" s="562"/>
      <c r="H7" s="562"/>
      <c r="I7" s="562"/>
      <c r="J7" s="217"/>
      <c r="K7" s="217"/>
      <c r="L7" s="562"/>
      <c r="M7" s="562"/>
    </row>
    <row r="8" spans="1:13" x14ac:dyDescent="0.2">
      <c r="A8" s="1081" t="s">
        <v>3726</v>
      </c>
      <c r="B8" s="1081"/>
      <c r="C8" s="1059" t="str">
        <f>IF('Overview (Verification)'!P61="","None entered on ""Overview (Verification)"" Sheet",'Overview (Verification)'!P61)</f>
        <v>PRJEPKDMnz</v>
      </c>
      <c r="D8" s="1059"/>
      <c r="E8" s="562"/>
      <c r="F8" s="592" t="s">
        <v>3848</v>
      </c>
      <c r="G8" s="1058" t="str">
        <f ca="1">Points!H22</f>
        <v>None</v>
      </c>
      <c r="H8" s="1058"/>
      <c r="I8" s="1058"/>
      <c r="J8" s="217"/>
      <c r="K8" s="217"/>
      <c r="L8" s="562"/>
      <c r="M8" s="562"/>
    </row>
    <row r="9" spans="1:13" ht="3" customHeight="1" x14ac:dyDescent="0.2">
      <c r="A9" s="427"/>
      <c r="B9" s="427"/>
      <c r="C9" s="332"/>
      <c r="D9" s="332"/>
      <c r="E9" s="291"/>
      <c r="F9" s="308"/>
      <c r="G9" s="291"/>
      <c r="H9" s="291"/>
      <c r="I9" s="291"/>
      <c r="J9" s="291"/>
      <c r="K9" s="217"/>
      <c r="L9" s="562"/>
      <c r="M9" s="562"/>
    </row>
    <row r="10" spans="1:13" x14ac:dyDescent="0.2">
      <c r="A10" s="1081" t="s">
        <v>3849</v>
      </c>
      <c r="B10" s="1081"/>
      <c r="C10" s="1059" t="str">
        <f>IF('Overview (Verification)'!P8="","None entered on ""Overview (Verification)"" Sheet",'Overview (Verification)'!P8)</f>
        <v>AAA Green Builders</v>
      </c>
      <c r="D10" s="1059"/>
      <c r="E10" s="562"/>
      <c r="F10" s="592" t="s">
        <v>3850</v>
      </c>
      <c r="G10" s="722" t="str">
        <f>'Overview (Verification)'!P16</f>
        <v>Single-Family</v>
      </c>
      <c r="H10" s="722"/>
      <c r="I10" s="722"/>
      <c r="J10" s="217"/>
      <c r="K10" s="217"/>
      <c r="L10" s="562"/>
      <c r="M10" s="562"/>
    </row>
    <row r="11" spans="1:13" ht="3" customHeight="1" x14ac:dyDescent="0.2">
      <c r="A11" s="428"/>
      <c r="B11" s="428"/>
      <c r="C11" s="332"/>
      <c r="D11" s="333"/>
      <c r="E11" s="291"/>
      <c r="F11" s="308"/>
      <c r="G11" s="293"/>
      <c r="H11" s="293"/>
      <c r="I11" s="293"/>
      <c r="J11" s="291"/>
      <c r="K11" s="217"/>
      <c r="L11" s="562"/>
      <c r="M11" s="562"/>
    </row>
    <row r="12" spans="1:13" x14ac:dyDescent="0.2">
      <c r="A12" s="1081" t="s">
        <v>3851</v>
      </c>
      <c r="B12" s="1081"/>
      <c r="C12" s="1059" t="str">
        <f>IF('Overview (Verification)'!P11="","None entered on ""Overview (Verification)"" Sheet",'Overview (Verification)'!P9&amp;", "&amp;'Overview (Verification)'!P11&amp;", "&amp;'Overview (Verification)'!P12&amp;"  "&amp;'Overview (Verification)'!P14)</f>
        <v>6666 Oak St., Raleigh, North Carolina  99999</v>
      </c>
      <c r="D12" s="1059"/>
      <c r="E12" s="562"/>
      <c r="F12" s="592" t="s">
        <v>79</v>
      </c>
      <c r="G12" s="1057">
        <f>IF('Overview (Verification)'!P17&lt;&gt;"",'Overview (Verification)'!P17,1)</f>
        <v>1</v>
      </c>
      <c r="H12" s="1057"/>
      <c r="I12" s="1057"/>
      <c r="J12" s="217"/>
      <c r="K12" s="217"/>
      <c r="L12" s="562"/>
      <c r="M12" s="562"/>
    </row>
    <row r="13" spans="1:13" ht="3" customHeight="1" x14ac:dyDescent="0.2">
      <c r="A13" s="428"/>
      <c r="B13" s="428"/>
      <c r="C13" s="332"/>
      <c r="D13" s="333"/>
      <c r="E13" s="291"/>
      <c r="F13" s="308"/>
      <c r="G13" s="293"/>
      <c r="H13" s="293"/>
      <c r="I13" s="293"/>
      <c r="J13" s="291"/>
      <c r="K13" s="217"/>
      <c r="L13" s="562"/>
      <c r="M13" s="562"/>
    </row>
    <row r="14" spans="1:13" x14ac:dyDescent="0.2">
      <c r="A14" s="1081" t="s">
        <v>58</v>
      </c>
      <c r="B14" s="1081"/>
      <c r="C14" s="1059" t="str">
        <f>IF('Overview (Verification)'!P10="","None entered on ""Overview (Verification)"" Sheet",'Overview (Verification)'!P10)</f>
        <v>None entered on "Overview (Verification)" Sheet</v>
      </c>
      <c r="D14" s="1059"/>
      <c r="E14" s="562"/>
      <c r="F14" s="592" t="s">
        <v>3852</v>
      </c>
      <c r="G14" s="722" t="str">
        <f>'Overview (Verification)'!P22</f>
        <v/>
      </c>
      <c r="H14" s="722"/>
      <c r="I14" s="722"/>
      <c r="J14" s="217"/>
      <c r="K14" s="217"/>
      <c r="L14" s="562"/>
      <c r="M14" s="562"/>
    </row>
    <row r="15" spans="1:13" ht="3" customHeight="1" x14ac:dyDescent="0.2">
      <c r="A15" s="428"/>
      <c r="B15" s="428"/>
      <c r="C15" s="332"/>
      <c r="D15" s="333"/>
      <c r="E15" s="291"/>
      <c r="F15" s="308"/>
      <c r="G15" s="293"/>
      <c r="H15" s="293"/>
      <c r="I15" s="293"/>
      <c r="J15" s="291"/>
      <c r="K15" s="217"/>
      <c r="L15" s="562"/>
      <c r="M15" s="562"/>
    </row>
    <row r="16" spans="1:13" x14ac:dyDescent="0.2">
      <c r="A16" s="1081" t="s">
        <v>54</v>
      </c>
      <c r="B16" s="1081"/>
      <c r="C16" s="1086" t="str">
        <f>'Overview (Verification)'!U9&amp;" "&amp;'Overview (Verification)'!V9&amp;" "&amp;'Overview (Verification)'!W9&amp;" "&amp;'Overview (Verification)'!Y9</f>
        <v>!! !! !! !!</v>
      </c>
      <c r="D16" s="1086"/>
      <c r="E16" s="217"/>
      <c r="F16" s="592" t="s">
        <v>3853</v>
      </c>
      <c r="G16" s="722" t="str">
        <f>'Overview (Verification)'!P25</f>
        <v>Test Description</v>
      </c>
      <c r="H16" s="722"/>
      <c r="I16" s="722"/>
      <c r="J16" s="217"/>
      <c r="K16" s="217"/>
      <c r="L16" s="562"/>
      <c r="M16" s="562"/>
    </row>
    <row r="17" spans="1:11" s="331" customFormat="1" ht="3" customHeight="1" x14ac:dyDescent="0.2">
      <c r="A17" s="291"/>
      <c r="B17" s="291"/>
      <c r="C17" s="215"/>
      <c r="D17" s="292"/>
      <c r="E17" s="291"/>
      <c r="F17" s="308"/>
      <c r="G17" s="293"/>
      <c r="H17" s="293"/>
      <c r="I17" s="293"/>
      <c r="J17" s="291"/>
      <c r="K17" s="217"/>
    </row>
    <row r="18" spans="1:11" ht="14.5" customHeight="1" x14ac:dyDescent="0.2">
      <c r="A18" s="217"/>
      <c r="B18" s="217"/>
      <c r="C18" s="1083" t="s">
        <v>3854</v>
      </c>
      <c r="D18" s="1083"/>
      <c r="E18" s="562"/>
      <c r="F18" s="1083" t="s">
        <v>3855</v>
      </c>
      <c r="G18" s="1083"/>
      <c r="H18" s="1083"/>
      <c r="I18" s="1083"/>
      <c r="J18" s="217" t="b">
        <f>OR(J73:J113)</f>
        <v>1</v>
      </c>
      <c r="K18" s="217"/>
    </row>
    <row r="19" spans="1:11" x14ac:dyDescent="0.2">
      <c r="A19" s="294"/>
      <c r="B19" s="294"/>
      <c r="C19" s="294"/>
      <c r="D19" s="294"/>
      <c r="E19" s="294"/>
      <c r="F19" s="294"/>
      <c r="G19" s="294"/>
      <c r="H19" s="294"/>
      <c r="I19" s="294"/>
      <c r="J19" s="217"/>
      <c r="K19" s="217"/>
    </row>
    <row r="20" spans="1:11" x14ac:dyDescent="0.2">
      <c r="A20" s="294"/>
      <c r="B20" s="294"/>
      <c r="C20" s="294"/>
      <c r="D20" s="294"/>
      <c r="E20" s="1084" t="str">
        <f>IF('Verification Report'!L5="Rough","Rough Points claimed by","NO LONGER VALID")</f>
        <v>NO LONGER VALID</v>
      </c>
      <c r="F20" s="294"/>
      <c r="G20" s="294"/>
      <c r="H20" s="294"/>
      <c r="I20" s="294"/>
      <c r="J20" s="217"/>
      <c r="K20" s="217"/>
    </row>
    <row r="21" spans="1:11" x14ac:dyDescent="0.2">
      <c r="A21" s="294"/>
      <c r="B21" s="294"/>
      <c r="C21" s="294"/>
      <c r="D21" s="562"/>
      <c r="E21" s="1085"/>
      <c r="F21" s="294"/>
      <c r="G21" s="294"/>
      <c r="H21" s="294"/>
      <c r="I21" s="294"/>
      <c r="J21" s="217"/>
      <c r="K21" s="217"/>
    </row>
    <row r="22" spans="1:11" ht="15" customHeight="1" x14ac:dyDescent="0.2">
      <c r="A22" s="294"/>
      <c r="B22" s="294"/>
      <c r="C22" s="286" t="s">
        <v>3737</v>
      </c>
      <c r="D22" s="685" t="s">
        <v>3856</v>
      </c>
      <c r="E22" s="685" t="s">
        <v>3857</v>
      </c>
      <c r="F22" s="562"/>
      <c r="G22" s="562"/>
      <c r="H22" s="562"/>
      <c r="I22" s="562"/>
      <c r="J22" s="217"/>
      <c r="K22" s="217"/>
    </row>
    <row r="23" spans="1:11" s="64" customFormat="1" ht="3" customHeight="1" x14ac:dyDescent="0.2">
      <c r="A23" s="295"/>
      <c r="B23" s="295"/>
      <c r="C23" s="296"/>
      <c r="D23" s="668"/>
      <c r="E23" s="684"/>
      <c r="J23" s="291"/>
      <c r="K23" s="291"/>
    </row>
    <row r="24" spans="1:11" ht="15" customHeight="1" x14ac:dyDescent="0.2">
      <c r="A24" s="294"/>
      <c r="B24" s="294"/>
      <c r="C24" s="297" t="s">
        <v>3858</v>
      </c>
      <c r="D24" s="298">
        <f ca="1">Points!Ch5Points</f>
        <v>0</v>
      </c>
      <c r="E24" s="299">
        <f ca="1">Ch5PointsFinal</f>
        <v>0</v>
      </c>
      <c r="F24" s="562"/>
      <c r="G24" s="562"/>
      <c r="H24" s="562"/>
      <c r="I24" s="562"/>
      <c r="J24" s="217"/>
      <c r="K24" s="217"/>
    </row>
    <row r="25" spans="1:11" ht="15" customHeight="1" x14ac:dyDescent="0.2">
      <c r="A25" s="294"/>
      <c r="B25" s="294"/>
      <c r="C25" s="300" t="s">
        <v>3859</v>
      </c>
      <c r="D25" s="301" t="e">
        <f ca="1">Ch6Points</f>
        <v>#REF!</v>
      </c>
      <c r="E25" s="302" t="e">
        <f ca="1">Ch6PointsFinal</f>
        <v>#REF!</v>
      </c>
      <c r="F25" s="562"/>
      <c r="G25" s="562"/>
      <c r="H25" s="562"/>
      <c r="I25" s="562"/>
      <c r="J25" s="217"/>
      <c r="K25" s="217"/>
    </row>
    <row r="26" spans="1:11" ht="15" customHeight="1" x14ac:dyDescent="0.2">
      <c r="A26" s="294"/>
      <c r="B26" s="294"/>
      <c r="C26" s="300" t="s">
        <v>3860</v>
      </c>
      <c r="D26" s="301" t="str">
        <f>Ch7Level</f>
        <v>None</v>
      </c>
      <c r="E26" s="302" t="str">
        <f>Points!Q17</f>
        <v>None</v>
      </c>
      <c r="F26" s="64"/>
      <c r="G26" s="64"/>
      <c r="H26" s="64"/>
      <c r="I26" s="64"/>
      <c r="J26" s="217"/>
      <c r="K26" s="217"/>
    </row>
    <row r="27" spans="1:11" ht="15" customHeight="1" x14ac:dyDescent="0.2">
      <c r="A27" s="294"/>
      <c r="B27" s="294"/>
      <c r="C27" s="300" t="s">
        <v>3861</v>
      </c>
      <c r="D27" s="301" t="str">
        <f>Ch8Level</f>
        <v>None</v>
      </c>
      <c r="E27" s="302" t="str">
        <f>Points!Q18</f>
        <v>None</v>
      </c>
      <c r="F27" s="562"/>
      <c r="G27" s="562"/>
      <c r="H27" s="562"/>
      <c r="I27" s="562"/>
      <c r="J27" s="217"/>
      <c r="K27" s="217"/>
    </row>
    <row r="28" spans="1:11" ht="15" customHeight="1" x14ac:dyDescent="0.2">
      <c r="A28" s="294"/>
      <c r="B28" s="294"/>
      <c r="C28" s="300" t="s">
        <v>3862</v>
      </c>
      <c r="D28" s="301">
        <f ca="1">Ch9Points</f>
        <v>0</v>
      </c>
      <c r="E28" s="302">
        <f ca="1">Ch9PointsFinal</f>
        <v>0</v>
      </c>
      <c r="F28" s="562"/>
      <c r="G28" s="1028" t="s">
        <v>3863</v>
      </c>
      <c r="H28" s="1028"/>
      <c r="I28" s="562"/>
      <c r="J28" s="217"/>
      <c r="K28" s="217"/>
    </row>
    <row r="29" spans="1:11" ht="15" customHeight="1" x14ac:dyDescent="0.2">
      <c r="A29" s="294"/>
      <c r="B29" s="294"/>
      <c r="C29" s="303" t="s">
        <v>3864</v>
      </c>
      <c r="D29" s="304">
        <f>Ch10Points</f>
        <v>0</v>
      </c>
      <c r="E29" s="304">
        <f>Ch10PointsFinal</f>
        <v>0</v>
      </c>
      <c r="F29" s="286" t="s">
        <v>3865</v>
      </c>
      <c r="G29" s="286" t="s">
        <v>3866</v>
      </c>
      <c r="H29" s="286" t="s">
        <v>3867</v>
      </c>
      <c r="I29" s="286" t="s">
        <v>3868</v>
      </c>
      <c r="J29" s="217"/>
      <c r="K29" s="217"/>
    </row>
    <row r="30" spans="1:11" s="64" customFormat="1" ht="3" customHeight="1" x14ac:dyDescent="0.2">
      <c r="A30" s="295"/>
      <c r="B30" s="295"/>
      <c r="C30" s="305"/>
      <c r="D30" s="306"/>
      <c r="E30" s="295"/>
      <c r="J30" s="291"/>
      <c r="K30" s="291"/>
    </row>
    <row r="31" spans="1:11" s="64" customFormat="1" ht="3" customHeight="1" x14ac:dyDescent="0.2">
      <c r="A31" s="295"/>
      <c r="B31" s="295"/>
      <c r="C31" s="295"/>
      <c r="D31" s="306"/>
      <c r="E31" s="295"/>
      <c r="F31" s="295"/>
      <c r="G31" s="295"/>
      <c r="H31" s="295"/>
      <c r="I31" s="295"/>
      <c r="J31" s="291"/>
      <c r="K31" s="291"/>
    </row>
    <row r="32" spans="1:11" ht="15" customHeight="1" x14ac:dyDescent="0.2">
      <c r="A32" s="294"/>
      <c r="B32" s="294"/>
      <c r="C32" s="566" t="s">
        <v>2923</v>
      </c>
      <c r="D32" s="21" t="e">
        <f ca="1">Dpoints</f>
        <v>#REF!</v>
      </c>
      <c r="E32" s="21" t="e">
        <f ca="1">Vpoints</f>
        <v>#REF!</v>
      </c>
      <c r="F32" s="21">
        <f>Points!C22</f>
        <v>88</v>
      </c>
      <c r="G32" s="21">
        <f>Points!D22</f>
        <v>125</v>
      </c>
      <c r="H32" s="21">
        <f>Points!E22</f>
        <v>181</v>
      </c>
      <c r="I32" s="21">
        <f>Points!F22</f>
        <v>225</v>
      </c>
      <c r="J32" s="217"/>
      <c r="K32" s="217"/>
    </row>
    <row r="33" spans="1:11" ht="15" customHeight="1" x14ac:dyDescent="0.2">
      <c r="A33" s="294"/>
      <c r="B33" s="294"/>
      <c r="C33" s="294"/>
      <c r="D33" s="294"/>
      <c r="E33" s="294"/>
      <c r="F33" s="294"/>
      <c r="G33" s="294"/>
      <c r="H33" s="294"/>
      <c r="I33" s="294"/>
      <c r="J33" s="217"/>
      <c r="K33" s="217"/>
    </row>
    <row r="34" spans="1:11" ht="15" customHeight="1" x14ac:dyDescent="0.2">
      <c r="A34" s="562"/>
      <c r="B34" s="562"/>
      <c r="C34" s="562"/>
      <c r="D34" s="562"/>
      <c r="E34" s="562"/>
      <c r="F34" s="562"/>
      <c r="G34" s="562"/>
      <c r="H34" s="562"/>
      <c r="I34" s="562"/>
      <c r="J34" s="217"/>
      <c r="K34" s="217"/>
    </row>
    <row r="35" spans="1:11" s="389" customFormat="1" ht="18" customHeight="1" x14ac:dyDescent="0.2">
      <c r="A35" s="562"/>
      <c r="B35" s="562"/>
      <c r="C35" s="1054" t="s">
        <v>3869</v>
      </c>
      <c r="D35" s="1054"/>
      <c r="E35" s="1054"/>
      <c r="F35" s="1054"/>
      <c r="G35" s="1054"/>
      <c r="H35" s="1054"/>
      <c r="I35" s="1054"/>
      <c r="J35" s="217"/>
      <c r="K35" s="217"/>
    </row>
    <row r="36" spans="1:11" s="389" customFormat="1" ht="20" customHeight="1" x14ac:dyDescent="0.2">
      <c r="A36" s="562"/>
      <c r="B36" s="562"/>
      <c r="C36" s="1054"/>
      <c r="D36" s="1054"/>
      <c r="E36" s="1054"/>
      <c r="F36" s="1054"/>
      <c r="G36" s="1054"/>
      <c r="H36" s="1054"/>
      <c r="I36" s="1054"/>
      <c r="J36" s="217"/>
      <c r="K36" s="217"/>
    </row>
    <row r="37" spans="1:11" s="389" customFormat="1" ht="15" customHeight="1" x14ac:dyDescent="0.2">
      <c r="A37" s="562"/>
      <c r="B37" s="562"/>
      <c r="C37" s="562"/>
      <c r="D37" s="562"/>
      <c r="E37" s="562"/>
      <c r="F37" s="562"/>
      <c r="G37" s="562"/>
      <c r="H37" s="562"/>
      <c r="I37" s="562"/>
      <c r="J37" s="217"/>
      <c r="K37" s="217"/>
    </row>
    <row r="38" spans="1:11" s="389" customFormat="1" ht="15" customHeight="1" x14ac:dyDescent="0.2">
      <c r="A38" s="1075" t="s">
        <v>3870</v>
      </c>
      <c r="B38" s="1076"/>
      <c r="C38" s="1082"/>
      <c r="D38" s="1082"/>
      <c r="E38" s="731" t="s">
        <v>3871</v>
      </c>
      <c r="F38" s="919"/>
      <c r="G38" s="18"/>
      <c r="H38" s="562"/>
      <c r="I38" s="562"/>
      <c r="J38" s="217"/>
      <c r="K38" s="217"/>
    </row>
    <row r="39" spans="1:11" s="389" customFormat="1" x14ac:dyDescent="0.2">
      <c r="A39" s="1076"/>
      <c r="B39" s="1076"/>
      <c r="C39" s="1082"/>
      <c r="D39" s="1082" t="b">
        <v>1</v>
      </c>
      <c r="E39" s="562"/>
      <c r="F39" s="562"/>
      <c r="G39" s="562"/>
      <c r="H39" s="562"/>
      <c r="I39" s="562"/>
      <c r="J39" s="217"/>
      <c r="K39" s="217"/>
    </row>
    <row r="40" spans="1:11" s="389" customFormat="1" ht="3" customHeight="1" x14ac:dyDescent="0.2">
      <c r="A40" s="561"/>
      <c r="B40" s="561"/>
      <c r="C40" s="312"/>
      <c r="D40" s="312"/>
      <c r="E40" s="562"/>
      <c r="F40" s="562"/>
      <c r="G40" s="562"/>
      <c r="H40" s="562"/>
      <c r="I40" s="562"/>
      <c r="J40" s="217"/>
      <c r="K40" s="217"/>
    </row>
    <row r="41" spans="1:11" s="389" customFormat="1" x14ac:dyDescent="0.2">
      <c r="A41" s="731" t="s">
        <v>3872</v>
      </c>
      <c r="B41" s="731"/>
      <c r="C41" s="1082"/>
      <c r="D41" s="1082"/>
      <c r="E41" s="1082"/>
      <c r="F41" s="1082"/>
      <c r="G41" s="1082"/>
      <c r="H41" s="1082"/>
      <c r="I41" s="1082"/>
      <c r="J41" s="217"/>
      <c r="K41" s="217"/>
    </row>
    <row r="42" spans="1:11" s="389" customFormat="1" x14ac:dyDescent="0.2">
      <c r="A42" s="731"/>
      <c r="B42" s="731"/>
      <c r="C42" s="1082"/>
      <c r="D42" s="1082"/>
      <c r="E42" s="1082"/>
      <c r="F42" s="1082"/>
      <c r="G42" s="1082"/>
      <c r="H42" s="1082"/>
      <c r="I42" s="1082"/>
      <c r="J42" s="217"/>
      <c r="K42" s="217"/>
    </row>
    <row r="43" spans="1:11" s="389" customFormat="1" x14ac:dyDescent="0.2">
      <c r="A43" s="731"/>
      <c r="B43" s="731"/>
      <c r="C43" s="1082"/>
      <c r="D43" s="1082"/>
      <c r="E43" s="1082"/>
      <c r="F43" s="1082"/>
      <c r="G43" s="1082"/>
      <c r="H43" s="1082"/>
      <c r="I43" s="1082"/>
      <c r="J43" s="217"/>
      <c r="K43" s="217"/>
    </row>
    <row r="44" spans="1:11" ht="3" customHeight="1" x14ac:dyDescent="0.2">
      <c r="A44" s="561"/>
      <c r="B44" s="561"/>
      <c r="C44" s="64"/>
      <c r="D44" s="562"/>
      <c r="E44" s="562"/>
      <c r="F44" s="562"/>
      <c r="G44" s="562"/>
      <c r="H44" s="562"/>
      <c r="I44" s="562"/>
      <c r="J44" s="217"/>
      <c r="K44" s="217"/>
    </row>
    <row r="45" spans="1:11" ht="15" customHeight="1" x14ac:dyDescent="0.2">
      <c r="A45" s="561"/>
      <c r="B45" s="592" t="s">
        <v>3873</v>
      </c>
      <c r="C45" s="1060"/>
      <c r="D45" s="1060"/>
      <c r="E45" s="562"/>
      <c r="F45" s="562"/>
      <c r="G45" s="562"/>
      <c r="H45" s="562"/>
      <c r="I45" s="562"/>
      <c r="J45" s="217"/>
      <c r="K45" s="217"/>
    </row>
    <row r="46" spans="1:11" ht="3" customHeight="1" x14ac:dyDescent="0.2">
      <c r="A46" s="561"/>
      <c r="B46" s="592"/>
      <c r="C46" s="562"/>
      <c r="D46" s="562"/>
      <c r="E46" s="562"/>
      <c r="F46" s="562"/>
      <c r="G46" s="562"/>
      <c r="H46" s="562"/>
      <c r="I46" s="562"/>
      <c r="J46" s="217"/>
      <c r="K46" s="217"/>
    </row>
    <row r="47" spans="1:11" x14ac:dyDescent="0.2">
      <c r="A47" s="561"/>
      <c r="B47" s="592" t="s">
        <v>3874</v>
      </c>
      <c r="C47" s="1060"/>
      <c r="D47" s="1060"/>
      <c r="E47" s="562"/>
      <c r="F47" s="562"/>
      <c r="G47" s="562"/>
      <c r="H47" s="562"/>
      <c r="I47" s="562"/>
      <c r="J47" s="217"/>
      <c r="K47" s="217"/>
    </row>
    <row r="48" spans="1:11" ht="3" customHeight="1" x14ac:dyDescent="0.2">
      <c r="A48" s="561"/>
      <c r="B48" s="592"/>
      <c r="C48" s="562"/>
      <c r="D48" s="562"/>
      <c r="E48" s="562"/>
      <c r="F48" s="562"/>
      <c r="G48" s="562"/>
      <c r="H48" s="562"/>
      <c r="I48" s="562"/>
      <c r="J48" s="217"/>
      <c r="K48" s="217"/>
    </row>
    <row r="49" spans="1:11" x14ac:dyDescent="0.2">
      <c r="A49" s="561"/>
      <c r="B49" s="592" t="s">
        <v>3875</v>
      </c>
      <c r="C49" s="1060"/>
      <c r="D49" s="1060"/>
      <c r="E49" s="562"/>
      <c r="F49" s="562"/>
      <c r="G49" s="562"/>
      <c r="H49" s="562"/>
      <c r="I49" s="562"/>
      <c r="J49" s="217"/>
      <c r="K49" s="217"/>
    </row>
    <row r="50" spans="1:11" ht="3" customHeight="1" x14ac:dyDescent="0.2">
      <c r="A50" s="561"/>
      <c r="B50" s="592"/>
      <c r="C50" s="562"/>
      <c r="D50" s="562"/>
      <c r="E50" s="562"/>
      <c r="F50" s="562"/>
      <c r="G50" s="562"/>
      <c r="H50" s="562"/>
      <c r="I50" s="562"/>
      <c r="J50" s="217"/>
      <c r="K50" s="217"/>
    </row>
    <row r="51" spans="1:11" x14ac:dyDescent="0.2">
      <c r="A51" s="561"/>
      <c r="B51" s="308" t="s">
        <v>3876</v>
      </c>
      <c r="C51" s="1060"/>
      <c r="D51" s="1060"/>
      <c r="E51" s="562"/>
      <c r="F51" s="562"/>
      <c r="G51" s="562"/>
      <c r="H51" s="562"/>
      <c r="I51" s="562"/>
      <c r="J51" s="217"/>
      <c r="K51" s="217"/>
    </row>
    <row r="52" spans="1:11" x14ac:dyDescent="0.2">
      <c r="A52" s="309"/>
      <c r="B52" s="64"/>
      <c r="C52" s="562"/>
      <c r="D52" s="562"/>
      <c r="E52" s="562"/>
      <c r="F52" s="562"/>
      <c r="G52" s="562"/>
      <c r="H52" s="562"/>
      <c r="I52" s="562"/>
      <c r="J52" s="217"/>
      <c r="K52" s="217"/>
    </row>
    <row r="53" spans="1:11" x14ac:dyDescent="0.2">
      <c r="A53" s="310"/>
      <c r="B53" s="310"/>
      <c r="C53" s="562"/>
      <c r="D53" s="562"/>
      <c r="E53" s="562"/>
      <c r="F53" s="562"/>
      <c r="G53" s="562"/>
      <c r="H53" s="562"/>
      <c r="I53" s="562"/>
      <c r="J53" s="217"/>
      <c r="K53" s="217"/>
    </row>
    <row r="54" spans="1:11" x14ac:dyDescent="0.2">
      <c r="A54" s="562"/>
      <c r="B54" s="562"/>
      <c r="C54" s="1055" t="s">
        <v>3877</v>
      </c>
      <c r="D54" s="1055"/>
      <c r="E54" s="562"/>
      <c r="F54" s="562"/>
      <c r="G54" s="562"/>
      <c r="H54" s="562"/>
      <c r="I54" s="562"/>
      <c r="J54" s="217"/>
      <c r="K54" s="217"/>
    </row>
    <row r="55" spans="1:11" ht="3" customHeight="1" x14ac:dyDescent="0.2">
      <c r="A55" s="562"/>
      <c r="B55" s="562"/>
      <c r="C55" s="586"/>
      <c r="D55" s="586"/>
      <c r="E55" s="562"/>
      <c r="F55" s="562"/>
      <c r="G55" s="562"/>
      <c r="H55" s="562"/>
      <c r="I55" s="562"/>
      <c r="J55" s="217"/>
      <c r="K55" s="217"/>
    </row>
    <row r="56" spans="1:11" x14ac:dyDescent="0.2">
      <c r="A56" s="562"/>
      <c r="B56" s="562"/>
      <c r="C56" s="1056" t="s">
        <v>3878</v>
      </c>
      <c r="D56" s="1056"/>
      <c r="E56" s="1056"/>
      <c r="F56" s="1056"/>
      <c r="G56" s="1056"/>
      <c r="H56" s="1056"/>
      <c r="I56" s="1056"/>
      <c r="J56" s="217"/>
      <c r="K56" s="217"/>
    </row>
    <row r="57" spans="1:11" ht="18" customHeight="1" x14ac:dyDescent="0.2">
      <c r="A57" s="562"/>
      <c r="B57" s="562"/>
      <c r="C57" s="1056"/>
      <c r="D57" s="1056"/>
      <c r="E57" s="1056"/>
      <c r="F57" s="1056"/>
      <c r="G57" s="1056"/>
      <c r="H57" s="1056"/>
      <c r="I57" s="1056"/>
      <c r="J57" s="217"/>
      <c r="K57" s="217"/>
    </row>
    <row r="58" spans="1:11" x14ac:dyDescent="0.2">
      <c r="A58" s="42"/>
      <c r="B58" s="311"/>
      <c r="C58" s="310"/>
      <c r="D58" s="310"/>
      <c r="E58" s="310"/>
      <c r="F58" s="310"/>
      <c r="G58" s="310"/>
      <c r="H58" s="310"/>
      <c r="I58" s="310"/>
      <c r="J58" s="217"/>
      <c r="K58" s="217"/>
    </row>
    <row r="59" spans="1:11" s="331" customFormat="1" x14ac:dyDescent="0.2">
      <c r="A59" s="42"/>
      <c r="B59" s="311"/>
      <c r="C59" s="310"/>
      <c r="D59" s="310"/>
      <c r="E59" s="310"/>
      <c r="F59" s="310"/>
      <c r="G59" s="310"/>
      <c r="H59" s="310"/>
      <c r="I59" s="310"/>
      <c r="J59" s="217"/>
      <c r="K59" s="217"/>
    </row>
    <row r="60" spans="1:11" s="331" customFormat="1" x14ac:dyDescent="0.2">
      <c r="A60" s="42"/>
      <c r="B60" s="311"/>
      <c r="C60" s="310"/>
      <c r="D60" s="310"/>
      <c r="E60" s="310"/>
      <c r="F60" s="310"/>
      <c r="G60" s="310"/>
      <c r="H60" s="310"/>
      <c r="I60" s="310"/>
      <c r="J60" s="217"/>
      <c r="K60" s="217"/>
    </row>
    <row r="61" spans="1:11" s="331" customFormat="1" x14ac:dyDescent="0.2">
      <c r="A61" s="42"/>
      <c r="B61" s="311"/>
      <c r="C61" s="310"/>
      <c r="D61" s="310"/>
      <c r="E61" s="310"/>
      <c r="F61" s="310"/>
      <c r="G61" s="310"/>
      <c r="H61" s="310"/>
      <c r="I61" s="310"/>
      <c r="J61" s="217"/>
      <c r="K61" s="217"/>
    </row>
    <row r="62" spans="1:11" s="331" customFormat="1" x14ac:dyDescent="0.2">
      <c r="A62" s="42"/>
      <c r="B62" s="311"/>
      <c r="C62" s="310"/>
      <c r="D62" s="310"/>
      <c r="E62" s="310"/>
      <c r="F62" s="310"/>
      <c r="G62" s="310"/>
      <c r="H62" s="310"/>
      <c r="I62" s="310"/>
      <c r="J62" s="217"/>
      <c r="K62" s="217"/>
    </row>
    <row r="63" spans="1:11" s="331" customFormat="1" x14ac:dyDescent="0.2">
      <c r="A63" s="42"/>
      <c r="B63" s="311"/>
      <c r="C63" s="310"/>
      <c r="D63" s="310"/>
      <c r="E63" s="310"/>
      <c r="F63" s="310"/>
      <c r="G63" s="310"/>
      <c r="H63" s="310"/>
      <c r="I63" s="310"/>
      <c r="J63" s="217"/>
      <c r="K63" s="217"/>
    </row>
    <row r="64" spans="1:11" s="331" customFormat="1" x14ac:dyDescent="0.2">
      <c r="A64" s="42"/>
      <c r="B64" s="311"/>
      <c r="C64" s="310"/>
      <c r="D64" s="310"/>
      <c r="E64" s="310"/>
      <c r="F64" s="310"/>
      <c r="G64" s="310"/>
      <c r="H64" s="310"/>
      <c r="I64" s="310"/>
      <c r="J64" s="217"/>
      <c r="K64" s="217"/>
    </row>
    <row r="65" spans="1:11" s="331" customFormat="1" x14ac:dyDescent="0.2">
      <c r="A65" s="42"/>
      <c r="B65" s="311"/>
      <c r="C65" s="310"/>
      <c r="D65" s="310"/>
      <c r="E65" s="310"/>
      <c r="F65" s="310"/>
      <c r="G65" s="310"/>
      <c r="H65" s="310"/>
      <c r="I65" s="310"/>
      <c r="J65" s="217"/>
      <c r="K65" s="217"/>
    </row>
    <row r="66" spans="1:11" x14ac:dyDescent="0.2">
      <c r="A66" s="1075" t="s">
        <v>3879</v>
      </c>
      <c r="B66" s="1076"/>
      <c r="C66" s="1077"/>
      <c r="D66" s="1078"/>
      <c r="E66" s="562"/>
      <c r="F66" s="562"/>
      <c r="G66" s="562"/>
      <c r="H66" s="562"/>
      <c r="I66" s="562"/>
      <c r="J66" s="217"/>
      <c r="K66" s="217"/>
    </row>
    <row r="67" spans="1:11" x14ac:dyDescent="0.2">
      <c r="A67" s="1076"/>
      <c r="B67" s="1076"/>
      <c r="C67" s="1079"/>
      <c r="D67" s="1080"/>
      <c r="E67" s="562"/>
      <c r="F67" s="562"/>
      <c r="G67" s="562"/>
      <c r="H67" s="562"/>
      <c r="I67" s="562"/>
      <c r="J67" s="217"/>
      <c r="K67" s="217"/>
    </row>
    <row r="68" spans="1:11" ht="3" customHeight="1" x14ac:dyDescent="0.2">
      <c r="A68" s="561"/>
      <c r="B68" s="561"/>
      <c r="C68" s="312"/>
      <c r="D68" s="312"/>
      <c r="E68" s="562"/>
      <c r="F68" s="562"/>
      <c r="G68" s="562"/>
      <c r="H68" s="562"/>
      <c r="I68" s="562"/>
      <c r="J68" s="217"/>
      <c r="K68" s="217"/>
    </row>
    <row r="69" spans="1:11" s="389" customFormat="1" x14ac:dyDescent="0.2">
      <c r="A69" s="731" t="s">
        <v>3880</v>
      </c>
      <c r="B69" s="731"/>
      <c r="C69" s="1066"/>
      <c r="D69" s="1067"/>
      <c r="E69" s="1067"/>
      <c r="F69" s="1067"/>
      <c r="G69" s="1067"/>
      <c r="H69" s="1067"/>
      <c r="I69" s="1068"/>
      <c r="J69" s="217"/>
      <c r="K69" s="217"/>
    </row>
    <row r="70" spans="1:11" s="389" customFormat="1" x14ac:dyDescent="0.2">
      <c r="A70" s="731"/>
      <c r="B70" s="731"/>
      <c r="C70" s="1069"/>
      <c r="D70" s="1070"/>
      <c r="E70" s="1070"/>
      <c r="F70" s="1070"/>
      <c r="G70" s="1070"/>
      <c r="H70" s="1070"/>
      <c r="I70" s="1071"/>
      <c r="J70" s="217"/>
      <c r="K70" s="217"/>
    </row>
    <row r="71" spans="1:11" x14ac:dyDescent="0.2">
      <c r="A71" s="731"/>
      <c r="B71" s="731"/>
      <c r="C71" s="1072"/>
      <c r="D71" s="1073"/>
      <c r="E71" s="1073"/>
      <c r="F71" s="1073"/>
      <c r="G71" s="1073"/>
      <c r="H71" s="1073"/>
      <c r="I71" s="1074"/>
      <c r="J71" s="217"/>
      <c r="K71" s="217"/>
    </row>
    <row r="72" spans="1:11" ht="3" customHeight="1" x14ac:dyDescent="0.2">
      <c r="A72" s="561"/>
      <c r="B72" s="561"/>
      <c r="C72" s="562"/>
      <c r="D72" s="562"/>
      <c r="E72" s="562"/>
      <c r="F72" s="562"/>
      <c r="G72" s="562"/>
      <c r="H72" s="562"/>
      <c r="I72" s="562"/>
      <c r="J72" s="217"/>
      <c r="K72" s="217"/>
    </row>
    <row r="73" spans="1:11" x14ac:dyDescent="0.2">
      <c r="A73" s="731" t="s">
        <v>3873</v>
      </c>
      <c r="B73" s="731"/>
      <c r="C73" s="426"/>
      <c r="D73" s="562"/>
      <c r="E73" s="562"/>
      <c r="F73" s="562"/>
      <c r="G73" s="562"/>
      <c r="H73" s="562"/>
      <c r="I73" s="562"/>
      <c r="J73" s="217" t="b">
        <f>ISBLANK(C73)</f>
        <v>1</v>
      </c>
      <c r="K73" s="217"/>
    </row>
    <row r="74" spans="1:11" ht="3" customHeight="1" x14ac:dyDescent="0.2">
      <c r="A74" s="592"/>
      <c r="B74" s="592"/>
      <c r="C74" s="562"/>
      <c r="D74" s="562"/>
      <c r="E74" s="562"/>
      <c r="F74" s="562"/>
      <c r="G74" s="562"/>
      <c r="H74" s="562"/>
      <c r="I74" s="562"/>
      <c r="J74" s="217"/>
      <c r="K74" s="217"/>
    </row>
    <row r="75" spans="1:11" x14ac:dyDescent="0.2">
      <c r="A75" s="731" t="s">
        <v>3874</v>
      </c>
      <c r="B75" s="731"/>
      <c r="C75" s="426"/>
      <c r="D75" s="562"/>
      <c r="E75" s="562"/>
      <c r="F75" s="562"/>
      <c r="G75" s="562"/>
      <c r="H75" s="562"/>
      <c r="I75" s="562"/>
      <c r="J75" s="217" t="b">
        <f>ISBLANK(C75)</f>
        <v>1</v>
      </c>
      <c r="K75" s="217"/>
    </row>
    <row r="76" spans="1:11" ht="3" customHeight="1" x14ac:dyDescent="0.2">
      <c r="A76" s="592"/>
      <c r="B76" s="592"/>
      <c r="C76" s="562"/>
      <c r="D76" s="562"/>
      <c r="E76" s="562"/>
      <c r="F76" s="562"/>
      <c r="G76" s="562"/>
      <c r="H76" s="562"/>
      <c r="I76" s="562"/>
      <c r="J76" s="217"/>
      <c r="K76" s="217"/>
    </row>
    <row r="77" spans="1:11" x14ac:dyDescent="0.2">
      <c r="A77" s="731" t="s">
        <v>3875</v>
      </c>
      <c r="B77" s="731"/>
      <c r="C77" s="426"/>
      <c r="D77" s="562"/>
      <c r="E77" s="562"/>
      <c r="F77" s="562"/>
      <c r="G77" s="562"/>
      <c r="H77" s="562"/>
      <c r="I77" s="562"/>
      <c r="J77" s="217" t="b">
        <f>ISBLANK(C77)</f>
        <v>1</v>
      </c>
      <c r="K77" s="217"/>
    </row>
    <row r="78" spans="1:11" ht="3" customHeight="1" x14ac:dyDescent="0.2">
      <c r="A78" s="592"/>
      <c r="B78" s="592"/>
      <c r="C78" s="562"/>
      <c r="D78" s="562"/>
      <c r="E78" s="562"/>
      <c r="F78" s="562"/>
      <c r="G78" s="562"/>
      <c r="H78" s="562"/>
      <c r="I78" s="562"/>
      <c r="J78" s="217"/>
      <c r="K78" s="217"/>
    </row>
    <row r="79" spans="1:11" x14ac:dyDescent="0.2">
      <c r="A79" s="731" t="s">
        <v>3881</v>
      </c>
      <c r="B79" s="731"/>
      <c r="C79" s="426"/>
      <c r="D79" s="1061" t="s">
        <v>3882</v>
      </c>
      <c r="E79" s="562"/>
      <c r="F79" s="562"/>
      <c r="G79" s="562"/>
      <c r="H79" s="562"/>
      <c r="I79" s="562"/>
      <c r="J79" s="217" t="b">
        <f>ISBLANK(C79)</f>
        <v>1</v>
      </c>
      <c r="K79" s="217"/>
    </row>
    <row r="80" spans="1:11" ht="3" customHeight="1" x14ac:dyDescent="0.2">
      <c r="A80" s="592"/>
      <c r="B80" s="592"/>
      <c r="C80" s="562"/>
      <c r="D80" s="1061"/>
      <c r="E80" s="562"/>
      <c r="F80" s="562"/>
      <c r="G80" s="562"/>
      <c r="H80" s="562"/>
      <c r="I80" s="562"/>
      <c r="J80" s="217"/>
      <c r="K80" s="217"/>
    </row>
    <row r="81" spans="1:11" x14ac:dyDescent="0.2">
      <c r="A81" s="731" t="s">
        <v>3883</v>
      </c>
      <c r="B81" s="731"/>
      <c r="C81" s="426"/>
      <c r="D81" s="1061"/>
      <c r="E81" s="562"/>
      <c r="F81" s="562"/>
      <c r="G81" s="562"/>
      <c r="H81" s="562"/>
      <c r="I81" s="562"/>
      <c r="J81" s="217" t="b">
        <f>ISBLANK(C81)</f>
        <v>1</v>
      </c>
      <c r="K81" s="217"/>
    </row>
    <row r="82" spans="1:11" ht="3" customHeight="1" x14ac:dyDescent="0.2">
      <c r="A82" s="592"/>
      <c r="B82" s="592"/>
      <c r="C82" s="562"/>
      <c r="D82" s="562"/>
      <c r="E82" s="562"/>
      <c r="F82" s="562"/>
      <c r="G82" s="562"/>
      <c r="H82" s="562"/>
      <c r="I82" s="562"/>
      <c r="J82" s="217"/>
      <c r="K82" s="217"/>
    </row>
    <row r="83" spans="1:11" x14ac:dyDescent="0.2">
      <c r="A83" s="731" t="s">
        <v>3876</v>
      </c>
      <c r="B83" s="731"/>
      <c r="C83" s="426"/>
      <c r="D83" s="689" t="s">
        <v>3884</v>
      </c>
      <c r="E83" s="562"/>
      <c r="F83" s="562"/>
      <c r="G83" s="562"/>
      <c r="H83" s="562"/>
      <c r="I83" s="562"/>
      <c r="J83" s="217" t="b">
        <f>ISBLANK(C83)</f>
        <v>1</v>
      </c>
      <c r="K83" s="217"/>
    </row>
    <row r="84" spans="1:11" x14ac:dyDescent="0.2">
      <c r="A84" s="562"/>
      <c r="B84" s="562"/>
      <c r="C84" s="562"/>
      <c r="D84" s="313"/>
      <c r="E84" s="562"/>
      <c r="F84" s="562"/>
      <c r="G84" s="562"/>
      <c r="H84" s="562"/>
      <c r="I84" s="562"/>
      <c r="J84" s="217"/>
      <c r="K84" s="217"/>
    </row>
    <row r="85" spans="1:11" x14ac:dyDescent="0.2">
      <c r="A85" s="562"/>
      <c r="B85" s="562"/>
      <c r="C85" s="562"/>
      <c r="D85" s="562"/>
      <c r="E85" s="562"/>
      <c r="F85" s="562"/>
      <c r="G85" s="562"/>
      <c r="H85" s="562"/>
      <c r="I85" s="562"/>
      <c r="J85" s="217"/>
      <c r="K85" s="217"/>
    </row>
    <row r="86" spans="1:11" s="331" customFormat="1" x14ac:dyDescent="0.2">
      <c r="A86" s="562"/>
      <c r="B86" s="562"/>
      <c r="C86" s="562"/>
      <c r="D86" s="562"/>
      <c r="E86" s="562"/>
      <c r="F86" s="562"/>
      <c r="G86" s="562"/>
      <c r="H86" s="562"/>
      <c r="I86" s="562"/>
      <c r="J86" s="217"/>
      <c r="K86" s="217"/>
    </row>
    <row r="87" spans="1:11" s="331" customFormat="1" x14ac:dyDescent="0.2">
      <c r="A87" s="562"/>
      <c r="B87" s="562"/>
      <c r="C87" s="562"/>
      <c r="D87" s="562"/>
      <c r="E87" s="562"/>
      <c r="F87" s="562"/>
      <c r="G87" s="562"/>
      <c r="H87" s="562"/>
      <c r="I87" s="562"/>
      <c r="J87" s="217"/>
      <c r="K87" s="217"/>
    </row>
    <row r="88" spans="1:11" x14ac:dyDescent="0.2">
      <c r="A88" s="562"/>
      <c r="B88" s="562"/>
      <c r="C88" s="561" t="s">
        <v>3885</v>
      </c>
      <c r="D88" s="562"/>
      <c r="E88" s="562"/>
      <c r="F88" s="562"/>
      <c r="G88" s="562"/>
      <c r="H88" s="562"/>
      <c r="I88" s="562"/>
      <c r="J88" s="217"/>
      <c r="K88" s="217"/>
    </row>
    <row r="89" spans="1:11" x14ac:dyDescent="0.2">
      <c r="A89" s="562"/>
      <c r="B89" s="562"/>
      <c r="C89" s="1061" t="s">
        <v>3886</v>
      </c>
      <c r="D89" s="1061"/>
      <c r="E89" s="1061"/>
      <c r="F89" s="1061"/>
      <c r="G89" s="1061"/>
      <c r="H89" s="1061"/>
      <c r="I89" s="1061"/>
      <c r="J89" s="217"/>
      <c r="K89" s="217"/>
    </row>
    <row r="90" spans="1:11" x14ac:dyDescent="0.2">
      <c r="A90" s="562"/>
      <c r="B90" s="562"/>
      <c r="C90" s="562"/>
      <c r="D90" s="562"/>
      <c r="E90" s="562"/>
      <c r="F90" s="562"/>
      <c r="G90" s="562"/>
      <c r="H90" s="562"/>
      <c r="I90" s="562"/>
      <c r="J90" s="217"/>
      <c r="K90" s="217"/>
    </row>
    <row r="91" spans="1:11" x14ac:dyDescent="0.2">
      <c r="A91" s="562"/>
      <c r="B91" s="562"/>
      <c r="C91" s="644" t="s">
        <v>3887</v>
      </c>
      <c r="D91" s="644" t="s">
        <v>3888</v>
      </c>
      <c r="E91" s="1062" t="s">
        <v>3889</v>
      </c>
      <c r="F91" s="1062"/>
      <c r="G91" s="718" t="s">
        <v>3890</v>
      </c>
      <c r="H91" s="718"/>
      <c r="I91" s="562"/>
      <c r="J91" s="217"/>
      <c r="K91" s="217"/>
    </row>
    <row r="92" spans="1:11" x14ac:dyDescent="0.2">
      <c r="A92" s="562"/>
      <c r="B92" s="594">
        <v>1</v>
      </c>
      <c r="C92" s="583"/>
      <c r="D92" s="583"/>
      <c r="E92" s="1052"/>
      <c r="F92" s="1052"/>
      <c r="G92" s="1052"/>
      <c r="H92" s="1052"/>
      <c r="I92" s="562"/>
      <c r="J92" s="562" t="b">
        <f>AND(OR(ISBLANK(C92),ISBLANK(D92),ISBLANK(E92),ISBLANK(G92)),K92)</f>
        <v>0</v>
      </c>
      <c r="K92" s="316" t="b">
        <f>OR(NOT(ISBLANK(C92)),NOT(ISBLANK(D92)),NOT(ISBLANK(E92)),NOT(ISBLANK(G92)))</f>
        <v>0</v>
      </c>
    </row>
    <row r="93" spans="1:11" x14ac:dyDescent="0.2">
      <c r="A93" s="562"/>
      <c r="B93" s="594">
        <v>2</v>
      </c>
      <c r="C93" s="583"/>
      <c r="D93" s="583"/>
      <c r="E93" s="1052"/>
      <c r="F93" s="1052"/>
      <c r="G93" s="1052"/>
      <c r="H93" s="1052"/>
      <c r="I93" s="562"/>
      <c r="J93" s="562" t="b">
        <f t="shared" ref="J93:J96" si="0">AND(OR(ISBLANK(C93),ISBLANK(D93),ISBLANK(E93),ISBLANK(G93)),K93)</f>
        <v>0</v>
      </c>
      <c r="K93" s="316" t="b">
        <f>OR(NOT(ISBLANK(C93)),NOT(ISBLANK(D93)),NOT(ISBLANK(E93)),NOT(ISBLANK(G93)))</f>
        <v>0</v>
      </c>
    </row>
    <row r="94" spans="1:11" x14ac:dyDescent="0.2">
      <c r="A94" s="562"/>
      <c r="B94" s="594">
        <v>3</v>
      </c>
      <c r="C94" s="583"/>
      <c r="D94" s="583"/>
      <c r="E94" s="1052"/>
      <c r="F94" s="1052"/>
      <c r="G94" s="1052"/>
      <c r="H94" s="1052"/>
      <c r="I94" s="562"/>
      <c r="J94" s="562" t="b">
        <f t="shared" si="0"/>
        <v>0</v>
      </c>
      <c r="K94" s="316" t="b">
        <f>OR(NOT(ISBLANK(C94)),NOT(ISBLANK(D94)),NOT(ISBLANK(E94)),NOT(ISBLANK(G94)))</f>
        <v>0</v>
      </c>
    </row>
    <row r="95" spans="1:11" x14ac:dyDescent="0.2">
      <c r="A95" s="562"/>
      <c r="B95" s="594">
        <v>4</v>
      </c>
      <c r="C95" s="583"/>
      <c r="D95" s="583"/>
      <c r="E95" s="1052"/>
      <c r="F95" s="1052"/>
      <c r="G95" s="1052"/>
      <c r="H95" s="1052"/>
      <c r="I95" s="562"/>
      <c r="J95" s="562" t="b">
        <f t="shared" si="0"/>
        <v>0</v>
      </c>
      <c r="K95" s="316" t="b">
        <f>OR(NOT(ISBLANK(C95)),NOT(ISBLANK(D95)),NOT(ISBLANK(E95)),NOT(ISBLANK(G95)))</f>
        <v>0</v>
      </c>
    </row>
    <row r="96" spans="1:11" x14ac:dyDescent="0.2">
      <c r="A96" s="562"/>
      <c r="B96" s="594">
        <v>5</v>
      </c>
      <c r="C96" s="583"/>
      <c r="D96" s="583"/>
      <c r="E96" s="1052"/>
      <c r="F96" s="1052"/>
      <c r="G96" s="1052"/>
      <c r="H96" s="1052"/>
      <c r="I96" s="562"/>
      <c r="J96" s="562" t="b">
        <f t="shared" si="0"/>
        <v>0</v>
      </c>
      <c r="K96" s="316" t="b">
        <f>OR(NOT(ISBLANK(C96)),NOT(ISBLANK(D96)),NOT(ISBLANK(E96)),NOT(ISBLANK(G96)))</f>
        <v>0</v>
      </c>
    </row>
    <row r="97" spans="2:11" x14ac:dyDescent="0.2">
      <c r="B97" s="562"/>
      <c r="C97" s="562"/>
      <c r="D97" s="562"/>
      <c r="E97" s="562"/>
      <c r="F97" s="562"/>
      <c r="G97" s="562"/>
      <c r="H97" s="562"/>
      <c r="I97" s="562"/>
      <c r="J97" s="562"/>
      <c r="K97" s="217"/>
    </row>
    <row r="98" spans="2:11" x14ac:dyDescent="0.2">
      <c r="B98" s="562"/>
      <c r="C98" s="562"/>
      <c r="D98" s="562"/>
      <c r="E98" s="562"/>
      <c r="F98" s="562"/>
      <c r="G98" s="562"/>
      <c r="H98" s="562"/>
      <c r="I98" s="562"/>
      <c r="J98" s="562"/>
      <c r="K98" s="217"/>
    </row>
    <row r="99" spans="2:11" x14ac:dyDescent="0.2">
      <c r="B99" s="562"/>
      <c r="C99" s="562"/>
      <c r="D99" s="562"/>
      <c r="E99" s="562"/>
      <c r="F99" s="562"/>
      <c r="G99" s="562"/>
      <c r="H99" s="562"/>
      <c r="I99" s="562"/>
      <c r="J99" s="562"/>
      <c r="K99" s="217"/>
    </row>
    <row r="100" spans="2:11" x14ac:dyDescent="0.2">
      <c r="B100" s="562"/>
      <c r="C100" s="561" t="s">
        <v>3891</v>
      </c>
      <c r="D100" s="562"/>
      <c r="E100" s="562"/>
      <c r="F100" s="562"/>
      <c r="G100" s="562"/>
      <c r="H100" s="562"/>
      <c r="I100" s="562"/>
      <c r="J100" s="562"/>
      <c r="K100" s="217"/>
    </row>
    <row r="101" spans="2:11" x14ac:dyDescent="0.2">
      <c r="B101" s="562"/>
      <c r="C101" s="313"/>
      <c r="D101" s="562"/>
      <c r="E101" s="562"/>
      <c r="F101" s="562"/>
      <c r="G101" s="562"/>
      <c r="H101" s="562"/>
      <c r="I101" s="562"/>
      <c r="J101" s="562"/>
      <c r="K101" s="217"/>
    </row>
    <row r="102" spans="2:11" x14ac:dyDescent="0.2">
      <c r="B102" s="562"/>
      <c r="C102" s="562"/>
      <c r="D102" s="562"/>
      <c r="E102" s="562"/>
      <c r="F102" s="562"/>
      <c r="G102" s="562"/>
      <c r="H102" s="562"/>
      <c r="I102" s="562"/>
      <c r="J102" s="562"/>
      <c r="K102" s="217"/>
    </row>
    <row r="103" spans="2:11" ht="29" x14ac:dyDescent="0.2">
      <c r="B103" s="562"/>
      <c r="C103" s="1063" t="s">
        <v>3892</v>
      </c>
      <c r="D103" s="1063"/>
      <c r="E103" s="1064" t="s">
        <v>3893</v>
      </c>
      <c r="F103" s="1065"/>
      <c r="G103" s="690" t="s">
        <v>3894</v>
      </c>
      <c r="H103" s="314" t="s">
        <v>3895</v>
      </c>
      <c r="I103" s="315"/>
      <c r="J103" s="562"/>
      <c r="K103" s="315"/>
    </row>
    <row r="104" spans="2:11" x14ac:dyDescent="0.2">
      <c r="B104" s="594">
        <v>1</v>
      </c>
      <c r="C104" s="1052"/>
      <c r="D104" s="1052"/>
      <c r="E104" s="1053" t="str">
        <f>'Overview (Verification)'!P11&amp;", "&amp;'Overview (Verification)'!P12&amp;" "&amp;'Overview (Verification)'!P14</f>
        <v>Raleigh, North Carolina 99999</v>
      </c>
      <c r="F104" s="1053"/>
      <c r="G104" s="686"/>
      <c r="H104" s="393"/>
      <c r="I104" s="316"/>
      <c r="J104" s="562" t="b">
        <f>AND(OR(ISBLANK(C104),ISBLANK(G104),ISBLANK(H104)),K104)</f>
        <v>0</v>
      </c>
      <c r="K104" s="316" t="b">
        <f>OR(NOT(ISBLANK(C104)),NOT(ISBLANK(G104)),NOT(ISBLANK(H104)))</f>
        <v>0</v>
      </c>
    </row>
    <row r="105" spans="2:11" x14ac:dyDescent="0.2">
      <c r="B105" s="594">
        <v>2</v>
      </c>
      <c r="C105" s="1052"/>
      <c r="D105" s="1052"/>
      <c r="E105" s="1053"/>
      <c r="F105" s="1053"/>
      <c r="G105" s="686"/>
      <c r="H105" s="393"/>
      <c r="I105" s="316"/>
      <c r="J105" s="562" t="b">
        <f t="shared" ref="J105:J113" si="1">AND(OR(ISBLANK(C105),ISBLANK(G105),ISBLANK(H105)),K105)</f>
        <v>0</v>
      </c>
      <c r="K105" s="316" t="b">
        <f t="shared" ref="K105:K113" si="2">OR(NOT(ISBLANK(C105)),NOT(ISBLANK(G105)),NOT(ISBLANK(H105)))</f>
        <v>0</v>
      </c>
    </row>
    <row r="106" spans="2:11" x14ac:dyDescent="0.2">
      <c r="B106" s="594">
        <v>3</v>
      </c>
      <c r="C106" s="1052"/>
      <c r="D106" s="1052"/>
      <c r="E106" s="1053"/>
      <c r="F106" s="1053"/>
      <c r="G106" s="686"/>
      <c r="H106" s="393"/>
      <c r="I106" s="316"/>
      <c r="J106" s="562" t="b">
        <f t="shared" si="1"/>
        <v>0</v>
      </c>
      <c r="K106" s="316" t="b">
        <f t="shared" si="2"/>
        <v>0</v>
      </c>
    </row>
    <row r="107" spans="2:11" x14ac:dyDescent="0.2">
      <c r="B107" s="594">
        <v>4</v>
      </c>
      <c r="C107" s="1052"/>
      <c r="D107" s="1052"/>
      <c r="E107" s="1053"/>
      <c r="F107" s="1053"/>
      <c r="G107" s="686"/>
      <c r="H107" s="393"/>
      <c r="I107" s="316"/>
      <c r="J107" s="562" t="b">
        <f t="shared" si="1"/>
        <v>0</v>
      </c>
      <c r="K107" s="316" t="b">
        <f t="shared" si="2"/>
        <v>0</v>
      </c>
    </row>
    <row r="108" spans="2:11" x14ac:dyDescent="0.2">
      <c r="B108" s="594">
        <v>5</v>
      </c>
      <c r="C108" s="1052"/>
      <c r="D108" s="1052"/>
      <c r="E108" s="1053"/>
      <c r="F108" s="1053"/>
      <c r="G108" s="686"/>
      <c r="H108" s="393"/>
      <c r="I108" s="316"/>
      <c r="J108" s="562" t="b">
        <f t="shared" si="1"/>
        <v>0</v>
      </c>
      <c r="K108" s="316" t="b">
        <f t="shared" si="2"/>
        <v>0</v>
      </c>
    </row>
    <row r="109" spans="2:11" x14ac:dyDescent="0.2">
      <c r="B109" s="594">
        <v>6</v>
      </c>
      <c r="C109" s="1052"/>
      <c r="D109" s="1052"/>
      <c r="E109" s="1053"/>
      <c r="F109" s="1053"/>
      <c r="G109" s="686"/>
      <c r="H109" s="393"/>
      <c r="I109" s="316"/>
      <c r="J109" s="562" t="b">
        <f t="shared" si="1"/>
        <v>0</v>
      </c>
      <c r="K109" s="316" t="b">
        <f t="shared" si="2"/>
        <v>0</v>
      </c>
    </row>
    <row r="110" spans="2:11" x14ac:dyDescent="0.2">
      <c r="B110" s="594">
        <v>7</v>
      </c>
      <c r="C110" s="1052"/>
      <c r="D110" s="1052"/>
      <c r="E110" s="1053"/>
      <c r="F110" s="1053"/>
      <c r="G110" s="686"/>
      <c r="H110" s="393"/>
      <c r="I110" s="316"/>
      <c r="J110" s="562" t="b">
        <f t="shared" si="1"/>
        <v>0</v>
      </c>
      <c r="K110" s="316" t="b">
        <f t="shared" si="2"/>
        <v>0</v>
      </c>
    </row>
    <row r="111" spans="2:11" x14ac:dyDescent="0.2">
      <c r="B111" s="594">
        <v>8</v>
      </c>
      <c r="C111" s="1052"/>
      <c r="D111" s="1052"/>
      <c r="E111" s="1053"/>
      <c r="F111" s="1053"/>
      <c r="G111" s="686"/>
      <c r="H111" s="393"/>
      <c r="I111" s="316"/>
      <c r="J111" s="562" t="b">
        <f t="shared" si="1"/>
        <v>0</v>
      </c>
      <c r="K111" s="316" t="b">
        <f t="shared" si="2"/>
        <v>0</v>
      </c>
    </row>
    <row r="112" spans="2:11" x14ac:dyDescent="0.2">
      <c r="B112" s="594">
        <v>9</v>
      </c>
      <c r="C112" s="1052"/>
      <c r="D112" s="1052"/>
      <c r="E112" s="1053"/>
      <c r="F112" s="1053"/>
      <c r="G112" s="686"/>
      <c r="H112" s="393"/>
      <c r="I112" s="316"/>
      <c r="J112" s="562" t="b">
        <f t="shared" si="1"/>
        <v>0</v>
      </c>
      <c r="K112" s="316" t="b">
        <f t="shared" si="2"/>
        <v>0</v>
      </c>
    </row>
    <row r="113" spans="2:12" x14ac:dyDescent="0.2">
      <c r="B113" s="594">
        <v>10</v>
      </c>
      <c r="C113" s="1052"/>
      <c r="D113" s="1052"/>
      <c r="E113" s="1053"/>
      <c r="F113" s="1053"/>
      <c r="G113" s="686"/>
      <c r="H113" s="393"/>
      <c r="I113" s="316"/>
      <c r="J113" s="562" t="b">
        <f t="shared" si="1"/>
        <v>0</v>
      </c>
      <c r="K113" s="316" t="b">
        <f t="shared" si="2"/>
        <v>0</v>
      </c>
      <c r="L113" s="562"/>
    </row>
    <row r="114" spans="2:12" s="521" customFormat="1" x14ac:dyDescent="0.2">
      <c r="B114" s="594">
        <v>11</v>
      </c>
      <c r="C114" s="1052"/>
      <c r="D114" s="1052"/>
      <c r="E114" s="1053"/>
      <c r="F114" s="1053"/>
      <c r="G114" s="686"/>
      <c r="H114" s="393"/>
      <c r="I114" s="316"/>
      <c r="J114" s="562" t="b">
        <f>AND(OR(ISBLANK(C114),ISBLANK(G114),ISBLANK(H114)),K114)</f>
        <v>0</v>
      </c>
      <c r="K114" s="316" t="b">
        <f>OR(NOT(ISBLANK(C114)),NOT(ISBLANK(G114)),NOT(ISBLANK(H114)))</f>
        <v>0</v>
      </c>
      <c r="L114" s="562"/>
    </row>
    <row r="115" spans="2:12" s="521" customFormat="1" x14ac:dyDescent="0.2">
      <c r="B115" s="594">
        <v>12</v>
      </c>
      <c r="C115" s="1052"/>
      <c r="D115" s="1052"/>
      <c r="E115" s="1053"/>
      <c r="F115" s="1053"/>
      <c r="G115" s="686"/>
      <c r="H115" s="393"/>
      <c r="I115" s="316"/>
      <c r="J115" s="562" t="b">
        <f t="shared" ref="J115:J123" si="3">AND(OR(ISBLANK(C115),ISBLANK(G115),ISBLANK(H115)),K115)</f>
        <v>0</v>
      </c>
      <c r="K115" s="316" t="b">
        <f t="shared" ref="K115:K123" si="4">OR(NOT(ISBLANK(C115)),NOT(ISBLANK(G115)),NOT(ISBLANK(H115)))</f>
        <v>0</v>
      </c>
      <c r="L115" s="562"/>
    </row>
    <row r="116" spans="2:12" s="521" customFormat="1" x14ac:dyDescent="0.2">
      <c r="B116" s="594">
        <v>13</v>
      </c>
      <c r="C116" s="1052"/>
      <c r="D116" s="1052"/>
      <c r="E116" s="1053"/>
      <c r="F116" s="1053"/>
      <c r="G116" s="686"/>
      <c r="H116" s="393"/>
      <c r="I116" s="316"/>
      <c r="J116" s="562" t="b">
        <f t="shared" si="3"/>
        <v>0</v>
      </c>
      <c r="K116" s="316" t="b">
        <f t="shared" si="4"/>
        <v>0</v>
      </c>
      <c r="L116" s="562"/>
    </row>
    <row r="117" spans="2:12" s="521" customFormat="1" x14ac:dyDescent="0.2">
      <c r="B117" s="594">
        <v>14</v>
      </c>
      <c r="C117" s="1052"/>
      <c r="D117" s="1052"/>
      <c r="E117" s="1053"/>
      <c r="F117" s="1053"/>
      <c r="G117" s="686"/>
      <c r="H117" s="393"/>
      <c r="I117" s="316"/>
      <c r="J117" s="562" t="b">
        <f t="shared" si="3"/>
        <v>0</v>
      </c>
      <c r="K117" s="316" t="b">
        <f t="shared" si="4"/>
        <v>0</v>
      </c>
      <c r="L117" s="562"/>
    </row>
    <row r="118" spans="2:12" s="521" customFormat="1" x14ac:dyDescent="0.2">
      <c r="B118" s="594">
        <v>15</v>
      </c>
      <c r="C118" s="1052"/>
      <c r="D118" s="1052"/>
      <c r="E118" s="1053"/>
      <c r="F118" s="1053"/>
      <c r="G118" s="686"/>
      <c r="H118" s="393"/>
      <c r="I118" s="316"/>
      <c r="J118" s="562" t="b">
        <f t="shared" si="3"/>
        <v>0</v>
      </c>
      <c r="K118" s="316" t="b">
        <f t="shared" si="4"/>
        <v>0</v>
      </c>
      <c r="L118" s="562"/>
    </row>
    <row r="119" spans="2:12" s="521" customFormat="1" x14ac:dyDescent="0.2">
      <c r="B119" s="594">
        <v>16</v>
      </c>
      <c r="C119" s="1052"/>
      <c r="D119" s="1052"/>
      <c r="E119" s="1053"/>
      <c r="F119" s="1053"/>
      <c r="G119" s="686"/>
      <c r="H119" s="393"/>
      <c r="I119" s="316"/>
      <c r="J119" s="562" t="b">
        <f t="shared" si="3"/>
        <v>0</v>
      </c>
      <c r="K119" s="316" t="b">
        <f t="shared" si="4"/>
        <v>0</v>
      </c>
      <c r="L119" s="562"/>
    </row>
    <row r="120" spans="2:12" s="521" customFormat="1" x14ac:dyDescent="0.2">
      <c r="B120" s="594">
        <v>17</v>
      </c>
      <c r="C120" s="1052"/>
      <c r="D120" s="1052"/>
      <c r="E120" s="1053"/>
      <c r="F120" s="1053"/>
      <c r="G120" s="686"/>
      <c r="H120" s="393"/>
      <c r="I120" s="316"/>
      <c r="J120" s="562" t="b">
        <f t="shared" si="3"/>
        <v>0</v>
      </c>
      <c r="K120" s="316" t="b">
        <f t="shared" si="4"/>
        <v>0</v>
      </c>
      <c r="L120" s="562"/>
    </row>
    <row r="121" spans="2:12" s="521" customFormat="1" x14ac:dyDescent="0.2">
      <c r="B121" s="594">
        <v>18</v>
      </c>
      <c r="C121" s="1052"/>
      <c r="D121" s="1052"/>
      <c r="E121" s="1053"/>
      <c r="F121" s="1053"/>
      <c r="G121" s="686"/>
      <c r="H121" s="393"/>
      <c r="I121" s="316"/>
      <c r="J121" s="562" t="b">
        <f t="shared" si="3"/>
        <v>0</v>
      </c>
      <c r="K121" s="316" t="b">
        <f t="shared" si="4"/>
        <v>0</v>
      </c>
      <c r="L121" s="562"/>
    </row>
    <row r="122" spans="2:12" s="521" customFormat="1" x14ac:dyDescent="0.2">
      <c r="B122" s="594">
        <v>19</v>
      </c>
      <c r="C122" s="1052"/>
      <c r="D122" s="1052"/>
      <c r="E122" s="1053"/>
      <c r="F122" s="1053"/>
      <c r="G122" s="686"/>
      <c r="H122" s="393"/>
      <c r="I122" s="316"/>
      <c r="J122" s="562" t="b">
        <f t="shared" si="3"/>
        <v>0</v>
      </c>
      <c r="K122" s="316" t="b">
        <f>OR(NOT(ISBLANK(C122)),NOT(ISBLANK(G122)),NOT(ISBLANK(H122)))</f>
        <v>0</v>
      </c>
      <c r="L122" s="562"/>
    </row>
    <row r="123" spans="2:12" s="521" customFormat="1" x14ac:dyDescent="0.2">
      <c r="B123" s="594">
        <v>20</v>
      </c>
      <c r="C123" s="1052"/>
      <c r="D123" s="1052"/>
      <c r="E123" s="1053"/>
      <c r="F123" s="1053"/>
      <c r="G123" s="686"/>
      <c r="H123" s="393"/>
      <c r="I123" s="316"/>
      <c r="J123" s="562" t="b">
        <f t="shared" si="3"/>
        <v>0</v>
      </c>
      <c r="K123" s="316" t="b">
        <f t="shared" si="4"/>
        <v>0</v>
      </c>
      <c r="L123" s="562"/>
    </row>
    <row r="124" spans="2:12" x14ac:dyDescent="0.2">
      <c r="B124" s="562"/>
      <c r="C124" s="562"/>
      <c r="D124" s="562"/>
      <c r="E124" s="562"/>
      <c r="F124" s="562"/>
      <c r="G124" s="562"/>
      <c r="H124" s="562"/>
      <c r="I124" s="562"/>
      <c r="J124" s="291"/>
      <c r="K124" s="291"/>
      <c r="L124" s="217"/>
    </row>
    <row r="125" spans="2:12" x14ac:dyDescent="0.2">
      <c r="B125" s="294"/>
      <c r="C125" s="294"/>
      <c r="D125" s="294"/>
      <c r="E125" s="294"/>
      <c r="F125" s="294"/>
      <c r="G125" s="294"/>
      <c r="H125" s="294"/>
      <c r="I125" s="294"/>
      <c r="J125" s="217"/>
      <c r="K125" s="217"/>
      <c r="L125" s="217"/>
    </row>
    <row r="126" spans="2:12" s="521" customFormat="1" x14ac:dyDescent="0.2">
      <c r="B126" s="294"/>
      <c r="C126" s="522" t="s">
        <v>3896</v>
      </c>
      <c r="D126" s="294"/>
      <c r="E126" s="294"/>
      <c r="F126" s="294"/>
      <c r="G126" s="294"/>
      <c r="H126" s="294"/>
      <c r="I126" s="294"/>
      <c r="J126" s="562"/>
      <c r="K126" s="562"/>
      <c r="L126" s="562"/>
    </row>
    <row r="127" spans="2:12" s="521" customFormat="1" ht="3" customHeight="1" x14ac:dyDescent="0.2">
      <c r="B127" s="294"/>
      <c r="C127" s="522"/>
      <c r="D127" s="294"/>
      <c r="E127" s="294"/>
      <c r="F127" s="294"/>
      <c r="G127" s="294"/>
      <c r="H127" s="294"/>
      <c r="I127" s="294"/>
      <c r="J127" s="562"/>
      <c r="K127" s="562"/>
      <c r="L127" s="562"/>
    </row>
    <row r="128" spans="2:12" s="521" customFormat="1" x14ac:dyDescent="0.2">
      <c r="B128" s="294"/>
      <c r="C128" s="523" t="s">
        <v>3897</v>
      </c>
      <c r="D128" s="294"/>
      <c r="E128" s="294"/>
      <c r="F128" s="294"/>
      <c r="G128" s="294"/>
      <c r="H128" s="294"/>
      <c r="I128" s="294"/>
      <c r="J128" s="562"/>
      <c r="K128" s="562"/>
      <c r="L128" s="562"/>
    </row>
    <row r="129" spans="2:12" s="521" customFormat="1" ht="3" customHeight="1" x14ac:dyDescent="0.2">
      <c r="B129" s="294"/>
      <c r="C129" s="523"/>
      <c r="D129" s="294"/>
      <c r="E129" s="294"/>
      <c r="F129" s="294"/>
      <c r="G129" s="294"/>
      <c r="H129" s="294"/>
      <c r="I129" s="294"/>
      <c r="J129" s="562"/>
      <c r="K129" s="562"/>
      <c r="L129" s="562"/>
    </row>
    <row r="130" spans="2:12" s="521" customFormat="1" x14ac:dyDescent="0.2">
      <c r="B130" s="294"/>
      <c r="C130" s="523" t="s">
        <v>3898</v>
      </c>
      <c r="D130" s="294"/>
      <c r="E130" s="294"/>
      <c r="F130" s="294"/>
      <c r="G130" s="294"/>
      <c r="H130" s="294"/>
      <c r="I130" s="294"/>
      <c r="J130" s="562"/>
      <c r="K130" s="562"/>
      <c r="L130" s="562"/>
    </row>
    <row r="131" spans="2:12" s="521" customFormat="1" ht="3" customHeight="1" x14ac:dyDescent="0.2">
      <c r="B131" s="294"/>
      <c r="C131" s="523"/>
      <c r="D131" s="294"/>
      <c r="E131" s="294"/>
      <c r="F131" s="294"/>
      <c r="G131" s="294"/>
      <c r="H131" s="294"/>
      <c r="I131" s="294"/>
      <c r="J131" s="562"/>
      <c r="K131" s="562"/>
      <c r="L131" s="562"/>
    </row>
    <row r="132" spans="2:12" s="521" customFormat="1" ht="30" customHeight="1" x14ac:dyDescent="0.2">
      <c r="B132" s="294"/>
      <c r="C132" s="1046" t="s">
        <v>3899</v>
      </c>
      <c r="D132" s="1046"/>
      <c r="E132" s="1046"/>
      <c r="F132" s="1046"/>
      <c r="G132" s="1046"/>
      <c r="H132" s="1046"/>
      <c r="I132" s="1046"/>
      <c r="J132" s="562"/>
      <c r="K132" s="562"/>
      <c r="L132" s="562"/>
    </row>
    <row r="133" spans="2:12" s="521" customFormat="1" ht="3" customHeight="1" x14ac:dyDescent="0.2">
      <c r="B133" s="294"/>
      <c r="C133" s="1046"/>
      <c r="D133" s="1046"/>
      <c r="E133" s="1046"/>
      <c r="F133" s="1046"/>
      <c r="G133" s="1046"/>
      <c r="H133" s="1046"/>
      <c r="I133" s="1046"/>
      <c r="J133" s="562"/>
      <c r="K133" s="562"/>
      <c r="L133" s="562"/>
    </row>
    <row r="134" spans="2:12" s="521" customFormat="1" x14ac:dyDescent="0.2">
      <c r="B134" s="294"/>
      <c r="C134" s="523" t="s">
        <v>3900</v>
      </c>
      <c r="D134" s="294"/>
      <c r="E134" s="294"/>
      <c r="F134" s="294"/>
      <c r="G134" s="294"/>
      <c r="H134" s="294"/>
      <c r="I134" s="294"/>
      <c r="J134" s="562"/>
      <c r="K134" s="562"/>
      <c r="L134" s="562"/>
    </row>
    <row r="135" spans="2:12" s="521" customFormat="1" ht="3" customHeight="1" x14ac:dyDescent="0.2">
      <c r="B135" s="294"/>
      <c r="C135" s="523"/>
      <c r="D135" s="294"/>
      <c r="E135" s="294"/>
      <c r="F135" s="294"/>
      <c r="G135" s="294"/>
      <c r="H135" s="294"/>
      <c r="I135" s="294"/>
      <c r="J135" s="562"/>
      <c r="K135" s="562"/>
      <c r="L135" s="562"/>
    </row>
    <row r="136" spans="2:12" s="521" customFormat="1" x14ac:dyDescent="0.2">
      <c r="B136" s="294"/>
      <c r="C136" s="1047" t="s">
        <v>3901</v>
      </c>
      <c r="D136" s="1047"/>
      <c r="E136" s="1047"/>
      <c r="F136" s="1047"/>
      <c r="G136" s="1047"/>
      <c r="H136" s="1047"/>
      <c r="I136" s="1047"/>
      <c r="J136" s="589"/>
      <c r="K136" s="589"/>
      <c r="L136" s="562"/>
    </row>
    <row r="137" spans="2:12" s="521" customFormat="1" ht="3" customHeight="1" x14ac:dyDescent="0.2">
      <c r="B137" s="294"/>
      <c r="C137" s="523"/>
      <c r="D137" s="294"/>
      <c r="E137" s="294"/>
      <c r="F137" s="294"/>
      <c r="G137" s="294"/>
      <c r="H137" s="294"/>
      <c r="I137" s="294"/>
      <c r="J137" s="562"/>
      <c r="K137" s="562"/>
      <c r="L137" s="562"/>
    </row>
    <row r="138" spans="2:12" s="521" customFormat="1" x14ac:dyDescent="0.2">
      <c r="B138" s="294"/>
      <c r="C138" s="523" t="s">
        <v>3902</v>
      </c>
      <c r="D138" s="294"/>
      <c r="E138" s="294"/>
      <c r="F138" s="294"/>
      <c r="G138" s="294"/>
      <c r="H138" s="294"/>
      <c r="I138" s="294"/>
      <c r="J138" s="562"/>
      <c r="K138" s="562"/>
      <c r="L138" s="562"/>
    </row>
    <row r="139" spans="2:12" s="521" customFormat="1" ht="3" customHeight="1" x14ac:dyDescent="0.2">
      <c r="B139" s="294"/>
      <c r="C139" s="523"/>
      <c r="D139" s="294"/>
      <c r="E139" s="294"/>
      <c r="F139" s="294"/>
      <c r="G139" s="294"/>
      <c r="H139" s="294"/>
      <c r="I139" s="294"/>
      <c r="J139" s="562"/>
      <c r="K139" s="562"/>
      <c r="L139" s="562"/>
    </row>
    <row r="140" spans="2:12" s="521" customFormat="1" x14ac:dyDescent="0.2">
      <c r="B140" s="294"/>
      <c r="C140" s="523" t="s">
        <v>3903</v>
      </c>
      <c r="D140" s="294"/>
      <c r="E140" s="294"/>
      <c r="F140" s="294"/>
      <c r="G140" s="294"/>
      <c r="H140" s="294"/>
      <c r="I140" s="294"/>
      <c r="J140" s="562"/>
      <c r="K140" s="562"/>
      <c r="L140" s="562"/>
    </row>
    <row r="141" spans="2:12" s="521" customFormat="1" ht="3" customHeight="1" x14ac:dyDescent="0.2">
      <c r="B141" s="294"/>
      <c r="C141" s="523"/>
      <c r="D141" s="294"/>
      <c r="E141" s="294"/>
      <c r="F141" s="294"/>
      <c r="G141" s="294"/>
      <c r="H141" s="294"/>
      <c r="I141" s="294"/>
      <c r="J141" s="562"/>
      <c r="K141" s="562"/>
      <c r="L141" s="562"/>
    </row>
    <row r="142" spans="2:12" s="521" customFormat="1" ht="30" customHeight="1" x14ac:dyDescent="0.2">
      <c r="B142" s="294"/>
      <c r="C142" s="1047" t="s">
        <v>3904</v>
      </c>
      <c r="D142" s="1047"/>
      <c r="E142" s="1047"/>
      <c r="F142" s="1047"/>
      <c r="G142" s="1047"/>
      <c r="H142" s="1047"/>
      <c r="I142" s="1047"/>
      <c r="J142" s="562"/>
      <c r="K142" s="562"/>
      <c r="L142" s="562"/>
    </row>
    <row r="143" spans="2:12" s="521" customFormat="1" ht="3" customHeight="1" x14ac:dyDescent="0.2">
      <c r="B143" s="294"/>
      <c r="C143" s="523"/>
      <c r="D143" s="294"/>
      <c r="E143" s="294"/>
      <c r="F143" s="294"/>
      <c r="G143" s="294"/>
      <c r="H143" s="294"/>
      <c r="I143" s="294"/>
      <c r="J143" s="562"/>
      <c r="K143" s="562"/>
      <c r="L143" s="562"/>
    </row>
    <row r="144" spans="2:12" s="521" customFormat="1" ht="30" customHeight="1" x14ac:dyDescent="0.2">
      <c r="B144" s="294"/>
      <c r="C144" s="1046" t="s">
        <v>3905</v>
      </c>
      <c r="D144" s="1046"/>
      <c r="E144" s="1046"/>
      <c r="F144" s="1046"/>
      <c r="G144" s="1046"/>
      <c r="H144" s="1046"/>
      <c r="I144" s="1046"/>
      <c r="J144" s="524"/>
      <c r="K144" s="524"/>
      <c r="L144" s="589"/>
    </row>
    <row r="145" spans="2:9" s="521" customFormat="1" ht="3" customHeight="1" x14ac:dyDescent="0.2">
      <c r="B145" s="294"/>
      <c r="C145" s="523"/>
      <c r="D145" s="294"/>
      <c r="E145" s="294"/>
      <c r="F145" s="294"/>
      <c r="G145" s="294"/>
      <c r="H145" s="294"/>
      <c r="I145" s="294"/>
    </row>
    <row r="146" spans="2:9" s="521" customFormat="1" x14ac:dyDescent="0.2">
      <c r="B146" s="294"/>
      <c r="C146" s="523" t="s">
        <v>3906</v>
      </c>
      <c r="D146" s="294"/>
      <c r="E146" s="294"/>
      <c r="F146" s="294"/>
      <c r="G146" s="294"/>
      <c r="H146" s="294"/>
      <c r="I146" s="294"/>
    </row>
    <row r="147" spans="2:9" s="521" customFormat="1" x14ac:dyDescent="0.2">
      <c r="B147" s="562"/>
      <c r="C147" s="562"/>
      <c r="D147" s="562"/>
      <c r="E147" s="562"/>
      <c r="F147" s="562"/>
      <c r="G147" s="562"/>
      <c r="H147" s="562"/>
      <c r="I147" s="562"/>
    </row>
    <row r="148" spans="2:9" s="521" customFormat="1" x14ac:dyDescent="0.2">
      <c r="B148" s="562"/>
      <c r="C148" s="562"/>
      <c r="D148" s="562"/>
      <c r="E148" s="562"/>
      <c r="F148" s="562"/>
      <c r="G148" s="562"/>
      <c r="H148" s="562"/>
      <c r="I148" s="562"/>
    </row>
    <row r="149" spans="2:9" s="521" customFormat="1" x14ac:dyDescent="0.2">
      <c r="B149" s="562"/>
      <c r="C149" s="726" t="s">
        <v>3907</v>
      </c>
      <c r="D149" s="726"/>
      <c r="E149" s="726"/>
      <c r="F149" s="726"/>
      <c r="G149" s="726"/>
      <c r="H149" s="726"/>
      <c r="I149" s="562"/>
    </row>
    <row r="150" spans="2:9" s="521" customFormat="1" x14ac:dyDescent="0.2">
      <c r="B150" s="562"/>
      <c r="C150" s="726"/>
      <c r="D150" s="726"/>
      <c r="E150" s="726"/>
      <c r="F150" s="726"/>
      <c r="G150" s="726"/>
      <c r="H150" s="726"/>
      <c r="I150" s="562"/>
    </row>
    <row r="151" spans="2:9" s="521" customFormat="1" x14ac:dyDescent="0.2">
      <c r="B151" s="562"/>
      <c r="C151" s="562"/>
      <c r="D151" s="562"/>
      <c r="E151" s="562"/>
      <c r="F151" s="562"/>
      <c r="G151" s="562"/>
      <c r="H151" s="562"/>
      <c r="I151" s="562"/>
    </row>
    <row r="152" spans="2:9" s="521" customFormat="1" ht="64" x14ac:dyDescent="0.2">
      <c r="B152" s="562"/>
      <c r="C152" s="685" t="s">
        <v>3908</v>
      </c>
      <c r="D152" s="685" t="s">
        <v>3909</v>
      </c>
      <c r="E152" s="685" t="s">
        <v>3910</v>
      </c>
      <c r="F152" s="1048" t="s">
        <v>2168</v>
      </c>
      <c r="G152" s="1048"/>
      <c r="H152" s="1048"/>
      <c r="I152" s="562"/>
    </row>
    <row r="153" spans="2:9" s="521" customFormat="1" x14ac:dyDescent="0.2">
      <c r="B153" s="594">
        <v>1</v>
      </c>
      <c r="C153" s="525"/>
      <c r="D153" s="526"/>
      <c r="E153" s="526"/>
      <c r="F153" s="1045"/>
      <c r="G153" s="1045"/>
      <c r="H153" s="1045"/>
      <c r="I153" s="562"/>
    </row>
    <row r="154" spans="2:9" s="521" customFormat="1" x14ac:dyDescent="0.2">
      <c r="B154" s="594">
        <v>2</v>
      </c>
      <c r="C154" s="525"/>
      <c r="D154" s="526"/>
      <c r="E154" s="526"/>
      <c r="F154" s="1045"/>
      <c r="G154" s="1045"/>
      <c r="H154" s="1045"/>
      <c r="I154" s="562"/>
    </row>
    <row r="155" spans="2:9" s="521" customFormat="1" x14ac:dyDescent="0.2">
      <c r="B155" s="594">
        <v>3</v>
      </c>
      <c r="C155" s="525"/>
      <c r="D155" s="526"/>
      <c r="E155" s="526"/>
      <c r="F155" s="1045"/>
      <c r="G155" s="1045"/>
      <c r="H155" s="1045"/>
      <c r="I155" s="562"/>
    </row>
    <row r="156" spans="2:9" s="521" customFormat="1" x14ac:dyDescent="0.2">
      <c r="B156" s="594">
        <v>4</v>
      </c>
      <c r="C156" s="525"/>
      <c r="D156" s="526"/>
      <c r="E156" s="526"/>
      <c r="F156" s="1045"/>
      <c r="G156" s="1045"/>
      <c r="H156" s="1045"/>
      <c r="I156" s="562"/>
    </row>
    <row r="157" spans="2:9" s="521" customFormat="1" x14ac:dyDescent="0.2">
      <c r="B157" s="594">
        <v>5</v>
      </c>
      <c r="C157" s="525"/>
      <c r="D157" s="526"/>
      <c r="E157" s="526"/>
      <c r="F157" s="1045"/>
      <c r="G157" s="1045"/>
      <c r="H157" s="1045"/>
      <c r="I157" s="562"/>
    </row>
    <row r="158" spans="2:9" s="521" customFormat="1" x14ac:dyDescent="0.2">
      <c r="B158" s="594">
        <v>6</v>
      </c>
      <c r="C158" s="525"/>
      <c r="D158" s="526"/>
      <c r="E158" s="526"/>
      <c r="F158" s="1045"/>
      <c r="G158" s="1045"/>
      <c r="H158" s="1045"/>
      <c r="I158" s="562"/>
    </row>
    <row r="159" spans="2:9" s="521" customFormat="1" x14ac:dyDescent="0.2">
      <c r="B159" s="594">
        <v>7</v>
      </c>
      <c r="C159" s="525"/>
      <c r="D159" s="526"/>
      <c r="E159" s="526"/>
      <c r="F159" s="1045"/>
      <c r="G159" s="1045"/>
      <c r="H159" s="1045"/>
      <c r="I159" s="562"/>
    </row>
    <row r="160" spans="2:9" s="521" customFormat="1" x14ac:dyDescent="0.2">
      <c r="B160" s="594">
        <v>8</v>
      </c>
      <c r="C160" s="525"/>
      <c r="D160" s="526"/>
      <c r="E160" s="526"/>
      <c r="F160" s="1045"/>
      <c r="G160" s="1045"/>
      <c r="H160" s="1045"/>
      <c r="I160" s="562"/>
    </row>
    <row r="161" spans="2:11" s="521" customFormat="1" x14ac:dyDescent="0.2">
      <c r="B161" s="594">
        <v>9</v>
      </c>
      <c r="C161" s="525"/>
      <c r="D161" s="526"/>
      <c r="E161" s="526"/>
      <c r="F161" s="1045"/>
      <c r="G161" s="1045"/>
      <c r="H161" s="1045"/>
      <c r="I161" s="562"/>
      <c r="J161" s="562"/>
      <c r="K161" s="562"/>
    </row>
    <row r="162" spans="2:11" s="521" customFormat="1" x14ac:dyDescent="0.2">
      <c r="B162" s="594">
        <v>10</v>
      </c>
      <c r="C162" s="525"/>
      <c r="D162" s="526"/>
      <c r="E162" s="526"/>
      <c r="F162" s="1045"/>
      <c r="G162" s="1045"/>
      <c r="H162" s="1045"/>
      <c r="I162" s="562"/>
      <c r="J162" s="562"/>
      <c r="K162" s="562"/>
    </row>
    <row r="163" spans="2:11" s="521" customFormat="1" x14ac:dyDescent="0.2">
      <c r="B163" s="594">
        <v>11</v>
      </c>
      <c r="C163" s="525"/>
      <c r="D163" s="526"/>
      <c r="E163" s="526"/>
      <c r="F163" s="1045"/>
      <c r="G163" s="1045"/>
      <c r="H163" s="1045"/>
      <c r="I163" s="562"/>
      <c r="J163" s="562"/>
      <c r="K163" s="562"/>
    </row>
    <row r="164" spans="2:11" s="521" customFormat="1" x14ac:dyDescent="0.2">
      <c r="B164" s="594">
        <v>12</v>
      </c>
      <c r="C164" s="525"/>
      <c r="D164" s="526"/>
      <c r="E164" s="526"/>
      <c r="F164" s="1045"/>
      <c r="G164" s="1045"/>
      <c r="H164" s="1045"/>
      <c r="I164" s="562"/>
      <c r="J164" s="562"/>
      <c r="K164" s="562"/>
    </row>
    <row r="165" spans="2:11" s="521" customFormat="1" x14ac:dyDescent="0.2">
      <c r="B165" s="594">
        <v>13</v>
      </c>
      <c r="C165" s="525"/>
      <c r="D165" s="526"/>
      <c r="E165" s="526"/>
      <c r="F165" s="1045"/>
      <c r="G165" s="1045"/>
      <c r="H165" s="1045"/>
      <c r="I165" s="562"/>
      <c r="J165" s="562"/>
      <c r="K165" s="562"/>
    </row>
    <row r="166" spans="2:11" s="521" customFormat="1" x14ac:dyDescent="0.2">
      <c r="B166" s="594">
        <v>14</v>
      </c>
      <c r="C166" s="525"/>
      <c r="D166" s="526"/>
      <c r="E166" s="526"/>
      <c r="F166" s="1045"/>
      <c r="G166" s="1045"/>
      <c r="H166" s="1045"/>
      <c r="I166" s="562"/>
      <c r="J166" s="562"/>
      <c r="K166" s="562"/>
    </row>
    <row r="167" spans="2:11" s="521" customFormat="1" x14ac:dyDescent="0.2">
      <c r="B167" s="594">
        <v>15</v>
      </c>
      <c r="C167" s="525"/>
      <c r="D167" s="526"/>
      <c r="E167" s="526"/>
      <c r="F167" s="1045"/>
      <c r="G167" s="1045"/>
      <c r="H167" s="1045"/>
      <c r="I167" s="562"/>
      <c r="J167" s="562"/>
      <c r="K167" s="562"/>
    </row>
    <row r="168" spans="2:11" s="521" customFormat="1" x14ac:dyDescent="0.2">
      <c r="B168" s="594">
        <v>16</v>
      </c>
      <c r="C168" s="525"/>
      <c r="D168" s="526"/>
      <c r="E168" s="526"/>
      <c r="F168" s="1045"/>
      <c r="G168" s="1045"/>
      <c r="H168" s="1045"/>
      <c r="I168" s="562"/>
      <c r="J168" s="562"/>
      <c r="K168" s="562"/>
    </row>
    <row r="169" spans="2:11" s="521" customFormat="1" x14ac:dyDescent="0.2">
      <c r="B169" s="562"/>
      <c r="C169" s="1049" t="s">
        <v>3911</v>
      </c>
      <c r="D169" s="290" t="str">
        <f>"TOTAL: "&amp;SUM(D153:D168)</f>
        <v>TOTAL: 0</v>
      </c>
      <c r="E169" s="290" t="str">
        <f>"TOTAL: "&amp;SUM(E153:E168)</f>
        <v>TOTAL: 0</v>
      </c>
      <c r="F169" s="1051" t="s">
        <v>3912</v>
      </c>
      <c r="G169" s="1051"/>
      <c r="H169" s="1051"/>
      <c r="I169" s="562"/>
      <c r="J169" s="562"/>
      <c r="K169" s="473">
        <f>IFERROR(SUM(E153:E168)/SUM(D153:D168),0)</f>
        <v>0</v>
      </c>
    </row>
    <row r="170" spans="2:11" s="521" customFormat="1" x14ac:dyDescent="0.2">
      <c r="B170" s="562"/>
      <c r="C170" s="1050"/>
      <c r="D170" s="562"/>
      <c r="E170" s="562"/>
      <c r="F170" s="1051"/>
      <c r="G170" s="1051"/>
      <c r="H170" s="1051"/>
      <c r="I170" s="562"/>
      <c r="J170" s="562"/>
      <c r="K170" s="562"/>
    </row>
    <row r="171" spans="2:11" s="521" customFormat="1" x14ac:dyDescent="0.2">
      <c r="B171" s="562"/>
      <c r="C171" s="1050"/>
      <c r="D171" s="562"/>
      <c r="E171" s="562"/>
      <c r="F171" s="1051"/>
      <c r="G171" s="1051"/>
      <c r="H171" s="1051"/>
      <c r="I171" s="562"/>
      <c r="J171" s="562"/>
      <c r="K171" s="562"/>
    </row>
    <row r="172" spans="2:11" s="521" customFormat="1" x14ac:dyDescent="0.2">
      <c r="B172" s="562"/>
      <c r="C172" s="589"/>
      <c r="D172" s="562"/>
      <c r="E172" s="562"/>
      <c r="F172" s="1051"/>
      <c r="G172" s="1051"/>
      <c r="H172" s="1051"/>
      <c r="I172" s="562"/>
      <c r="J172" s="562"/>
      <c r="K172" s="562"/>
    </row>
    <row r="173" spans="2:11" s="521" customFormat="1" x14ac:dyDescent="0.2">
      <c r="B173" s="562"/>
      <c r="C173" s="562"/>
      <c r="D173" s="562"/>
      <c r="E173" s="562"/>
      <c r="F173" s="1051"/>
      <c r="G173" s="1051"/>
      <c r="H173" s="1051"/>
      <c r="I173" s="562"/>
      <c r="J173" s="562"/>
      <c r="K173" s="562"/>
    </row>
    <row r="174" spans="2:11" s="521" customFormat="1" x14ac:dyDescent="0.2">
      <c r="B174" s="562"/>
      <c r="C174" s="562"/>
      <c r="D174" s="562"/>
      <c r="E174" s="562"/>
      <c r="F174" s="1051"/>
      <c r="G174" s="1051"/>
      <c r="H174" s="1051"/>
      <c r="I174" s="562"/>
      <c r="J174" s="562"/>
      <c r="K174" s="562"/>
    </row>
  </sheetData>
  <sheetProtection algorithmName="SHA-512" hashValue="6rO4LJvgQ2XXO3hmkwX7kwBTI2OSxHs+HSLeXQwTypkYumSGOVw346UBMSRc8dm0UbaM+WCM/lRfJAY0dE1EMQ==" saltValue="f+1qO5fIPNGxMRd17WielQ==" spinCount="100000" sheet="1" objects="1" scenarios="1" selectLockedCells="1"/>
  <mergeCells count="107">
    <mergeCell ref="A38:B39"/>
    <mergeCell ref="A41:B41"/>
    <mergeCell ref="A42:B42"/>
    <mergeCell ref="A43:B43"/>
    <mergeCell ref="C8:D8"/>
    <mergeCell ref="A8:B8"/>
    <mergeCell ref="A10:B10"/>
    <mergeCell ref="A12:B12"/>
    <mergeCell ref="A14:B14"/>
    <mergeCell ref="A16:B16"/>
    <mergeCell ref="C12:D12"/>
    <mergeCell ref="C38:D39"/>
    <mergeCell ref="C41:I43"/>
    <mergeCell ref="G16:I16"/>
    <mergeCell ref="F18:I18"/>
    <mergeCell ref="E20:E21"/>
    <mergeCell ref="C14:D14"/>
    <mergeCell ref="C16:D16"/>
    <mergeCell ref="C18:D18"/>
    <mergeCell ref="G28:H28"/>
    <mergeCell ref="A71:B71"/>
    <mergeCell ref="C51:D51"/>
    <mergeCell ref="A73:B73"/>
    <mergeCell ref="A75:B75"/>
    <mergeCell ref="A77:B77"/>
    <mergeCell ref="A69:B69"/>
    <mergeCell ref="A70:B70"/>
    <mergeCell ref="C69:I71"/>
    <mergeCell ref="A66:B67"/>
    <mergeCell ref="C66:D67"/>
    <mergeCell ref="A79:B79"/>
    <mergeCell ref="D79:D81"/>
    <mergeCell ref="A81:B81"/>
    <mergeCell ref="A83:B83"/>
    <mergeCell ref="C89:I89"/>
    <mergeCell ref="E91:F91"/>
    <mergeCell ref="G91:H91"/>
    <mergeCell ref="C103:D103"/>
    <mergeCell ref="E103:F103"/>
    <mergeCell ref="G92:H92"/>
    <mergeCell ref="G93:H93"/>
    <mergeCell ref="G94:H94"/>
    <mergeCell ref="G95:H95"/>
    <mergeCell ref="G96:H96"/>
    <mergeCell ref="D1:I5"/>
    <mergeCell ref="C35:I36"/>
    <mergeCell ref="C136:I136"/>
    <mergeCell ref="C144:I144"/>
    <mergeCell ref="C54:D54"/>
    <mergeCell ref="C56:I57"/>
    <mergeCell ref="G12:I12"/>
    <mergeCell ref="G14:I14"/>
    <mergeCell ref="G8:I8"/>
    <mergeCell ref="C10:D10"/>
    <mergeCell ref="E92:F92"/>
    <mergeCell ref="E93:F93"/>
    <mergeCell ref="E94:F94"/>
    <mergeCell ref="E95:F95"/>
    <mergeCell ref="E96:F96"/>
    <mergeCell ref="G10:I10"/>
    <mergeCell ref="C45:D45"/>
    <mergeCell ref="C47:D47"/>
    <mergeCell ref="C49:D49"/>
    <mergeCell ref="E38:F38"/>
    <mergeCell ref="C109:D109"/>
    <mergeCell ref="C110:D110"/>
    <mergeCell ref="C111:D111"/>
    <mergeCell ref="C112:D112"/>
    <mergeCell ref="C169:C171"/>
    <mergeCell ref="F169:H174"/>
    <mergeCell ref="C114:D114"/>
    <mergeCell ref="C115:D115"/>
    <mergeCell ref="C116:D116"/>
    <mergeCell ref="C117:D117"/>
    <mergeCell ref="C118:D118"/>
    <mergeCell ref="C119:D119"/>
    <mergeCell ref="C120:D120"/>
    <mergeCell ref="C121:D121"/>
    <mergeCell ref="C122:D122"/>
    <mergeCell ref="C123:D123"/>
    <mergeCell ref="E104:F123"/>
    <mergeCell ref="F164:H164"/>
    <mergeCell ref="F165:H165"/>
    <mergeCell ref="F166:H166"/>
    <mergeCell ref="F167:H167"/>
    <mergeCell ref="F168:H168"/>
    <mergeCell ref="C113:D113"/>
    <mergeCell ref="C104:D104"/>
    <mergeCell ref="C105:D105"/>
    <mergeCell ref="C106:D106"/>
    <mergeCell ref="C107:D107"/>
    <mergeCell ref="C108:D108"/>
    <mergeCell ref="F159:H159"/>
    <mergeCell ref="F160:H160"/>
    <mergeCell ref="F161:H161"/>
    <mergeCell ref="F162:H162"/>
    <mergeCell ref="F163:H163"/>
    <mergeCell ref="F154:H154"/>
    <mergeCell ref="F158:H158"/>
    <mergeCell ref="C132:I133"/>
    <mergeCell ref="C142:I142"/>
    <mergeCell ref="C149:H150"/>
    <mergeCell ref="F152:H152"/>
    <mergeCell ref="F153:H153"/>
    <mergeCell ref="F155:H155"/>
    <mergeCell ref="F156:H156"/>
    <mergeCell ref="F157:H157"/>
  </mergeCells>
  <conditionalFormatting sqref="G38">
    <cfRule type="expression" dxfId="43" priority="20">
      <formula>$G$38=TRUE</formula>
    </cfRule>
  </conditionalFormatting>
  <conditionalFormatting sqref="F32:I32">
    <cfRule type="cellIs" dxfId="42" priority="19" operator="lessThanOrEqual">
      <formula>$E32</formula>
    </cfRule>
  </conditionalFormatting>
  <conditionalFormatting sqref="G8">
    <cfRule type="expression" dxfId="41" priority="13">
      <formula>G8="Gold"</formula>
    </cfRule>
    <cfRule type="expression" dxfId="40" priority="14">
      <formula>G8="Silver"</formula>
    </cfRule>
    <cfRule type="expression" dxfId="39" priority="15">
      <formula>G8="Bronze"</formula>
    </cfRule>
    <cfRule type="expression" dxfId="38" priority="16">
      <formula>G8="Emerald"</formula>
    </cfRule>
  </conditionalFormatting>
  <conditionalFormatting sqref="F18:I18">
    <cfRule type="expression" dxfId="37" priority="11">
      <formula>$J$18</formula>
    </cfRule>
  </conditionalFormatting>
  <conditionalFormatting sqref="C41 C45 C47 C49 C51 C69 C73 C75 C77 C79 C81 C83 C92:H96 C104:H123">
    <cfRule type="notContainsBlanks" dxfId="36" priority="9">
      <formula>LEN(TRIM(C41))&gt;0</formula>
    </cfRule>
  </conditionalFormatting>
  <conditionalFormatting sqref="C92:H96 C104:D123 G104:H123">
    <cfRule type="expression" dxfId="35" priority="4748">
      <formula>$K92</formula>
    </cfRule>
  </conditionalFormatting>
  <conditionalFormatting sqref="C153:H168">
    <cfRule type="notContainsBlanks" dxfId="34" priority="8">
      <formula>LEN(TRIM(C153))&gt;0</formula>
    </cfRule>
  </conditionalFormatting>
  <conditionalFormatting sqref="D169:E169">
    <cfRule type="expression" dxfId="33" priority="5">
      <formula>$K$180&gt;=0.2</formula>
    </cfRule>
    <cfRule type="expression" dxfId="32" priority="6">
      <formula>$K$180&gt;=(1/7)</formula>
    </cfRule>
    <cfRule type="expression" dxfId="31" priority="7">
      <formula>$K$180&gt;0</formula>
    </cfRule>
  </conditionalFormatting>
  <conditionalFormatting sqref="C169:C171">
    <cfRule type="expression" dxfId="30" priority="4">
      <formula>AND($K$180&gt;0,$K$180&lt;(1/7))</formula>
    </cfRule>
  </conditionalFormatting>
  <conditionalFormatting sqref="F169:H174">
    <cfRule type="expression" dxfId="29" priority="3">
      <formula>AND($K$180&gt;=(1/7),$K$180&lt;0.2)</formula>
    </cfRule>
  </conditionalFormatting>
  <dataValidations count="2">
    <dataValidation type="list" allowBlank="1" showDropDown="1" showInputMessage="1" showErrorMessage="1" error="Use Checkbox" prompt="Use Checkbox" sqref="G38" xr:uid="{00000000-0002-0000-1100-000000000000}">
      <formula1>TorF</formula1>
    </dataValidation>
    <dataValidation type="whole" allowBlank="1" showInputMessage="1" showErrorMessage="1" sqref="D153:E168" xr:uid="{CD32690F-C22A-4DE6-AE5B-CF7BD2E98E5F}">
      <formula1>0</formula1>
      <formula2>10000</formula2>
    </dataValidation>
  </dataValidations>
  <pageMargins left="0.7" right="0.7" top="0.75" bottom="0.75" header="0.3" footer="0.3"/>
  <pageSetup scale="56" fitToHeight="0" orientation="portrait" r:id="rId1"/>
  <rowBreaks count="1" manualBreakCount="1">
    <brk id="9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2"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53" stopIfTrue="1" id="{F8739ABB-6B55-48D6-B2F0-82315F2C898B}">
            <xm:f>MIN(Points!#REF!)&lt;3</xm:f>
            <x14:dxf>
              <fill>
                <patternFill patternType="lightGray"/>
              </fill>
            </x14:dxf>
          </x14:cfRule>
          <xm:sqref>H32</xm:sqref>
        </x14:conditionalFormatting>
        <x14:conditionalFormatting xmlns:xm="http://schemas.microsoft.com/office/excel/2006/main">
          <x14:cfRule type="expression" priority="10054" id="{8C727C8C-E261-4E43-A18E-EEBDB77E3D7F}">
            <xm:f>MIN(Points!#REF!)&lt;4</xm:f>
            <x14:dxf>
              <fill>
                <patternFill patternType="lightGray"/>
              </fill>
            </x14:dxf>
          </x14:cfRule>
          <xm:sqref>I32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M193"/>
  <sheetViews>
    <sheetView showGridLines="0" zoomScaleNormal="100" workbookViewId="0">
      <selection activeCell="C38" sqref="C38:D39"/>
    </sheetView>
  </sheetViews>
  <sheetFormatPr baseColWidth="10" defaultColWidth="9.1640625" defaultRowHeight="15" x14ac:dyDescent="0.2"/>
  <cols>
    <col min="1" max="2" width="10.6640625" style="285" customWidth="1"/>
    <col min="3" max="3" width="43.33203125" style="285" customWidth="1"/>
    <col min="4" max="9" width="15.6640625" style="285" customWidth="1"/>
    <col min="10" max="11" width="15.6640625" style="285" hidden="1" customWidth="1"/>
    <col min="12" max="12" width="16.6640625" style="285" hidden="1" customWidth="1"/>
    <col min="13" max="13" width="30.6640625" style="285" hidden="1" customWidth="1"/>
    <col min="14" max="16384" width="9.1640625" style="285"/>
  </cols>
  <sheetData>
    <row r="1" spans="1:13" x14ac:dyDescent="0.2">
      <c r="A1" s="562"/>
      <c r="B1" s="562"/>
      <c r="C1" s="562"/>
      <c r="D1" s="887" t="s">
        <v>46</v>
      </c>
      <c r="E1" s="887"/>
      <c r="F1" s="887"/>
      <c r="G1" s="887"/>
      <c r="H1" s="887"/>
      <c r="I1" s="887"/>
      <c r="J1" s="217"/>
      <c r="K1" s="217"/>
      <c r="L1" s="562"/>
      <c r="M1" s="562"/>
    </row>
    <row r="2" spans="1:13" x14ac:dyDescent="0.2">
      <c r="A2" s="562"/>
      <c r="B2" s="562"/>
      <c r="C2" s="562"/>
      <c r="D2" s="887"/>
      <c r="E2" s="887"/>
      <c r="F2" s="887"/>
      <c r="G2" s="887"/>
      <c r="H2" s="887"/>
      <c r="I2" s="887"/>
      <c r="J2" s="217"/>
      <c r="K2" s="217"/>
      <c r="L2" s="562"/>
      <c r="M2" s="562"/>
    </row>
    <row r="3" spans="1:13" x14ac:dyDescent="0.2">
      <c r="A3" s="562"/>
      <c r="B3" s="562"/>
      <c r="C3" s="562"/>
      <c r="D3" s="887"/>
      <c r="E3" s="887"/>
      <c r="F3" s="887"/>
      <c r="G3" s="887"/>
      <c r="H3" s="887"/>
      <c r="I3" s="887"/>
      <c r="J3" s="217"/>
      <c r="K3" s="217"/>
      <c r="L3" s="562"/>
      <c r="M3" s="562"/>
    </row>
    <row r="4" spans="1:13" s="331" customFormat="1" x14ac:dyDescent="0.2">
      <c r="A4" s="562"/>
      <c r="B4" s="562"/>
      <c r="C4" s="562"/>
      <c r="D4" s="887"/>
      <c r="E4" s="887"/>
      <c r="F4" s="887"/>
      <c r="G4" s="887"/>
      <c r="H4" s="887"/>
      <c r="I4" s="887"/>
      <c r="J4" s="217"/>
      <c r="K4" s="217"/>
      <c r="L4" s="562"/>
      <c r="M4" s="562"/>
    </row>
    <row r="5" spans="1:13" x14ac:dyDescent="0.2">
      <c r="A5" s="562"/>
      <c r="B5" s="562"/>
      <c r="C5" s="562"/>
      <c r="D5" s="887"/>
      <c r="E5" s="887"/>
      <c r="F5" s="887"/>
      <c r="G5" s="887"/>
      <c r="H5" s="887"/>
      <c r="I5" s="887"/>
      <c r="J5" s="217"/>
      <c r="K5" s="217"/>
      <c r="L5" s="562"/>
      <c r="M5" s="562"/>
    </row>
    <row r="6" spans="1:13" ht="19" x14ac:dyDescent="0.25">
      <c r="A6" s="391"/>
      <c r="B6" s="391"/>
      <c r="C6" s="8" t="s">
        <v>3913</v>
      </c>
      <c r="D6" s="391"/>
      <c r="E6" s="391"/>
      <c r="F6" s="391"/>
      <c r="G6" s="391"/>
      <c r="H6" s="391"/>
      <c r="I6" s="391"/>
      <c r="J6" s="392" t="s">
        <v>48</v>
      </c>
      <c r="K6" s="392" t="s">
        <v>48</v>
      </c>
      <c r="L6" s="586" t="s">
        <v>48</v>
      </c>
      <c r="M6" s="586" t="s">
        <v>48</v>
      </c>
    </row>
    <row r="7" spans="1:13" x14ac:dyDescent="0.2">
      <c r="A7" s="562"/>
      <c r="B7" s="562"/>
      <c r="C7" s="562"/>
      <c r="D7" s="562"/>
      <c r="E7" s="562"/>
      <c r="F7" s="562"/>
      <c r="G7" s="562"/>
      <c r="H7" s="562"/>
      <c r="I7" s="562"/>
      <c r="J7" s="217"/>
      <c r="K7" s="217"/>
      <c r="L7" s="562"/>
      <c r="M7" s="562"/>
    </row>
    <row r="8" spans="1:13" x14ac:dyDescent="0.2">
      <c r="A8" s="1102" t="s">
        <v>3726</v>
      </c>
      <c r="B8" s="1102"/>
      <c r="C8" s="687" t="str">
        <f>IF('Overview (Verification)'!P61="","None entered on ""Overview (Verification)"" Sheet",'Overview (Verification)'!P61)</f>
        <v>PRJEPKDMnz</v>
      </c>
      <c r="D8" s="687"/>
      <c r="E8" s="561"/>
      <c r="F8" s="592" t="s">
        <v>3914</v>
      </c>
      <c r="G8" s="1104" t="str">
        <f ca="1">Points!N22</f>
        <v>None</v>
      </c>
      <c r="H8" s="1104"/>
      <c r="I8" s="1104"/>
      <c r="J8" s="217"/>
      <c r="K8" s="217"/>
      <c r="L8" s="562"/>
      <c r="M8" s="562"/>
    </row>
    <row r="9" spans="1:13" ht="3" customHeight="1" x14ac:dyDescent="0.2">
      <c r="A9" s="291"/>
      <c r="B9" s="291"/>
      <c r="C9" s="332"/>
      <c r="D9" s="332"/>
      <c r="E9" s="390"/>
      <c r="F9" s="308"/>
      <c r="G9" s="332"/>
      <c r="H9" s="332"/>
      <c r="I9" s="332"/>
      <c r="J9" s="291"/>
      <c r="K9" s="217"/>
      <c r="L9" s="562"/>
      <c r="M9" s="562"/>
    </row>
    <row r="10" spans="1:13" x14ac:dyDescent="0.2">
      <c r="A10" s="1102" t="s">
        <v>3849</v>
      </c>
      <c r="B10" s="1102"/>
      <c r="C10" s="722" t="str">
        <f>IF('Overview (Verification)'!P8="","None entered on ""Overview (Verification)"" Sheet",'Overview (Verification)'!P8)</f>
        <v>AAA Green Builders</v>
      </c>
      <c r="D10" s="722"/>
      <c r="E10" s="561"/>
      <c r="F10" s="592" t="s">
        <v>3850</v>
      </c>
      <c r="G10" s="722" t="str">
        <f>'Overview (Verification)'!P16</f>
        <v>Single-Family</v>
      </c>
      <c r="H10" s="722"/>
      <c r="I10" s="722"/>
      <c r="J10" s="217"/>
      <c r="K10" s="217"/>
      <c r="L10" s="562"/>
      <c r="M10" s="562"/>
    </row>
    <row r="11" spans="1:13" ht="3" customHeight="1" x14ac:dyDescent="0.2">
      <c r="A11" s="390"/>
      <c r="B11" s="390"/>
      <c r="C11" s="332"/>
      <c r="D11" s="333"/>
      <c r="E11" s="390"/>
      <c r="F11" s="308"/>
      <c r="G11" s="293"/>
      <c r="H11" s="293"/>
      <c r="I11" s="293"/>
      <c r="J11" s="291"/>
      <c r="K11" s="217"/>
      <c r="L11" s="562"/>
      <c r="M11" s="562"/>
    </row>
    <row r="12" spans="1:13" x14ac:dyDescent="0.2">
      <c r="A12" s="1102" t="s">
        <v>3851</v>
      </c>
      <c r="B12" s="1102"/>
      <c r="C12" s="1059" t="str">
        <f>IF('Overview (Verification)'!P11="","None entered on ""Overview (Verification)"" Sheet",'Overview (Verification)'!P9&amp;", "&amp;'Overview (Verification)'!P11&amp;", "&amp;'Overview (Verification)'!P12&amp;"  "&amp;'Overview (Verification)'!P14)</f>
        <v>6666 Oak St., Raleigh, North Carolina  99999</v>
      </c>
      <c r="D12" s="1059"/>
      <c r="E12" s="561"/>
      <c r="F12" s="592" t="s">
        <v>79</v>
      </c>
      <c r="G12" s="1057">
        <f>IF('Overview (Verification)'!P17&lt;&gt;"",'Overview (Verification)'!P17,1)</f>
        <v>1</v>
      </c>
      <c r="H12" s="1057"/>
      <c r="I12" s="1057"/>
      <c r="J12" s="217"/>
      <c r="K12" s="217"/>
      <c r="L12" s="562"/>
      <c r="M12" s="562"/>
    </row>
    <row r="13" spans="1:13" ht="3" customHeight="1" x14ac:dyDescent="0.2">
      <c r="A13" s="390"/>
      <c r="B13" s="390"/>
      <c r="C13" s="332"/>
      <c r="D13" s="333"/>
      <c r="E13" s="390"/>
      <c r="F13" s="308"/>
      <c r="G13" s="293"/>
      <c r="H13" s="293"/>
      <c r="I13" s="293"/>
      <c r="J13" s="291"/>
      <c r="K13" s="217"/>
      <c r="L13" s="562"/>
      <c r="M13" s="562"/>
    </row>
    <row r="14" spans="1:13" x14ac:dyDescent="0.2">
      <c r="A14" s="1102" t="s">
        <v>58</v>
      </c>
      <c r="B14" s="1102"/>
      <c r="C14" s="1059" t="str">
        <f>IF('Overview (Verification)'!P10="","None entered on ""Overview (Verification)"" Sheet",'Overview (Verification)'!P10)</f>
        <v>None entered on "Overview (Verification)" Sheet</v>
      </c>
      <c r="D14" s="1059"/>
      <c r="E14" s="561"/>
      <c r="F14" s="592" t="s">
        <v>3852</v>
      </c>
      <c r="G14" s="722" t="str">
        <f>'Overview (Verification)'!P22</f>
        <v/>
      </c>
      <c r="H14" s="722"/>
      <c r="I14" s="722"/>
      <c r="J14" s="217"/>
      <c r="K14" s="217"/>
      <c r="L14" s="562"/>
      <c r="M14" s="562"/>
    </row>
    <row r="15" spans="1:13" ht="3" customHeight="1" x14ac:dyDescent="0.2">
      <c r="A15" s="390"/>
      <c r="B15" s="390"/>
      <c r="C15" s="332"/>
      <c r="D15" s="333"/>
      <c r="E15" s="390"/>
      <c r="F15" s="308"/>
      <c r="G15" s="293"/>
      <c r="H15" s="293"/>
      <c r="I15" s="293"/>
      <c r="J15" s="291"/>
      <c r="K15" s="217"/>
      <c r="L15" s="562"/>
      <c r="M15" s="562"/>
    </row>
    <row r="16" spans="1:13" x14ac:dyDescent="0.2">
      <c r="A16" s="1102" t="s">
        <v>54</v>
      </c>
      <c r="B16" s="1102"/>
      <c r="C16" s="1086" t="str">
        <f>'Overview (Verification)'!U9&amp;" "&amp;'Overview (Verification)'!V9&amp;" "&amp;'Overview (Verification)'!W9&amp;" "&amp;'Overview (Verification)'!Y9</f>
        <v>!! !! !! !!</v>
      </c>
      <c r="D16" s="1086"/>
      <c r="E16" s="317"/>
      <c r="F16" s="592" t="s">
        <v>3853</v>
      </c>
      <c r="G16" s="722" t="str">
        <f>'Overview (Verification)'!P25</f>
        <v>Test Description</v>
      </c>
      <c r="H16" s="722"/>
      <c r="I16" s="722"/>
      <c r="J16" s="217"/>
      <c r="K16" s="217"/>
      <c r="L16" s="562"/>
      <c r="M16" s="562"/>
    </row>
    <row r="17" spans="1:11" ht="3" customHeight="1" x14ac:dyDescent="0.2">
      <c r="A17" s="115"/>
      <c r="B17" s="115"/>
      <c r="C17" s="318"/>
      <c r="D17" s="318"/>
      <c r="E17" s="317"/>
      <c r="F17" s="592"/>
      <c r="G17" s="562"/>
      <c r="H17" s="562"/>
      <c r="I17" s="562"/>
      <c r="J17" s="217"/>
      <c r="K17" s="217"/>
    </row>
    <row r="18" spans="1:11" ht="14.5" customHeight="1" x14ac:dyDescent="0.2">
      <c r="A18" s="217"/>
      <c r="B18" s="562"/>
      <c r="C18" s="1083" t="s">
        <v>3854</v>
      </c>
      <c r="D18" s="1083"/>
      <c r="E18" s="562"/>
      <c r="F18" s="1083" t="s">
        <v>3855</v>
      </c>
      <c r="G18" s="1083"/>
      <c r="H18" s="1083"/>
      <c r="I18" s="1083"/>
      <c r="J18" s="217" t="b">
        <f>OR(J45:J113)</f>
        <v>1</v>
      </c>
      <c r="K18" s="217"/>
    </row>
    <row r="19" spans="1:11" x14ac:dyDescent="0.2">
      <c r="A19" s="217"/>
      <c r="B19" s="217"/>
      <c r="C19" s="217"/>
      <c r="D19" s="562"/>
      <c r="E19" s="562"/>
      <c r="F19" s="562"/>
      <c r="G19" s="562"/>
      <c r="H19" s="562"/>
      <c r="I19" s="217"/>
      <c r="J19" s="217"/>
      <c r="K19" s="217"/>
    </row>
    <row r="20" spans="1:11" x14ac:dyDescent="0.2">
      <c r="A20" s="294"/>
      <c r="B20" s="294"/>
      <c r="C20" s="294"/>
      <c r="D20" s="294"/>
      <c r="E20" s="1084" t="str">
        <f>IF('Verification Report'!L5="Final","Final Points claimed by","NOT YET FINAL PHASE")</f>
        <v>NOT YET FINAL PHASE</v>
      </c>
      <c r="F20" s="294"/>
      <c r="G20" s="294"/>
      <c r="H20" s="294"/>
      <c r="I20" s="294"/>
      <c r="J20" s="217"/>
      <c r="K20" s="217"/>
    </row>
    <row r="21" spans="1:11" x14ac:dyDescent="0.2">
      <c r="A21" s="294"/>
      <c r="B21" s="294"/>
      <c r="C21" s="294"/>
      <c r="D21" s="562"/>
      <c r="E21" s="1085"/>
      <c r="F21" s="294"/>
      <c r="G21" s="294"/>
      <c r="H21" s="294"/>
      <c r="I21" s="294"/>
      <c r="J21" s="217"/>
      <c r="K21" s="217"/>
    </row>
    <row r="22" spans="1:11" ht="15" customHeight="1" x14ac:dyDescent="0.2">
      <c r="A22" s="294"/>
      <c r="B22" s="294"/>
      <c r="C22" s="286" t="s">
        <v>3737</v>
      </c>
      <c r="D22" s="685" t="s">
        <v>3856</v>
      </c>
      <c r="E22" s="685" t="s">
        <v>3857</v>
      </c>
      <c r="F22" s="562"/>
      <c r="G22" s="562"/>
      <c r="H22" s="562"/>
      <c r="I22" s="562"/>
      <c r="J22" s="217"/>
      <c r="K22" s="217"/>
    </row>
    <row r="23" spans="1:11" s="64" customFormat="1" ht="3" customHeight="1" x14ac:dyDescent="0.2">
      <c r="A23" s="295"/>
      <c r="B23" s="295"/>
      <c r="C23" s="296"/>
      <c r="D23" s="668"/>
      <c r="E23" s="684"/>
      <c r="J23" s="291"/>
      <c r="K23" s="291"/>
    </row>
    <row r="24" spans="1:11" ht="15" customHeight="1" x14ac:dyDescent="0.2">
      <c r="A24" s="294"/>
      <c r="B24" s="294"/>
      <c r="C24" s="297" t="s">
        <v>3858</v>
      </c>
      <c r="D24" s="298">
        <f ca="1">Points!Ch5Points</f>
        <v>0</v>
      </c>
      <c r="E24" s="299">
        <f ca="1">Ch5PointsFinal</f>
        <v>0</v>
      </c>
      <c r="F24" s="562"/>
      <c r="G24" s="718" t="s">
        <v>3915</v>
      </c>
      <c r="H24" s="718"/>
      <c r="I24" s="562"/>
      <c r="J24" s="217"/>
      <c r="K24" s="217"/>
    </row>
    <row r="25" spans="1:11" ht="15" customHeight="1" x14ac:dyDescent="0.2">
      <c r="A25" s="294"/>
      <c r="B25" s="294"/>
      <c r="C25" s="300" t="s">
        <v>3859</v>
      </c>
      <c r="D25" s="301" t="e">
        <f ca="1">Ch6Points</f>
        <v>#REF!</v>
      </c>
      <c r="E25" s="302" t="e">
        <f ca="1">Ch6PointsFinal</f>
        <v>#REF!</v>
      </c>
      <c r="F25" s="562"/>
      <c r="G25" s="768" t="str">
        <f ca="1">Points!N22</f>
        <v>None</v>
      </c>
      <c r="H25" s="768"/>
      <c r="I25" s="562"/>
      <c r="J25" s="217"/>
      <c r="K25" s="217"/>
    </row>
    <row r="26" spans="1:11" ht="15" customHeight="1" x14ac:dyDescent="0.2">
      <c r="A26" s="294"/>
      <c r="B26" s="294"/>
      <c r="C26" s="300" t="s">
        <v>3860</v>
      </c>
      <c r="D26" s="301" t="str">
        <f>Ch7Level</f>
        <v>None</v>
      </c>
      <c r="E26" s="302" t="str">
        <f>Points!Q17</f>
        <v>None</v>
      </c>
      <c r="F26" s="562"/>
      <c r="G26" s="562"/>
      <c r="H26" s="562"/>
      <c r="I26" s="562"/>
      <c r="J26" s="217"/>
      <c r="K26" s="217"/>
    </row>
    <row r="27" spans="1:11" ht="15" customHeight="1" x14ac:dyDescent="0.2">
      <c r="A27" s="294"/>
      <c r="B27" s="294"/>
      <c r="C27" s="300" t="s">
        <v>3861</v>
      </c>
      <c r="D27" s="301" t="str">
        <f>Ch8Level</f>
        <v>None</v>
      </c>
      <c r="E27" s="302" t="str">
        <f>Points!Q18</f>
        <v>None</v>
      </c>
      <c r="F27" s="562"/>
      <c r="G27" s="562"/>
      <c r="H27" s="562"/>
      <c r="I27" s="562"/>
      <c r="J27" s="217"/>
      <c r="K27" s="217"/>
    </row>
    <row r="28" spans="1:11" ht="15" customHeight="1" x14ac:dyDescent="0.2">
      <c r="A28" s="294"/>
      <c r="B28" s="294"/>
      <c r="C28" s="300" t="s">
        <v>3862</v>
      </c>
      <c r="D28" s="301">
        <f ca="1">Ch9Points</f>
        <v>0</v>
      </c>
      <c r="E28" s="302">
        <f ca="1">Ch9PointsFinal</f>
        <v>0</v>
      </c>
      <c r="F28" s="562"/>
      <c r="G28" s="1028" t="s">
        <v>3863</v>
      </c>
      <c r="H28" s="1028"/>
      <c r="I28" s="562"/>
      <c r="J28" s="217"/>
      <c r="K28" s="217"/>
    </row>
    <row r="29" spans="1:11" ht="15" customHeight="1" x14ac:dyDescent="0.2">
      <c r="A29" s="294"/>
      <c r="B29" s="294"/>
      <c r="C29" s="303" t="s">
        <v>3864</v>
      </c>
      <c r="D29" s="304">
        <f>Ch10Points</f>
        <v>0</v>
      </c>
      <c r="E29" s="304">
        <f>Ch10PointsFinal</f>
        <v>0</v>
      </c>
      <c r="F29" s="286" t="s">
        <v>3865</v>
      </c>
      <c r="G29" s="286" t="s">
        <v>3866</v>
      </c>
      <c r="H29" s="286" t="s">
        <v>3867</v>
      </c>
      <c r="I29" s="286" t="s">
        <v>3868</v>
      </c>
      <c r="J29" s="217"/>
      <c r="K29" s="217"/>
    </row>
    <row r="30" spans="1:11" s="64" customFormat="1" ht="3" customHeight="1" x14ac:dyDescent="0.2">
      <c r="A30" s="295"/>
      <c r="B30" s="295"/>
      <c r="C30" s="305"/>
      <c r="D30" s="306"/>
      <c r="E30" s="295"/>
      <c r="F30" s="295"/>
      <c r="G30" s="295"/>
      <c r="H30" s="295"/>
      <c r="I30" s="295"/>
      <c r="J30" s="291"/>
      <c r="K30" s="291"/>
    </row>
    <row r="31" spans="1:11" s="64" customFormat="1" ht="3" customHeight="1" x14ac:dyDescent="0.2">
      <c r="A31" s="295"/>
      <c r="B31" s="295"/>
      <c r="C31" s="295"/>
      <c r="D31" s="306"/>
      <c r="E31" s="295"/>
      <c r="F31" s="295"/>
      <c r="G31" s="295"/>
      <c r="H31" s="295"/>
      <c r="I31" s="295"/>
      <c r="J31" s="291"/>
      <c r="K31" s="291"/>
    </row>
    <row r="32" spans="1:11" ht="15" customHeight="1" x14ac:dyDescent="0.2">
      <c r="A32" s="294"/>
      <c r="B32" s="294"/>
      <c r="C32" s="566" t="s">
        <v>2923</v>
      </c>
      <c r="D32" s="21" t="e">
        <f ca="1">Dpoints</f>
        <v>#REF!</v>
      </c>
      <c r="E32" s="21" t="e">
        <f ca="1">Vpoints</f>
        <v>#REF!</v>
      </c>
      <c r="F32" s="21">
        <f>SUM(F24:F29)+Points!C22</f>
        <v>88</v>
      </c>
      <c r="G32" s="21">
        <f ca="1">SUM(G24:G29)+Points!D22</f>
        <v>125</v>
      </c>
      <c r="H32" s="21">
        <f>SUM(H24:H29)+Points!E22</f>
        <v>181</v>
      </c>
      <c r="I32" s="21">
        <f>SUM(I24:I29)+Points!F22</f>
        <v>225</v>
      </c>
      <c r="J32" s="217"/>
      <c r="K32" s="217"/>
    </row>
    <row r="33" spans="1:11" ht="15" customHeight="1" x14ac:dyDescent="0.2">
      <c r="A33" s="294"/>
      <c r="B33" s="294"/>
      <c r="C33" s="294"/>
      <c r="D33" s="294"/>
      <c r="E33" s="294"/>
      <c r="F33" s="294"/>
      <c r="G33" s="294"/>
      <c r="H33" s="294"/>
      <c r="I33" s="294"/>
      <c r="J33" s="217"/>
      <c r="K33" s="217"/>
    </row>
    <row r="34" spans="1:11" ht="15" customHeight="1" x14ac:dyDescent="0.2">
      <c r="A34" s="294"/>
      <c r="B34" s="294"/>
      <c r="C34" s="294"/>
      <c r="D34" s="294"/>
      <c r="E34" s="294"/>
      <c r="F34" s="294"/>
      <c r="G34" s="294"/>
      <c r="H34" s="294"/>
      <c r="I34" s="294"/>
      <c r="J34" s="217"/>
      <c r="K34" s="217"/>
    </row>
    <row r="35" spans="1:11" ht="18" customHeight="1" x14ac:dyDescent="0.2">
      <c r="A35" s="562"/>
      <c r="B35" s="562"/>
      <c r="C35" s="1054" t="s">
        <v>3869</v>
      </c>
      <c r="D35" s="1054"/>
      <c r="E35" s="1054"/>
      <c r="F35" s="1054"/>
      <c r="G35" s="1054"/>
      <c r="H35" s="1054"/>
      <c r="I35" s="1054"/>
      <c r="J35" s="217"/>
      <c r="K35" s="217"/>
    </row>
    <row r="36" spans="1:11" ht="20" customHeight="1" x14ac:dyDescent="0.2">
      <c r="A36" s="562"/>
      <c r="B36" s="562"/>
      <c r="C36" s="1054"/>
      <c r="D36" s="1054"/>
      <c r="E36" s="1054"/>
      <c r="F36" s="1054"/>
      <c r="G36" s="1054"/>
      <c r="H36" s="1054"/>
      <c r="I36" s="1054"/>
      <c r="J36" s="217"/>
      <c r="K36" s="217"/>
    </row>
    <row r="37" spans="1:11" ht="15" customHeight="1" x14ac:dyDescent="0.2">
      <c r="A37" s="562"/>
      <c r="B37" s="562"/>
      <c r="C37" s="562"/>
      <c r="D37" s="562"/>
      <c r="E37" s="562"/>
      <c r="F37" s="562"/>
      <c r="G37" s="562"/>
      <c r="H37" s="562"/>
      <c r="I37" s="562"/>
      <c r="J37" s="217"/>
      <c r="K37" s="217"/>
    </row>
    <row r="38" spans="1:11" s="389" customFormat="1" ht="15" customHeight="1" x14ac:dyDescent="0.2">
      <c r="A38" s="1075" t="s">
        <v>3916</v>
      </c>
      <c r="B38" s="1103"/>
      <c r="C38" s="1077"/>
      <c r="D38" s="1078"/>
      <c r="E38" s="731" t="s">
        <v>3871</v>
      </c>
      <c r="F38" s="919"/>
      <c r="G38" s="18"/>
      <c r="H38" s="562"/>
      <c r="I38" s="562"/>
      <c r="J38" s="217"/>
      <c r="K38" s="217"/>
    </row>
    <row r="39" spans="1:11" s="389" customFormat="1" x14ac:dyDescent="0.2">
      <c r="A39" s="691"/>
      <c r="B39" s="691"/>
      <c r="C39" s="1079"/>
      <c r="D39" s="1080"/>
      <c r="E39" s="562"/>
      <c r="F39" s="562"/>
      <c r="G39" s="562"/>
      <c r="H39" s="562"/>
      <c r="I39" s="562"/>
      <c r="J39" s="217"/>
      <c r="K39" s="217"/>
    </row>
    <row r="40" spans="1:11" s="389" customFormat="1" ht="3" customHeight="1" x14ac:dyDescent="0.2">
      <c r="A40" s="561"/>
      <c r="B40" s="561"/>
      <c r="C40" s="312"/>
      <c r="D40" s="312"/>
      <c r="E40" s="562"/>
      <c r="F40" s="562"/>
      <c r="G40" s="562"/>
      <c r="H40" s="562"/>
      <c r="I40" s="562"/>
      <c r="J40" s="217"/>
      <c r="K40" s="217"/>
    </row>
    <row r="41" spans="1:11" s="389" customFormat="1" x14ac:dyDescent="0.2">
      <c r="A41" s="731" t="s">
        <v>3872</v>
      </c>
      <c r="B41" s="731"/>
      <c r="C41" s="1066"/>
      <c r="D41" s="1067"/>
      <c r="E41" s="1067"/>
      <c r="F41" s="1067"/>
      <c r="G41" s="1067"/>
      <c r="H41" s="1067"/>
      <c r="I41" s="1068"/>
      <c r="J41" s="217"/>
      <c r="K41" s="217"/>
    </row>
    <row r="42" spans="1:11" s="389" customFormat="1" x14ac:dyDescent="0.2">
      <c r="A42" s="731"/>
      <c r="B42" s="731"/>
      <c r="C42" s="1069"/>
      <c r="D42" s="1070"/>
      <c r="E42" s="1070"/>
      <c r="F42" s="1070"/>
      <c r="G42" s="1070"/>
      <c r="H42" s="1070"/>
      <c r="I42" s="1071"/>
      <c r="J42" s="217"/>
      <c r="K42" s="217"/>
    </row>
    <row r="43" spans="1:11" s="389" customFormat="1" x14ac:dyDescent="0.2">
      <c r="A43" s="731"/>
      <c r="B43" s="731"/>
      <c r="C43" s="1072"/>
      <c r="D43" s="1073"/>
      <c r="E43" s="1073"/>
      <c r="F43" s="1073"/>
      <c r="G43" s="1073"/>
      <c r="H43" s="1073"/>
      <c r="I43" s="1074"/>
      <c r="J43" s="217"/>
      <c r="K43" s="217"/>
    </row>
    <row r="44" spans="1:11" s="389" customFormat="1" ht="3" customHeight="1" x14ac:dyDescent="0.2">
      <c r="A44" s="561"/>
      <c r="B44" s="561"/>
      <c r="C44" s="562"/>
      <c r="D44" s="562"/>
      <c r="E44" s="562"/>
      <c r="F44" s="562"/>
      <c r="G44" s="562"/>
      <c r="H44" s="562"/>
      <c r="I44" s="562"/>
      <c r="J44" s="217"/>
      <c r="K44" s="217"/>
    </row>
    <row r="45" spans="1:11" ht="15" customHeight="1" x14ac:dyDescent="0.2">
      <c r="A45" s="561"/>
      <c r="B45" s="592" t="s">
        <v>3873</v>
      </c>
      <c r="C45" s="1087"/>
      <c r="D45" s="1087"/>
      <c r="E45" s="1088" t="s">
        <v>3917</v>
      </c>
      <c r="F45" s="1088"/>
      <c r="G45" s="562"/>
      <c r="H45" s="562"/>
      <c r="I45" s="562"/>
      <c r="J45" s="217" t="b">
        <f>ISBLANK(C45)</f>
        <v>1</v>
      </c>
      <c r="K45" s="217"/>
    </row>
    <row r="46" spans="1:11" ht="3" customHeight="1" x14ac:dyDescent="0.2">
      <c r="A46" s="561"/>
      <c r="B46" s="592"/>
      <c r="C46" s="562"/>
      <c r="D46" s="562"/>
      <c r="E46" s="1088"/>
      <c r="F46" s="1088"/>
      <c r="G46" s="562"/>
      <c r="H46" s="562"/>
      <c r="I46" s="562"/>
      <c r="J46" s="217"/>
      <c r="K46" s="217"/>
    </row>
    <row r="47" spans="1:11" ht="15" customHeight="1" x14ac:dyDescent="0.2">
      <c r="A47" s="561"/>
      <c r="B47" s="592" t="s">
        <v>3874</v>
      </c>
      <c r="C47" s="1087"/>
      <c r="D47" s="1087"/>
      <c r="E47" s="1088"/>
      <c r="F47" s="1088"/>
      <c r="G47" s="663"/>
      <c r="H47" s="562"/>
      <c r="I47" s="562"/>
      <c r="J47" s="217" t="b">
        <f>ISBLANK(C47)</f>
        <v>1</v>
      </c>
      <c r="K47" s="217"/>
    </row>
    <row r="48" spans="1:11" ht="3" customHeight="1" x14ac:dyDescent="0.2">
      <c r="A48" s="561"/>
      <c r="B48" s="592"/>
      <c r="C48" s="562"/>
      <c r="D48" s="562"/>
      <c r="E48" s="562"/>
      <c r="F48" s="562"/>
      <c r="G48" s="562"/>
      <c r="H48" s="562"/>
      <c r="I48" s="562"/>
      <c r="J48" s="217"/>
      <c r="K48" s="217"/>
    </row>
    <row r="49" spans="1:11" x14ac:dyDescent="0.2">
      <c r="A49" s="561"/>
      <c r="B49" s="592" t="s">
        <v>3875</v>
      </c>
      <c r="C49" s="1087"/>
      <c r="D49" s="1087"/>
      <c r="E49" s="1089" t="s">
        <v>3918</v>
      </c>
      <c r="F49" s="1089"/>
      <c r="G49" s="562"/>
      <c r="H49" s="562"/>
      <c r="I49" s="562"/>
      <c r="J49" s="217" t="b">
        <f>ISBLANK(C49)</f>
        <v>1</v>
      </c>
      <c r="K49" s="217"/>
    </row>
    <row r="50" spans="1:11" ht="3" customHeight="1" x14ac:dyDescent="0.2">
      <c r="A50" s="561"/>
      <c r="B50" s="592"/>
      <c r="C50" s="562"/>
      <c r="D50" s="562"/>
      <c r="E50" s="1089"/>
      <c r="F50" s="1089"/>
      <c r="G50" s="319"/>
      <c r="H50" s="562"/>
      <c r="I50" s="562"/>
      <c r="J50" s="217"/>
      <c r="K50" s="217"/>
    </row>
    <row r="51" spans="1:11" x14ac:dyDescent="0.2">
      <c r="A51" s="561"/>
      <c r="B51" s="308" t="s">
        <v>3876</v>
      </c>
      <c r="C51" s="1087"/>
      <c r="D51" s="1087"/>
      <c r="E51" s="1089"/>
      <c r="F51" s="1089"/>
      <c r="G51" s="914"/>
      <c r="H51" s="914"/>
      <c r="I51" s="914"/>
      <c r="J51" s="217" t="b">
        <f>ISBLANK(C51)</f>
        <v>1</v>
      </c>
      <c r="K51" s="217"/>
    </row>
    <row r="52" spans="1:11" x14ac:dyDescent="0.2">
      <c r="A52" s="561"/>
      <c r="B52" s="562"/>
      <c r="C52" s="562"/>
      <c r="D52" s="562"/>
      <c r="E52" s="1100" t="s">
        <v>3919</v>
      </c>
      <c r="F52" s="1100"/>
      <c r="G52" s="1100"/>
      <c r="H52" s="562"/>
      <c r="I52" s="562"/>
      <c r="J52" s="1" t="b">
        <f>ISBLANK(G47)</f>
        <v>1</v>
      </c>
      <c r="K52" s="217"/>
    </row>
    <row r="53" spans="1:11" x14ac:dyDescent="0.2">
      <c r="A53" s="562"/>
      <c r="B53" s="562"/>
      <c r="C53" s="562"/>
      <c r="D53" s="319"/>
      <c r="E53" s="320"/>
      <c r="F53" s="562"/>
      <c r="G53" s="562"/>
      <c r="H53" s="562"/>
      <c r="I53" s="562"/>
      <c r="J53" s="1" t="b">
        <f>ISBLANK(G51)</f>
        <v>1</v>
      </c>
      <c r="K53" s="217"/>
    </row>
    <row r="54" spans="1:11" x14ac:dyDescent="0.2">
      <c r="A54" s="562"/>
      <c r="B54" s="562"/>
      <c r="C54" s="1055" t="s">
        <v>3877</v>
      </c>
      <c r="D54" s="1055"/>
      <c r="E54" s="562"/>
      <c r="F54" s="562"/>
      <c r="G54" s="562"/>
      <c r="H54" s="562"/>
      <c r="I54" s="562"/>
      <c r="J54" s="217"/>
      <c r="K54" s="217"/>
    </row>
    <row r="55" spans="1:11" ht="3" customHeight="1" x14ac:dyDescent="0.2">
      <c r="A55" s="562"/>
      <c r="B55" s="562"/>
      <c r="C55" s="586"/>
      <c r="D55" s="586"/>
      <c r="E55" s="562"/>
      <c r="F55" s="562"/>
      <c r="G55" s="562"/>
      <c r="H55" s="562"/>
      <c r="I55" s="562"/>
      <c r="J55" s="217"/>
      <c r="K55" s="217"/>
    </row>
    <row r="56" spans="1:11" x14ac:dyDescent="0.2">
      <c r="A56" s="562"/>
      <c r="B56" s="562"/>
      <c r="C56" s="1056" t="s">
        <v>3920</v>
      </c>
      <c r="D56" s="1056"/>
      <c r="E56" s="1056"/>
      <c r="F56" s="1056"/>
      <c r="G56" s="1056"/>
      <c r="H56" s="1056"/>
      <c r="I56" s="1056"/>
      <c r="J56" s="217"/>
      <c r="K56" s="217"/>
    </row>
    <row r="57" spans="1:11" ht="18" customHeight="1" x14ac:dyDescent="0.2">
      <c r="A57" s="562"/>
      <c r="B57" s="562"/>
      <c r="C57" s="1056"/>
      <c r="D57" s="1056"/>
      <c r="E57" s="1056"/>
      <c r="F57" s="1056"/>
      <c r="G57" s="1056"/>
      <c r="H57" s="1056"/>
      <c r="I57" s="1056"/>
      <c r="J57" s="217"/>
      <c r="K57" s="217"/>
    </row>
    <row r="58" spans="1:11" ht="15" customHeight="1" x14ac:dyDescent="0.2">
      <c r="A58" s="1101" t="s">
        <v>3921</v>
      </c>
      <c r="B58" s="1101"/>
      <c r="C58" s="321"/>
      <c r="D58" s="321"/>
      <c r="E58" s="321"/>
      <c r="F58" s="321"/>
      <c r="G58" s="321"/>
      <c r="H58" s="321"/>
      <c r="I58" s="321"/>
      <c r="J58" s="217"/>
      <c r="K58" s="217"/>
    </row>
    <row r="59" spans="1:11" ht="15" customHeight="1" x14ac:dyDescent="0.2">
      <c r="A59" s="1101"/>
      <c r="B59" s="1101"/>
      <c r="C59" s="321"/>
      <c r="D59" s="321"/>
      <c r="E59" s="1090" t="s">
        <v>3922</v>
      </c>
      <c r="F59" s="1091"/>
      <c r="G59" s="1092"/>
      <c r="H59" s="1092"/>
      <c r="I59" s="1093"/>
      <c r="J59" s="217"/>
      <c r="K59" s="217"/>
    </row>
    <row r="60" spans="1:11" ht="15" customHeight="1" x14ac:dyDescent="0.2">
      <c r="A60" s="1101"/>
      <c r="B60" s="1101"/>
      <c r="C60" s="322"/>
      <c r="D60" s="321"/>
      <c r="E60" s="1090"/>
      <c r="F60" s="1094"/>
      <c r="G60" s="1095"/>
      <c r="H60" s="1095"/>
      <c r="I60" s="1096"/>
      <c r="J60" s="217" t="b">
        <f>ISBLANK(C60)</f>
        <v>1</v>
      </c>
      <c r="K60" s="217"/>
    </row>
    <row r="61" spans="1:11" ht="15" customHeight="1" x14ac:dyDescent="0.2">
      <c r="A61" s="1101"/>
      <c r="B61" s="1101"/>
      <c r="C61" s="321"/>
      <c r="D61" s="321"/>
      <c r="E61" s="1090"/>
      <c r="F61" s="1097"/>
      <c r="G61" s="1098"/>
      <c r="H61" s="1098"/>
      <c r="I61" s="1099"/>
      <c r="J61" s="1" t="b">
        <f>AND(C60=K193,ISBLANK(F59))</f>
        <v>0</v>
      </c>
      <c r="K61" s="217"/>
    </row>
    <row r="62" spans="1:11" ht="15" customHeight="1" x14ac:dyDescent="0.2">
      <c r="A62" s="1101"/>
      <c r="B62" s="1101"/>
      <c r="C62" s="321"/>
      <c r="D62" s="321"/>
      <c r="E62" s="321"/>
      <c r="F62" s="321"/>
      <c r="G62" s="321"/>
      <c r="H62" s="321"/>
      <c r="I62" s="321"/>
      <c r="J62" s="217"/>
      <c r="K62" s="217"/>
    </row>
    <row r="63" spans="1:11" ht="15" customHeight="1" x14ac:dyDescent="0.2">
      <c r="A63" s="731" t="s">
        <v>3923</v>
      </c>
      <c r="B63" s="731"/>
      <c r="C63" s="322"/>
      <c r="D63" s="321"/>
      <c r="E63" s="321"/>
      <c r="F63" s="321"/>
      <c r="G63" s="321"/>
      <c r="H63" s="321"/>
      <c r="I63" s="321"/>
      <c r="J63" s="217" t="b">
        <f>ISBLANK(C63)</f>
        <v>1</v>
      </c>
      <c r="K63" s="217"/>
    </row>
    <row r="64" spans="1:11" ht="15" customHeight="1" x14ac:dyDescent="0.2">
      <c r="A64" s="562"/>
      <c r="B64" s="562"/>
      <c r="C64" s="321"/>
      <c r="D64" s="321"/>
      <c r="E64" s="321"/>
      <c r="F64" s="321"/>
      <c r="G64" s="321"/>
      <c r="H64" s="321"/>
      <c r="I64" s="321"/>
      <c r="J64" s="217"/>
      <c r="K64" s="217"/>
    </row>
    <row r="65" spans="1:11" ht="15" customHeight="1" x14ac:dyDescent="0.2">
      <c r="A65" s="42"/>
      <c r="B65" s="311"/>
      <c r="C65" s="310"/>
      <c r="D65" s="310"/>
      <c r="E65" s="310"/>
      <c r="F65" s="310"/>
      <c r="G65" s="310"/>
      <c r="H65" s="310"/>
      <c r="I65" s="310"/>
      <c r="J65" s="217"/>
      <c r="K65" s="217"/>
    </row>
    <row r="66" spans="1:11" ht="15" customHeight="1" x14ac:dyDescent="0.2">
      <c r="A66" s="1075" t="s">
        <v>3879</v>
      </c>
      <c r="B66" s="1076"/>
      <c r="C66" s="1077"/>
      <c r="D66" s="1078"/>
      <c r="E66" s="562"/>
      <c r="F66" s="562"/>
      <c r="G66" s="562"/>
      <c r="H66" s="562"/>
      <c r="I66" s="562"/>
      <c r="J66" s="217"/>
      <c r="K66" s="217"/>
    </row>
    <row r="67" spans="1:11" x14ac:dyDescent="0.2">
      <c r="A67" s="1076"/>
      <c r="B67" s="1076"/>
      <c r="C67" s="1079"/>
      <c r="D67" s="1080"/>
      <c r="E67" s="562"/>
      <c r="F67" s="562"/>
      <c r="G67" s="562"/>
      <c r="H67" s="562"/>
      <c r="I67" s="562"/>
      <c r="J67" s="217"/>
      <c r="K67" s="217"/>
    </row>
    <row r="68" spans="1:11" ht="3" customHeight="1" x14ac:dyDescent="0.2">
      <c r="A68" s="561"/>
      <c r="B68" s="561"/>
      <c r="C68" s="312"/>
      <c r="D68" s="312"/>
      <c r="E68" s="562"/>
      <c r="F68" s="562"/>
      <c r="G68" s="562"/>
      <c r="H68" s="562"/>
      <c r="I68" s="562"/>
      <c r="J68" s="217"/>
      <c r="K68" s="217"/>
    </row>
    <row r="69" spans="1:11" x14ac:dyDescent="0.2">
      <c r="A69" s="731" t="s">
        <v>3880</v>
      </c>
      <c r="B69" s="731"/>
      <c r="C69" s="1066"/>
      <c r="D69" s="1067"/>
      <c r="E69" s="1067"/>
      <c r="F69" s="1067"/>
      <c r="G69" s="1067"/>
      <c r="H69" s="1067"/>
      <c r="I69" s="1068"/>
      <c r="J69" s="217"/>
      <c r="K69" s="217"/>
    </row>
    <row r="70" spans="1:11" s="389" customFormat="1" x14ac:dyDescent="0.2">
      <c r="A70" s="731"/>
      <c r="B70" s="731"/>
      <c r="C70" s="1069"/>
      <c r="D70" s="1070"/>
      <c r="E70" s="1070"/>
      <c r="F70" s="1070"/>
      <c r="G70" s="1070"/>
      <c r="H70" s="1070"/>
      <c r="I70" s="1071"/>
      <c r="J70" s="217"/>
      <c r="K70" s="217"/>
    </row>
    <row r="71" spans="1:11" s="389" customFormat="1" x14ac:dyDescent="0.2">
      <c r="A71" s="731"/>
      <c r="B71" s="731"/>
      <c r="C71" s="1072"/>
      <c r="D71" s="1073"/>
      <c r="E71" s="1073"/>
      <c r="F71" s="1073"/>
      <c r="G71" s="1073"/>
      <c r="H71" s="1073"/>
      <c r="I71" s="1074"/>
      <c r="J71" s="217"/>
      <c r="K71" s="217"/>
    </row>
    <row r="72" spans="1:11" ht="3" customHeight="1" x14ac:dyDescent="0.2">
      <c r="A72" s="561"/>
      <c r="B72" s="561"/>
      <c r="C72" s="562"/>
      <c r="D72" s="562"/>
      <c r="E72" s="562"/>
      <c r="F72" s="562"/>
      <c r="G72" s="562"/>
      <c r="H72" s="562"/>
      <c r="I72" s="562"/>
      <c r="J72" s="217"/>
      <c r="K72" s="217"/>
    </row>
    <row r="73" spans="1:11" x14ac:dyDescent="0.2">
      <c r="A73" s="731" t="s">
        <v>3873</v>
      </c>
      <c r="B73" s="731"/>
      <c r="C73" s="692"/>
      <c r="D73" s="562"/>
      <c r="E73" s="562"/>
      <c r="F73" s="562"/>
      <c r="G73" s="562"/>
      <c r="H73" s="562"/>
      <c r="I73" s="562"/>
      <c r="J73" s="217" t="b">
        <f>ISBLANK(C73)</f>
        <v>1</v>
      </c>
      <c r="K73" s="217"/>
    </row>
    <row r="74" spans="1:11" ht="3" customHeight="1" x14ac:dyDescent="0.2">
      <c r="A74" s="592"/>
      <c r="B74" s="592"/>
      <c r="C74" s="562"/>
      <c r="D74" s="562"/>
      <c r="E74" s="562"/>
      <c r="F74" s="562"/>
      <c r="G74" s="562"/>
      <c r="H74" s="562"/>
      <c r="I74" s="562"/>
      <c r="J74" s="217"/>
      <c r="K74" s="217"/>
    </row>
    <row r="75" spans="1:11" x14ac:dyDescent="0.2">
      <c r="A75" s="731" t="s">
        <v>3874</v>
      </c>
      <c r="B75" s="731"/>
      <c r="C75" s="692"/>
      <c r="D75" s="562"/>
      <c r="E75" s="562"/>
      <c r="F75" s="562"/>
      <c r="G75" s="562"/>
      <c r="H75" s="562"/>
      <c r="I75" s="562"/>
      <c r="J75" s="217" t="b">
        <f>ISBLANK(C75)</f>
        <v>1</v>
      </c>
      <c r="K75" s="217"/>
    </row>
    <row r="76" spans="1:11" ht="3" customHeight="1" x14ac:dyDescent="0.2">
      <c r="A76" s="592"/>
      <c r="B76" s="592"/>
      <c r="C76" s="562"/>
      <c r="D76" s="562"/>
      <c r="E76" s="562"/>
      <c r="F76" s="562"/>
      <c r="G76" s="562"/>
      <c r="H76" s="562"/>
      <c r="I76" s="562"/>
      <c r="J76" s="217"/>
      <c r="K76" s="217"/>
    </row>
    <row r="77" spans="1:11" x14ac:dyDescent="0.2">
      <c r="A77" s="731" t="s">
        <v>3875</v>
      </c>
      <c r="B77" s="731"/>
      <c r="C77" s="505"/>
      <c r="D77" s="562"/>
      <c r="E77" s="562"/>
      <c r="F77" s="562"/>
      <c r="G77" s="562"/>
      <c r="H77" s="562"/>
      <c r="I77" s="562"/>
      <c r="J77" s="217" t="b">
        <f>ISBLANK(C77)</f>
        <v>1</v>
      </c>
      <c r="K77" s="217"/>
    </row>
    <row r="78" spans="1:11" ht="3" customHeight="1" x14ac:dyDescent="0.2">
      <c r="A78" s="592"/>
      <c r="B78" s="592"/>
      <c r="C78" s="562"/>
      <c r="D78" s="562"/>
      <c r="E78" s="562"/>
      <c r="F78" s="562"/>
      <c r="G78" s="562"/>
      <c r="H78" s="562"/>
      <c r="I78" s="562"/>
      <c r="J78" s="217"/>
      <c r="K78" s="217"/>
    </row>
    <row r="79" spans="1:11" x14ac:dyDescent="0.2">
      <c r="A79" s="731" t="s">
        <v>3881</v>
      </c>
      <c r="B79" s="731"/>
      <c r="C79" s="505"/>
      <c r="D79" s="1061" t="s">
        <v>3882</v>
      </c>
      <c r="E79" s="562"/>
      <c r="F79" s="562"/>
      <c r="G79" s="562"/>
      <c r="H79" s="562"/>
      <c r="I79" s="562"/>
      <c r="J79" s="217" t="b">
        <f>ISBLANK(C79)</f>
        <v>1</v>
      </c>
      <c r="K79" s="217"/>
    </row>
    <row r="80" spans="1:11" ht="3" customHeight="1" x14ac:dyDescent="0.2">
      <c r="A80" s="592"/>
      <c r="B80" s="592"/>
      <c r="C80" s="562"/>
      <c r="D80" s="1061"/>
      <c r="E80" s="562"/>
      <c r="F80" s="562"/>
      <c r="G80" s="562"/>
      <c r="H80" s="562"/>
      <c r="I80" s="562"/>
      <c r="J80" s="217"/>
      <c r="K80" s="217"/>
    </row>
    <row r="81" spans="1:11" x14ac:dyDescent="0.2">
      <c r="A81" s="731" t="s">
        <v>3883</v>
      </c>
      <c r="B81" s="731"/>
      <c r="C81" s="505"/>
      <c r="D81" s="1061"/>
      <c r="E81" s="562"/>
      <c r="F81" s="562"/>
      <c r="G81" s="562"/>
      <c r="H81" s="562"/>
      <c r="I81" s="562"/>
      <c r="J81" s="217" t="b">
        <f>ISBLANK(C81)</f>
        <v>1</v>
      </c>
      <c r="K81" s="217"/>
    </row>
    <row r="82" spans="1:11" ht="3" customHeight="1" x14ac:dyDescent="0.2">
      <c r="A82" s="592"/>
      <c r="B82" s="592"/>
      <c r="C82" s="562"/>
      <c r="D82" s="562"/>
      <c r="E82" s="562"/>
      <c r="F82" s="562"/>
      <c r="G82" s="562"/>
      <c r="H82" s="562"/>
      <c r="I82" s="562"/>
      <c r="J82" s="217"/>
      <c r="K82" s="217"/>
    </row>
    <row r="83" spans="1:11" x14ac:dyDescent="0.2">
      <c r="A83" s="731" t="s">
        <v>3876</v>
      </c>
      <c r="B83" s="731"/>
      <c r="C83" s="505"/>
      <c r="D83" s="689" t="s">
        <v>3884</v>
      </c>
      <c r="E83" s="718"/>
      <c r="F83" s="718"/>
      <c r="G83" s="718"/>
      <c r="H83" s="718"/>
      <c r="I83" s="718"/>
      <c r="J83" s="217" t="b">
        <f>ISBLANK(C83)</f>
        <v>1</v>
      </c>
      <c r="K83" s="217"/>
    </row>
    <row r="84" spans="1:11" x14ac:dyDescent="0.2">
      <c r="A84" s="562"/>
      <c r="B84" s="562"/>
      <c r="C84" s="562"/>
      <c r="D84" s="313"/>
      <c r="E84" s="562"/>
      <c r="F84" s="562"/>
      <c r="G84" s="562"/>
      <c r="H84" s="562"/>
      <c r="I84" s="562"/>
      <c r="J84" s="217"/>
      <c r="K84" s="217"/>
    </row>
    <row r="85" spans="1:11" ht="15" customHeight="1" x14ac:dyDescent="0.2">
      <c r="A85" s="1076" t="s">
        <v>3924</v>
      </c>
      <c r="B85" s="1076"/>
      <c r="C85" s="816" t="s">
        <v>3925</v>
      </c>
      <c r="D85" s="816"/>
      <c r="E85" s="816"/>
      <c r="F85" s="816"/>
      <c r="G85" s="816"/>
      <c r="H85" s="816"/>
      <c r="I85" s="816"/>
      <c r="J85" s="217"/>
      <c r="K85" s="217"/>
    </row>
    <row r="86" spans="1:11" x14ac:dyDescent="0.2">
      <c r="A86" s="562"/>
      <c r="B86" s="562"/>
      <c r="C86" s="816"/>
      <c r="D86" s="816"/>
      <c r="E86" s="816"/>
      <c r="F86" s="816"/>
      <c r="G86" s="816"/>
      <c r="H86" s="816"/>
      <c r="I86" s="816"/>
      <c r="J86" s="217"/>
      <c r="K86" s="217"/>
    </row>
    <row r="87" spans="1:11" x14ac:dyDescent="0.2">
      <c r="A87" s="562"/>
      <c r="B87" s="562"/>
      <c r="C87" s="562"/>
      <c r="D87" s="562"/>
      <c r="E87" s="562"/>
      <c r="F87" s="562"/>
      <c r="G87" s="562"/>
      <c r="H87" s="562"/>
      <c r="I87" s="562"/>
      <c r="J87" s="217"/>
      <c r="K87" s="217"/>
    </row>
    <row r="88" spans="1:11" x14ac:dyDescent="0.2">
      <c r="A88" s="562"/>
      <c r="B88" s="562"/>
      <c r="C88" s="561" t="s">
        <v>3885</v>
      </c>
      <c r="D88" s="562"/>
      <c r="E88" s="562"/>
      <c r="F88" s="562"/>
      <c r="G88" s="562"/>
      <c r="H88" s="562"/>
      <c r="I88" s="562"/>
      <c r="J88" s="217"/>
      <c r="K88" s="217"/>
    </row>
    <row r="89" spans="1:11" x14ac:dyDescent="0.2">
      <c r="A89" s="562"/>
      <c r="B89" s="562"/>
      <c r="C89" s="1061" t="s">
        <v>3886</v>
      </c>
      <c r="D89" s="1061"/>
      <c r="E89" s="1061"/>
      <c r="F89" s="1061"/>
      <c r="G89" s="1061"/>
      <c r="H89" s="1061"/>
      <c r="I89" s="1061"/>
      <c r="J89" s="217"/>
      <c r="K89" s="217"/>
    </row>
    <row r="90" spans="1:11" x14ac:dyDescent="0.2">
      <c r="A90" s="562"/>
      <c r="B90" s="562"/>
      <c r="C90" s="562"/>
      <c r="D90" s="562"/>
      <c r="E90" s="562"/>
      <c r="F90" s="562"/>
      <c r="G90" s="562"/>
      <c r="H90" s="562"/>
      <c r="I90" s="562"/>
      <c r="J90" s="217"/>
      <c r="K90" s="217"/>
    </row>
    <row r="91" spans="1:11" x14ac:dyDescent="0.2">
      <c r="A91" s="562"/>
      <c r="B91" s="562"/>
      <c r="C91" s="644" t="s">
        <v>3887</v>
      </c>
      <c r="D91" s="644" t="s">
        <v>3888</v>
      </c>
      <c r="E91" s="1062" t="s">
        <v>3889</v>
      </c>
      <c r="F91" s="1062"/>
      <c r="G91" s="718" t="s">
        <v>3890</v>
      </c>
      <c r="H91" s="718"/>
      <c r="I91" s="562"/>
      <c r="J91" s="217"/>
      <c r="K91" s="217"/>
    </row>
    <row r="92" spans="1:11" x14ac:dyDescent="0.2">
      <c r="A92" s="562"/>
      <c r="B92" s="594">
        <v>1</v>
      </c>
      <c r="C92" s="583"/>
      <c r="D92" s="583"/>
      <c r="E92" s="1052"/>
      <c r="F92" s="1052"/>
      <c r="G92" s="1052"/>
      <c r="H92" s="1052"/>
      <c r="I92" s="562"/>
      <c r="J92" s="562" t="b">
        <f>AND(OR(ISBLANK(C92),ISBLANK(D92),ISBLANK(E92),ISBLANK(G92)),K92)</f>
        <v>0</v>
      </c>
      <c r="K92" s="316" t="b">
        <f>OR(NOT(ISBLANK(C92)),NOT(ISBLANK(D92)),NOT(ISBLANK(E92)),NOT(ISBLANK(G92)))</f>
        <v>0</v>
      </c>
    </row>
    <row r="93" spans="1:11" x14ac:dyDescent="0.2">
      <c r="A93" s="562"/>
      <c r="B93" s="594">
        <v>2</v>
      </c>
      <c r="C93" s="583"/>
      <c r="D93" s="583"/>
      <c r="E93" s="1052"/>
      <c r="F93" s="1052"/>
      <c r="G93" s="1052"/>
      <c r="H93" s="1052"/>
      <c r="I93" s="562"/>
      <c r="J93" s="562" t="b">
        <f t="shared" ref="J93:J96" si="0">AND(OR(ISBLANK(C93),ISBLANK(D93),ISBLANK(E93),ISBLANK(G93)),K93)</f>
        <v>0</v>
      </c>
      <c r="K93" s="316" t="b">
        <f>OR(NOT(ISBLANK(C93)),NOT(ISBLANK(D93)),NOT(ISBLANK(E93)),NOT(ISBLANK(G93)))</f>
        <v>0</v>
      </c>
    </row>
    <row r="94" spans="1:11" x14ac:dyDescent="0.2">
      <c r="A94" s="562"/>
      <c r="B94" s="594">
        <v>3</v>
      </c>
      <c r="C94" s="583"/>
      <c r="D94" s="583"/>
      <c r="E94" s="1052"/>
      <c r="F94" s="1052"/>
      <c r="G94" s="1052"/>
      <c r="H94" s="1052"/>
      <c r="I94" s="562"/>
      <c r="J94" s="562" t="b">
        <f t="shared" si="0"/>
        <v>0</v>
      </c>
      <c r="K94" s="316" t="b">
        <f>OR(NOT(ISBLANK(C94)),NOT(ISBLANK(D94)),NOT(ISBLANK(E94)),NOT(ISBLANK(G94)))</f>
        <v>0</v>
      </c>
    </row>
    <row r="95" spans="1:11" x14ac:dyDescent="0.2">
      <c r="A95" s="562"/>
      <c r="B95" s="594">
        <v>4</v>
      </c>
      <c r="C95" s="583"/>
      <c r="D95" s="583"/>
      <c r="E95" s="1052"/>
      <c r="F95" s="1052"/>
      <c r="G95" s="1052"/>
      <c r="H95" s="1052"/>
      <c r="I95" s="562"/>
      <c r="J95" s="562" t="b">
        <f t="shared" si="0"/>
        <v>0</v>
      </c>
      <c r="K95" s="316" t="b">
        <f>OR(NOT(ISBLANK(C95)),NOT(ISBLANK(D95)),NOT(ISBLANK(E95)),NOT(ISBLANK(G95)))</f>
        <v>0</v>
      </c>
    </row>
    <row r="96" spans="1:11" x14ac:dyDescent="0.2">
      <c r="A96" s="562"/>
      <c r="B96" s="594">
        <v>5</v>
      </c>
      <c r="C96" s="583"/>
      <c r="D96" s="583"/>
      <c r="E96" s="1052"/>
      <c r="F96" s="1052"/>
      <c r="G96" s="1052"/>
      <c r="H96" s="1052"/>
      <c r="I96" s="562"/>
      <c r="J96" s="562" t="b">
        <f t="shared" si="0"/>
        <v>0</v>
      </c>
      <c r="K96" s="316" t="b">
        <f>OR(NOT(ISBLANK(C96)),NOT(ISBLANK(D96)),NOT(ISBLANK(E96)),NOT(ISBLANK(G96)))</f>
        <v>0</v>
      </c>
    </row>
    <row r="97" spans="1:13" x14ac:dyDescent="0.2">
      <c r="A97" s="562"/>
      <c r="B97" s="562"/>
      <c r="C97" s="562"/>
      <c r="D97" s="562"/>
      <c r="E97" s="562"/>
      <c r="F97" s="562"/>
      <c r="G97" s="562"/>
      <c r="H97" s="562"/>
      <c r="I97" s="562"/>
      <c r="J97" s="562"/>
      <c r="K97" s="217"/>
      <c r="L97" s="562"/>
      <c r="M97" s="562"/>
    </row>
    <row r="98" spans="1:13" x14ac:dyDescent="0.2">
      <c r="A98" s="562"/>
      <c r="B98" s="562"/>
      <c r="C98" s="562"/>
      <c r="D98" s="562"/>
      <c r="E98" s="562"/>
      <c r="F98" s="562"/>
      <c r="G98" s="562"/>
      <c r="H98" s="562"/>
      <c r="I98" s="562"/>
      <c r="J98" s="562"/>
      <c r="K98" s="217"/>
      <c r="L98" s="562"/>
      <c r="M98" s="562"/>
    </row>
    <row r="99" spans="1:13" x14ac:dyDescent="0.2">
      <c r="A99" s="562"/>
      <c r="B99" s="562"/>
      <c r="C99" s="562"/>
      <c r="D99" s="562"/>
      <c r="E99" s="562"/>
      <c r="F99" s="562"/>
      <c r="G99" s="562"/>
      <c r="H99" s="562"/>
      <c r="I99" s="562"/>
      <c r="J99" s="562"/>
      <c r="K99" s="217"/>
      <c r="L99" s="562"/>
      <c r="M99" s="562"/>
    </row>
    <row r="100" spans="1:13" x14ac:dyDescent="0.2">
      <c r="A100" s="562"/>
      <c r="B100" s="562"/>
      <c r="C100" s="561" t="s">
        <v>3891</v>
      </c>
      <c r="D100" s="592" t="s">
        <v>3926</v>
      </c>
      <c r="E100" s="1052"/>
      <c r="F100" s="1052"/>
      <c r="G100" s="562"/>
      <c r="H100" s="562"/>
      <c r="I100" s="562"/>
      <c r="J100" s="562"/>
      <c r="K100" s="217"/>
      <c r="L100" s="562"/>
      <c r="M100" s="562"/>
    </row>
    <row r="101" spans="1:13" x14ac:dyDescent="0.2">
      <c r="A101" s="562"/>
      <c r="B101" s="562"/>
      <c r="C101" s="313" t="s">
        <v>3927</v>
      </c>
      <c r="D101" s="562"/>
      <c r="E101" s="562"/>
      <c r="F101" s="562"/>
      <c r="G101" s="562"/>
      <c r="H101" s="562"/>
      <c r="I101" s="562"/>
      <c r="J101" s="562"/>
      <c r="K101" s="217"/>
      <c r="L101" s="562"/>
      <c r="M101" s="562"/>
    </row>
    <row r="102" spans="1:13" x14ac:dyDescent="0.2">
      <c r="A102" s="562"/>
      <c r="B102" s="562"/>
      <c r="C102" s="562"/>
      <c r="D102" s="562"/>
      <c r="E102" s="562"/>
      <c r="F102" s="562"/>
      <c r="G102" s="562"/>
      <c r="H102" s="562"/>
      <c r="I102" s="562"/>
      <c r="J102" s="562"/>
      <c r="K102" s="217"/>
      <c r="L102" s="562"/>
      <c r="M102" s="562"/>
    </row>
    <row r="103" spans="1:13" ht="29" x14ac:dyDescent="0.2">
      <c r="A103" s="562"/>
      <c r="B103" s="562"/>
      <c r="C103" s="690" t="s">
        <v>3928</v>
      </c>
      <c r="D103" s="1063" t="s">
        <v>3892</v>
      </c>
      <c r="E103" s="1063"/>
      <c r="F103" s="1064" t="s">
        <v>3893</v>
      </c>
      <c r="G103" s="1065"/>
      <c r="H103" s="690" t="s">
        <v>3894</v>
      </c>
      <c r="I103" s="314" t="s">
        <v>3895</v>
      </c>
      <c r="J103" s="562"/>
      <c r="K103" s="315"/>
      <c r="L103" s="562"/>
      <c r="M103" s="562"/>
    </row>
    <row r="104" spans="1:13" x14ac:dyDescent="0.2">
      <c r="A104" s="594" t="s">
        <v>3929</v>
      </c>
      <c r="B104" s="594">
        <v>1</v>
      </c>
      <c r="C104" s="583"/>
      <c r="D104" s="806" t="str">
        <f>IF('Rough Sig.'!C104="","",'Rough Sig.'!C104)</f>
        <v/>
      </c>
      <c r="E104" s="806"/>
      <c r="F104" s="715" t="str">
        <f>IF('Rough Sig.'!E104="","",'Rough Sig.'!E104)</f>
        <v>Raleigh, North Carolina 99999</v>
      </c>
      <c r="G104" s="715"/>
      <c r="H104" s="566" t="str">
        <f>IF('Rough Sig.'!G104="","",'Rough Sig.'!G104)</f>
        <v/>
      </c>
      <c r="I104" s="393"/>
      <c r="J104" s="562" t="b">
        <f>AND(OR(ISBLANK(C104),ISBLANK(I104)),K104,NOT(M104))</f>
        <v>0</v>
      </c>
      <c r="K104" s="316" t="b">
        <f>OR(NOT(D104=""),NOT(H104=""))</f>
        <v>0</v>
      </c>
      <c r="L104" s="562" t="b">
        <f>OR(M104,'Rough Sig.'!K104=FALSE)</f>
        <v>1</v>
      </c>
      <c r="M104" s="430" t="b">
        <v>0</v>
      </c>
    </row>
    <row r="105" spans="1:13" x14ac:dyDescent="0.2">
      <c r="A105" s="594" t="s">
        <v>3929</v>
      </c>
      <c r="B105" s="594">
        <v>2</v>
      </c>
      <c r="C105" s="583"/>
      <c r="D105" s="806" t="str">
        <f>IF('Rough Sig.'!C105="","",'Rough Sig.'!C105)</f>
        <v/>
      </c>
      <c r="E105" s="806"/>
      <c r="F105" s="715"/>
      <c r="G105" s="715"/>
      <c r="H105" s="566" t="str">
        <f>IF('Rough Sig.'!G105="","",'Rough Sig.'!G105)</f>
        <v/>
      </c>
      <c r="I105" s="393"/>
      <c r="J105" s="562" t="b">
        <f t="shared" ref="J105:J113" si="1">AND(OR(ISBLANK(C105),ISBLANK(I105)),K105,NOT(M105))</f>
        <v>0</v>
      </c>
      <c r="K105" s="316" t="b">
        <f t="shared" ref="K105:K114" si="2">OR(NOT(ISBLANK(C105)),NOT(D105=""),NOT(H105=""),NOT(ISBLANK(I105)))</f>
        <v>0</v>
      </c>
      <c r="L105" s="562" t="b">
        <f>OR(M105,'Rough Sig.'!K105=FALSE)</f>
        <v>1</v>
      </c>
      <c r="M105" s="430" t="b">
        <v>0</v>
      </c>
    </row>
    <row r="106" spans="1:13" x14ac:dyDescent="0.2">
      <c r="A106" s="594" t="s">
        <v>3929</v>
      </c>
      <c r="B106" s="594">
        <v>3</v>
      </c>
      <c r="C106" s="583"/>
      <c r="D106" s="806" t="str">
        <f>IF('Rough Sig.'!C106="","",'Rough Sig.'!C106)</f>
        <v/>
      </c>
      <c r="E106" s="806"/>
      <c r="F106" s="715"/>
      <c r="G106" s="715"/>
      <c r="H106" s="566" t="str">
        <f>IF('Rough Sig.'!G106="","",'Rough Sig.'!G106)</f>
        <v/>
      </c>
      <c r="I106" s="393"/>
      <c r="J106" s="562" t="b">
        <f t="shared" si="1"/>
        <v>0</v>
      </c>
      <c r="K106" s="316" t="b">
        <f t="shared" si="2"/>
        <v>0</v>
      </c>
      <c r="L106" s="562" t="b">
        <f>OR(M106,'Rough Sig.'!K106=FALSE)</f>
        <v>1</v>
      </c>
      <c r="M106" s="430" t="b">
        <v>0</v>
      </c>
    </row>
    <row r="107" spans="1:13" x14ac:dyDescent="0.2">
      <c r="A107" s="594" t="s">
        <v>3929</v>
      </c>
      <c r="B107" s="594">
        <v>4</v>
      </c>
      <c r="C107" s="583"/>
      <c r="D107" s="806" t="str">
        <f>IF('Rough Sig.'!C107="","",'Rough Sig.'!C107)</f>
        <v/>
      </c>
      <c r="E107" s="806"/>
      <c r="F107" s="715"/>
      <c r="G107" s="715"/>
      <c r="H107" s="566" t="str">
        <f>IF('Rough Sig.'!G107="","",'Rough Sig.'!G107)</f>
        <v/>
      </c>
      <c r="I107" s="393"/>
      <c r="J107" s="562" t="b">
        <f t="shared" si="1"/>
        <v>0</v>
      </c>
      <c r="K107" s="316" t="b">
        <f t="shared" si="2"/>
        <v>0</v>
      </c>
      <c r="L107" s="562" t="b">
        <f>OR(M107,'Rough Sig.'!K107=FALSE)</f>
        <v>1</v>
      </c>
      <c r="M107" s="430" t="b">
        <v>0</v>
      </c>
    </row>
    <row r="108" spans="1:13" x14ac:dyDescent="0.2">
      <c r="A108" s="594" t="s">
        <v>3929</v>
      </c>
      <c r="B108" s="594">
        <v>5</v>
      </c>
      <c r="C108" s="583"/>
      <c r="D108" s="806" t="str">
        <f>IF('Rough Sig.'!C108="","",'Rough Sig.'!C108)</f>
        <v/>
      </c>
      <c r="E108" s="806"/>
      <c r="F108" s="715"/>
      <c r="G108" s="715"/>
      <c r="H108" s="566" t="str">
        <f>IF('Rough Sig.'!G108="","",'Rough Sig.'!G108)</f>
        <v/>
      </c>
      <c r="I108" s="393"/>
      <c r="J108" s="562" t="b">
        <f t="shared" si="1"/>
        <v>0</v>
      </c>
      <c r="K108" s="316" t="b">
        <f t="shared" si="2"/>
        <v>0</v>
      </c>
      <c r="L108" s="562" t="b">
        <f>OR(M108,'Rough Sig.'!K108=FALSE)</f>
        <v>1</v>
      </c>
      <c r="M108" s="430" t="b">
        <v>0</v>
      </c>
    </row>
    <row r="109" spans="1:13" x14ac:dyDescent="0.2">
      <c r="A109" s="594" t="s">
        <v>3929</v>
      </c>
      <c r="B109" s="594">
        <v>6</v>
      </c>
      <c r="C109" s="583"/>
      <c r="D109" s="806" t="str">
        <f>IF('Rough Sig.'!C109="","",'Rough Sig.'!C109)</f>
        <v/>
      </c>
      <c r="E109" s="806"/>
      <c r="F109" s="715"/>
      <c r="G109" s="715"/>
      <c r="H109" s="566" t="str">
        <f>IF('Rough Sig.'!G109="","",'Rough Sig.'!G109)</f>
        <v/>
      </c>
      <c r="I109" s="393"/>
      <c r="J109" s="562" t="b">
        <f t="shared" si="1"/>
        <v>0</v>
      </c>
      <c r="K109" s="316" t="b">
        <f t="shared" si="2"/>
        <v>0</v>
      </c>
      <c r="L109" s="562" t="b">
        <f>OR(M109,'Rough Sig.'!K109=FALSE)</f>
        <v>1</v>
      </c>
      <c r="M109" s="430" t="b">
        <v>0</v>
      </c>
    </row>
    <row r="110" spans="1:13" x14ac:dyDescent="0.2">
      <c r="A110" s="594" t="s">
        <v>3929</v>
      </c>
      <c r="B110" s="594">
        <v>7</v>
      </c>
      <c r="C110" s="583"/>
      <c r="D110" s="806" t="str">
        <f>IF('Rough Sig.'!C110="","",'Rough Sig.'!C110)</f>
        <v/>
      </c>
      <c r="E110" s="806"/>
      <c r="F110" s="715"/>
      <c r="G110" s="715"/>
      <c r="H110" s="566" t="str">
        <f>IF('Rough Sig.'!G110="","",'Rough Sig.'!G110)</f>
        <v/>
      </c>
      <c r="I110" s="393"/>
      <c r="J110" s="562" t="b">
        <f t="shared" si="1"/>
        <v>0</v>
      </c>
      <c r="K110" s="316" t="b">
        <f t="shared" si="2"/>
        <v>0</v>
      </c>
      <c r="L110" s="562" t="b">
        <f>OR(M110,'Rough Sig.'!K110=FALSE)</f>
        <v>1</v>
      </c>
      <c r="M110" s="430" t="b">
        <v>0</v>
      </c>
    </row>
    <row r="111" spans="1:13" x14ac:dyDescent="0.2">
      <c r="A111" s="594" t="s">
        <v>3929</v>
      </c>
      <c r="B111" s="594">
        <v>8</v>
      </c>
      <c r="C111" s="583"/>
      <c r="D111" s="806" t="str">
        <f>IF('Rough Sig.'!C111="","",'Rough Sig.'!C111)</f>
        <v/>
      </c>
      <c r="E111" s="806"/>
      <c r="F111" s="715"/>
      <c r="G111" s="715"/>
      <c r="H111" s="566" t="str">
        <f>IF('Rough Sig.'!G111="","",'Rough Sig.'!G111)</f>
        <v/>
      </c>
      <c r="I111" s="393"/>
      <c r="J111" s="562" t="b">
        <f t="shared" si="1"/>
        <v>0</v>
      </c>
      <c r="K111" s="316" t="b">
        <f t="shared" si="2"/>
        <v>0</v>
      </c>
      <c r="L111" s="562" t="b">
        <f>OR(M111,'Rough Sig.'!K111=FALSE)</f>
        <v>1</v>
      </c>
      <c r="M111" s="430" t="b">
        <v>0</v>
      </c>
    </row>
    <row r="112" spans="1:13" x14ac:dyDescent="0.2">
      <c r="A112" s="594" t="s">
        <v>3929</v>
      </c>
      <c r="B112" s="594">
        <v>9</v>
      </c>
      <c r="C112" s="583"/>
      <c r="D112" s="806" t="str">
        <f>IF('Rough Sig.'!C112="","",'Rough Sig.'!C112)</f>
        <v/>
      </c>
      <c r="E112" s="806"/>
      <c r="F112" s="715"/>
      <c r="G112" s="715"/>
      <c r="H112" s="566" t="str">
        <f>IF('Rough Sig.'!G112="","",'Rough Sig.'!G112)</f>
        <v/>
      </c>
      <c r="I112" s="393"/>
      <c r="J112" s="562" t="b">
        <f t="shared" si="1"/>
        <v>0</v>
      </c>
      <c r="K112" s="316" t="b">
        <f t="shared" si="2"/>
        <v>0</v>
      </c>
      <c r="L112" s="562" t="b">
        <f>OR(M112,'Rough Sig.'!K112=FALSE)</f>
        <v>1</v>
      </c>
      <c r="M112" s="430" t="b">
        <v>0</v>
      </c>
    </row>
    <row r="113" spans="1:13" x14ac:dyDescent="0.2">
      <c r="A113" s="594" t="s">
        <v>3929</v>
      </c>
      <c r="B113" s="594">
        <v>10</v>
      </c>
      <c r="C113" s="583"/>
      <c r="D113" s="806" t="str">
        <f>IF('Rough Sig.'!C113="","",'Rough Sig.'!C113)</f>
        <v/>
      </c>
      <c r="E113" s="806"/>
      <c r="F113" s="715"/>
      <c r="G113" s="715"/>
      <c r="H113" s="566" t="str">
        <f>IF('Rough Sig.'!G113="","",'Rough Sig.'!G113)</f>
        <v/>
      </c>
      <c r="I113" s="393"/>
      <c r="J113" s="562" t="b">
        <f t="shared" si="1"/>
        <v>0</v>
      </c>
      <c r="K113" s="316" t="b">
        <f t="shared" si="2"/>
        <v>0</v>
      </c>
      <c r="L113" s="562" t="b">
        <f>OR(M113,'Rough Sig.'!K113=FALSE)</f>
        <v>1</v>
      </c>
      <c r="M113" s="430" t="b">
        <v>0</v>
      </c>
    </row>
    <row r="114" spans="1:13" s="521" customFormat="1" x14ac:dyDescent="0.2">
      <c r="A114" s="594" t="s">
        <v>3929</v>
      </c>
      <c r="B114" s="594">
        <v>11</v>
      </c>
      <c r="C114" s="583"/>
      <c r="D114" s="806" t="str">
        <f>IF('Rough Sig.'!C114="","",'Rough Sig.'!C114)</f>
        <v/>
      </c>
      <c r="E114" s="806"/>
      <c r="F114" s="715"/>
      <c r="G114" s="715"/>
      <c r="H114" s="566" t="str">
        <f>IF('Rough Sig.'!G114="","",'Rough Sig.'!G114)</f>
        <v/>
      </c>
      <c r="I114" s="393"/>
      <c r="J114" s="562" t="b">
        <f>AND(OR(ISBLANK(C114),ISBLANK(I114)),K114,NOT(M114))</f>
        <v>0</v>
      </c>
      <c r="K114" s="316" t="b">
        <f t="shared" si="2"/>
        <v>0</v>
      </c>
      <c r="L114" s="562" t="b">
        <f>OR(M114,'Rough Sig.'!K114=FALSE)</f>
        <v>1</v>
      </c>
      <c r="M114" s="430" t="b">
        <v>0</v>
      </c>
    </row>
    <row r="115" spans="1:13" s="521" customFormat="1" x14ac:dyDescent="0.2">
      <c r="A115" s="594" t="s">
        <v>3929</v>
      </c>
      <c r="B115" s="594">
        <v>12</v>
      </c>
      <c r="C115" s="583"/>
      <c r="D115" s="806" t="str">
        <f>IF('Rough Sig.'!C115="","",'Rough Sig.'!C115)</f>
        <v/>
      </c>
      <c r="E115" s="806"/>
      <c r="F115" s="715"/>
      <c r="G115" s="715"/>
      <c r="H115" s="566" t="str">
        <f>IF('Rough Sig.'!G115="","",'Rough Sig.'!G115)</f>
        <v/>
      </c>
      <c r="I115" s="393"/>
      <c r="J115" s="562" t="b">
        <f t="shared" ref="J115:J123" si="3">AND(OR(ISBLANK(C115),ISBLANK(I115)),K115,NOT(M115))</f>
        <v>0</v>
      </c>
      <c r="K115" s="316" t="b">
        <f t="shared" ref="K115:K123" si="4">OR(NOT(ISBLANK(C115)),NOT(D115=""),NOT(H115=""),NOT(ISBLANK(I115)))</f>
        <v>0</v>
      </c>
      <c r="L115" s="562" t="b">
        <f>OR(M115,'Rough Sig.'!K115=FALSE)</f>
        <v>1</v>
      </c>
      <c r="M115" s="430" t="b">
        <v>0</v>
      </c>
    </row>
    <row r="116" spans="1:13" s="521" customFormat="1" x14ac:dyDescent="0.2">
      <c r="A116" s="594" t="s">
        <v>3929</v>
      </c>
      <c r="B116" s="594">
        <v>13</v>
      </c>
      <c r="C116" s="583"/>
      <c r="D116" s="806" t="str">
        <f>IF('Rough Sig.'!C116="","",'Rough Sig.'!C116)</f>
        <v/>
      </c>
      <c r="E116" s="806"/>
      <c r="F116" s="715"/>
      <c r="G116" s="715"/>
      <c r="H116" s="566" t="str">
        <f>IF('Rough Sig.'!G116="","",'Rough Sig.'!G116)</f>
        <v/>
      </c>
      <c r="I116" s="393"/>
      <c r="J116" s="562" t="b">
        <f t="shared" si="3"/>
        <v>0</v>
      </c>
      <c r="K116" s="316" t="b">
        <f t="shared" si="4"/>
        <v>0</v>
      </c>
      <c r="L116" s="562" t="b">
        <f>OR(M116,'Rough Sig.'!K116=FALSE)</f>
        <v>1</v>
      </c>
      <c r="M116" s="430" t="b">
        <v>0</v>
      </c>
    </row>
    <row r="117" spans="1:13" s="521" customFormat="1" x14ac:dyDescent="0.2">
      <c r="A117" s="594" t="s">
        <v>3929</v>
      </c>
      <c r="B117" s="594">
        <v>14</v>
      </c>
      <c r="C117" s="583"/>
      <c r="D117" s="806" t="str">
        <f>IF('Rough Sig.'!C117="","",'Rough Sig.'!C117)</f>
        <v/>
      </c>
      <c r="E117" s="806"/>
      <c r="F117" s="715"/>
      <c r="G117" s="715"/>
      <c r="H117" s="566" t="str">
        <f>IF('Rough Sig.'!G117="","",'Rough Sig.'!G117)</f>
        <v/>
      </c>
      <c r="I117" s="393"/>
      <c r="J117" s="562" t="b">
        <f t="shared" si="3"/>
        <v>0</v>
      </c>
      <c r="K117" s="316" t="b">
        <f t="shared" si="4"/>
        <v>0</v>
      </c>
      <c r="L117" s="562" t="b">
        <f>OR(M117,'Rough Sig.'!K117=FALSE)</f>
        <v>1</v>
      </c>
      <c r="M117" s="430" t="b">
        <v>0</v>
      </c>
    </row>
    <row r="118" spans="1:13" s="521" customFormat="1" x14ac:dyDescent="0.2">
      <c r="A118" s="594" t="s">
        <v>3929</v>
      </c>
      <c r="B118" s="594">
        <v>15</v>
      </c>
      <c r="C118" s="583"/>
      <c r="D118" s="806" t="str">
        <f>IF('Rough Sig.'!C118="","",'Rough Sig.'!C118)</f>
        <v/>
      </c>
      <c r="E118" s="806"/>
      <c r="F118" s="715"/>
      <c r="G118" s="715"/>
      <c r="H118" s="566" t="str">
        <f>IF('Rough Sig.'!G118="","",'Rough Sig.'!G118)</f>
        <v/>
      </c>
      <c r="I118" s="393"/>
      <c r="J118" s="562" t="b">
        <f t="shared" si="3"/>
        <v>0</v>
      </c>
      <c r="K118" s="316" t="b">
        <f t="shared" si="4"/>
        <v>0</v>
      </c>
      <c r="L118" s="562" t="b">
        <f>OR(M118,'Rough Sig.'!K118=FALSE)</f>
        <v>1</v>
      </c>
      <c r="M118" s="430" t="b">
        <v>0</v>
      </c>
    </row>
    <row r="119" spans="1:13" s="521" customFormat="1" x14ac:dyDescent="0.2">
      <c r="A119" s="594" t="s">
        <v>3929</v>
      </c>
      <c r="B119" s="594">
        <v>16</v>
      </c>
      <c r="C119" s="583"/>
      <c r="D119" s="806" t="str">
        <f>IF('Rough Sig.'!C119="","",'Rough Sig.'!C119)</f>
        <v/>
      </c>
      <c r="E119" s="806"/>
      <c r="F119" s="715"/>
      <c r="G119" s="715"/>
      <c r="H119" s="566" t="str">
        <f>IF('Rough Sig.'!G119="","",'Rough Sig.'!G119)</f>
        <v/>
      </c>
      <c r="I119" s="393"/>
      <c r="J119" s="562" t="b">
        <f t="shared" si="3"/>
        <v>0</v>
      </c>
      <c r="K119" s="316" t="b">
        <f t="shared" si="4"/>
        <v>0</v>
      </c>
      <c r="L119" s="562" t="b">
        <f>OR(M119,'Rough Sig.'!K119=FALSE)</f>
        <v>1</v>
      </c>
      <c r="M119" s="430" t="b">
        <v>0</v>
      </c>
    </row>
    <row r="120" spans="1:13" s="521" customFormat="1" x14ac:dyDescent="0.2">
      <c r="A120" s="594" t="s">
        <v>3929</v>
      </c>
      <c r="B120" s="594">
        <v>17</v>
      </c>
      <c r="C120" s="583"/>
      <c r="D120" s="806" t="str">
        <f>IF('Rough Sig.'!C120="","",'Rough Sig.'!C120)</f>
        <v/>
      </c>
      <c r="E120" s="806"/>
      <c r="F120" s="715"/>
      <c r="G120" s="715"/>
      <c r="H120" s="566" t="str">
        <f>IF('Rough Sig.'!G120="","",'Rough Sig.'!G120)</f>
        <v/>
      </c>
      <c r="I120" s="393"/>
      <c r="J120" s="562" t="b">
        <f t="shared" si="3"/>
        <v>0</v>
      </c>
      <c r="K120" s="316" t="b">
        <f t="shared" si="4"/>
        <v>0</v>
      </c>
      <c r="L120" s="562" t="b">
        <f>OR(M120,'Rough Sig.'!K120=FALSE)</f>
        <v>1</v>
      </c>
      <c r="M120" s="430" t="b">
        <v>0</v>
      </c>
    </row>
    <row r="121" spans="1:13" s="521" customFormat="1" x14ac:dyDescent="0.2">
      <c r="A121" s="594" t="s">
        <v>3929</v>
      </c>
      <c r="B121" s="594">
        <v>18</v>
      </c>
      <c r="C121" s="583"/>
      <c r="D121" s="806" t="str">
        <f>IF('Rough Sig.'!C121="","",'Rough Sig.'!C121)</f>
        <v/>
      </c>
      <c r="E121" s="806"/>
      <c r="F121" s="715"/>
      <c r="G121" s="715"/>
      <c r="H121" s="566" t="str">
        <f>IF('Rough Sig.'!G121="","",'Rough Sig.'!G121)</f>
        <v/>
      </c>
      <c r="I121" s="393"/>
      <c r="J121" s="562" t="b">
        <f t="shared" si="3"/>
        <v>0</v>
      </c>
      <c r="K121" s="316" t="b">
        <f t="shared" si="4"/>
        <v>0</v>
      </c>
      <c r="L121" s="562" t="b">
        <f>OR(M121,'Rough Sig.'!K121=FALSE)</f>
        <v>1</v>
      </c>
      <c r="M121" s="430" t="b">
        <v>0</v>
      </c>
    </row>
    <row r="122" spans="1:13" s="521" customFormat="1" x14ac:dyDescent="0.2">
      <c r="A122" s="594" t="s">
        <v>3929</v>
      </c>
      <c r="B122" s="594">
        <v>19</v>
      </c>
      <c r="C122" s="583"/>
      <c r="D122" s="806" t="str">
        <f>IF('Rough Sig.'!C122="","",'Rough Sig.'!C122)</f>
        <v/>
      </c>
      <c r="E122" s="806"/>
      <c r="F122" s="715"/>
      <c r="G122" s="715"/>
      <c r="H122" s="566" t="str">
        <f>IF('Rough Sig.'!G122="","",'Rough Sig.'!G122)</f>
        <v/>
      </c>
      <c r="I122" s="393"/>
      <c r="J122" s="562" t="b">
        <f t="shared" si="3"/>
        <v>0</v>
      </c>
      <c r="K122" s="316" t="b">
        <f t="shared" si="4"/>
        <v>0</v>
      </c>
      <c r="L122" s="562" t="b">
        <f>OR(M122,'Rough Sig.'!K122=FALSE)</f>
        <v>1</v>
      </c>
      <c r="M122" s="430" t="b">
        <v>0</v>
      </c>
    </row>
    <row r="123" spans="1:13" s="521" customFormat="1" x14ac:dyDescent="0.2">
      <c r="A123" s="594" t="s">
        <v>3929</v>
      </c>
      <c r="B123" s="594">
        <v>20</v>
      </c>
      <c r="C123" s="583"/>
      <c r="D123" s="806" t="str">
        <f>IF('Rough Sig.'!C123="","",'Rough Sig.'!C123)</f>
        <v/>
      </c>
      <c r="E123" s="806"/>
      <c r="F123" s="715"/>
      <c r="G123" s="715"/>
      <c r="H123" s="566" t="str">
        <f>IF('Rough Sig.'!G123="","",'Rough Sig.'!G123)</f>
        <v/>
      </c>
      <c r="I123" s="393"/>
      <c r="J123" s="562" t="b">
        <f t="shared" si="3"/>
        <v>0</v>
      </c>
      <c r="K123" s="316" t="b">
        <f t="shared" si="4"/>
        <v>0</v>
      </c>
      <c r="L123" s="562" t="b">
        <f>OR(M123,'Rough Sig.'!K123=FALSE)</f>
        <v>1</v>
      </c>
      <c r="M123" s="430" t="b">
        <v>0</v>
      </c>
    </row>
    <row r="124" spans="1:13" x14ac:dyDescent="0.2">
      <c r="A124" s="562"/>
      <c r="B124" s="562"/>
      <c r="C124" s="562"/>
      <c r="D124" s="562"/>
      <c r="E124" s="562"/>
      <c r="F124" s="562"/>
      <c r="G124" s="562"/>
      <c r="H124" s="562"/>
      <c r="I124" s="562"/>
      <c r="J124" s="291"/>
      <c r="K124" s="291"/>
      <c r="L124" s="217"/>
      <c r="M124" s="562"/>
    </row>
    <row r="125" spans="1:13" x14ac:dyDescent="0.2">
      <c r="A125" s="562"/>
      <c r="B125" s="294"/>
      <c r="C125" s="294"/>
      <c r="D125" s="294"/>
      <c r="E125" s="294"/>
      <c r="F125" s="294"/>
      <c r="G125" s="294"/>
      <c r="H125" s="294"/>
      <c r="I125" s="294"/>
      <c r="J125" s="217"/>
      <c r="K125" s="217"/>
      <c r="L125" s="217"/>
      <c r="M125" s="562"/>
    </row>
    <row r="126" spans="1:13" s="521" customFormat="1" x14ac:dyDescent="0.2">
      <c r="A126" s="562"/>
      <c r="B126" s="294"/>
      <c r="C126" s="522" t="s">
        <v>3896</v>
      </c>
      <c r="D126" s="294"/>
      <c r="E126" s="294"/>
      <c r="F126" s="294"/>
      <c r="G126" s="294"/>
      <c r="H126" s="294"/>
      <c r="I126" s="294"/>
      <c r="J126" s="562"/>
      <c r="K126" s="562"/>
      <c r="L126" s="562"/>
      <c r="M126" s="562"/>
    </row>
    <row r="127" spans="1:13" s="521" customFormat="1" ht="3" customHeight="1" x14ac:dyDescent="0.2">
      <c r="A127" s="562"/>
      <c r="B127" s="294"/>
      <c r="C127" s="522"/>
      <c r="D127" s="294"/>
      <c r="E127" s="294"/>
      <c r="F127" s="294"/>
      <c r="G127" s="294"/>
      <c r="H127" s="294"/>
      <c r="I127" s="294"/>
      <c r="J127" s="562"/>
      <c r="K127" s="562"/>
      <c r="L127" s="562"/>
      <c r="M127" s="562"/>
    </row>
    <row r="128" spans="1:13" s="521" customFormat="1" x14ac:dyDescent="0.2">
      <c r="A128" s="562"/>
      <c r="B128" s="294"/>
      <c r="C128" s="523" t="s">
        <v>3897</v>
      </c>
      <c r="D128" s="294"/>
      <c r="E128" s="294"/>
      <c r="F128" s="294"/>
      <c r="G128" s="294"/>
      <c r="H128" s="294"/>
      <c r="I128" s="294"/>
      <c r="J128" s="562"/>
      <c r="K128" s="562"/>
      <c r="L128" s="562"/>
      <c r="M128" s="562"/>
    </row>
    <row r="129" spans="2:12" s="521" customFormat="1" ht="3" customHeight="1" x14ac:dyDescent="0.2">
      <c r="B129" s="294"/>
      <c r="C129" s="523"/>
      <c r="D129" s="294"/>
      <c r="E129" s="294"/>
      <c r="F129" s="294"/>
      <c r="G129" s="294"/>
      <c r="H129" s="294"/>
      <c r="I129" s="294"/>
      <c r="J129" s="562"/>
      <c r="K129" s="562"/>
      <c r="L129" s="562"/>
    </row>
    <row r="130" spans="2:12" s="521" customFormat="1" x14ac:dyDescent="0.2">
      <c r="B130" s="294"/>
      <c r="C130" s="523" t="s">
        <v>3898</v>
      </c>
      <c r="D130" s="294"/>
      <c r="E130" s="294"/>
      <c r="F130" s="294"/>
      <c r="G130" s="294"/>
      <c r="H130" s="294"/>
      <c r="I130" s="294"/>
      <c r="J130" s="562"/>
      <c r="K130" s="562"/>
      <c r="L130" s="562"/>
    </row>
    <row r="131" spans="2:12" s="521" customFormat="1" ht="3" customHeight="1" x14ac:dyDescent="0.2">
      <c r="B131" s="294"/>
      <c r="C131" s="523"/>
      <c r="D131" s="294"/>
      <c r="E131" s="294"/>
      <c r="F131" s="294"/>
      <c r="G131" s="294"/>
      <c r="H131" s="294"/>
      <c r="I131" s="294"/>
      <c r="J131" s="562"/>
      <c r="K131" s="562"/>
      <c r="L131" s="562"/>
    </row>
    <row r="132" spans="2:12" s="521" customFormat="1" ht="30" customHeight="1" x14ac:dyDescent="0.2">
      <c r="B132" s="294"/>
      <c r="C132" s="1046" t="s">
        <v>3899</v>
      </c>
      <c r="D132" s="1046"/>
      <c r="E132" s="1046"/>
      <c r="F132" s="1046"/>
      <c r="G132" s="1046"/>
      <c r="H132" s="1046"/>
      <c r="I132" s="1046"/>
      <c r="J132" s="562"/>
      <c r="K132" s="562"/>
      <c r="L132" s="562"/>
    </row>
    <row r="133" spans="2:12" s="521" customFormat="1" ht="3" customHeight="1" x14ac:dyDescent="0.2">
      <c r="B133" s="294"/>
      <c r="C133" s="1046"/>
      <c r="D133" s="1046"/>
      <c r="E133" s="1046"/>
      <c r="F133" s="1046"/>
      <c r="G133" s="1046"/>
      <c r="H133" s="1046"/>
      <c r="I133" s="1046"/>
      <c r="J133" s="562"/>
      <c r="K133" s="562"/>
      <c r="L133" s="562"/>
    </row>
    <row r="134" spans="2:12" s="521" customFormat="1" x14ac:dyDescent="0.2">
      <c r="B134" s="294"/>
      <c r="C134" s="523" t="s">
        <v>3900</v>
      </c>
      <c r="D134" s="294"/>
      <c r="E134" s="294"/>
      <c r="F134" s="294"/>
      <c r="G134" s="294"/>
      <c r="H134" s="294"/>
      <c r="I134" s="294"/>
      <c r="J134" s="562"/>
      <c r="K134" s="562"/>
      <c r="L134" s="562"/>
    </row>
    <row r="135" spans="2:12" s="521" customFormat="1" ht="3" customHeight="1" x14ac:dyDescent="0.2">
      <c r="B135" s="294"/>
      <c r="C135" s="523"/>
      <c r="D135" s="294"/>
      <c r="E135" s="294"/>
      <c r="F135" s="294"/>
      <c r="G135" s="294"/>
      <c r="H135" s="294"/>
      <c r="I135" s="294"/>
      <c r="J135" s="562"/>
      <c r="K135" s="562"/>
      <c r="L135" s="562"/>
    </row>
    <row r="136" spans="2:12" s="521" customFormat="1" x14ac:dyDescent="0.2">
      <c r="B136" s="294"/>
      <c r="C136" s="1047" t="s">
        <v>3901</v>
      </c>
      <c r="D136" s="1047"/>
      <c r="E136" s="1047"/>
      <c r="F136" s="1047"/>
      <c r="G136" s="1047"/>
      <c r="H136" s="1047"/>
      <c r="I136" s="1047"/>
      <c r="J136" s="589"/>
      <c r="K136" s="589"/>
      <c r="L136" s="562"/>
    </row>
    <row r="137" spans="2:12" s="521" customFormat="1" ht="3" customHeight="1" x14ac:dyDescent="0.2">
      <c r="B137" s="294"/>
      <c r="C137" s="523"/>
      <c r="D137" s="294"/>
      <c r="E137" s="294"/>
      <c r="F137" s="294"/>
      <c r="G137" s="294"/>
      <c r="H137" s="294"/>
      <c r="I137" s="294"/>
      <c r="J137" s="562"/>
      <c r="K137" s="562"/>
      <c r="L137" s="562"/>
    </row>
    <row r="138" spans="2:12" s="521" customFormat="1" x14ac:dyDescent="0.2">
      <c r="B138" s="294"/>
      <c r="C138" s="523" t="s">
        <v>3902</v>
      </c>
      <c r="D138" s="294"/>
      <c r="E138" s="294"/>
      <c r="F138" s="294"/>
      <c r="G138" s="294"/>
      <c r="H138" s="294"/>
      <c r="I138" s="294"/>
      <c r="J138" s="562"/>
      <c r="K138" s="562"/>
      <c r="L138" s="562"/>
    </row>
    <row r="139" spans="2:12" s="521" customFormat="1" ht="3" customHeight="1" x14ac:dyDescent="0.2">
      <c r="B139" s="294"/>
      <c r="C139" s="523"/>
      <c r="D139" s="294"/>
      <c r="E139" s="294"/>
      <c r="F139" s="294"/>
      <c r="G139" s="294"/>
      <c r="H139" s="294"/>
      <c r="I139" s="294"/>
      <c r="J139" s="562"/>
      <c r="K139" s="562"/>
      <c r="L139" s="562"/>
    </row>
    <row r="140" spans="2:12" s="521" customFormat="1" x14ac:dyDescent="0.2">
      <c r="B140" s="294"/>
      <c r="C140" s="523" t="s">
        <v>3903</v>
      </c>
      <c r="D140" s="294"/>
      <c r="E140" s="294"/>
      <c r="F140" s="294"/>
      <c r="G140" s="294"/>
      <c r="H140" s="294"/>
      <c r="I140" s="294"/>
      <c r="J140" s="562"/>
      <c r="K140" s="562"/>
      <c r="L140" s="562"/>
    </row>
    <row r="141" spans="2:12" s="521" customFormat="1" ht="3" customHeight="1" x14ac:dyDescent="0.2">
      <c r="B141" s="294"/>
      <c r="C141" s="523"/>
      <c r="D141" s="294"/>
      <c r="E141" s="294"/>
      <c r="F141" s="294"/>
      <c r="G141" s="294"/>
      <c r="H141" s="294"/>
      <c r="I141" s="294"/>
      <c r="J141" s="562"/>
      <c r="K141" s="562"/>
      <c r="L141" s="562"/>
    </row>
    <row r="142" spans="2:12" s="521" customFormat="1" ht="30" customHeight="1" x14ac:dyDescent="0.2">
      <c r="B142" s="294"/>
      <c r="C142" s="1047" t="s">
        <v>3904</v>
      </c>
      <c r="D142" s="1047"/>
      <c r="E142" s="1047"/>
      <c r="F142" s="1047"/>
      <c r="G142" s="1047"/>
      <c r="H142" s="1047"/>
      <c r="I142" s="1047"/>
      <c r="J142" s="562"/>
      <c r="K142" s="562"/>
      <c r="L142" s="562"/>
    </row>
    <row r="143" spans="2:12" s="521" customFormat="1" ht="3" customHeight="1" x14ac:dyDescent="0.2">
      <c r="B143" s="294"/>
      <c r="C143" s="523"/>
      <c r="D143" s="294"/>
      <c r="E143" s="294"/>
      <c r="F143" s="294"/>
      <c r="G143" s="294"/>
      <c r="H143" s="294"/>
      <c r="I143" s="294"/>
      <c r="J143" s="562"/>
      <c r="K143" s="562"/>
      <c r="L143" s="562"/>
    </row>
    <row r="144" spans="2:12" s="521" customFormat="1" ht="30" customHeight="1" x14ac:dyDescent="0.2">
      <c r="B144" s="294"/>
      <c r="C144" s="1046" t="s">
        <v>3905</v>
      </c>
      <c r="D144" s="1046"/>
      <c r="E144" s="1046"/>
      <c r="F144" s="1046"/>
      <c r="G144" s="1046"/>
      <c r="H144" s="1046"/>
      <c r="I144" s="1046"/>
      <c r="J144" s="524"/>
      <c r="K144" s="524"/>
      <c r="L144" s="589"/>
    </row>
    <row r="145" spans="2:9" s="521" customFormat="1" ht="3" customHeight="1" x14ac:dyDescent="0.2">
      <c r="B145" s="294"/>
      <c r="C145" s="523"/>
      <c r="D145" s="294"/>
      <c r="E145" s="294"/>
      <c r="F145" s="294"/>
      <c r="G145" s="294"/>
      <c r="H145" s="294"/>
      <c r="I145" s="294"/>
    </row>
    <row r="146" spans="2:9" s="521" customFormat="1" x14ac:dyDescent="0.2">
      <c r="B146" s="294"/>
      <c r="C146" s="523" t="s">
        <v>3906</v>
      </c>
      <c r="D146" s="294"/>
      <c r="E146" s="294"/>
      <c r="F146" s="294"/>
      <c r="G146" s="294"/>
      <c r="H146" s="294"/>
      <c r="I146" s="294"/>
    </row>
    <row r="147" spans="2:9" s="521" customFormat="1" x14ac:dyDescent="0.2">
      <c r="B147" s="562"/>
      <c r="C147" s="562"/>
      <c r="D147" s="562"/>
      <c r="E147" s="562"/>
      <c r="F147" s="562"/>
      <c r="G147" s="562"/>
      <c r="H147" s="562"/>
      <c r="I147" s="562"/>
    </row>
    <row r="148" spans="2:9" s="521" customFormat="1" x14ac:dyDescent="0.2">
      <c r="B148" s="562"/>
      <c r="C148" s="562"/>
      <c r="D148" s="562"/>
      <c r="E148" s="562"/>
      <c r="F148" s="562"/>
      <c r="G148" s="562"/>
      <c r="H148" s="562"/>
      <c r="I148" s="562"/>
    </row>
    <row r="149" spans="2:9" s="521" customFormat="1" x14ac:dyDescent="0.2">
      <c r="B149" s="562"/>
      <c r="C149" s="726" t="s">
        <v>3907</v>
      </c>
      <c r="D149" s="726"/>
      <c r="E149" s="726"/>
      <c r="F149" s="726"/>
      <c r="G149" s="726"/>
      <c r="H149" s="726"/>
      <c r="I149" s="562"/>
    </row>
    <row r="150" spans="2:9" s="521" customFormat="1" x14ac:dyDescent="0.2">
      <c r="B150" s="562"/>
      <c r="C150" s="726"/>
      <c r="D150" s="726"/>
      <c r="E150" s="726"/>
      <c r="F150" s="726"/>
      <c r="G150" s="726"/>
      <c r="H150" s="726"/>
      <c r="I150" s="562"/>
    </row>
    <row r="151" spans="2:9" s="521" customFormat="1" x14ac:dyDescent="0.2">
      <c r="B151" s="562"/>
      <c r="C151" s="562"/>
      <c r="D151" s="562"/>
      <c r="E151" s="562"/>
      <c r="F151" s="562"/>
      <c r="G151" s="562"/>
      <c r="H151" s="562"/>
      <c r="I151" s="562"/>
    </row>
    <row r="152" spans="2:9" s="521" customFormat="1" ht="64" x14ac:dyDescent="0.2">
      <c r="B152" s="562"/>
      <c r="C152" s="685" t="s">
        <v>3908</v>
      </c>
      <c r="D152" s="685" t="s">
        <v>3909</v>
      </c>
      <c r="E152" s="685" t="s">
        <v>3910</v>
      </c>
      <c r="F152" s="1048" t="s">
        <v>2168</v>
      </c>
      <c r="G152" s="1048"/>
      <c r="H152" s="1048"/>
      <c r="I152" s="562"/>
    </row>
    <row r="153" spans="2:9" s="521" customFormat="1" x14ac:dyDescent="0.2">
      <c r="B153" s="594">
        <v>1</v>
      </c>
      <c r="C153" s="525"/>
      <c r="D153" s="526"/>
      <c r="E153" s="526"/>
      <c r="F153" s="1045"/>
      <c r="G153" s="1045"/>
      <c r="H153" s="1045"/>
      <c r="I153" s="562"/>
    </row>
    <row r="154" spans="2:9" s="521" customFormat="1" x14ac:dyDescent="0.2">
      <c r="B154" s="594">
        <v>2</v>
      </c>
      <c r="C154" s="525"/>
      <c r="D154" s="526"/>
      <c r="E154" s="526"/>
      <c r="F154" s="1045"/>
      <c r="G154" s="1045"/>
      <c r="H154" s="1045"/>
      <c r="I154" s="562"/>
    </row>
    <row r="155" spans="2:9" s="521" customFormat="1" x14ac:dyDescent="0.2">
      <c r="B155" s="594">
        <v>3</v>
      </c>
      <c r="C155" s="525"/>
      <c r="D155" s="526"/>
      <c r="E155" s="526"/>
      <c r="F155" s="1045"/>
      <c r="G155" s="1045"/>
      <c r="H155" s="1045"/>
      <c r="I155" s="562"/>
    </row>
    <row r="156" spans="2:9" s="521" customFormat="1" x14ac:dyDescent="0.2">
      <c r="B156" s="594">
        <v>4</v>
      </c>
      <c r="C156" s="525"/>
      <c r="D156" s="526"/>
      <c r="E156" s="526"/>
      <c r="F156" s="1045"/>
      <c r="G156" s="1045"/>
      <c r="H156" s="1045"/>
      <c r="I156" s="562"/>
    </row>
    <row r="157" spans="2:9" s="521" customFormat="1" x14ac:dyDescent="0.2">
      <c r="B157" s="594">
        <v>5</v>
      </c>
      <c r="C157" s="525"/>
      <c r="D157" s="526"/>
      <c r="E157" s="526"/>
      <c r="F157" s="1045"/>
      <c r="G157" s="1045"/>
      <c r="H157" s="1045"/>
      <c r="I157" s="562"/>
    </row>
    <row r="158" spans="2:9" s="521" customFormat="1" x14ac:dyDescent="0.2">
      <c r="B158" s="594">
        <v>6</v>
      </c>
      <c r="C158" s="525"/>
      <c r="D158" s="526"/>
      <c r="E158" s="526"/>
      <c r="F158" s="1045"/>
      <c r="G158" s="1045"/>
      <c r="H158" s="1045"/>
      <c r="I158" s="562"/>
    </row>
    <row r="159" spans="2:9" s="521" customFormat="1" x14ac:dyDescent="0.2">
      <c r="B159" s="594">
        <v>7</v>
      </c>
      <c r="C159" s="525"/>
      <c r="D159" s="526"/>
      <c r="E159" s="526"/>
      <c r="F159" s="1045"/>
      <c r="G159" s="1045"/>
      <c r="H159" s="1045"/>
      <c r="I159" s="562"/>
    </row>
    <row r="160" spans="2:9" s="521" customFormat="1" x14ac:dyDescent="0.2">
      <c r="B160" s="594">
        <v>8</v>
      </c>
      <c r="C160" s="525"/>
      <c r="D160" s="526"/>
      <c r="E160" s="526"/>
      <c r="F160" s="1045"/>
      <c r="G160" s="1045"/>
      <c r="H160" s="1045"/>
      <c r="I160" s="562"/>
    </row>
    <row r="161" spans="2:11" s="521" customFormat="1" x14ac:dyDescent="0.2">
      <c r="B161" s="594">
        <v>9</v>
      </c>
      <c r="C161" s="525"/>
      <c r="D161" s="526"/>
      <c r="E161" s="526"/>
      <c r="F161" s="1045"/>
      <c r="G161" s="1045"/>
      <c r="H161" s="1045"/>
      <c r="I161" s="562"/>
      <c r="J161" s="562"/>
      <c r="K161" s="562"/>
    </row>
    <row r="162" spans="2:11" s="521" customFormat="1" x14ac:dyDescent="0.2">
      <c r="B162" s="594">
        <v>10</v>
      </c>
      <c r="C162" s="525"/>
      <c r="D162" s="526"/>
      <c r="E162" s="526"/>
      <c r="F162" s="1045"/>
      <c r="G162" s="1045"/>
      <c r="H162" s="1045"/>
      <c r="I162" s="562"/>
      <c r="J162" s="562"/>
      <c r="K162" s="562"/>
    </row>
    <row r="163" spans="2:11" s="521" customFormat="1" x14ac:dyDescent="0.2">
      <c r="B163" s="594">
        <v>11</v>
      </c>
      <c r="C163" s="525"/>
      <c r="D163" s="526"/>
      <c r="E163" s="526"/>
      <c r="F163" s="1045"/>
      <c r="G163" s="1045"/>
      <c r="H163" s="1045"/>
      <c r="I163" s="562"/>
      <c r="J163" s="562"/>
      <c r="K163" s="562"/>
    </row>
    <row r="164" spans="2:11" s="521" customFormat="1" x14ac:dyDescent="0.2">
      <c r="B164" s="594">
        <v>12</v>
      </c>
      <c r="C164" s="525"/>
      <c r="D164" s="526"/>
      <c r="E164" s="526"/>
      <c r="F164" s="1045"/>
      <c r="G164" s="1045"/>
      <c r="H164" s="1045"/>
      <c r="I164" s="562"/>
      <c r="J164" s="562"/>
      <c r="K164" s="562"/>
    </row>
    <row r="165" spans="2:11" s="521" customFormat="1" x14ac:dyDescent="0.2">
      <c r="B165" s="594">
        <v>13</v>
      </c>
      <c r="C165" s="525"/>
      <c r="D165" s="526"/>
      <c r="E165" s="526"/>
      <c r="F165" s="1045"/>
      <c r="G165" s="1045"/>
      <c r="H165" s="1045"/>
      <c r="I165" s="562"/>
      <c r="J165" s="562"/>
      <c r="K165" s="562"/>
    </row>
    <row r="166" spans="2:11" s="521" customFormat="1" x14ac:dyDescent="0.2">
      <c r="B166" s="594">
        <v>14</v>
      </c>
      <c r="C166" s="525"/>
      <c r="D166" s="526"/>
      <c r="E166" s="526"/>
      <c r="F166" s="1045"/>
      <c r="G166" s="1045"/>
      <c r="H166" s="1045"/>
      <c r="I166" s="562"/>
      <c r="J166" s="562"/>
      <c r="K166" s="562"/>
    </row>
    <row r="167" spans="2:11" s="521" customFormat="1" x14ac:dyDescent="0.2">
      <c r="B167" s="594">
        <v>15</v>
      </c>
      <c r="C167" s="525"/>
      <c r="D167" s="526"/>
      <c r="E167" s="526"/>
      <c r="F167" s="1045"/>
      <c r="G167" s="1045"/>
      <c r="H167" s="1045"/>
      <c r="I167" s="562"/>
      <c r="J167" s="562"/>
      <c r="K167" s="562"/>
    </row>
    <row r="168" spans="2:11" s="521" customFormat="1" x14ac:dyDescent="0.2">
      <c r="B168" s="594">
        <v>16</v>
      </c>
      <c r="C168" s="525"/>
      <c r="D168" s="526"/>
      <c r="E168" s="526"/>
      <c r="F168" s="1045"/>
      <c r="G168" s="1045"/>
      <c r="H168" s="1045"/>
      <c r="I168" s="562"/>
      <c r="J168" s="562"/>
      <c r="K168" s="562"/>
    </row>
    <row r="169" spans="2:11" s="521" customFormat="1" x14ac:dyDescent="0.2">
      <c r="B169" s="562"/>
      <c r="C169" s="1049" t="s">
        <v>3911</v>
      </c>
      <c r="D169" s="290" t="str">
        <f>"TOTAL: "&amp;SUM(D153:D168)</f>
        <v>TOTAL: 0</v>
      </c>
      <c r="E169" s="290" t="str">
        <f>"TOTAL: "&amp;SUM(E153:E168)</f>
        <v>TOTAL: 0</v>
      </c>
      <c r="F169" s="1051" t="s">
        <v>3912</v>
      </c>
      <c r="G169" s="1051"/>
      <c r="H169" s="1051"/>
      <c r="I169" s="562"/>
      <c r="J169" s="562"/>
      <c r="K169" s="473">
        <f>IFERROR(SUM(E153:E168)/SUM(D153:D168),0)</f>
        <v>0</v>
      </c>
    </row>
    <row r="170" spans="2:11" s="521" customFormat="1" x14ac:dyDescent="0.2">
      <c r="B170" s="562"/>
      <c r="C170" s="1050"/>
      <c r="D170" s="562"/>
      <c r="E170" s="562"/>
      <c r="F170" s="1051"/>
      <c r="G170" s="1051"/>
      <c r="H170" s="1051"/>
      <c r="I170" s="562"/>
      <c r="J170" s="562"/>
      <c r="K170" s="562"/>
    </row>
    <row r="171" spans="2:11" s="521" customFormat="1" x14ac:dyDescent="0.2">
      <c r="B171" s="562"/>
      <c r="C171" s="1050"/>
      <c r="D171" s="562"/>
      <c r="E171" s="562"/>
      <c r="F171" s="1051"/>
      <c r="G171" s="1051"/>
      <c r="H171" s="1051"/>
      <c r="I171" s="562"/>
      <c r="J171" s="562"/>
      <c r="K171" s="562"/>
    </row>
    <row r="172" spans="2:11" s="521" customFormat="1" x14ac:dyDescent="0.2">
      <c r="B172" s="562"/>
      <c r="C172" s="589"/>
      <c r="D172" s="562"/>
      <c r="E172" s="562"/>
      <c r="F172" s="1051"/>
      <c r="G172" s="1051"/>
      <c r="H172" s="1051"/>
      <c r="I172" s="562"/>
      <c r="J172" s="562"/>
      <c r="K172" s="562"/>
    </row>
    <row r="173" spans="2:11" s="521" customFormat="1" x14ac:dyDescent="0.2">
      <c r="B173" s="562"/>
      <c r="C173" s="562"/>
      <c r="D173" s="562"/>
      <c r="E173" s="562"/>
      <c r="F173" s="1051"/>
      <c r="G173" s="1051"/>
      <c r="H173" s="1051"/>
      <c r="I173" s="562"/>
      <c r="J173" s="562"/>
      <c r="K173" s="562"/>
    </row>
    <row r="174" spans="2:11" s="521" customFormat="1" x14ac:dyDescent="0.2">
      <c r="B174" s="562"/>
      <c r="C174" s="562"/>
      <c r="D174" s="562"/>
      <c r="E174" s="562"/>
      <c r="F174" s="1051"/>
      <c r="G174" s="1051"/>
      <c r="H174" s="1051"/>
      <c r="I174" s="562"/>
      <c r="J174" s="562"/>
      <c r="K174" s="562"/>
    </row>
    <row r="181" spans="11:13" x14ac:dyDescent="0.2">
      <c r="K181" s="562" t="s">
        <v>3930</v>
      </c>
      <c r="L181" s="562" t="s">
        <v>3931</v>
      </c>
      <c r="M181" s="562" t="s">
        <v>3918</v>
      </c>
    </row>
    <row r="183" spans="11:13" x14ac:dyDescent="0.2">
      <c r="K183" s="307" t="s">
        <v>3932</v>
      </c>
      <c r="L183" s="307" t="s">
        <v>3657</v>
      </c>
      <c r="M183" s="307" t="s">
        <v>3933</v>
      </c>
    </row>
    <row r="184" spans="11:13" x14ac:dyDescent="0.2">
      <c r="K184" s="307" t="s">
        <v>3934</v>
      </c>
      <c r="L184" s="307" t="s">
        <v>3658</v>
      </c>
      <c r="M184" s="307" t="s">
        <v>3935</v>
      </c>
    </row>
    <row r="185" spans="11:13" x14ac:dyDescent="0.2">
      <c r="K185" s="562"/>
      <c r="L185" s="307" t="s">
        <v>3653</v>
      </c>
      <c r="M185" s="562"/>
    </row>
    <row r="186" spans="11:13" x14ac:dyDescent="0.2">
      <c r="K186" s="562"/>
      <c r="L186" s="307" t="s">
        <v>3659</v>
      </c>
      <c r="M186" s="562"/>
    </row>
    <row r="190" spans="11:13" x14ac:dyDescent="0.2">
      <c r="K190" s="562" t="s">
        <v>3936</v>
      </c>
      <c r="L190" s="562"/>
      <c r="M190" s="562"/>
    </row>
    <row r="192" spans="11:13" x14ac:dyDescent="0.2">
      <c r="K192" s="595" t="s">
        <v>3937</v>
      </c>
      <c r="L192" s="595"/>
      <c r="M192" s="562"/>
    </row>
    <row r="193" spans="11:12" x14ac:dyDescent="0.2">
      <c r="K193" s="595" t="s">
        <v>3938</v>
      </c>
      <c r="L193" s="595"/>
    </row>
  </sheetData>
  <sheetProtection algorithmName="SHA-512" hashValue="j/+GfoMNAViTEL0B9ONqJkK3ZoohWXIBGBoD7M2Ytz0SR0+jmhpebrXHFVbyDQh/pE17WyNJeBFfHixnUB4xXw==" saltValue="bCLv0VSACvtqkBVW4xumYA==" spinCount="100000" sheet="1" objects="1" scenarios="1" selectLockedCells="1"/>
  <mergeCells count="120">
    <mergeCell ref="A38:B38"/>
    <mergeCell ref="A8:B8"/>
    <mergeCell ref="G8:I8"/>
    <mergeCell ref="A10:B10"/>
    <mergeCell ref="C10:D10"/>
    <mergeCell ref="G10:I10"/>
    <mergeCell ref="A12:B12"/>
    <mergeCell ref="C12:D12"/>
    <mergeCell ref="G12:I12"/>
    <mergeCell ref="A14:B14"/>
    <mergeCell ref="C14:D14"/>
    <mergeCell ref="G14:I14"/>
    <mergeCell ref="A83:B83"/>
    <mergeCell ref="E52:G52"/>
    <mergeCell ref="C16:D16"/>
    <mergeCell ref="G16:I16"/>
    <mergeCell ref="A85:B85"/>
    <mergeCell ref="E83:I83"/>
    <mergeCell ref="A69:B69"/>
    <mergeCell ref="A73:B73"/>
    <mergeCell ref="A75:B75"/>
    <mergeCell ref="A77:B77"/>
    <mergeCell ref="A58:B62"/>
    <mergeCell ref="C45:D45"/>
    <mergeCell ref="A16:B16"/>
    <mergeCell ref="E20:E21"/>
    <mergeCell ref="C66:D67"/>
    <mergeCell ref="C69:I71"/>
    <mergeCell ref="A70:B70"/>
    <mergeCell ref="A71:B71"/>
    <mergeCell ref="E38:F38"/>
    <mergeCell ref="C38:D39"/>
    <mergeCell ref="A41:B41"/>
    <mergeCell ref="C41:I43"/>
    <mergeCell ref="A42:B42"/>
    <mergeCell ref="A43:B43"/>
    <mergeCell ref="A66:B67"/>
    <mergeCell ref="C49:D49"/>
    <mergeCell ref="C51:D51"/>
    <mergeCell ref="C54:D54"/>
    <mergeCell ref="C56:I57"/>
    <mergeCell ref="E59:E61"/>
    <mergeCell ref="F59:I61"/>
    <mergeCell ref="A63:B63"/>
    <mergeCell ref="A79:B79"/>
    <mergeCell ref="D79:D81"/>
    <mergeCell ref="A81:B81"/>
    <mergeCell ref="G51:I51"/>
    <mergeCell ref="G95:H95"/>
    <mergeCell ref="G96:H96"/>
    <mergeCell ref="D1:I5"/>
    <mergeCell ref="C85:I86"/>
    <mergeCell ref="D103:E103"/>
    <mergeCell ref="F103:G103"/>
    <mergeCell ref="C136:I136"/>
    <mergeCell ref="C144:I144"/>
    <mergeCell ref="E91:F91"/>
    <mergeCell ref="G91:H91"/>
    <mergeCell ref="C47:D47"/>
    <mergeCell ref="C35:I36"/>
    <mergeCell ref="E92:F92"/>
    <mergeCell ref="E93:F93"/>
    <mergeCell ref="E94:F94"/>
    <mergeCell ref="C89:I89"/>
    <mergeCell ref="G28:H28"/>
    <mergeCell ref="G24:H24"/>
    <mergeCell ref="G25:H25"/>
    <mergeCell ref="D113:E113"/>
    <mergeCell ref="C18:D18"/>
    <mergeCell ref="F18:I18"/>
    <mergeCell ref="E45:F47"/>
    <mergeCell ref="E49:F51"/>
    <mergeCell ref="E95:F95"/>
    <mergeCell ref="E96:F96"/>
    <mergeCell ref="G92:H92"/>
    <mergeCell ref="G93:H93"/>
    <mergeCell ref="G94:H94"/>
    <mergeCell ref="F155:H155"/>
    <mergeCell ref="F156:H156"/>
    <mergeCell ref="F157:H157"/>
    <mergeCell ref="F158:H158"/>
    <mergeCell ref="C132:I133"/>
    <mergeCell ref="C142:I142"/>
    <mergeCell ref="C149:H150"/>
    <mergeCell ref="F152:H152"/>
    <mergeCell ref="F153:H153"/>
    <mergeCell ref="D108:E108"/>
    <mergeCell ref="D109:E109"/>
    <mergeCell ref="D110:E110"/>
    <mergeCell ref="D111:E111"/>
    <mergeCell ref="D112:E112"/>
    <mergeCell ref="E100:F100"/>
    <mergeCell ref="D104:E104"/>
    <mergeCell ref="D105:E105"/>
    <mergeCell ref="D106:E106"/>
    <mergeCell ref="D107:E107"/>
    <mergeCell ref="C169:C171"/>
    <mergeCell ref="F169:H174"/>
    <mergeCell ref="D114:E114"/>
    <mergeCell ref="D115:E115"/>
    <mergeCell ref="D116:E116"/>
    <mergeCell ref="D117:E117"/>
    <mergeCell ref="D118:E118"/>
    <mergeCell ref="D119:E119"/>
    <mergeCell ref="D120:E120"/>
    <mergeCell ref="D121:E121"/>
    <mergeCell ref="D122:E122"/>
    <mergeCell ref="D123:E123"/>
    <mergeCell ref="F104:G123"/>
    <mergeCell ref="F164:H164"/>
    <mergeCell ref="F165:H165"/>
    <mergeCell ref="F166:H166"/>
    <mergeCell ref="F167:H167"/>
    <mergeCell ref="F168:H168"/>
    <mergeCell ref="F159:H159"/>
    <mergeCell ref="F160:H160"/>
    <mergeCell ref="F161:H161"/>
    <mergeCell ref="F162:H162"/>
    <mergeCell ref="F163:H163"/>
    <mergeCell ref="F154:H154"/>
  </mergeCells>
  <conditionalFormatting sqref="F32:I32">
    <cfRule type="cellIs" dxfId="25" priority="76" operator="lessThanOrEqual">
      <formula>$E32</formula>
    </cfRule>
  </conditionalFormatting>
  <conditionalFormatting sqref="G38">
    <cfRule type="expression" dxfId="24" priority="73">
      <formula>$G$38=TRUE</formula>
    </cfRule>
  </conditionalFormatting>
  <conditionalFormatting sqref="C41 C45 C47 C49 C51 G47 G51 C60 C63 F59 C69 C73 C75 C77 C79 C81 C83 E100 C104:D123 F104:I123">
    <cfRule type="notContainsBlanks" dxfId="23" priority="4849">
      <formula>LEN(TRIM(C41))&gt;0</formula>
    </cfRule>
  </conditionalFormatting>
  <conditionalFormatting sqref="G8">
    <cfRule type="expression" dxfId="22" priority="21">
      <formula>G8="Gold"</formula>
    </cfRule>
    <cfRule type="expression" dxfId="21" priority="22">
      <formula>G8="Silver"</formula>
    </cfRule>
    <cfRule type="expression" dxfId="20" priority="23">
      <formula>G8="Bronze"</formula>
    </cfRule>
    <cfRule type="expression" dxfId="19" priority="24">
      <formula>G8="Emerald"</formula>
    </cfRule>
  </conditionalFormatting>
  <conditionalFormatting sqref="F18:I18">
    <cfRule type="expression" dxfId="18" priority="19">
      <formula>$J$18</formula>
    </cfRule>
  </conditionalFormatting>
  <conditionalFormatting sqref="F59:I61">
    <cfRule type="expression" dxfId="17" priority="70">
      <formula>$C$60=$K$193</formula>
    </cfRule>
  </conditionalFormatting>
  <conditionalFormatting sqref="C92:H96">
    <cfRule type="notContainsBlanks" dxfId="16" priority="16">
      <formula>LEN(TRIM(C92))&gt;0</formula>
    </cfRule>
  </conditionalFormatting>
  <conditionalFormatting sqref="C92:H96 C104:C123 I104:I123">
    <cfRule type="expression" dxfId="15" priority="4851">
      <formula>$K92</formula>
    </cfRule>
  </conditionalFormatting>
  <conditionalFormatting sqref="C104:D123 H104:I123">
    <cfRule type="expression" dxfId="14" priority="17">
      <formula>$L104=TRUE</formula>
    </cfRule>
  </conditionalFormatting>
  <conditionalFormatting sqref="C104:C123 I104:I123">
    <cfRule type="expression" dxfId="13" priority="15">
      <formula>AND($M104,NOT(ISBLANK(C104)))</formula>
    </cfRule>
  </conditionalFormatting>
  <conditionalFormatting sqref="G25">
    <cfRule type="expression" dxfId="12" priority="11">
      <formula>$G$25="Gold"</formula>
    </cfRule>
    <cfRule type="expression" dxfId="11" priority="12">
      <formula>$G$25="Silver"</formula>
    </cfRule>
    <cfRule type="expression" dxfId="10" priority="13">
      <formula>$G$25="Bronze"</formula>
    </cfRule>
    <cfRule type="expression" dxfId="9" priority="14">
      <formula>$G$25="Emerald"</formula>
    </cfRule>
  </conditionalFormatting>
  <conditionalFormatting sqref="C153:H168">
    <cfRule type="notContainsBlanks" dxfId="8" priority="10">
      <formula>LEN(TRIM(C153))&gt;0</formula>
    </cfRule>
  </conditionalFormatting>
  <conditionalFormatting sqref="D169:E169">
    <cfRule type="expression" dxfId="7" priority="7">
      <formula>$K$180&gt;=0.2</formula>
    </cfRule>
    <cfRule type="expression" dxfId="6" priority="8">
      <formula>$K$180&gt;=(1/7)</formula>
    </cfRule>
    <cfRule type="expression" dxfId="5" priority="9">
      <formula>$K$180&gt;0</formula>
    </cfRule>
  </conditionalFormatting>
  <conditionalFormatting sqref="C169:C171">
    <cfRule type="expression" dxfId="4" priority="6">
      <formula>AND($K$180&gt;0,$K$180&lt;(1/7))</formula>
    </cfRule>
  </conditionalFormatting>
  <conditionalFormatting sqref="F169:H174">
    <cfRule type="expression" dxfId="3" priority="5">
      <formula>AND($K$180&gt;=(1/7),$K$180&lt;0.2)</formula>
    </cfRule>
  </conditionalFormatting>
  <dataValidations count="6">
    <dataValidation type="list" allowBlank="1" showInputMessage="1" showErrorMessage="1" sqref="C60" xr:uid="{00000000-0002-0000-1200-000000000000}">
      <formula1>$K$192:$K$193</formula1>
    </dataValidation>
    <dataValidation type="list" allowBlank="1" showInputMessage="1" showErrorMessage="1" sqref="G51" xr:uid="{00000000-0002-0000-1200-000001000000}">
      <formula1>$M$183:$M$184</formula1>
    </dataValidation>
    <dataValidation type="list" allowBlank="1" showInputMessage="1" showErrorMessage="1" sqref="C63" xr:uid="{00000000-0002-0000-1200-000002000000}">
      <formula1>$L$183:$L$186</formula1>
    </dataValidation>
    <dataValidation type="list" allowBlank="1" showInputMessage="1" showErrorMessage="1" errorTitle="Delivery Method" error="Please Select" promptTitle="Certificate Delivery Method" prompt="Please select US Mail or Overnight delivery for $50.00" sqref="G47" xr:uid="{00000000-0002-0000-1200-000003000000}">
      <formula1>$K$183:$K$184</formula1>
    </dataValidation>
    <dataValidation type="list" allowBlank="1" showDropDown="1" showInputMessage="1" showErrorMessage="1" error="Use Checkbox" prompt="Use Checkbox" sqref="G38 M104:M123" xr:uid="{00000000-0002-0000-1200-000004000000}">
      <formula1>TorF</formula1>
    </dataValidation>
    <dataValidation type="whole" allowBlank="1" showInputMessage="1" showErrorMessage="1" sqref="D153:E168" xr:uid="{80802628-6A3C-46FB-8C3A-D0B40F67D538}">
      <formula1>0</formula1>
      <formula2>10000</formula2>
    </dataValidation>
  </dataValidations>
  <pageMargins left="0.7" right="0.7" top="0.75" bottom="0.75" header="0.3" footer="0.3"/>
  <pageSetup scale="56" fitToHeight="0" orientation="portrait" r:id="rId1"/>
  <rowBreaks count="1" manualBreakCount="1">
    <brk id="9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0"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63" stopIfTrue="1" id="{B4057145-EB82-42DB-B8E6-47B010E15B78}">
            <xm:f>MIN(Points!#REF!)&lt;3</xm:f>
            <x14:dxf>
              <fill>
                <patternFill patternType="lightGray"/>
              </fill>
            </x14:dxf>
          </x14:cfRule>
          <xm:sqref>H32</xm:sqref>
        </x14:conditionalFormatting>
        <x14:conditionalFormatting xmlns:xm="http://schemas.microsoft.com/office/excel/2006/main">
          <x14:cfRule type="expression" priority="10064" id="{26B4958A-7349-44B2-8E4C-C51891382655}">
            <xm:f>MIN(Points!#REF!)&lt;4</xm:f>
            <x14:dxf>
              <fill>
                <patternFill patternType="lightGray"/>
              </fill>
            </x14:dxf>
          </x14:cfRule>
          <xm:sqref>I32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pageSetUpPr fitToPage="1"/>
  </sheetPr>
  <dimension ref="B2:L44"/>
  <sheetViews>
    <sheetView showGridLines="0" zoomScaleNormal="100" workbookViewId="0">
      <selection activeCell="B1" sqref="B1"/>
    </sheetView>
  </sheetViews>
  <sheetFormatPr baseColWidth="10" defaultColWidth="9.1640625" defaultRowHeight="15" x14ac:dyDescent="0.2"/>
  <cols>
    <col min="1" max="16384" width="9.1640625" style="404"/>
  </cols>
  <sheetData>
    <row r="2" spans="2:12" ht="16" x14ac:dyDescent="0.2">
      <c r="B2" s="411" t="s">
        <v>3939</v>
      </c>
      <c r="C2" s="411"/>
      <c r="D2" s="410"/>
      <c r="E2" s="562"/>
      <c r="F2" s="562"/>
      <c r="G2" s="562"/>
      <c r="H2" s="562"/>
      <c r="I2" s="562"/>
      <c r="J2" s="562"/>
      <c r="K2" s="562"/>
      <c r="L2" s="562"/>
    </row>
    <row r="3" spans="2:12" x14ac:dyDescent="0.2">
      <c r="B3" s="648"/>
      <c r="C3" s="648"/>
      <c r="D3" s="648"/>
      <c r="E3" s="562"/>
      <c r="F3" s="562"/>
      <c r="G3" s="562"/>
      <c r="H3" s="562"/>
      <c r="I3" s="562"/>
      <c r="J3" s="562"/>
      <c r="K3" s="562"/>
      <c r="L3" s="562"/>
    </row>
    <row r="4" spans="2:12" ht="20" x14ac:dyDescent="0.2">
      <c r="B4" s="409" t="s">
        <v>3940</v>
      </c>
      <c r="C4" s="409"/>
      <c r="D4" s="409"/>
      <c r="E4" s="562"/>
      <c r="F4" s="562"/>
      <c r="G4" s="562"/>
      <c r="H4" s="562"/>
      <c r="I4" s="562"/>
      <c r="J4" s="562"/>
      <c r="K4" s="562"/>
      <c r="L4" s="562"/>
    </row>
    <row r="5" spans="2:12" x14ac:dyDescent="0.2">
      <c r="B5" s="408"/>
      <c r="C5" s="408"/>
      <c r="D5" s="408"/>
      <c r="E5" s="562"/>
      <c r="F5" s="562"/>
      <c r="G5" s="562"/>
      <c r="H5" s="562"/>
      <c r="I5" s="562"/>
      <c r="J5" s="562"/>
      <c r="K5" s="562"/>
      <c r="L5" s="562"/>
    </row>
    <row r="6" spans="2:12" x14ac:dyDescent="0.2">
      <c r="B6" s="1110" t="s">
        <v>3941</v>
      </c>
      <c r="C6" s="1111"/>
      <c r="D6" s="1111"/>
      <c r="E6" s="1111"/>
      <c r="F6" s="1111"/>
      <c r="G6" s="1111"/>
      <c r="H6" s="1111"/>
      <c r="I6" s="1111"/>
      <c r="J6" s="1111"/>
      <c r="K6" s="1111"/>
      <c r="L6" s="1111"/>
    </row>
    <row r="7" spans="2:12" x14ac:dyDescent="0.2">
      <c r="B7" s="1110" t="s">
        <v>3942</v>
      </c>
      <c r="C7" s="1111"/>
      <c r="D7" s="1111"/>
      <c r="E7" s="1111"/>
      <c r="F7" s="1111"/>
      <c r="G7" s="1111"/>
      <c r="H7" s="1111"/>
      <c r="I7" s="1111"/>
      <c r="J7" s="1111"/>
      <c r="K7" s="1111"/>
      <c r="L7" s="1111"/>
    </row>
    <row r="8" spans="2:12" x14ac:dyDescent="0.2">
      <c r="B8" s="1115"/>
      <c r="C8" s="1115"/>
      <c r="D8" s="1115"/>
      <c r="E8" s="1115"/>
      <c r="F8" s="1115"/>
      <c r="G8" s="1115"/>
      <c r="H8" s="1115"/>
      <c r="I8" s="1115"/>
      <c r="J8" s="1115"/>
      <c r="K8" s="1115"/>
      <c r="L8" s="1115"/>
    </row>
    <row r="9" spans="2:12" x14ac:dyDescent="0.2">
      <c r="B9" s="1109" t="s">
        <v>3943</v>
      </c>
      <c r="C9" s="1109"/>
      <c r="D9" s="1109"/>
      <c r="E9" s="1109"/>
      <c r="F9" s="1109"/>
      <c r="G9" s="1109"/>
      <c r="H9" s="1109"/>
      <c r="I9" s="1109"/>
      <c r="J9" s="1109"/>
      <c r="K9" s="1109"/>
      <c r="L9" s="1109"/>
    </row>
    <row r="10" spans="2:12" x14ac:dyDescent="0.2">
      <c r="B10" s="700"/>
      <c r="C10" s="700"/>
      <c r="D10" s="700"/>
      <c r="E10" s="700"/>
      <c r="F10" s="700"/>
      <c r="G10" s="700"/>
      <c r="H10" s="700"/>
      <c r="I10" s="700"/>
      <c r="J10" s="700"/>
      <c r="K10" s="700"/>
      <c r="L10" s="700"/>
    </row>
    <row r="11" spans="2:12" x14ac:dyDescent="0.2">
      <c r="B11" s="1109" t="s">
        <v>3944</v>
      </c>
      <c r="C11" s="1109"/>
      <c r="D11" s="1109"/>
      <c r="E11" s="1109"/>
      <c r="F11" s="1109"/>
      <c r="G11" s="1109"/>
      <c r="H11" s="1109"/>
      <c r="I11" s="1109"/>
      <c r="J11" s="1109"/>
      <c r="K11" s="1109"/>
      <c r="L11" s="1109"/>
    </row>
    <row r="12" spans="2:12" x14ac:dyDescent="0.2">
      <c r="B12" s="1109"/>
      <c r="C12" s="1109"/>
      <c r="D12" s="1109"/>
      <c r="E12" s="1109"/>
      <c r="F12" s="1109"/>
      <c r="G12" s="1109"/>
      <c r="H12" s="1109"/>
      <c r="I12" s="1109"/>
      <c r="J12" s="1109"/>
      <c r="K12" s="1109"/>
      <c r="L12" s="1109"/>
    </row>
    <row r="13" spans="2:12" x14ac:dyDescent="0.2">
      <c r="B13" s="1109"/>
      <c r="C13" s="1109"/>
      <c r="D13" s="1109"/>
      <c r="E13" s="1109"/>
      <c r="F13" s="1109"/>
      <c r="G13" s="1109"/>
      <c r="H13" s="1109"/>
      <c r="I13" s="1109"/>
      <c r="J13" s="1109"/>
      <c r="K13" s="1109"/>
      <c r="L13" s="1109"/>
    </row>
    <row r="14" spans="2:12" x14ac:dyDescent="0.2">
      <c r="B14" s="1109"/>
      <c r="C14" s="1109"/>
      <c r="D14" s="1109"/>
      <c r="E14" s="1109"/>
      <c r="F14" s="1109"/>
      <c r="G14" s="1109"/>
      <c r="H14" s="1109"/>
      <c r="I14" s="1109"/>
      <c r="J14" s="1109"/>
      <c r="K14" s="1109"/>
      <c r="L14" s="1109"/>
    </row>
    <row r="15" spans="2:12" x14ac:dyDescent="0.2">
      <c r="B15" s="700"/>
      <c r="C15" s="700"/>
      <c r="D15" s="700"/>
      <c r="E15" s="700"/>
      <c r="F15" s="700"/>
      <c r="G15" s="700"/>
      <c r="H15" s="700"/>
      <c r="I15" s="700"/>
      <c r="J15" s="700"/>
      <c r="K15" s="700"/>
      <c r="L15" s="700"/>
    </row>
    <row r="16" spans="2:12" x14ac:dyDescent="0.2">
      <c r="B16" s="1109" t="s">
        <v>3945</v>
      </c>
      <c r="C16" s="1109"/>
      <c r="D16" s="1109"/>
      <c r="E16" s="1109"/>
      <c r="F16" s="1109"/>
      <c r="G16" s="1109"/>
      <c r="H16" s="1109"/>
      <c r="I16" s="1109"/>
      <c r="J16" s="1109"/>
      <c r="K16" s="1109"/>
      <c r="L16" s="1109"/>
    </row>
    <row r="17" spans="2:12" x14ac:dyDescent="0.2">
      <c r="B17" s="1109"/>
      <c r="C17" s="1109"/>
      <c r="D17" s="1109"/>
      <c r="E17" s="1109"/>
      <c r="F17" s="1109"/>
      <c r="G17" s="1109"/>
      <c r="H17" s="1109"/>
      <c r="I17" s="1109"/>
      <c r="J17" s="1109"/>
      <c r="K17" s="1109"/>
      <c r="L17" s="1109"/>
    </row>
    <row r="18" spans="2:12" x14ac:dyDescent="0.2">
      <c r="B18" s="1109"/>
      <c r="C18" s="1109"/>
      <c r="D18" s="1109"/>
      <c r="E18" s="1109"/>
      <c r="F18" s="1109"/>
      <c r="G18" s="1109"/>
      <c r="H18" s="1109"/>
      <c r="I18" s="1109"/>
      <c r="J18" s="1109"/>
      <c r="K18" s="1109"/>
      <c r="L18" s="1109"/>
    </row>
    <row r="19" spans="2:12" x14ac:dyDescent="0.2">
      <c r="B19" s="1109"/>
      <c r="C19" s="1109"/>
      <c r="D19" s="1109"/>
      <c r="E19" s="1109"/>
      <c r="F19" s="1109"/>
      <c r="G19" s="1109"/>
      <c r="H19" s="1109"/>
      <c r="I19" s="1109"/>
      <c r="J19" s="1109"/>
      <c r="K19" s="1109"/>
      <c r="L19" s="1109"/>
    </row>
    <row r="20" spans="2:12" x14ac:dyDescent="0.2">
      <c r="B20" s="1109"/>
      <c r="C20" s="1109"/>
      <c r="D20" s="1109"/>
      <c r="E20" s="1109"/>
      <c r="F20" s="1109"/>
      <c r="G20" s="1109"/>
      <c r="H20" s="1109"/>
      <c r="I20" s="1109"/>
      <c r="J20" s="1109"/>
      <c r="K20" s="1109"/>
      <c r="L20" s="1109"/>
    </row>
    <row r="21" spans="2:12" x14ac:dyDescent="0.2">
      <c r="B21" s="693"/>
      <c r="C21" s="693"/>
      <c r="D21" s="693"/>
      <c r="E21" s="693"/>
      <c r="F21" s="693"/>
      <c r="G21" s="693"/>
      <c r="H21" s="693"/>
      <c r="I21" s="693"/>
      <c r="J21" s="693"/>
      <c r="K21" s="693"/>
      <c r="L21" s="693"/>
    </row>
    <row r="22" spans="2:12" x14ac:dyDescent="0.2">
      <c r="B22" s="1110" t="s">
        <v>3946</v>
      </c>
      <c r="C22" s="1111"/>
      <c r="D22" s="1111"/>
      <c r="E22" s="1111"/>
      <c r="F22" s="1111"/>
      <c r="G22" s="1111"/>
      <c r="H22" s="1111"/>
      <c r="I22" s="1111"/>
      <c r="J22" s="1111"/>
      <c r="K22" s="1111"/>
      <c r="L22" s="1111"/>
    </row>
    <row r="23" spans="2:12" x14ac:dyDescent="0.2">
      <c r="B23" s="1110" t="s">
        <v>3947</v>
      </c>
      <c r="C23" s="1111"/>
      <c r="D23" s="1111"/>
      <c r="E23" s="1111"/>
      <c r="F23" s="1111"/>
      <c r="G23" s="1111"/>
      <c r="H23" s="1111"/>
      <c r="I23" s="1111"/>
      <c r="J23" s="1111"/>
      <c r="K23" s="1111"/>
      <c r="L23" s="1111"/>
    </row>
    <row r="24" spans="2:12" x14ac:dyDescent="0.2">
      <c r="B24" s="1112"/>
      <c r="C24" s="1112"/>
      <c r="D24" s="1112"/>
      <c r="E24" s="1112"/>
      <c r="F24" s="1112"/>
      <c r="G24" s="1112"/>
      <c r="H24" s="1112"/>
      <c r="I24" s="1112"/>
      <c r="J24" s="1112"/>
      <c r="K24" s="1112"/>
      <c r="L24" s="1112"/>
    </row>
    <row r="25" spans="2:12" x14ac:dyDescent="0.2">
      <c r="B25" s="1109" t="s">
        <v>3948</v>
      </c>
      <c r="C25" s="1109"/>
      <c r="D25" s="1109"/>
      <c r="E25" s="1109"/>
      <c r="F25" s="1109"/>
      <c r="G25" s="1109"/>
      <c r="H25" s="1109"/>
      <c r="I25" s="1109"/>
      <c r="J25" s="1109"/>
      <c r="K25" s="1109"/>
      <c r="L25" s="1109"/>
    </row>
    <row r="26" spans="2:12" x14ac:dyDescent="0.2">
      <c r="B26" s="1109"/>
      <c r="C26" s="1109"/>
      <c r="D26" s="1109"/>
      <c r="E26" s="1109"/>
      <c r="F26" s="1109"/>
      <c r="G26" s="1109"/>
      <c r="H26" s="1109"/>
      <c r="I26" s="1109"/>
      <c r="J26" s="1109"/>
      <c r="K26" s="1109"/>
      <c r="L26" s="1109"/>
    </row>
    <row r="27" spans="2:12" x14ac:dyDescent="0.2">
      <c r="B27" s="1109"/>
      <c r="C27" s="1109"/>
      <c r="D27" s="1109"/>
      <c r="E27" s="1109"/>
      <c r="F27" s="1109"/>
      <c r="G27" s="1109"/>
      <c r="H27" s="1109"/>
      <c r="I27" s="1109"/>
      <c r="J27" s="1109"/>
      <c r="K27" s="1109"/>
      <c r="L27" s="1109"/>
    </row>
    <row r="28" spans="2:12" x14ac:dyDescent="0.2">
      <c r="B28" s="1109"/>
      <c r="C28" s="1109"/>
      <c r="D28" s="1109"/>
      <c r="E28" s="1109"/>
      <c r="F28" s="1109"/>
      <c r="G28" s="1109"/>
      <c r="H28" s="1109"/>
      <c r="I28" s="1109"/>
      <c r="J28" s="1109"/>
      <c r="K28" s="1109"/>
      <c r="L28" s="1109"/>
    </row>
    <row r="29" spans="2:12" x14ac:dyDescent="0.2">
      <c r="B29" s="698"/>
      <c r="C29" s="698"/>
      <c r="D29" s="698"/>
      <c r="E29" s="698"/>
      <c r="F29" s="698"/>
      <c r="G29" s="698"/>
      <c r="H29" s="698"/>
      <c r="I29" s="698"/>
      <c r="J29" s="698"/>
      <c r="K29" s="698"/>
      <c r="L29" s="698"/>
    </row>
    <row r="30" spans="2:12" x14ac:dyDescent="0.2">
      <c r="B30" s="1113" t="s">
        <v>3949</v>
      </c>
      <c r="C30" s="1113"/>
      <c r="D30" s="1113"/>
      <c r="E30" s="1113"/>
      <c r="F30" s="1113"/>
      <c r="G30" s="1113"/>
      <c r="H30" s="1113"/>
      <c r="I30" s="1113"/>
      <c r="J30" s="1113"/>
      <c r="K30" s="1113"/>
      <c r="L30" s="1113"/>
    </row>
    <row r="31" spans="2:12" ht="16" thickBot="1" x14ac:dyDescent="0.25">
      <c r="B31" s="1114" t="s">
        <v>3950</v>
      </c>
      <c r="C31" s="1114"/>
      <c r="D31" s="1114"/>
      <c r="E31" s="1114"/>
      <c r="F31" s="1114"/>
      <c r="G31" s="1114"/>
      <c r="H31" s="1114"/>
      <c r="I31" s="1114"/>
      <c r="J31" s="1114"/>
      <c r="K31" s="1114"/>
      <c r="L31" s="1114"/>
    </row>
    <row r="32" spans="2:12" ht="16" thickBot="1" x14ac:dyDescent="0.25">
      <c r="B32" s="1107"/>
      <c r="C32" s="1108"/>
      <c r="D32" s="1108"/>
      <c r="E32" s="1105" t="s">
        <v>3951</v>
      </c>
      <c r="F32" s="1105"/>
      <c r="G32" s="1105"/>
      <c r="H32" s="1105"/>
      <c r="I32" s="1105"/>
      <c r="J32" s="1105"/>
      <c r="K32" s="1105"/>
      <c r="L32" s="1106"/>
    </row>
    <row r="33" spans="2:12" ht="16" thickTop="1" x14ac:dyDescent="0.2">
      <c r="B33" s="1119" t="s">
        <v>3952</v>
      </c>
      <c r="C33" s="1120"/>
      <c r="D33" s="1120"/>
      <c r="E33" s="1120" t="s">
        <v>3953</v>
      </c>
      <c r="F33" s="1120"/>
      <c r="G33" s="1120"/>
      <c r="H33" s="1120"/>
      <c r="I33" s="1120" t="s">
        <v>3954</v>
      </c>
      <c r="J33" s="1120"/>
      <c r="K33" s="1120"/>
      <c r="L33" s="1126"/>
    </row>
    <row r="34" spans="2:12" x14ac:dyDescent="0.2">
      <c r="B34" s="1121" t="s">
        <v>3955</v>
      </c>
      <c r="C34" s="1122"/>
      <c r="D34" s="1122"/>
      <c r="E34" s="695">
        <v>50</v>
      </c>
      <c r="F34" s="695">
        <v>80</v>
      </c>
      <c r="G34" s="695">
        <v>100</v>
      </c>
      <c r="H34" s="695">
        <v>125</v>
      </c>
      <c r="I34" s="695">
        <v>50</v>
      </c>
      <c r="J34" s="695">
        <v>80</v>
      </c>
      <c r="K34" s="695">
        <v>100</v>
      </c>
      <c r="L34" s="406">
        <v>125</v>
      </c>
    </row>
    <row r="35" spans="2:12" ht="16" thickBot="1" x14ac:dyDescent="0.25">
      <c r="B35" s="1116" t="s">
        <v>3956</v>
      </c>
      <c r="C35" s="1117"/>
      <c r="D35" s="1117"/>
      <c r="E35" s="694">
        <v>-25</v>
      </c>
      <c r="F35" s="694">
        <v>-40</v>
      </c>
      <c r="G35" s="694">
        <v>-50</v>
      </c>
      <c r="H35" s="694">
        <v>-65</v>
      </c>
      <c r="I35" s="694">
        <v>-25</v>
      </c>
      <c r="J35" s="694">
        <v>-40</v>
      </c>
      <c r="K35" s="694">
        <v>-50</v>
      </c>
      <c r="L35" s="405">
        <v>-65</v>
      </c>
    </row>
    <row r="36" spans="2:12" ht="16" thickBot="1" x14ac:dyDescent="0.25">
      <c r="B36" s="1123" t="s">
        <v>3957</v>
      </c>
      <c r="C36" s="1105"/>
      <c r="D36" s="1105"/>
      <c r="E36" s="1105" t="s">
        <v>3958</v>
      </c>
      <c r="F36" s="1105"/>
      <c r="G36" s="1105"/>
      <c r="H36" s="1105"/>
      <c r="I36" s="1105"/>
      <c r="J36" s="1105"/>
      <c r="K36" s="1105"/>
      <c r="L36" s="1106"/>
    </row>
    <row r="37" spans="2:12" ht="16" thickTop="1" x14ac:dyDescent="0.2">
      <c r="B37" s="1124" t="s">
        <v>3959</v>
      </c>
      <c r="C37" s="1125"/>
      <c r="D37" s="1125"/>
      <c r="E37" s="696" t="s">
        <v>48</v>
      </c>
      <c r="F37" s="696" t="s">
        <v>48</v>
      </c>
      <c r="G37" s="696" t="s">
        <v>48</v>
      </c>
      <c r="H37" s="696" t="s">
        <v>48</v>
      </c>
      <c r="I37" s="696" t="s">
        <v>3960</v>
      </c>
      <c r="J37" s="696" t="s">
        <v>48</v>
      </c>
      <c r="K37" s="696" t="s">
        <v>48</v>
      </c>
      <c r="L37" s="407" t="s">
        <v>48</v>
      </c>
    </row>
    <row r="38" spans="2:12" x14ac:dyDescent="0.2">
      <c r="B38" s="1121" t="s">
        <v>3961</v>
      </c>
      <c r="C38" s="1122"/>
      <c r="D38" s="1122"/>
      <c r="E38" s="695" t="s">
        <v>3962</v>
      </c>
      <c r="F38" s="695" t="s">
        <v>3963</v>
      </c>
      <c r="G38" s="695" t="s">
        <v>48</v>
      </c>
      <c r="H38" s="695" t="s">
        <v>48</v>
      </c>
      <c r="I38" s="695" t="s">
        <v>3964</v>
      </c>
      <c r="J38" s="695" t="s">
        <v>3965</v>
      </c>
      <c r="K38" s="695" t="s">
        <v>3960</v>
      </c>
      <c r="L38" s="406" t="s">
        <v>48</v>
      </c>
    </row>
    <row r="39" spans="2:12" x14ac:dyDescent="0.2">
      <c r="B39" s="1121" t="s">
        <v>3966</v>
      </c>
      <c r="C39" s="1122"/>
      <c r="D39" s="1122"/>
      <c r="E39" s="695" t="s">
        <v>3967</v>
      </c>
      <c r="F39" s="695" t="s">
        <v>3962</v>
      </c>
      <c r="G39" s="695" t="s">
        <v>3965</v>
      </c>
      <c r="H39" s="695" t="s">
        <v>3968</v>
      </c>
      <c r="I39" s="695" t="s">
        <v>3967</v>
      </c>
      <c r="J39" s="695" t="s">
        <v>3969</v>
      </c>
      <c r="K39" s="695" t="s">
        <v>3970</v>
      </c>
      <c r="L39" s="406" t="s">
        <v>3971</v>
      </c>
    </row>
    <row r="40" spans="2:12" x14ac:dyDescent="0.2">
      <c r="B40" s="1121" t="s">
        <v>3972</v>
      </c>
      <c r="C40" s="1122"/>
      <c r="D40" s="1122"/>
      <c r="E40" s="695" t="s">
        <v>3967</v>
      </c>
      <c r="F40" s="695" t="s">
        <v>3967</v>
      </c>
      <c r="G40" s="695" t="s">
        <v>3973</v>
      </c>
      <c r="H40" s="695" t="s">
        <v>3974</v>
      </c>
      <c r="I40" s="695" t="s">
        <v>3967</v>
      </c>
      <c r="J40" s="695" t="s">
        <v>3967</v>
      </c>
      <c r="K40" s="695" t="s">
        <v>3967</v>
      </c>
      <c r="L40" s="406" t="s">
        <v>3975</v>
      </c>
    </row>
    <row r="41" spans="2:12" ht="16" thickBot="1" x14ac:dyDescent="0.25">
      <c r="B41" s="1116" t="s">
        <v>3976</v>
      </c>
      <c r="C41" s="1117"/>
      <c r="D41" s="1117"/>
      <c r="E41" s="694" t="s">
        <v>3967</v>
      </c>
      <c r="F41" s="694" t="s">
        <v>3967</v>
      </c>
      <c r="G41" s="694" t="s">
        <v>3967</v>
      </c>
      <c r="H41" s="694" t="s">
        <v>3967</v>
      </c>
      <c r="I41" s="694" t="s">
        <v>3967</v>
      </c>
      <c r="J41" s="694" t="s">
        <v>3967</v>
      </c>
      <c r="K41" s="694" t="s">
        <v>3967</v>
      </c>
      <c r="L41" s="405" t="s">
        <v>3967</v>
      </c>
    </row>
    <row r="42" spans="2:12" x14ac:dyDescent="0.2">
      <c r="B42" s="1127" t="s">
        <v>3977</v>
      </c>
      <c r="C42" s="1127"/>
      <c r="D42" s="1127"/>
      <c r="E42" s="1127"/>
      <c r="F42" s="1127"/>
      <c r="G42" s="1127"/>
      <c r="H42" s="1127"/>
      <c r="I42" s="1127"/>
      <c r="J42" s="1127"/>
      <c r="K42" s="1127"/>
      <c r="L42" s="1127"/>
    </row>
    <row r="43" spans="2:12" x14ac:dyDescent="0.2">
      <c r="B43" s="1118" t="s">
        <v>3978</v>
      </c>
      <c r="C43" s="1118"/>
      <c r="D43" s="1118"/>
      <c r="E43" s="1118"/>
      <c r="F43" s="1118"/>
      <c r="G43" s="1118"/>
      <c r="H43" s="1118"/>
      <c r="I43" s="1118"/>
      <c r="J43" s="1118"/>
      <c r="K43" s="1118"/>
      <c r="L43" s="1118"/>
    </row>
    <row r="44" spans="2:12" x14ac:dyDescent="0.2">
      <c r="B44" s="1118" t="s">
        <v>3979</v>
      </c>
      <c r="C44" s="1118"/>
      <c r="D44" s="1118"/>
      <c r="E44" s="1118"/>
      <c r="F44" s="1118"/>
      <c r="G44" s="1118"/>
      <c r="H44" s="1118"/>
      <c r="I44" s="1118"/>
      <c r="J44" s="1118"/>
      <c r="K44" s="1118"/>
      <c r="L44" s="1118"/>
    </row>
  </sheetData>
  <sheetProtection algorithmName="SHA-512" hashValue="HRALixVshKCJAjj8RaQ1CtlrHlvy13QagpuSnhS7l8kdaaavp+W9iMYIJNM3KneUV6IvAxWfVAJEutaFxfMnZQ==" saltValue="y4zsxooU20DRGSqrU6Fniw==" spinCount="100000" sheet="1" objects="1" scenarios="1" selectLockedCells="1" selectUnlockedCells="1"/>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pageSetup scale="82"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pageSetUpPr fitToPage="1"/>
  </sheetPr>
  <dimension ref="B2:L164"/>
  <sheetViews>
    <sheetView showGridLines="0" zoomScaleNormal="100" workbookViewId="0">
      <selection activeCell="B1" sqref="B1"/>
    </sheetView>
  </sheetViews>
  <sheetFormatPr baseColWidth="10" defaultColWidth="9.1640625" defaultRowHeight="15" x14ac:dyDescent="0.2"/>
  <cols>
    <col min="1" max="1" width="9.1640625" style="404"/>
    <col min="2" max="11" width="9.1640625" style="56"/>
    <col min="12" max="16384" width="9.1640625" style="404"/>
  </cols>
  <sheetData>
    <row r="2" spans="2:12" ht="16" x14ac:dyDescent="0.2">
      <c r="B2" s="425" t="s">
        <v>3980</v>
      </c>
      <c r="L2" s="562"/>
    </row>
    <row r="3" spans="2:12" x14ac:dyDescent="0.2">
      <c r="B3" s="424"/>
      <c r="L3" s="562"/>
    </row>
    <row r="4" spans="2:12" ht="20" x14ac:dyDescent="0.2">
      <c r="B4" s="1142" t="s">
        <v>3981</v>
      </c>
      <c r="C4" s="1142"/>
      <c r="D4" s="1142"/>
      <c r="E4" s="1142"/>
      <c r="F4" s="1142"/>
      <c r="G4" s="1142"/>
      <c r="H4" s="1142"/>
      <c r="I4" s="1142"/>
      <c r="J4" s="1142"/>
      <c r="K4" s="1142"/>
      <c r="L4" s="562"/>
    </row>
    <row r="5" spans="2:12" x14ac:dyDescent="0.2">
      <c r="B5" s="423"/>
      <c r="L5" s="562"/>
    </row>
    <row r="6" spans="2:12" ht="15" customHeight="1" x14ac:dyDescent="0.2">
      <c r="B6" s="1110" t="s">
        <v>3982</v>
      </c>
      <c r="C6" s="1111"/>
      <c r="D6" s="1111"/>
      <c r="E6" s="1111"/>
      <c r="F6" s="1111"/>
      <c r="G6" s="1111"/>
      <c r="H6" s="1111"/>
      <c r="I6" s="1111"/>
      <c r="J6" s="1111"/>
      <c r="K6" s="1111"/>
      <c r="L6" s="1111"/>
    </row>
    <row r="7" spans="2:12" ht="15.75" customHeight="1" x14ac:dyDescent="0.2">
      <c r="B7" s="1110" t="s">
        <v>3942</v>
      </c>
      <c r="C7" s="1111"/>
      <c r="D7" s="1111"/>
      <c r="E7" s="1111"/>
      <c r="F7" s="1111"/>
      <c r="G7" s="1111"/>
      <c r="H7" s="1111"/>
      <c r="I7" s="1111"/>
      <c r="J7" s="1111"/>
      <c r="K7" s="1111"/>
      <c r="L7" s="1111"/>
    </row>
    <row r="8" spans="2:12" ht="16" x14ac:dyDescent="0.2">
      <c r="B8" s="1129"/>
      <c r="C8" s="1129"/>
      <c r="D8" s="1129"/>
      <c r="E8" s="1129"/>
      <c r="F8" s="1129"/>
      <c r="G8" s="1129"/>
      <c r="H8" s="702"/>
      <c r="L8" s="562"/>
    </row>
    <row r="9" spans="2:12" x14ac:dyDescent="0.2">
      <c r="B9" s="1137" t="s">
        <v>3983</v>
      </c>
      <c r="C9" s="1137"/>
      <c r="D9" s="1137"/>
      <c r="E9" s="1137"/>
      <c r="F9" s="1137"/>
      <c r="G9" s="1137"/>
      <c r="H9" s="1137"/>
      <c r="I9" s="1137"/>
      <c r="J9" s="1137"/>
      <c r="K9" s="1137"/>
      <c r="L9" s="1137"/>
    </row>
    <row r="10" spans="2:12" ht="16" x14ac:dyDescent="0.2">
      <c r="B10" s="1137"/>
      <c r="C10" s="1137"/>
      <c r="D10" s="1137"/>
      <c r="E10" s="1137"/>
      <c r="F10" s="1137"/>
      <c r="G10" s="1137"/>
      <c r="H10" s="702"/>
      <c r="L10" s="562"/>
    </row>
    <row r="11" spans="2:12" x14ac:dyDescent="0.2">
      <c r="B11" s="1137" t="s">
        <v>3984</v>
      </c>
      <c r="C11" s="1137"/>
      <c r="D11" s="1137"/>
      <c r="E11" s="1137"/>
      <c r="F11" s="1137"/>
      <c r="G11" s="1137"/>
      <c r="H11" s="1137"/>
      <c r="I11" s="1137"/>
      <c r="J11" s="1137"/>
      <c r="K11" s="1137"/>
      <c r="L11" s="1137"/>
    </row>
    <row r="12" spans="2:12" ht="15.75" customHeight="1" x14ac:dyDescent="0.2">
      <c r="B12" s="1137"/>
      <c r="C12" s="1137"/>
      <c r="D12" s="1137"/>
      <c r="E12" s="1137"/>
      <c r="F12" s="1137"/>
      <c r="G12" s="1137"/>
      <c r="H12" s="1137"/>
      <c r="I12" s="1137"/>
      <c r="J12" s="1137"/>
      <c r="K12" s="1137"/>
      <c r="L12" s="1137"/>
    </row>
    <row r="13" spans="2:12" ht="15.75" customHeight="1" x14ac:dyDescent="0.2">
      <c r="B13" s="1137"/>
      <c r="C13" s="1137"/>
      <c r="D13" s="1137"/>
      <c r="E13" s="1137"/>
      <c r="F13" s="1137"/>
      <c r="G13" s="1137"/>
      <c r="H13" s="1137"/>
      <c r="I13" s="1137"/>
      <c r="J13" s="1137"/>
      <c r="K13" s="1137"/>
      <c r="L13" s="1137"/>
    </row>
    <row r="14" spans="2:12" ht="16" x14ac:dyDescent="0.2">
      <c r="B14" s="700"/>
      <c r="C14" s="700"/>
      <c r="D14" s="700"/>
      <c r="E14" s="700"/>
      <c r="F14" s="700"/>
      <c r="G14" s="700"/>
      <c r="H14" s="702"/>
      <c r="L14" s="562"/>
    </row>
    <row r="15" spans="2:12" x14ac:dyDescent="0.2">
      <c r="B15" s="1137" t="s">
        <v>3985</v>
      </c>
      <c r="C15" s="1137"/>
      <c r="D15" s="1137"/>
      <c r="E15" s="1137"/>
      <c r="F15" s="1137"/>
      <c r="G15" s="1137"/>
      <c r="H15" s="1137"/>
      <c r="I15" s="1137"/>
      <c r="J15" s="1137"/>
      <c r="K15" s="1137"/>
      <c r="L15" s="1137"/>
    </row>
    <row r="16" spans="2:12" ht="15.75" customHeight="1" x14ac:dyDescent="0.2">
      <c r="B16" s="1137"/>
      <c r="C16" s="1137"/>
      <c r="D16" s="1137"/>
      <c r="E16" s="1137"/>
      <c r="F16" s="1137"/>
      <c r="G16" s="1137"/>
      <c r="H16" s="1137"/>
      <c r="I16" s="1137"/>
      <c r="J16" s="1137"/>
      <c r="K16" s="1137"/>
      <c r="L16" s="1137"/>
    </row>
    <row r="17" spans="2:12" ht="15.75" customHeight="1" x14ac:dyDescent="0.2">
      <c r="B17" s="1137"/>
      <c r="C17" s="1137"/>
      <c r="D17" s="1137"/>
      <c r="E17" s="1137"/>
      <c r="F17" s="1137"/>
      <c r="G17" s="1137"/>
      <c r="H17" s="1137"/>
      <c r="I17" s="1137"/>
      <c r="J17" s="1137"/>
      <c r="K17" s="1137"/>
      <c r="L17" s="1137"/>
    </row>
    <row r="18" spans="2:12" ht="15.75" customHeight="1" x14ac:dyDescent="0.2">
      <c r="B18" s="1137"/>
      <c r="C18" s="1137"/>
      <c r="D18" s="1137"/>
      <c r="E18" s="1137"/>
      <c r="F18" s="1137"/>
      <c r="G18" s="1137"/>
      <c r="H18" s="1137"/>
      <c r="I18" s="1137"/>
      <c r="J18" s="1137"/>
      <c r="K18" s="1137"/>
      <c r="L18" s="1137"/>
    </row>
    <row r="19" spans="2:12" ht="15.75" customHeight="1" x14ac:dyDescent="0.2">
      <c r="B19" s="1137"/>
      <c r="C19" s="1137"/>
      <c r="D19" s="1137"/>
      <c r="E19" s="1137"/>
      <c r="F19" s="1137"/>
      <c r="G19" s="1137"/>
      <c r="H19" s="1137"/>
      <c r="I19" s="1137"/>
      <c r="J19" s="1137"/>
      <c r="K19" s="1137"/>
      <c r="L19" s="1137"/>
    </row>
    <row r="20" spans="2:12" ht="16" x14ac:dyDescent="0.2">
      <c r="B20" s="700"/>
      <c r="C20" s="700"/>
      <c r="D20" s="700"/>
      <c r="E20" s="700"/>
      <c r="F20" s="700"/>
      <c r="G20" s="700"/>
      <c r="H20" s="702"/>
      <c r="L20" s="562"/>
    </row>
    <row r="21" spans="2:12" ht="15" customHeight="1" x14ac:dyDescent="0.2">
      <c r="B21" s="1110" t="s">
        <v>3986</v>
      </c>
      <c r="C21" s="1111"/>
      <c r="D21" s="1111"/>
      <c r="E21" s="1111"/>
      <c r="F21" s="1111"/>
      <c r="G21" s="1111"/>
      <c r="H21" s="1111"/>
      <c r="I21" s="1111"/>
      <c r="J21" s="1111"/>
      <c r="K21" s="1111"/>
      <c r="L21" s="1111"/>
    </row>
    <row r="22" spans="2:12" ht="15.75" customHeight="1" x14ac:dyDescent="0.2">
      <c r="B22" s="1110" t="s">
        <v>3987</v>
      </c>
      <c r="C22" s="1111"/>
      <c r="D22" s="1111"/>
      <c r="E22" s="1111"/>
      <c r="F22" s="1111"/>
      <c r="G22" s="1111"/>
      <c r="H22" s="1111"/>
      <c r="I22" s="1111"/>
      <c r="J22" s="1111"/>
      <c r="K22" s="1111"/>
      <c r="L22" s="1111"/>
    </row>
    <row r="23" spans="2:12" ht="16" x14ac:dyDescent="0.2">
      <c r="B23" s="1137"/>
      <c r="C23" s="1137"/>
      <c r="D23" s="1137"/>
      <c r="E23" s="1137"/>
      <c r="F23" s="1137"/>
      <c r="G23" s="1143"/>
      <c r="H23" s="1143"/>
      <c r="L23" s="562"/>
    </row>
    <row r="24" spans="2:12" x14ac:dyDescent="0.2">
      <c r="B24" s="1137" t="s">
        <v>3988</v>
      </c>
      <c r="C24" s="1137"/>
      <c r="D24" s="1137"/>
      <c r="E24" s="1137"/>
      <c r="F24" s="1137"/>
      <c r="G24" s="1137"/>
      <c r="H24" s="1137"/>
      <c r="I24" s="1137"/>
      <c r="J24" s="1137"/>
      <c r="K24" s="1137"/>
      <c r="L24" s="1137"/>
    </row>
    <row r="25" spans="2:12" ht="15.75" customHeight="1" x14ac:dyDescent="0.2">
      <c r="B25" s="1137"/>
      <c r="C25" s="1137"/>
      <c r="D25" s="1137"/>
      <c r="E25" s="1137"/>
      <c r="F25" s="1137"/>
      <c r="G25" s="1137"/>
      <c r="H25" s="1137"/>
      <c r="I25" s="1137"/>
      <c r="J25" s="1137"/>
      <c r="K25" s="1137"/>
      <c r="L25" s="1137"/>
    </row>
    <row r="26" spans="2:12" ht="15.75" customHeight="1" x14ac:dyDescent="0.2">
      <c r="B26" s="1137"/>
      <c r="C26" s="1137"/>
      <c r="D26" s="1137"/>
      <c r="E26" s="1137"/>
      <c r="F26" s="1137"/>
      <c r="G26" s="1137"/>
      <c r="H26" s="1137"/>
      <c r="I26" s="1137"/>
      <c r="J26" s="1137"/>
      <c r="K26" s="1137"/>
      <c r="L26" s="1137"/>
    </row>
    <row r="27" spans="2:12" ht="15.75" customHeight="1" x14ac:dyDescent="0.2">
      <c r="B27" s="1137"/>
      <c r="C27" s="1137"/>
      <c r="D27" s="1137"/>
      <c r="E27" s="1137"/>
      <c r="F27" s="1137"/>
      <c r="G27" s="1137"/>
      <c r="H27" s="1137"/>
      <c r="I27" s="1137"/>
      <c r="J27" s="1137"/>
      <c r="K27" s="1137"/>
      <c r="L27" s="1137"/>
    </row>
    <row r="28" spans="2:12" ht="16" x14ac:dyDescent="0.2">
      <c r="B28" s="698"/>
      <c r="C28" s="698"/>
      <c r="D28" s="698"/>
      <c r="E28" s="698"/>
      <c r="F28" s="698"/>
      <c r="G28" s="702"/>
      <c r="H28" s="702"/>
      <c r="L28" s="562"/>
    </row>
    <row r="29" spans="2:12" x14ac:dyDescent="0.2">
      <c r="B29" s="700"/>
      <c r="C29" s="1137" t="s">
        <v>3989</v>
      </c>
      <c r="D29" s="1137"/>
      <c r="E29" s="1137"/>
      <c r="F29" s="1137"/>
      <c r="G29" s="1137"/>
      <c r="H29" s="1137"/>
      <c r="I29" s="1137"/>
      <c r="J29" s="1137"/>
      <c r="K29" s="1137"/>
      <c r="L29" s="1137"/>
    </row>
    <row r="30" spans="2:12" ht="15.75" customHeight="1" x14ac:dyDescent="0.2">
      <c r="B30" s="698"/>
      <c r="C30" s="1137"/>
      <c r="D30" s="1137"/>
      <c r="E30" s="1137"/>
      <c r="F30" s="1137"/>
      <c r="G30" s="1137"/>
      <c r="H30" s="1137"/>
      <c r="I30" s="1137"/>
      <c r="J30" s="1137"/>
      <c r="K30" s="1137"/>
      <c r="L30" s="1137"/>
    </row>
    <row r="31" spans="2:12" ht="16" x14ac:dyDescent="0.2">
      <c r="B31" s="698"/>
      <c r="C31" s="698"/>
      <c r="D31" s="700"/>
      <c r="E31" s="700"/>
      <c r="F31" s="700"/>
      <c r="G31" s="700"/>
      <c r="H31" s="702"/>
      <c r="L31" s="562"/>
    </row>
    <row r="32" spans="2:12" x14ac:dyDescent="0.2">
      <c r="B32" s="698"/>
      <c r="C32" s="700" t="s">
        <v>3990</v>
      </c>
      <c r="D32" s="1129" t="s">
        <v>3991</v>
      </c>
      <c r="E32" s="1129"/>
      <c r="F32" s="1129"/>
      <c r="G32" s="1129"/>
      <c r="H32" s="1129"/>
      <c r="I32" s="1129"/>
      <c r="J32" s="1129"/>
      <c r="K32" s="1129"/>
      <c r="L32" s="1129"/>
    </row>
    <row r="33" spans="2:12" x14ac:dyDescent="0.2">
      <c r="B33" s="698"/>
      <c r="C33" s="700"/>
      <c r="D33" s="1129"/>
      <c r="E33" s="1129"/>
      <c r="F33" s="1129"/>
      <c r="G33" s="1129"/>
      <c r="H33" s="1129"/>
      <c r="I33" s="1129"/>
      <c r="J33" s="1129"/>
      <c r="K33" s="1129"/>
      <c r="L33" s="1129"/>
    </row>
    <row r="34" spans="2:12" x14ac:dyDescent="0.2">
      <c r="B34" s="698"/>
      <c r="C34" s="700" t="s">
        <v>3992</v>
      </c>
      <c r="D34" s="1129" t="s">
        <v>3993</v>
      </c>
      <c r="E34" s="1129"/>
      <c r="F34" s="1129"/>
      <c r="G34" s="1129"/>
      <c r="H34" s="1129"/>
      <c r="I34" s="1129"/>
      <c r="J34" s="1129"/>
      <c r="K34" s="1129"/>
      <c r="L34" s="1129"/>
    </row>
    <row r="35" spans="2:12" ht="15.75" customHeight="1" x14ac:dyDescent="0.2">
      <c r="B35" s="698"/>
      <c r="C35" s="698"/>
      <c r="D35" s="1129"/>
      <c r="E35" s="1129"/>
      <c r="F35" s="1129"/>
      <c r="G35" s="1129"/>
      <c r="H35" s="1129"/>
      <c r="I35" s="1129"/>
      <c r="J35" s="1129"/>
      <c r="K35" s="1129"/>
      <c r="L35" s="1129"/>
    </row>
    <row r="36" spans="2:12" ht="16" x14ac:dyDescent="0.2">
      <c r="B36" s="698"/>
      <c r="C36" s="698"/>
      <c r="D36" s="700"/>
      <c r="E36" s="700"/>
      <c r="F36" s="700"/>
      <c r="G36" s="700"/>
      <c r="H36" s="702"/>
      <c r="L36" s="562"/>
    </row>
    <row r="37" spans="2:12" x14ac:dyDescent="0.2">
      <c r="B37" s="700"/>
      <c r="C37" s="1144" t="s">
        <v>3994</v>
      </c>
      <c r="D37" s="1144"/>
      <c r="E37" s="1144"/>
      <c r="F37" s="1144"/>
      <c r="G37" s="1144"/>
      <c r="H37" s="1144"/>
      <c r="I37" s="1144"/>
      <c r="J37" s="1144"/>
      <c r="K37" s="1144"/>
      <c r="L37" s="1144"/>
    </row>
    <row r="38" spans="2:12" ht="15.75" customHeight="1" x14ac:dyDescent="0.2">
      <c r="B38" s="698"/>
      <c r="C38" s="1144"/>
      <c r="D38" s="1144"/>
      <c r="E38" s="1144"/>
      <c r="F38" s="1144"/>
      <c r="G38" s="1144"/>
      <c r="H38" s="1144"/>
      <c r="I38" s="1144"/>
      <c r="J38" s="1144"/>
      <c r="K38" s="1144"/>
      <c r="L38" s="1144"/>
    </row>
    <row r="39" spans="2:12" ht="16" x14ac:dyDescent="0.2">
      <c r="B39" s="698"/>
      <c r="C39" s="698"/>
      <c r="D39" s="698"/>
      <c r="E39" s="698"/>
      <c r="F39" s="698"/>
      <c r="G39" s="702"/>
      <c r="H39" s="702"/>
      <c r="L39" s="562"/>
    </row>
    <row r="40" spans="2:12" x14ac:dyDescent="0.2">
      <c r="B40" s="1137" t="s">
        <v>3995</v>
      </c>
      <c r="C40" s="1137"/>
      <c r="D40" s="1137"/>
      <c r="E40" s="1137"/>
      <c r="F40" s="1137"/>
      <c r="G40" s="1137"/>
      <c r="H40" s="1137"/>
      <c r="I40" s="1137"/>
      <c r="J40" s="1137"/>
      <c r="K40" s="1137"/>
      <c r="L40" s="1137"/>
    </row>
    <row r="41" spans="2:12" ht="15.75" customHeight="1" x14ac:dyDescent="0.2">
      <c r="B41" s="1137"/>
      <c r="C41" s="1137"/>
      <c r="D41" s="1137"/>
      <c r="E41" s="1137"/>
      <c r="F41" s="1137"/>
      <c r="G41" s="1137"/>
      <c r="H41" s="1137"/>
      <c r="I41" s="1137"/>
      <c r="J41" s="1137"/>
      <c r="K41" s="1137"/>
      <c r="L41" s="1137"/>
    </row>
    <row r="42" spans="2:12" ht="15.75" customHeight="1" x14ac:dyDescent="0.2">
      <c r="B42" s="1137"/>
      <c r="C42" s="1137"/>
      <c r="D42" s="1137"/>
      <c r="E42" s="1137"/>
      <c r="F42" s="1137"/>
      <c r="G42" s="1137"/>
      <c r="H42" s="1137"/>
      <c r="I42" s="1137"/>
      <c r="J42" s="1137"/>
      <c r="K42" s="1137"/>
      <c r="L42" s="1137"/>
    </row>
    <row r="43" spans="2:12" ht="15.75" customHeight="1" x14ac:dyDescent="0.2">
      <c r="B43" s="1137"/>
      <c r="C43" s="1137"/>
      <c r="D43" s="1137"/>
      <c r="E43" s="1137"/>
      <c r="F43" s="1137"/>
      <c r="G43" s="1137"/>
      <c r="H43" s="1137"/>
      <c r="I43" s="1137"/>
      <c r="J43" s="1137"/>
      <c r="K43" s="1137"/>
      <c r="L43" s="1137"/>
    </row>
    <row r="44" spans="2:12" ht="16" x14ac:dyDescent="0.2">
      <c r="B44" s="698"/>
      <c r="C44" s="698"/>
      <c r="D44" s="698"/>
      <c r="E44" s="698"/>
      <c r="F44" s="698"/>
      <c r="G44" s="702"/>
      <c r="H44" s="702"/>
      <c r="L44" s="562"/>
    </row>
    <row r="45" spans="2:12" x14ac:dyDescent="0.2">
      <c r="B45" s="1137" t="s">
        <v>3996</v>
      </c>
      <c r="C45" s="1137"/>
      <c r="D45" s="1137"/>
      <c r="E45" s="1137"/>
      <c r="F45" s="1137"/>
      <c r="G45" s="1137"/>
      <c r="H45" s="1137"/>
      <c r="I45" s="1137"/>
      <c r="J45" s="1137"/>
      <c r="K45" s="1137"/>
      <c r="L45" s="1137"/>
    </row>
    <row r="46" spans="2:12" ht="15.75" customHeight="1" x14ac:dyDescent="0.2">
      <c r="B46" s="1137"/>
      <c r="C46" s="1137"/>
      <c r="D46" s="1137"/>
      <c r="E46" s="1137"/>
      <c r="F46" s="1137"/>
      <c r="G46" s="1137"/>
      <c r="H46" s="1137"/>
      <c r="I46" s="1137"/>
      <c r="J46" s="1137"/>
      <c r="K46" s="1137"/>
      <c r="L46" s="1137"/>
    </row>
    <row r="47" spans="2:12" ht="16" x14ac:dyDescent="0.2">
      <c r="B47" s="698"/>
      <c r="C47" s="698"/>
      <c r="D47" s="698"/>
      <c r="E47" s="698"/>
      <c r="F47" s="698"/>
      <c r="G47" s="702"/>
      <c r="H47" s="702"/>
      <c r="L47" s="562"/>
    </row>
    <row r="48" spans="2:12" x14ac:dyDescent="0.2">
      <c r="B48" s="1145" t="s">
        <v>3997</v>
      </c>
      <c r="C48" s="1145"/>
      <c r="D48" s="1145"/>
      <c r="E48" s="1145"/>
      <c r="F48" s="1145"/>
      <c r="G48" s="1145"/>
      <c r="H48" s="1145"/>
      <c r="I48" s="1145"/>
      <c r="J48" s="1145"/>
      <c r="K48" s="1145"/>
      <c r="L48" s="1145"/>
    </row>
    <row r="49" spans="2:12" ht="15" customHeight="1" x14ac:dyDescent="0.2">
      <c r="B49" s="1145"/>
      <c r="C49" s="1145"/>
      <c r="D49" s="1145"/>
      <c r="E49" s="1145"/>
      <c r="F49" s="1145"/>
      <c r="G49" s="1145"/>
      <c r="H49" s="1145"/>
      <c r="I49" s="1145"/>
      <c r="J49" s="1145"/>
      <c r="K49" s="1145"/>
      <c r="L49" s="1145"/>
    </row>
    <row r="50" spans="2:12" ht="15" customHeight="1" x14ac:dyDescent="0.2">
      <c r="B50" s="1145"/>
      <c r="C50" s="1145"/>
      <c r="D50" s="1145"/>
      <c r="E50" s="1145"/>
      <c r="F50" s="1145"/>
      <c r="G50" s="1145"/>
      <c r="H50" s="1145"/>
      <c r="I50" s="1145"/>
      <c r="J50" s="1145"/>
      <c r="K50" s="1145"/>
      <c r="L50" s="1145"/>
    </row>
    <row r="51" spans="2:12" ht="15" customHeight="1" x14ac:dyDescent="0.2">
      <c r="B51" s="1145"/>
      <c r="C51" s="1145"/>
      <c r="D51" s="1145"/>
      <c r="E51" s="1145"/>
      <c r="F51" s="1145"/>
      <c r="G51" s="1145"/>
      <c r="H51" s="1145"/>
      <c r="I51" s="1145"/>
      <c r="J51" s="1145"/>
      <c r="K51" s="1145"/>
      <c r="L51" s="1145"/>
    </row>
    <row r="52" spans="2:12" ht="15" customHeight="1" x14ac:dyDescent="0.2">
      <c r="B52" s="1145"/>
      <c r="C52" s="1145"/>
      <c r="D52" s="1145"/>
      <c r="E52" s="1145"/>
      <c r="F52" s="1145"/>
      <c r="G52" s="1145"/>
      <c r="H52" s="1145"/>
      <c r="I52" s="1145"/>
      <c r="J52" s="1145"/>
      <c r="K52" s="1145"/>
      <c r="L52" s="1145"/>
    </row>
    <row r="53" spans="2:12" ht="15" customHeight="1" x14ac:dyDescent="0.2">
      <c r="B53" s="1145"/>
      <c r="C53" s="1145"/>
      <c r="D53" s="1145"/>
      <c r="E53" s="1145"/>
      <c r="F53" s="1145"/>
      <c r="G53" s="1145"/>
      <c r="H53" s="1145"/>
      <c r="I53" s="1145"/>
      <c r="J53" s="1145"/>
      <c r="K53" s="1145"/>
      <c r="L53" s="1145"/>
    </row>
    <row r="54" spans="2:12" ht="15" customHeight="1" x14ac:dyDescent="0.2">
      <c r="B54" s="422"/>
      <c r="C54" s="422"/>
      <c r="D54" s="422"/>
      <c r="E54" s="422"/>
      <c r="F54" s="422"/>
      <c r="G54" s="422"/>
      <c r="H54" s="702"/>
      <c r="L54" s="562"/>
    </row>
    <row r="55" spans="2:12" ht="15" customHeight="1" x14ac:dyDescent="0.2">
      <c r="E55" s="1113" t="s">
        <v>3998</v>
      </c>
      <c r="F55" s="1113"/>
      <c r="G55" s="1113"/>
      <c r="H55" s="702"/>
      <c r="L55" s="562"/>
    </row>
    <row r="56" spans="2:12" ht="16" x14ac:dyDescent="0.2">
      <c r="E56" s="1128"/>
      <c r="F56" s="1128"/>
      <c r="G56" s="1128"/>
      <c r="H56" s="702"/>
      <c r="L56" s="562"/>
    </row>
    <row r="57" spans="2:12" ht="16" x14ac:dyDescent="0.2">
      <c r="E57" s="1129" t="s">
        <v>3999</v>
      </c>
      <c r="F57" s="1129"/>
      <c r="G57" s="1129"/>
      <c r="H57" s="702"/>
      <c r="L57" s="562"/>
    </row>
    <row r="58" spans="2:12" x14ac:dyDescent="0.2">
      <c r="E58" s="697"/>
      <c r="F58" s="697"/>
      <c r="G58" s="1129" t="s">
        <v>4000</v>
      </c>
      <c r="H58" s="1129"/>
      <c r="I58" s="1129"/>
      <c r="J58" s="1129"/>
      <c r="K58" s="1129"/>
      <c r="L58" s="562"/>
    </row>
    <row r="59" spans="2:12" x14ac:dyDescent="0.2">
      <c r="E59" s="697"/>
      <c r="F59" s="697"/>
      <c r="G59" s="1129" t="s">
        <v>4001</v>
      </c>
      <c r="H59" s="1129"/>
      <c r="I59" s="1129"/>
      <c r="J59" s="1129"/>
      <c r="K59" s="1129"/>
      <c r="L59" s="562"/>
    </row>
    <row r="60" spans="2:12" x14ac:dyDescent="0.2">
      <c r="E60" s="697"/>
      <c r="F60" s="697"/>
      <c r="G60" s="1129" t="s">
        <v>4002</v>
      </c>
      <c r="H60" s="1129"/>
      <c r="I60" s="1129"/>
      <c r="J60" s="1129"/>
      <c r="K60" s="1129"/>
      <c r="L60" s="562"/>
    </row>
    <row r="61" spans="2:12" ht="16" x14ac:dyDescent="0.2">
      <c r="E61" s="421"/>
      <c r="F61" s="421"/>
      <c r="G61" s="421"/>
      <c r="H61" s="702"/>
      <c r="L61" s="562"/>
    </row>
    <row r="62" spans="2:12" ht="16" x14ac:dyDescent="0.2">
      <c r="E62" s="1113" t="s">
        <v>4003</v>
      </c>
      <c r="F62" s="1113"/>
      <c r="G62" s="1113"/>
      <c r="H62" s="702"/>
      <c r="L62" s="562"/>
    </row>
    <row r="63" spans="2:12" ht="16" x14ac:dyDescent="0.2">
      <c r="E63" s="1128"/>
      <c r="F63" s="1128"/>
      <c r="G63" s="1128"/>
      <c r="H63" s="702"/>
      <c r="L63" s="562"/>
    </row>
    <row r="64" spans="2:12" ht="16" x14ac:dyDescent="0.2">
      <c r="E64" s="1129" t="s">
        <v>3999</v>
      </c>
      <c r="F64" s="1129"/>
      <c r="G64" s="1129"/>
      <c r="H64" s="702"/>
      <c r="L64" s="562"/>
    </row>
    <row r="65" spans="2:11" x14ac:dyDescent="0.2">
      <c r="E65" s="697"/>
      <c r="F65" s="697"/>
      <c r="G65" s="1129" t="s">
        <v>4004</v>
      </c>
      <c r="H65" s="1129"/>
      <c r="I65" s="1129"/>
      <c r="J65" s="1129"/>
      <c r="K65" s="1129"/>
    </row>
    <row r="66" spans="2:11" x14ac:dyDescent="0.2">
      <c r="E66" s="697"/>
      <c r="F66" s="697"/>
      <c r="G66" s="1129" t="s">
        <v>4005</v>
      </c>
      <c r="H66" s="1129"/>
      <c r="I66" s="1129"/>
      <c r="J66" s="1129"/>
      <c r="K66" s="1129"/>
    </row>
    <row r="67" spans="2:11" x14ac:dyDescent="0.2">
      <c r="E67" s="697"/>
      <c r="F67" s="697"/>
      <c r="G67" s="1129" t="s">
        <v>4002</v>
      </c>
      <c r="H67" s="1129"/>
      <c r="I67" s="1129"/>
      <c r="J67" s="1129"/>
      <c r="K67" s="1129"/>
    </row>
    <row r="68" spans="2:11" ht="15" customHeight="1" x14ac:dyDescent="0.2">
      <c r="B68" s="421"/>
      <c r="C68" s="421"/>
      <c r="D68" s="421"/>
      <c r="E68" s="421"/>
      <c r="F68" s="421"/>
      <c r="G68" s="421"/>
      <c r="H68" s="702"/>
    </row>
    <row r="69" spans="2:11" ht="15" customHeight="1" x14ac:dyDescent="0.2">
      <c r="D69" s="1113" t="s">
        <v>4006</v>
      </c>
      <c r="E69" s="1113"/>
      <c r="F69" s="1113"/>
      <c r="G69" s="1113"/>
      <c r="H69" s="1113"/>
      <c r="I69" s="1113"/>
      <c r="J69" s="1113"/>
    </row>
    <row r="70" spans="2:11" ht="15.75" customHeight="1" thickBot="1" x14ac:dyDescent="0.25">
      <c r="D70" s="1141" t="s">
        <v>4007</v>
      </c>
      <c r="E70" s="1141"/>
      <c r="F70" s="1141"/>
      <c r="G70" s="1141"/>
      <c r="H70" s="1141"/>
      <c r="I70" s="1141"/>
      <c r="J70" s="1141"/>
    </row>
    <row r="71" spans="2:11" x14ac:dyDescent="0.2">
      <c r="D71" s="1138" t="s">
        <v>4008</v>
      </c>
      <c r="E71" s="1130"/>
      <c r="F71" s="1130" t="s">
        <v>4009</v>
      </c>
      <c r="G71" s="1130"/>
      <c r="H71" s="1130"/>
      <c r="I71" s="1130"/>
      <c r="J71" s="1131"/>
    </row>
    <row r="72" spans="2:11" ht="15.75" customHeight="1" thickBot="1" x14ac:dyDescent="0.25">
      <c r="D72" s="1139" t="s">
        <v>4010</v>
      </c>
      <c r="E72" s="1140"/>
      <c r="F72" s="701" t="s">
        <v>4011</v>
      </c>
      <c r="G72" s="701" t="s">
        <v>4012</v>
      </c>
      <c r="H72" s="701" t="s">
        <v>4013</v>
      </c>
      <c r="I72" s="701" t="s">
        <v>4014</v>
      </c>
      <c r="J72" s="417" t="s">
        <v>4015</v>
      </c>
    </row>
    <row r="73" spans="2:11" ht="15.75" customHeight="1" thickTop="1" x14ac:dyDescent="0.2">
      <c r="D73" s="420" t="s">
        <v>4016</v>
      </c>
      <c r="E73" s="413"/>
      <c r="F73" s="413">
        <v>30</v>
      </c>
      <c r="G73" s="413">
        <v>45</v>
      </c>
      <c r="H73" s="413">
        <v>60</v>
      </c>
      <c r="I73" s="413">
        <v>75</v>
      </c>
      <c r="J73" s="703">
        <v>90</v>
      </c>
    </row>
    <row r="74" spans="2:11" ht="15" customHeight="1" x14ac:dyDescent="0.2">
      <c r="D74" s="420" t="s">
        <v>4017</v>
      </c>
      <c r="E74" s="413"/>
      <c r="F74" s="413">
        <v>45</v>
      </c>
      <c r="G74" s="413">
        <v>60</v>
      </c>
      <c r="H74" s="413">
        <v>75</v>
      </c>
      <c r="I74" s="413">
        <v>90</v>
      </c>
      <c r="J74" s="703">
        <v>105</v>
      </c>
    </row>
    <row r="75" spans="2:11" ht="15" customHeight="1" x14ac:dyDescent="0.2">
      <c r="D75" s="420" t="s">
        <v>4018</v>
      </c>
      <c r="E75" s="413"/>
      <c r="F75" s="413">
        <v>60</v>
      </c>
      <c r="G75" s="413">
        <v>75</v>
      </c>
      <c r="H75" s="413">
        <v>90</v>
      </c>
      <c r="I75" s="413">
        <v>105</v>
      </c>
      <c r="J75" s="703">
        <v>120</v>
      </c>
    </row>
    <row r="76" spans="2:11" ht="15" customHeight="1" x14ac:dyDescent="0.2">
      <c r="D76" s="420" t="s">
        <v>4019</v>
      </c>
      <c r="E76" s="413"/>
      <c r="F76" s="413">
        <v>75</v>
      </c>
      <c r="G76" s="413">
        <v>90</v>
      </c>
      <c r="H76" s="413">
        <v>105</v>
      </c>
      <c r="I76" s="413">
        <v>120</v>
      </c>
      <c r="J76" s="703">
        <v>135</v>
      </c>
    </row>
    <row r="77" spans="2:11" ht="15" customHeight="1" x14ac:dyDescent="0.2">
      <c r="D77" s="420" t="s">
        <v>4020</v>
      </c>
      <c r="E77" s="413"/>
      <c r="F77" s="413">
        <v>90</v>
      </c>
      <c r="G77" s="413">
        <v>105</v>
      </c>
      <c r="H77" s="413">
        <v>120</v>
      </c>
      <c r="I77" s="413">
        <v>135</v>
      </c>
      <c r="J77" s="703">
        <v>150</v>
      </c>
    </row>
    <row r="78" spans="2:11" ht="15.75" customHeight="1" thickBot="1" x14ac:dyDescent="0.25">
      <c r="D78" s="419" t="s">
        <v>4021</v>
      </c>
      <c r="E78" s="412"/>
      <c r="F78" s="412">
        <v>105</v>
      </c>
      <c r="G78" s="412">
        <v>120</v>
      </c>
      <c r="H78" s="412">
        <v>135</v>
      </c>
      <c r="I78" s="412">
        <v>150</v>
      </c>
      <c r="J78" s="704">
        <v>165</v>
      </c>
    </row>
    <row r="79" spans="2:11" ht="15.75" customHeight="1" x14ac:dyDescent="0.2">
      <c r="D79" s="418"/>
      <c r="E79" s="413"/>
      <c r="F79" s="413"/>
      <c r="G79" s="413"/>
      <c r="H79" s="413"/>
      <c r="I79" s="413"/>
      <c r="J79" s="413"/>
    </row>
    <row r="80" spans="2:11" ht="15.75" customHeight="1" x14ac:dyDescent="0.2">
      <c r="D80" s="1114" t="s">
        <v>4022</v>
      </c>
      <c r="E80" s="1114"/>
      <c r="F80" s="1114"/>
      <c r="G80" s="1114"/>
      <c r="H80" s="1114"/>
      <c r="I80" s="1114"/>
      <c r="J80" s="1114"/>
    </row>
    <row r="81" spans="2:12" ht="15.75" customHeight="1" thickBot="1" x14ac:dyDescent="0.25">
      <c r="D81" s="1141" t="s">
        <v>4023</v>
      </c>
      <c r="E81" s="1141"/>
      <c r="F81" s="1141"/>
      <c r="G81" s="1141"/>
      <c r="H81" s="1141"/>
      <c r="I81" s="1141"/>
      <c r="J81" s="1141"/>
      <c r="L81" s="562"/>
    </row>
    <row r="82" spans="2:12" x14ac:dyDescent="0.2">
      <c r="D82" s="1138" t="s">
        <v>4008</v>
      </c>
      <c r="E82" s="1130"/>
      <c r="F82" s="1130" t="s">
        <v>4009</v>
      </c>
      <c r="G82" s="1130"/>
      <c r="H82" s="1130"/>
      <c r="I82" s="1130"/>
      <c r="J82" s="1131"/>
      <c r="L82" s="562"/>
    </row>
    <row r="83" spans="2:12" ht="15.75" customHeight="1" thickBot="1" x14ac:dyDescent="0.25">
      <c r="D83" s="1139" t="s">
        <v>4024</v>
      </c>
      <c r="E83" s="1140"/>
      <c r="F83" s="701" t="s">
        <v>4011</v>
      </c>
      <c r="G83" s="701" t="s">
        <v>4012</v>
      </c>
      <c r="H83" s="701" t="s">
        <v>4013</v>
      </c>
      <c r="I83" s="701" t="s">
        <v>4014</v>
      </c>
      <c r="J83" s="417" t="s">
        <v>4015</v>
      </c>
      <c r="L83" s="562"/>
    </row>
    <row r="84" spans="2:12" ht="15.75" customHeight="1" thickTop="1" x14ac:dyDescent="0.2">
      <c r="D84" s="1133" t="s">
        <v>4025</v>
      </c>
      <c r="E84" s="1134"/>
      <c r="F84" s="413">
        <v>14</v>
      </c>
      <c r="G84" s="413">
        <v>21</v>
      </c>
      <c r="H84" s="413">
        <v>28</v>
      </c>
      <c r="I84" s="413">
        <v>35</v>
      </c>
      <c r="J84" s="703">
        <v>42</v>
      </c>
      <c r="L84" s="562"/>
    </row>
    <row r="85" spans="2:12" x14ac:dyDescent="0.2">
      <c r="D85" s="1133" t="s">
        <v>4026</v>
      </c>
      <c r="E85" s="1134"/>
      <c r="F85" s="413">
        <v>21</v>
      </c>
      <c r="G85" s="413">
        <v>28</v>
      </c>
      <c r="H85" s="413">
        <v>35</v>
      </c>
      <c r="I85" s="413">
        <v>42</v>
      </c>
      <c r="J85" s="703">
        <v>50</v>
      </c>
      <c r="L85" s="562"/>
    </row>
    <row r="86" spans="2:12" x14ac:dyDescent="0.2">
      <c r="D86" s="1133" t="s">
        <v>4027</v>
      </c>
      <c r="E86" s="1134"/>
      <c r="F86" s="413">
        <v>28</v>
      </c>
      <c r="G86" s="413">
        <v>35</v>
      </c>
      <c r="H86" s="413">
        <v>42</v>
      </c>
      <c r="I86" s="413">
        <v>50</v>
      </c>
      <c r="J86" s="703">
        <v>57</v>
      </c>
      <c r="L86" s="562"/>
    </row>
    <row r="87" spans="2:12" x14ac:dyDescent="0.2">
      <c r="D87" s="1133" t="s">
        <v>4028</v>
      </c>
      <c r="E87" s="1134"/>
      <c r="F87" s="413">
        <v>35</v>
      </c>
      <c r="G87" s="413">
        <v>42</v>
      </c>
      <c r="H87" s="413">
        <v>50</v>
      </c>
      <c r="I87" s="413">
        <v>57</v>
      </c>
      <c r="J87" s="703">
        <v>64</v>
      </c>
      <c r="L87" s="562"/>
    </row>
    <row r="88" spans="2:12" x14ac:dyDescent="0.2">
      <c r="D88" s="1133" t="s">
        <v>4029</v>
      </c>
      <c r="E88" s="1134"/>
      <c r="F88" s="413">
        <v>42</v>
      </c>
      <c r="G88" s="413">
        <v>50</v>
      </c>
      <c r="H88" s="413">
        <v>57</v>
      </c>
      <c r="I88" s="413">
        <v>64</v>
      </c>
      <c r="J88" s="703">
        <v>71</v>
      </c>
      <c r="L88" s="562"/>
    </row>
    <row r="89" spans="2:12" ht="15.75" customHeight="1" thickBot="1" x14ac:dyDescent="0.25">
      <c r="D89" s="1135" t="s">
        <v>4030</v>
      </c>
      <c r="E89" s="1136"/>
      <c r="F89" s="412">
        <v>50</v>
      </c>
      <c r="G89" s="412">
        <v>57</v>
      </c>
      <c r="H89" s="412">
        <v>64</v>
      </c>
      <c r="I89" s="412">
        <v>71</v>
      </c>
      <c r="J89" s="704">
        <v>78</v>
      </c>
      <c r="L89" s="562"/>
    </row>
    <row r="90" spans="2:12" ht="15.75" customHeight="1" x14ac:dyDescent="0.2">
      <c r="B90" s="699"/>
      <c r="C90" s="413"/>
      <c r="D90" s="413"/>
      <c r="E90" s="413"/>
      <c r="F90" s="413"/>
      <c r="G90" s="413"/>
      <c r="H90" s="702"/>
      <c r="L90" s="562"/>
    </row>
    <row r="91" spans="2:12" ht="15.75" customHeight="1" x14ac:dyDescent="0.2">
      <c r="B91" s="1132" t="s">
        <v>4031</v>
      </c>
      <c r="C91" s="1132"/>
      <c r="D91" s="1132"/>
      <c r="E91" s="1132"/>
      <c r="F91" s="1132"/>
      <c r="G91" s="1132"/>
      <c r="H91" s="1132"/>
      <c r="I91" s="1132"/>
      <c r="J91" s="1132"/>
      <c r="K91" s="1132"/>
      <c r="L91" s="1132"/>
    </row>
    <row r="92" spans="2:12" ht="15.75" customHeight="1" x14ac:dyDescent="0.2">
      <c r="B92" s="1132"/>
      <c r="C92" s="1132"/>
      <c r="D92" s="1132"/>
      <c r="E92" s="1132"/>
      <c r="F92" s="1132"/>
      <c r="G92" s="1132"/>
      <c r="H92" s="1132"/>
      <c r="I92" s="1132"/>
      <c r="J92" s="1132"/>
      <c r="K92" s="1132"/>
      <c r="L92" s="1132"/>
    </row>
    <row r="93" spans="2:12" ht="15.75" customHeight="1" x14ac:dyDescent="0.2">
      <c r="B93" s="416"/>
      <c r="C93" s="562"/>
      <c r="D93" s="562"/>
      <c r="E93" s="562"/>
      <c r="F93" s="562"/>
      <c r="G93" s="562"/>
      <c r="H93" s="702"/>
      <c r="L93" s="562"/>
    </row>
    <row r="94" spans="2:12" x14ac:dyDescent="0.2">
      <c r="B94" s="1109" t="s">
        <v>4032</v>
      </c>
      <c r="C94" s="1109"/>
      <c r="D94" s="1109"/>
      <c r="E94" s="1109"/>
      <c r="F94" s="1109"/>
      <c r="G94" s="1109"/>
      <c r="H94" s="1109"/>
      <c r="I94" s="1109"/>
      <c r="J94" s="1109"/>
      <c r="K94" s="1109"/>
      <c r="L94" s="1109"/>
    </row>
    <row r="95" spans="2:12" ht="15.75" customHeight="1" x14ac:dyDescent="0.2">
      <c r="B95" s="1109"/>
      <c r="C95" s="1109"/>
      <c r="D95" s="1109"/>
      <c r="E95" s="1109"/>
      <c r="F95" s="1109"/>
      <c r="G95" s="1109"/>
      <c r="H95" s="1109"/>
      <c r="I95" s="1109"/>
      <c r="J95" s="1109"/>
      <c r="K95" s="1109"/>
      <c r="L95" s="1109"/>
    </row>
    <row r="96" spans="2:12" ht="15.75" customHeight="1" x14ac:dyDescent="0.2">
      <c r="B96" s="1109"/>
      <c r="C96" s="1109"/>
      <c r="D96" s="1109"/>
      <c r="E96" s="1109"/>
      <c r="F96" s="1109"/>
      <c r="G96" s="1109"/>
      <c r="H96" s="1109"/>
      <c r="I96" s="1109"/>
      <c r="J96" s="1109"/>
      <c r="K96" s="1109"/>
      <c r="L96" s="1109"/>
    </row>
    <row r="97" spans="2:12" ht="15.75" customHeight="1" x14ac:dyDescent="0.2">
      <c r="B97" s="1109"/>
      <c r="C97" s="1109"/>
      <c r="D97" s="1109"/>
      <c r="E97" s="1109"/>
      <c r="F97" s="1109"/>
      <c r="G97" s="1109"/>
      <c r="H97" s="1109"/>
      <c r="I97" s="1109"/>
      <c r="J97" s="1109"/>
      <c r="K97" s="1109"/>
      <c r="L97" s="1109"/>
    </row>
    <row r="98" spans="2:12" ht="16" x14ac:dyDescent="0.2">
      <c r="B98" s="698"/>
      <c r="C98" s="698"/>
      <c r="D98" s="698"/>
      <c r="E98" s="698"/>
      <c r="F98" s="698"/>
      <c r="G98" s="702"/>
      <c r="H98" s="702"/>
      <c r="L98" s="562"/>
    </row>
    <row r="99" spans="2:12" x14ac:dyDescent="0.2">
      <c r="B99" s="1137" t="s">
        <v>4033</v>
      </c>
      <c r="C99" s="1137"/>
      <c r="D99" s="1137"/>
      <c r="E99" s="1137"/>
      <c r="F99" s="1137"/>
      <c r="G99" s="1137"/>
      <c r="H99" s="1137"/>
      <c r="I99" s="1137"/>
      <c r="J99" s="1137"/>
      <c r="K99" s="1137"/>
      <c r="L99" s="1137"/>
    </row>
    <row r="100" spans="2:12" ht="15.75" customHeight="1" x14ac:dyDescent="0.2">
      <c r="B100" s="1137"/>
      <c r="C100" s="1137"/>
      <c r="D100" s="1137"/>
      <c r="E100" s="1137"/>
      <c r="F100" s="1137"/>
      <c r="G100" s="1137"/>
      <c r="H100" s="1137"/>
      <c r="I100" s="1137"/>
      <c r="J100" s="1137"/>
      <c r="K100" s="1137"/>
      <c r="L100" s="1137"/>
    </row>
    <row r="101" spans="2:12" ht="15.75" customHeight="1" x14ac:dyDescent="0.2">
      <c r="B101" s="1137"/>
      <c r="C101" s="1137"/>
      <c r="D101" s="1137"/>
      <c r="E101" s="1137"/>
      <c r="F101" s="1137"/>
      <c r="G101" s="1137"/>
      <c r="H101" s="1137"/>
      <c r="I101" s="1137"/>
      <c r="J101" s="1137"/>
      <c r="K101" s="1137"/>
      <c r="L101" s="1137"/>
    </row>
    <row r="102" spans="2:12" ht="15.75" customHeight="1" x14ac:dyDescent="0.2">
      <c r="B102" s="1137"/>
      <c r="C102" s="1137"/>
      <c r="D102" s="1137"/>
      <c r="E102" s="1137"/>
      <c r="F102" s="1137"/>
      <c r="G102" s="1137"/>
      <c r="H102" s="1137"/>
      <c r="I102" s="1137"/>
      <c r="J102" s="1137"/>
      <c r="K102" s="1137"/>
      <c r="L102" s="1137"/>
    </row>
    <row r="103" spans="2:12" ht="16" x14ac:dyDescent="0.2">
      <c r="B103" s="698"/>
      <c r="C103" s="698"/>
      <c r="D103" s="698"/>
      <c r="E103" s="698"/>
      <c r="F103" s="698"/>
      <c r="G103" s="702"/>
      <c r="H103" s="702"/>
      <c r="L103" s="562"/>
    </row>
    <row r="104" spans="2:12" x14ac:dyDescent="0.2">
      <c r="B104" s="1137" t="s">
        <v>4034</v>
      </c>
      <c r="C104" s="1137"/>
      <c r="D104" s="1137"/>
      <c r="E104" s="1137"/>
      <c r="F104" s="1137"/>
      <c r="G104" s="1137"/>
      <c r="H104" s="1137"/>
      <c r="I104" s="1137"/>
      <c r="J104" s="1137"/>
      <c r="K104" s="1137"/>
      <c r="L104" s="1137"/>
    </row>
    <row r="105" spans="2:12" ht="15.75" customHeight="1" x14ac:dyDescent="0.2">
      <c r="B105" s="1137"/>
      <c r="C105" s="1137"/>
      <c r="D105" s="1137"/>
      <c r="E105" s="1137"/>
      <c r="F105" s="1137"/>
      <c r="G105" s="1137"/>
      <c r="H105" s="1137"/>
      <c r="I105" s="1137"/>
      <c r="J105" s="1137"/>
      <c r="K105" s="1137"/>
      <c r="L105" s="1137"/>
    </row>
    <row r="106" spans="2:12" ht="15.75" customHeight="1" x14ac:dyDescent="0.2">
      <c r="B106" s="1137"/>
      <c r="C106" s="1137"/>
      <c r="D106" s="1137"/>
      <c r="E106" s="1137"/>
      <c r="F106" s="1137"/>
      <c r="G106" s="1137"/>
      <c r="H106" s="1137"/>
      <c r="I106" s="1137"/>
      <c r="J106" s="1137"/>
      <c r="K106" s="1137"/>
      <c r="L106" s="1137"/>
    </row>
    <row r="107" spans="2:12" ht="15.75" customHeight="1" x14ac:dyDescent="0.2">
      <c r="B107" s="1137"/>
      <c r="C107" s="1137"/>
      <c r="D107" s="1137"/>
      <c r="E107" s="1137"/>
      <c r="F107" s="1137"/>
      <c r="G107" s="1137"/>
      <c r="H107" s="1137"/>
      <c r="I107" s="1137"/>
      <c r="J107" s="1137"/>
      <c r="K107" s="1137"/>
      <c r="L107" s="1137"/>
    </row>
    <row r="108" spans="2:12" ht="15.75" customHeight="1" x14ac:dyDescent="0.2">
      <c r="B108" s="1137"/>
      <c r="C108" s="1137"/>
      <c r="D108" s="1137"/>
      <c r="E108" s="1137"/>
      <c r="F108" s="1137"/>
      <c r="G108" s="1137"/>
      <c r="H108" s="1137"/>
      <c r="I108" s="1137"/>
      <c r="J108" s="1137"/>
      <c r="K108" s="1137"/>
      <c r="L108" s="1137"/>
    </row>
    <row r="109" spans="2:12" ht="16" x14ac:dyDescent="0.2">
      <c r="B109" s="698"/>
      <c r="C109" s="698"/>
      <c r="D109" s="698"/>
      <c r="E109" s="698"/>
      <c r="F109" s="698"/>
      <c r="G109" s="698"/>
      <c r="H109" s="702"/>
      <c r="L109" s="562"/>
    </row>
    <row r="110" spans="2:12" x14ac:dyDescent="0.2">
      <c r="B110" s="698"/>
      <c r="C110" s="1137" t="s">
        <v>4035</v>
      </c>
      <c r="D110" s="1137"/>
      <c r="E110" s="1137"/>
      <c r="F110" s="1137"/>
      <c r="G110" s="1137"/>
      <c r="H110" s="1137"/>
      <c r="I110" s="1137"/>
      <c r="J110" s="1137"/>
      <c r="K110" s="1137"/>
      <c r="L110" s="1137"/>
    </row>
    <row r="111" spans="2:12" ht="15.75" customHeight="1" x14ac:dyDescent="0.2">
      <c r="B111" s="698"/>
      <c r="C111" s="1137"/>
      <c r="D111" s="1137"/>
      <c r="E111" s="1137"/>
      <c r="F111" s="1137"/>
      <c r="G111" s="1137"/>
      <c r="H111" s="1137"/>
      <c r="I111" s="1137"/>
      <c r="J111" s="1137"/>
      <c r="K111" s="1137"/>
      <c r="L111" s="1137"/>
    </row>
    <row r="112" spans="2:12" ht="15.75" customHeight="1" x14ac:dyDescent="0.2">
      <c r="B112" s="698"/>
      <c r="C112" s="1137"/>
      <c r="D112" s="1137"/>
      <c r="E112" s="1137"/>
      <c r="F112" s="1137"/>
      <c r="G112" s="1137"/>
      <c r="H112" s="1137"/>
      <c r="I112" s="1137"/>
      <c r="J112" s="1137"/>
      <c r="K112" s="1137"/>
      <c r="L112" s="1137"/>
    </row>
    <row r="113" spans="2:12" ht="15.75" customHeight="1" x14ac:dyDescent="0.2">
      <c r="B113" s="698"/>
      <c r="C113" s="1137"/>
      <c r="D113" s="1137"/>
      <c r="E113" s="1137"/>
      <c r="F113" s="1137"/>
      <c r="G113" s="1137"/>
      <c r="H113" s="1137"/>
      <c r="I113" s="1137"/>
      <c r="J113" s="1137"/>
      <c r="K113" s="1137"/>
      <c r="L113" s="1137"/>
    </row>
    <row r="114" spans="2:12" ht="16" x14ac:dyDescent="0.2">
      <c r="B114" s="698"/>
      <c r="C114" s="698"/>
      <c r="D114" s="698"/>
      <c r="E114" s="698"/>
      <c r="F114" s="698"/>
      <c r="G114" s="698"/>
      <c r="H114" s="702"/>
      <c r="L114" s="562"/>
    </row>
    <row r="115" spans="2:12" x14ac:dyDescent="0.2">
      <c r="B115" s="1137" t="s">
        <v>4036</v>
      </c>
      <c r="C115" s="1137"/>
      <c r="D115" s="1137"/>
      <c r="E115" s="1137"/>
      <c r="F115" s="1137"/>
      <c r="G115" s="1137"/>
      <c r="H115" s="1137"/>
      <c r="I115" s="1137"/>
      <c r="J115" s="1137"/>
      <c r="K115" s="1137"/>
      <c r="L115" s="1137"/>
    </row>
    <row r="116" spans="2:12" ht="15.75" customHeight="1" x14ac:dyDescent="0.2">
      <c r="B116" s="1137"/>
      <c r="C116" s="1137"/>
      <c r="D116" s="1137"/>
      <c r="E116" s="1137"/>
      <c r="F116" s="1137"/>
      <c r="G116" s="1137"/>
      <c r="H116" s="1137"/>
      <c r="I116" s="1137"/>
      <c r="J116" s="1137"/>
      <c r="K116" s="1137"/>
      <c r="L116" s="1137"/>
    </row>
    <row r="117" spans="2:12" ht="16" x14ac:dyDescent="0.2">
      <c r="B117" s="698"/>
      <c r="C117" s="698"/>
      <c r="D117" s="698"/>
      <c r="E117" s="698"/>
      <c r="F117" s="698"/>
      <c r="G117" s="698"/>
      <c r="H117" s="702"/>
      <c r="L117" s="562"/>
    </row>
    <row r="118" spans="2:12" x14ac:dyDescent="0.2">
      <c r="B118" s="698"/>
      <c r="C118" s="1137" t="s">
        <v>4037</v>
      </c>
      <c r="D118" s="1137"/>
      <c r="E118" s="1137"/>
      <c r="F118" s="1137"/>
      <c r="G118" s="1137"/>
      <c r="H118" s="1137"/>
      <c r="I118" s="1137"/>
      <c r="J118" s="1137"/>
      <c r="K118" s="1137"/>
      <c r="L118" s="1137"/>
    </row>
    <row r="119" spans="2:12" ht="15" customHeight="1" x14ac:dyDescent="0.2">
      <c r="B119" s="698"/>
      <c r="C119" s="1137"/>
      <c r="D119" s="1137"/>
      <c r="E119" s="1137"/>
      <c r="F119" s="1137"/>
      <c r="G119" s="1137"/>
      <c r="H119" s="1137"/>
      <c r="I119" s="1137"/>
      <c r="J119" s="1137"/>
      <c r="K119" s="1137"/>
      <c r="L119" s="1137"/>
    </row>
    <row r="120" spans="2:12" ht="15" customHeight="1" x14ac:dyDescent="0.2">
      <c r="B120" s="698"/>
      <c r="C120" s="1137"/>
      <c r="D120" s="1137"/>
      <c r="E120" s="1137"/>
      <c r="F120" s="1137"/>
      <c r="G120" s="1137"/>
      <c r="H120" s="1137"/>
      <c r="I120" s="1137"/>
      <c r="J120" s="1137"/>
      <c r="K120" s="1137"/>
      <c r="L120" s="1137"/>
    </row>
    <row r="121" spans="2:12" ht="15" customHeight="1" x14ac:dyDescent="0.2">
      <c r="B121" s="698"/>
      <c r="C121" s="1137"/>
      <c r="D121" s="1137"/>
      <c r="E121" s="1137"/>
      <c r="F121" s="1137"/>
      <c r="G121" s="1137"/>
      <c r="H121" s="1137"/>
      <c r="I121" s="1137"/>
      <c r="J121" s="1137"/>
      <c r="K121" s="1137"/>
      <c r="L121" s="1137"/>
    </row>
    <row r="122" spans="2:12" ht="15" customHeight="1" x14ac:dyDescent="0.2">
      <c r="B122" s="698"/>
      <c r="C122" s="698"/>
      <c r="D122" s="698"/>
      <c r="E122" s="698"/>
      <c r="F122" s="698"/>
      <c r="G122" s="698"/>
      <c r="H122" s="702"/>
      <c r="L122" s="562"/>
    </row>
    <row r="123" spans="2:12" ht="15" customHeight="1" x14ac:dyDescent="0.2">
      <c r="C123" s="1113" t="s">
        <v>4038</v>
      </c>
      <c r="D123" s="1113"/>
      <c r="E123" s="1113"/>
      <c r="L123" s="562"/>
    </row>
    <row r="124" spans="2:12" ht="15" customHeight="1" x14ac:dyDescent="0.2">
      <c r="C124" s="1128"/>
      <c r="D124" s="1128"/>
      <c r="E124" s="1128"/>
      <c r="L124" s="562"/>
    </row>
    <row r="125" spans="2:12" ht="15" customHeight="1" x14ac:dyDescent="0.2">
      <c r="C125" s="1129" t="s">
        <v>3999</v>
      </c>
      <c r="D125" s="1129"/>
      <c r="E125" s="1129"/>
      <c r="L125" s="562"/>
    </row>
    <row r="126" spans="2:12" ht="15" customHeight="1" x14ac:dyDescent="0.2">
      <c r="C126" s="697"/>
      <c r="D126" s="698" t="s">
        <v>4039</v>
      </c>
      <c r="E126" s="1129" t="s">
        <v>4040</v>
      </c>
      <c r="F126" s="1129"/>
      <c r="G126" s="1129"/>
      <c r="H126" s="1129"/>
      <c r="I126" s="1129"/>
      <c r="J126" s="1129"/>
      <c r="K126" s="1129"/>
      <c r="L126" s="698"/>
    </row>
    <row r="127" spans="2:12" ht="15" customHeight="1" x14ac:dyDescent="0.2">
      <c r="C127" s="697"/>
      <c r="D127" s="698" t="s">
        <v>4039</v>
      </c>
      <c r="E127" s="1129" t="s">
        <v>4041</v>
      </c>
      <c r="F127" s="1129"/>
      <c r="G127" s="1129"/>
      <c r="H127" s="1129"/>
      <c r="I127" s="1129"/>
      <c r="J127" s="1129"/>
      <c r="K127" s="1129"/>
      <c r="L127" s="698"/>
    </row>
    <row r="128" spans="2:12" ht="15" customHeight="1" x14ac:dyDescent="0.2">
      <c r="C128" s="415" t="s">
        <v>4042</v>
      </c>
      <c r="D128" s="698" t="s">
        <v>4039</v>
      </c>
      <c r="E128" s="1129" t="s">
        <v>4043</v>
      </c>
      <c r="F128" s="1129"/>
      <c r="G128" s="1129"/>
      <c r="H128" s="1129"/>
      <c r="I128" s="1129"/>
      <c r="J128" s="1129"/>
      <c r="K128" s="1129"/>
      <c r="L128" s="698"/>
    </row>
    <row r="129" spans="2:12" ht="15" customHeight="1" x14ac:dyDescent="0.2">
      <c r="C129" s="415"/>
      <c r="D129" s="698"/>
      <c r="E129" s="1129"/>
      <c r="F129" s="1129"/>
      <c r="G129" s="1129"/>
      <c r="H129" s="1129"/>
      <c r="I129" s="1129"/>
      <c r="J129" s="1129"/>
      <c r="K129" s="1129"/>
      <c r="L129" s="698"/>
    </row>
    <row r="130" spans="2:12" ht="15" customHeight="1" x14ac:dyDescent="0.2">
      <c r="C130" s="697"/>
      <c r="D130" s="698" t="s">
        <v>4039</v>
      </c>
      <c r="E130" s="1129" t="s">
        <v>4044</v>
      </c>
      <c r="F130" s="1129"/>
      <c r="G130" s="1129"/>
      <c r="H130" s="1129"/>
      <c r="I130" s="1129"/>
      <c r="J130" s="1129"/>
      <c r="K130" s="1129"/>
      <c r="L130" s="698"/>
    </row>
    <row r="131" spans="2:12" ht="15" customHeight="1" x14ac:dyDescent="0.2">
      <c r="C131" s="697"/>
      <c r="D131" s="698" t="s">
        <v>4039</v>
      </c>
      <c r="E131" s="1129" t="s">
        <v>4045</v>
      </c>
      <c r="F131" s="1129"/>
      <c r="G131" s="1129"/>
      <c r="H131" s="1129"/>
      <c r="I131" s="1129"/>
      <c r="J131" s="1129"/>
      <c r="K131" s="1129"/>
      <c r="L131" s="698"/>
    </row>
    <row r="132" spans="2:12" ht="15" customHeight="1" x14ac:dyDescent="0.2">
      <c r="B132" s="698"/>
      <c r="C132" s="698"/>
      <c r="D132" s="698"/>
      <c r="H132" s="702"/>
      <c r="L132" s="562"/>
    </row>
    <row r="133" spans="2:12" ht="15" customHeight="1" x14ac:dyDescent="0.2">
      <c r="B133" s="698"/>
      <c r="C133" s="698"/>
      <c r="D133" s="698"/>
      <c r="E133" s="698"/>
      <c r="F133" s="698"/>
      <c r="G133" s="698"/>
      <c r="H133" s="702"/>
      <c r="L133" s="562"/>
    </row>
    <row r="134" spans="2:12" ht="15" customHeight="1" x14ac:dyDescent="0.2">
      <c r="D134" s="1113" t="s">
        <v>4046</v>
      </c>
      <c r="E134" s="1113"/>
      <c r="F134" s="1113"/>
      <c r="G134" s="1113"/>
      <c r="H134" s="1113"/>
      <c r="I134" s="1113"/>
      <c r="L134" s="562"/>
    </row>
    <row r="135" spans="2:12" ht="15.75" customHeight="1" thickBot="1" x14ac:dyDescent="0.25">
      <c r="D135" s="1141" t="s">
        <v>4047</v>
      </c>
      <c r="E135" s="1141"/>
      <c r="F135" s="1141"/>
      <c r="G135" s="1141"/>
      <c r="H135" s="1141"/>
      <c r="I135" s="1141"/>
      <c r="L135" s="562"/>
    </row>
    <row r="136" spans="2:12" ht="16" thickBot="1" x14ac:dyDescent="0.25">
      <c r="D136" s="1148" t="s">
        <v>4048</v>
      </c>
      <c r="E136" s="1149"/>
      <c r="F136" s="1152" t="s">
        <v>4049</v>
      </c>
      <c r="G136" s="1153"/>
      <c r="H136" s="1153"/>
      <c r="I136" s="1154"/>
      <c r="L136" s="562"/>
    </row>
    <row r="137" spans="2:12" ht="15.75" customHeight="1" thickBot="1" x14ac:dyDescent="0.25">
      <c r="D137" s="1150"/>
      <c r="E137" s="1151"/>
      <c r="F137" s="414" t="s">
        <v>4050</v>
      </c>
      <c r="G137" s="414">
        <v>8</v>
      </c>
      <c r="H137" s="414">
        <v>12</v>
      </c>
      <c r="I137" s="414">
        <v>24</v>
      </c>
      <c r="L137" s="562"/>
    </row>
    <row r="138" spans="2:12" ht="15.75" customHeight="1" thickTop="1" x14ac:dyDescent="0.2">
      <c r="D138" s="1146">
        <v>0.1</v>
      </c>
      <c r="E138" s="1147"/>
      <c r="F138" s="413">
        <v>1</v>
      </c>
      <c r="G138" s="413">
        <v>0.79</v>
      </c>
      <c r="H138" s="413" t="s">
        <v>4051</v>
      </c>
      <c r="I138" s="703" t="s">
        <v>4051</v>
      </c>
      <c r="L138" s="562"/>
    </row>
    <row r="139" spans="2:12" ht="15" customHeight="1" x14ac:dyDescent="0.2">
      <c r="D139" s="1146">
        <v>0.2</v>
      </c>
      <c r="E139" s="1147"/>
      <c r="F139" s="413">
        <v>1</v>
      </c>
      <c r="G139" s="413">
        <v>0.84</v>
      </c>
      <c r="H139" s="413">
        <v>0.56000000000000005</v>
      </c>
      <c r="I139" s="703" t="s">
        <v>4051</v>
      </c>
      <c r="L139" s="562"/>
    </row>
    <row r="140" spans="2:12" ht="15" customHeight="1" x14ac:dyDescent="0.2">
      <c r="D140" s="1146">
        <v>0.3</v>
      </c>
      <c r="E140" s="1147"/>
      <c r="F140" s="413">
        <v>1</v>
      </c>
      <c r="G140" s="413">
        <v>0.89</v>
      </c>
      <c r="H140" s="413">
        <v>0.71</v>
      </c>
      <c r="I140" s="703" t="s">
        <v>4051</v>
      </c>
      <c r="L140" s="562"/>
    </row>
    <row r="141" spans="2:12" ht="15" customHeight="1" x14ac:dyDescent="0.2">
      <c r="D141" s="1146">
        <v>0.4</v>
      </c>
      <c r="E141" s="1147"/>
      <c r="F141" s="413">
        <v>1</v>
      </c>
      <c r="G141" s="413">
        <v>0.92</v>
      </c>
      <c r="H141" s="413">
        <v>0.81</v>
      </c>
      <c r="I141" s="703">
        <v>0.2</v>
      </c>
      <c r="L141" s="562"/>
    </row>
    <row r="142" spans="2:12" ht="15" customHeight="1" x14ac:dyDescent="0.2">
      <c r="D142" s="1146">
        <v>0.5</v>
      </c>
      <c r="E142" s="1147"/>
      <c r="F142" s="413">
        <v>1</v>
      </c>
      <c r="G142" s="413">
        <v>0.94</v>
      </c>
      <c r="H142" s="413">
        <v>0.87</v>
      </c>
      <c r="I142" s="703">
        <v>0.52</v>
      </c>
      <c r="L142" s="562"/>
    </row>
    <row r="143" spans="2:12" ht="15" customHeight="1" x14ac:dyDescent="0.2">
      <c r="D143" s="1146">
        <v>0.6</v>
      </c>
      <c r="E143" s="1147"/>
      <c r="F143" s="413">
        <v>1</v>
      </c>
      <c r="G143" s="413">
        <v>0.97</v>
      </c>
      <c r="H143" s="413">
        <v>0.92</v>
      </c>
      <c r="I143" s="703">
        <v>0.73</v>
      </c>
      <c r="L143" s="562"/>
    </row>
    <row r="144" spans="2:12" ht="15" customHeight="1" x14ac:dyDescent="0.2">
      <c r="D144" s="1146">
        <v>0.7</v>
      </c>
      <c r="E144" s="1147"/>
      <c r="F144" s="413">
        <v>1</v>
      </c>
      <c r="G144" s="413">
        <v>0.98</v>
      </c>
      <c r="H144" s="413">
        <v>0.96</v>
      </c>
      <c r="I144" s="703">
        <v>0.86</v>
      </c>
      <c r="L144" s="562"/>
    </row>
    <row r="145" spans="2:12" ht="15" customHeight="1" x14ac:dyDescent="0.2">
      <c r="D145" s="1146">
        <v>0.8</v>
      </c>
      <c r="E145" s="1147"/>
      <c r="F145" s="413">
        <v>1</v>
      </c>
      <c r="G145" s="413">
        <v>0.99</v>
      </c>
      <c r="H145" s="413">
        <v>0.98</v>
      </c>
      <c r="I145" s="703">
        <v>0.94</v>
      </c>
      <c r="L145" s="562"/>
    </row>
    <row r="146" spans="2:12" ht="15" customHeight="1" x14ac:dyDescent="0.2">
      <c r="D146" s="1146">
        <v>0.9</v>
      </c>
      <c r="E146" s="1147"/>
      <c r="F146" s="413">
        <v>1</v>
      </c>
      <c r="G146" s="413">
        <v>1</v>
      </c>
      <c r="H146" s="413">
        <v>1</v>
      </c>
      <c r="I146" s="703">
        <v>0.99</v>
      </c>
      <c r="L146" s="562"/>
    </row>
    <row r="147" spans="2:12" ht="15.75" customHeight="1" thickBot="1" x14ac:dyDescent="0.25">
      <c r="D147" s="1155">
        <v>1</v>
      </c>
      <c r="E147" s="1156"/>
      <c r="F147" s="412">
        <v>1</v>
      </c>
      <c r="G147" s="412">
        <v>1</v>
      </c>
      <c r="H147" s="412">
        <v>1</v>
      </c>
      <c r="I147" s="704">
        <v>1</v>
      </c>
      <c r="L147" s="562"/>
    </row>
    <row r="148" spans="2:12" ht="16" x14ac:dyDescent="0.2">
      <c r="B148" s="698"/>
      <c r="C148" s="698"/>
      <c r="D148" s="698"/>
      <c r="E148" s="698"/>
      <c r="F148" s="698"/>
      <c r="G148" s="698"/>
      <c r="H148" s="702"/>
      <c r="L148" s="562"/>
    </row>
    <row r="149" spans="2:12" ht="15" customHeight="1" x14ac:dyDescent="0.2">
      <c r="B149" s="1129" t="s">
        <v>4052</v>
      </c>
      <c r="C149" s="1129"/>
      <c r="D149" s="1129"/>
      <c r="E149" s="1129"/>
      <c r="F149" s="1129"/>
      <c r="G149" s="1129"/>
      <c r="H149" s="1129"/>
      <c r="I149" s="1129"/>
      <c r="J149" s="1129"/>
      <c r="K149" s="1129"/>
      <c r="L149" s="1129"/>
    </row>
    <row r="150" spans="2:12" ht="15" customHeight="1" x14ac:dyDescent="0.2">
      <c r="B150" s="698"/>
      <c r="C150" s="698"/>
      <c r="D150" s="698"/>
      <c r="E150" s="698"/>
      <c r="F150" s="698"/>
      <c r="G150" s="698"/>
      <c r="H150" s="702"/>
      <c r="L150" s="562"/>
    </row>
    <row r="151" spans="2:12" x14ac:dyDescent="0.2">
      <c r="B151" s="1129" t="s">
        <v>4053</v>
      </c>
      <c r="C151" s="1129"/>
      <c r="D151" s="1129"/>
      <c r="E151" s="1129"/>
      <c r="F151" s="1129"/>
      <c r="G151" s="1129"/>
      <c r="H151" s="1129"/>
      <c r="I151" s="1129"/>
      <c r="J151" s="1129"/>
      <c r="K151" s="1129"/>
      <c r="L151" s="1129"/>
    </row>
    <row r="152" spans="2:12" ht="15.75" customHeight="1" x14ac:dyDescent="0.2">
      <c r="B152" s="1129"/>
      <c r="C152" s="1129"/>
      <c r="D152" s="1129"/>
      <c r="E152" s="1129"/>
      <c r="F152" s="1129"/>
      <c r="G152" s="1129"/>
      <c r="H152" s="1129"/>
      <c r="I152" s="1129"/>
      <c r="J152" s="1129"/>
      <c r="K152" s="1129"/>
      <c r="L152" s="1129"/>
    </row>
    <row r="153" spans="2:12" ht="15.75" customHeight="1" x14ac:dyDescent="0.2">
      <c r="B153" s="1129"/>
      <c r="C153" s="1129"/>
      <c r="D153" s="1129"/>
      <c r="E153" s="1129"/>
      <c r="F153" s="1129"/>
      <c r="G153" s="1129"/>
      <c r="H153" s="1129"/>
      <c r="I153" s="1129"/>
      <c r="J153" s="1129"/>
      <c r="K153" s="1129"/>
      <c r="L153" s="1129"/>
    </row>
    <row r="154" spans="2:12" ht="16" x14ac:dyDescent="0.2">
      <c r="B154" s="698"/>
      <c r="C154" s="698"/>
      <c r="D154" s="698"/>
      <c r="E154" s="698"/>
      <c r="F154" s="698"/>
      <c r="G154" s="698"/>
      <c r="H154" s="702"/>
      <c r="L154" s="562"/>
    </row>
    <row r="155" spans="2:12" x14ac:dyDescent="0.2">
      <c r="B155" s="1137" t="s">
        <v>4054</v>
      </c>
      <c r="C155" s="1137"/>
      <c r="D155" s="1137"/>
      <c r="E155" s="1137"/>
      <c r="F155" s="1137"/>
      <c r="G155" s="1137"/>
      <c r="H155" s="1137"/>
      <c r="I155" s="1137"/>
      <c r="J155" s="1137"/>
      <c r="K155" s="1137"/>
      <c r="L155" s="1137"/>
    </row>
    <row r="156" spans="2:12" ht="16" x14ac:dyDescent="0.2">
      <c r="B156" s="698"/>
      <c r="C156" s="698"/>
      <c r="D156" s="698"/>
      <c r="E156" s="698"/>
      <c r="F156" s="698"/>
      <c r="G156" s="698"/>
      <c r="H156" s="702"/>
      <c r="L156" s="562"/>
    </row>
    <row r="157" spans="2:12" x14ac:dyDescent="0.2">
      <c r="B157" s="1137" t="s">
        <v>4055</v>
      </c>
      <c r="C157" s="1137"/>
      <c r="D157" s="1137"/>
      <c r="E157" s="1137"/>
      <c r="F157" s="1137"/>
      <c r="G157" s="1137"/>
      <c r="H157" s="1137"/>
      <c r="I157" s="1137"/>
      <c r="J157" s="1137"/>
      <c r="K157" s="1137"/>
      <c r="L157" s="1137"/>
    </row>
    <row r="158" spans="2:12" ht="15.75" customHeight="1" x14ac:dyDescent="0.2">
      <c r="B158" s="1137"/>
      <c r="C158" s="1137"/>
      <c r="D158" s="1137"/>
      <c r="E158" s="1137"/>
      <c r="F158" s="1137"/>
      <c r="G158" s="1137"/>
      <c r="H158" s="1137"/>
      <c r="I158" s="1137"/>
      <c r="J158" s="1137"/>
      <c r="K158" s="1137"/>
      <c r="L158" s="1137"/>
    </row>
    <row r="159" spans="2:12" ht="16" x14ac:dyDescent="0.2">
      <c r="B159" s="698"/>
      <c r="C159" s="698"/>
      <c r="D159" s="698"/>
      <c r="E159" s="698"/>
      <c r="F159" s="698"/>
      <c r="G159" s="698"/>
      <c r="H159" s="702"/>
      <c r="L159" s="562"/>
    </row>
    <row r="160" spans="2:12" x14ac:dyDescent="0.2">
      <c r="B160" s="1137" t="s">
        <v>4056</v>
      </c>
      <c r="C160" s="1137"/>
      <c r="D160" s="1137"/>
      <c r="E160" s="1137"/>
      <c r="F160" s="1137"/>
      <c r="G160" s="1137"/>
      <c r="H160" s="1137"/>
      <c r="I160" s="1137"/>
      <c r="J160" s="1137"/>
      <c r="K160" s="1137"/>
      <c r="L160" s="1137"/>
    </row>
    <row r="161" spans="2:12" ht="15.75" customHeight="1" x14ac:dyDescent="0.2">
      <c r="B161" s="1137"/>
      <c r="C161" s="1137"/>
      <c r="D161" s="1137"/>
      <c r="E161" s="1137"/>
      <c r="F161" s="1137"/>
      <c r="G161" s="1137"/>
      <c r="H161" s="1137"/>
      <c r="I161" s="1137"/>
      <c r="J161" s="1137"/>
      <c r="K161" s="1137"/>
      <c r="L161" s="1137"/>
    </row>
    <row r="162" spans="2:12" ht="16" x14ac:dyDescent="0.2">
      <c r="B162" s="698"/>
      <c r="C162" s="698"/>
      <c r="D162" s="698"/>
      <c r="E162" s="698"/>
      <c r="F162" s="698"/>
      <c r="G162" s="698"/>
      <c r="H162" s="702"/>
      <c r="L162" s="562"/>
    </row>
    <row r="163" spans="2:12" x14ac:dyDescent="0.2">
      <c r="B163" s="698"/>
      <c r="C163" s="1137" t="s">
        <v>4057</v>
      </c>
      <c r="D163" s="1137"/>
      <c r="E163" s="1137"/>
      <c r="F163" s="1137"/>
      <c r="G163" s="1137"/>
      <c r="H163" s="1137"/>
      <c r="I163" s="1137"/>
      <c r="J163" s="1137"/>
      <c r="K163" s="1137"/>
      <c r="L163" s="1137"/>
    </row>
    <row r="164" spans="2:12" x14ac:dyDescent="0.2">
      <c r="C164" s="1137"/>
      <c r="D164" s="1137"/>
      <c r="E164" s="1137"/>
      <c r="F164" s="1137"/>
      <c r="G164" s="1137"/>
      <c r="H164" s="1137"/>
      <c r="I164" s="1137"/>
      <c r="J164" s="1137"/>
      <c r="K164" s="1137"/>
      <c r="L164" s="1137"/>
    </row>
  </sheetData>
  <sheetProtection algorithmName="SHA-512" hashValue="lW+d6o0ryXyFu/cjhW4lKaI5Ycjk3ViG1wfdmVgoO7kyAJuJp8MVNN3uhRPQopOq09Y5a/HPrMCkSNlmDSBL8Q==" saltValue="akuqjEEwc/bwEjounfskTA==" spinCount="100000" sheet="1" objects="1" scenarios="1" selectLockedCells="1" selectUnlockedCells="1"/>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pageSetup scale="82"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79"/>
  <sheetViews>
    <sheetView showGridLines="0" zoomScaleNormal="100" workbookViewId="0">
      <selection activeCell="B1" sqref="B1"/>
    </sheetView>
  </sheetViews>
  <sheetFormatPr baseColWidth="10" defaultColWidth="9.1640625" defaultRowHeight="15" x14ac:dyDescent="0.2"/>
  <cols>
    <col min="1" max="16384" width="9.1640625" style="404"/>
  </cols>
  <sheetData>
    <row r="2" spans="2:12" ht="16" x14ac:dyDescent="0.2">
      <c r="B2" s="411" t="s">
        <v>4058</v>
      </c>
      <c r="C2" s="562"/>
      <c r="D2" s="562"/>
      <c r="E2" s="562"/>
      <c r="F2" s="562"/>
      <c r="G2" s="562"/>
      <c r="H2" s="562"/>
      <c r="I2" s="562"/>
      <c r="J2" s="562"/>
      <c r="K2" s="562"/>
      <c r="L2" s="562"/>
    </row>
    <row r="3" spans="2:12" ht="16" x14ac:dyDescent="0.2">
      <c r="B3" s="410"/>
      <c r="C3" s="562"/>
      <c r="D3" s="562"/>
      <c r="E3" s="562"/>
      <c r="F3" s="562"/>
      <c r="G3" s="562"/>
      <c r="H3" s="562"/>
      <c r="I3" s="562"/>
      <c r="J3" s="562"/>
      <c r="K3" s="562"/>
      <c r="L3" s="562"/>
    </row>
    <row r="4" spans="2:12" x14ac:dyDescent="0.2">
      <c r="B4" s="1185" t="s">
        <v>4059</v>
      </c>
      <c r="C4" s="1185"/>
      <c r="D4" s="1185"/>
      <c r="E4" s="1185"/>
      <c r="F4" s="1185"/>
      <c r="G4" s="1185"/>
      <c r="H4" s="1185"/>
      <c r="I4" s="1185"/>
      <c r="J4" s="562"/>
      <c r="K4" s="562"/>
      <c r="L4" s="562"/>
    </row>
    <row r="5" spans="2:12" x14ac:dyDescent="0.2">
      <c r="B5" s="1185"/>
      <c r="C5" s="1185"/>
      <c r="D5" s="1185"/>
      <c r="E5" s="1185"/>
      <c r="F5" s="1185"/>
      <c r="G5" s="1185"/>
      <c r="H5" s="1185"/>
      <c r="I5" s="1185"/>
      <c r="J5" s="562"/>
      <c r="K5" s="562"/>
      <c r="L5" s="562"/>
    </row>
    <row r="6" spans="2:12" x14ac:dyDescent="0.2">
      <c r="B6" s="1185"/>
      <c r="C6" s="1185"/>
      <c r="D6" s="1185"/>
      <c r="E6" s="1185"/>
      <c r="F6" s="1185"/>
      <c r="G6" s="1185"/>
      <c r="H6" s="1185"/>
      <c r="I6" s="1185"/>
      <c r="J6" s="562"/>
      <c r="K6" s="562"/>
      <c r="L6" s="562"/>
    </row>
    <row r="7" spans="2:12" x14ac:dyDescent="0.2">
      <c r="B7" s="408"/>
      <c r="C7" s="562"/>
      <c r="D7" s="562"/>
      <c r="E7" s="562"/>
      <c r="F7" s="562"/>
      <c r="G7" s="562"/>
      <c r="H7" s="562"/>
      <c r="I7" s="562"/>
      <c r="J7" s="562"/>
      <c r="K7" s="562"/>
      <c r="L7" s="562"/>
    </row>
    <row r="8" spans="2:12" x14ac:dyDescent="0.2">
      <c r="B8" s="1110" t="s">
        <v>4060</v>
      </c>
      <c r="C8" s="1111"/>
      <c r="D8" s="1111"/>
      <c r="E8" s="1111"/>
      <c r="F8" s="1111"/>
      <c r="G8" s="1111"/>
      <c r="H8" s="1111"/>
      <c r="I8" s="1111"/>
      <c r="J8" s="1111"/>
      <c r="K8" s="1111"/>
      <c r="L8" s="1111"/>
    </row>
    <row r="9" spans="2:12" x14ac:dyDescent="0.2">
      <c r="B9" s="1110" t="s">
        <v>3942</v>
      </c>
      <c r="C9" s="1111"/>
      <c r="D9" s="1111"/>
      <c r="E9" s="1111"/>
      <c r="F9" s="1111"/>
      <c r="G9" s="1111"/>
      <c r="H9" s="1111"/>
      <c r="I9" s="1111"/>
      <c r="J9" s="1111"/>
      <c r="K9" s="1111"/>
      <c r="L9" s="1111"/>
    </row>
    <row r="10" spans="2:12" x14ac:dyDescent="0.2">
      <c r="B10" s="1167"/>
      <c r="C10" s="1167"/>
      <c r="D10" s="1167"/>
      <c r="E10" s="1167"/>
      <c r="F10" s="562"/>
      <c r="G10" s="562"/>
      <c r="H10" s="562"/>
      <c r="I10" s="562"/>
      <c r="J10" s="562"/>
      <c r="K10" s="562"/>
      <c r="L10" s="562"/>
    </row>
    <row r="11" spans="2:12" x14ac:dyDescent="0.2">
      <c r="B11" s="1165" t="s">
        <v>4061</v>
      </c>
      <c r="C11" s="1165"/>
      <c r="D11" s="1165"/>
      <c r="E11" s="1165"/>
      <c r="F11" s="1165"/>
      <c r="G11" s="1165"/>
      <c r="H11" s="1165"/>
      <c r="I11" s="1165"/>
      <c r="J11" s="1165"/>
      <c r="K11" s="1165"/>
      <c r="L11" s="1165"/>
    </row>
    <row r="12" spans="2:12" x14ac:dyDescent="0.2">
      <c r="B12" s="1165"/>
      <c r="C12" s="1165"/>
      <c r="D12" s="1165"/>
      <c r="E12" s="1165"/>
      <c r="F12" s="562"/>
      <c r="G12" s="562"/>
      <c r="H12" s="562"/>
      <c r="I12" s="562"/>
      <c r="J12" s="562"/>
      <c r="K12" s="562"/>
      <c r="L12" s="562"/>
    </row>
    <row r="13" spans="2:12" x14ac:dyDescent="0.2">
      <c r="B13" s="1109" t="s">
        <v>4062</v>
      </c>
      <c r="C13" s="1109"/>
      <c r="D13" s="1109"/>
      <c r="E13" s="1109"/>
      <c r="F13" s="1109"/>
      <c r="G13" s="1109"/>
      <c r="H13" s="1109"/>
      <c r="I13" s="1109"/>
      <c r="J13" s="1109"/>
      <c r="K13" s="1109"/>
      <c r="L13" s="1109"/>
    </row>
    <row r="14" spans="2:12" x14ac:dyDescent="0.2">
      <c r="B14" s="1109"/>
      <c r="C14" s="1109"/>
      <c r="D14" s="1109"/>
      <c r="E14" s="1109"/>
      <c r="F14" s="1109"/>
      <c r="G14" s="1109"/>
      <c r="H14" s="1109"/>
      <c r="I14" s="1109"/>
      <c r="J14" s="1109"/>
      <c r="K14" s="1109"/>
      <c r="L14" s="1109"/>
    </row>
    <row r="15" spans="2:12" x14ac:dyDescent="0.2">
      <c r="B15" s="1165"/>
      <c r="C15" s="1165"/>
      <c r="D15" s="1165"/>
      <c r="E15" s="1165"/>
      <c r="F15" s="562"/>
      <c r="G15" s="562"/>
      <c r="H15" s="562"/>
      <c r="I15" s="562"/>
      <c r="J15" s="562"/>
      <c r="K15" s="562"/>
      <c r="L15" s="562"/>
    </row>
    <row r="16" spans="2:12" x14ac:dyDescent="0.2">
      <c r="B16" s="1110" t="s">
        <v>4063</v>
      </c>
      <c r="C16" s="1111"/>
      <c r="D16" s="1111"/>
      <c r="E16" s="1111"/>
      <c r="F16" s="1111"/>
      <c r="G16" s="1111"/>
      <c r="H16" s="1111"/>
      <c r="I16" s="1111"/>
      <c r="J16" s="1111"/>
      <c r="K16" s="1111"/>
      <c r="L16" s="1111"/>
    </row>
    <row r="17" spans="2:12" x14ac:dyDescent="0.2">
      <c r="B17" s="1110" t="s">
        <v>4064</v>
      </c>
      <c r="C17" s="1111"/>
      <c r="D17" s="1111"/>
      <c r="E17" s="1111"/>
      <c r="F17" s="1111"/>
      <c r="G17" s="1111"/>
      <c r="H17" s="1111"/>
      <c r="I17" s="1111"/>
      <c r="J17" s="1111"/>
      <c r="K17" s="1111"/>
      <c r="L17" s="1111"/>
    </row>
    <row r="18" spans="2:12" x14ac:dyDescent="0.2">
      <c r="B18" s="1165"/>
      <c r="C18" s="1165"/>
      <c r="D18" s="1165"/>
      <c r="E18" s="1165"/>
      <c r="F18" s="562"/>
      <c r="G18" s="562"/>
      <c r="H18" s="562"/>
      <c r="I18" s="562"/>
      <c r="J18" s="562"/>
      <c r="K18" s="562"/>
      <c r="L18" s="562"/>
    </row>
    <row r="19" spans="2:12" x14ac:dyDescent="0.2">
      <c r="B19" s="1159" t="s">
        <v>4065</v>
      </c>
      <c r="C19" s="1159"/>
      <c r="D19" s="1159"/>
      <c r="E19" s="1159"/>
      <c r="F19" s="1159"/>
      <c r="G19" s="1159"/>
      <c r="H19" s="1159"/>
      <c r="I19" s="1159"/>
      <c r="J19" s="1159"/>
      <c r="K19" s="1159"/>
      <c r="L19" s="1159"/>
    </row>
    <row r="20" spans="2:12" ht="16" thickBot="1" x14ac:dyDescent="0.25">
      <c r="B20" s="1166" t="s">
        <v>4066</v>
      </c>
      <c r="C20" s="1166"/>
      <c r="D20" s="1166"/>
      <c r="E20" s="1166"/>
      <c r="F20" s="1166"/>
      <c r="G20" s="1166"/>
      <c r="H20" s="1166"/>
      <c r="I20" s="1166"/>
      <c r="J20" s="1166"/>
      <c r="K20" s="1166"/>
      <c r="L20" s="1166"/>
    </row>
    <row r="21" spans="2:12" ht="15" customHeight="1" x14ac:dyDescent="0.2">
      <c r="B21" s="1168" t="s">
        <v>4067</v>
      </c>
      <c r="C21" s="1169"/>
      <c r="D21" s="1170"/>
      <c r="E21" s="1168" t="s">
        <v>4068</v>
      </c>
      <c r="F21" s="1169"/>
      <c r="G21" s="1169"/>
      <c r="H21" s="1169"/>
      <c r="I21" s="1169"/>
      <c r="J21" s="1169"/>
      <c r="K21" s="1169"/>
      <c r="L21" s="1170"/>
    </row>
    <row r="22" spans="2:12" ht="15" customHeight="1" thickBot="1" x14ac:dyDescent="0.25">
      <c r="B22" s="1171"/>
      <c r="C22" s="1166"/>
      <c r="D22" s="1172"/>
      <c r="E22" s="1171"/>
      <c r="F22" s="1166"/>
      <c r="G22" s="1166"/>
      <c r="H22" s="1166"/>
      <c r="I22" s="1166"/>
      <c r="J22" s="1166"/>
      <c r="K22" s="1166"/>
      <c r="L22" s="1172"/>
    </row>
    <row r="23" spans="2:12" ht="15" customHeight="1" x14ac:dyDescent="0.2">
      <c r="B23" s="1194" t="s">
        <v>4069</v>
      </c>
      <c r="C23" s="1161"/>
      <c r="D23" s="1161"/>
      <c r="E23" s="1161" t="s">
        <v>4070</v>
      </c>
      <c r="F23" s="1161"/>
      <c r="G23" s="1161"/>
      <c r="H23" s="1161"/>
      <c r="I23" s="1161"/>
      <c r="J23" s="1161"/>
      <c r="K23" s="1161"/>
      <c r="L23" s="1162"/>
    </row>
    <row r="24" spans="2:12" ht="15" customHeight="1" x14ac:dyDescent="0.2">
      <c r="B24" s="1157"/>
      <c r="C24" s="1158"/>
      <c r="D24" s="1158"/>
      <c r="E24" s="1158"/>
      <c r="F24" s="1158"/>
      <c r="G24" s="1158"/>
      <c r="H24" s="1158"/>
      <c r="I24" s="1158"/>
      <c r="J24" s="1158"/>
      <c r="K24" s="1158"/>
      <c r="L24" s="1160"/>
    </row>
    <row r="25" spans="2:12" ht="15" customHeight="1" x14ac:dyDescent="0.2">
      <c r="B25" s="1157" t="s">
        <v>4071</v>
      </c>
      <c r="C25" s="1158"/>
      <c r="D25" s="1158"/>
      <c r="E25" s="1158" t="s">
        <v>4072</v>
      </c>
      <c r="F25" s="1158"/>
      <c r="G25" s="1158"/>
      <c r="H25" s="1158"/>
      <c r="I25" s="1158"/>
      <c r="J25" s="1158"/>
      <c r="K25" s="1158"/>
      <c r="L25" s="1160"/>
    </row>
    <row r="26" spans="2:12" ht="15" customHeight="1" x14ac:dyDescent="0.2">
      <c r="B26" s="1157" t="s">
        <v>4073</v>
      </c>
      <c r="C26" s="1158"/>
      <c r="D26" s="1158"/>
      <c r="E26" s="1158" t="s">
        <v>4074</v>
      </c>
      <c r="F26" s="1158"/>
      <c r="G26" s="1158"/>
      <c r="H26" s="1158"/>
      <c r="I26" s="1158"/>
      <c r="J26" s="1158"/>
      <c r="K26" s="1158"/>
      <c r="L26" s="1160"/>
    </row>
    <row r="27" spans="2:12" ht="15" customHeight="1" x14ac:dyDescent="0.2">
      <c r="B27" s="1157"/>
      <c r="C27" s="1158"/>
      <c r="D27" s="1158"/>
      <c r="E27" s="1158"/>
      <c r="F27" s="1158"/>
      <c r="G27" s="1158"/>
      <c r="H27" s="1158"/>
      <c r="I27" s="1158"/>
      <c r="J27" s="1158"/>
      <c r="K27" s="1158"/>
      <c r="L27" s="1160"/>
    </row>
    <row r="28" spans="2:12" ht="15" customHeight="1" x14ac:dyDescent="0.2">
      <c r="B28" s="1157" t="s">
        <v>4075</v>
      </c>
      <c r="C28" s="1158"/>
      <c r="D28" s="1158"/>
      <c r="E28" s="1158" t="s">
        <v>4076</v>
      </c>
      <c r="F28" s="1158"/>
      <c r="G28" s="1158"/>
      <c r="H28" s="1158"/>
      <c r="I28" s="1158"/>
      <c r="J28" s="1158"/>
      <c r="K28" s="1158"/>
      <c r="L28" s="1160"/>
    </row>
    <row r="29" spans="2:12" ht="15" customHeight="1" x14ac:dyDescent="0.2">
      <c r="B29" s="1157"/>
      <c r="C29" s="1158"/>
      <c r="D29" s="1158"/>
      <c r="E29" s="1158" t="s">
        <v>4077</v>
      </c>
      <c r="F29" s="1158"/>
      <c r="G29" s="1158"/>
      <c r="H29" s="1158"/>
      <c r="I29" s="1158"/>
      <c r="J29" s="1158"/>
      <c r="K29" s="1158"/>
      <c r="L29" s="1160"/>
    </row>
    <row r="30" spans="2:12" ht="15" customHeight="1" x14ac:dyDescent="0.2">
      <c r="B30" s="1157" t="s">
        <v>4078</v>
      </c>
      <c r="C30" s="1158"/>
      <c r="D30" s="1158"/>
      <c r="E30" s="1158" t="s">
        <v>4076</v>
      </c>
      <c r="F30" s="1158"/>
      <c r="G30" s="1158"/>
      <c r="H30" s="1158"/>
      <c r="I30" s="1158"/>
      <c r="J30" s="1158"/>
      <c r="K30" s="1158"/>
      <c r="L30" s="1160"/>
    </row>
    <row r="31" spans="2:12" ht="15" customHeight="1" x14ac:dyDescent="0.2">
      <c r="B31" s="1157"/>
      <c r="C31" s="1158"/>
      <c r="D31" s="1158"/>
      <c r="E31" s="1158" t="s">
        <v>4077</v>
      </c>
      <c r="F31" s="1158"/>
      <c r="G31" s="1158"/>
      <c r="H31" s="1158"/>
      <c r="I31" s="1158"/>
      <c r="J31" s="1158"/>
      <c r="K31" s="1158"/>
      <c r="L31" s="1160"/>
    </row>
    <row r="32" spans="2:12" ht="15" customHeight="1" x14ac:dyDescent="0.2">
      <c r="B32" s="1157"/>
      <c r="C32" s="1158"/>
      <c r="D32" s="1158"/>
      <c r="E32" s="1158" t="s">
        <v>4079</v>
      </c>
      <c r="F32" s="1158"/>
      <c r="G32" s="1158"/>
      <c r="H32" s="1158"/>
      <c r="I32" s="1158"/>
      <c r="J32" s="1158"/>
      <c r="K32" s="1158"/>
      <c r="L32" s="1160"/>
    </row>
    <row r="33" spans="2:12" x14ac:dyDescent="0.2">
      <c r="B33" s="1157"/>
      <c r="C33" s="1158"/>
      <c r="D33" s="1158"/>
      <c r="E33" s="1158" t="s">
        <v>4080</v>
      </c>
      <c r="F33" s="1158"/>
      <c r="G33" s="1158"/>
      <c r="H33" s="1158"/>
      <c r="I33" s="1158"/>
      <c r="J33" s="1158"/>
      <c r="K33" s="1158"/>
      <c r="L33" s="1160"/>
    </row>
    <row r="34" spans="2:12" ht="15" customHeight="1" x14ac:dyDescent="0.2">
      <c r="B34" s="1157" t="s">
        <v>4081</v>
      </c>
      <c r="C34" s="1158"/>
      <c r="D34" s="1158"/>
      <c r="E34" s="1158" t="s">
        <v>4082</v>
      </c>
      <c r="F34" s="1158"/>
      <c r="G34" s="1158"/>
      <c r="H34" s="1158"/>
      <c r="I34" s="1158"/>
      <c r="J34" s="1158"/>
      <c r="K34" s="1158"/>
      <c r="L34" s="1160"/>
    </row>
    <row r="35" spans="2:12" ht="15" customHeight="1" x14ac:dyDescent="0.2">
      <c r="B35" s="1157"/>
      <c r="C35" s="1158"/>
      <c r="D35" s="1158"/>
      <c r="E35" s="1158" t="s">
        <v>4083</v>
      </c>
      <c r="F35" s="1158"/>
      <c r="G35" s="1158"/>
      <c r="H35" s="1158"/>
      <c r="I35" s="1158"/>
      <c r="J35" s="1158"/>
      <c r="K35" s="1158"/>
      <c r="L35" s="1160"/>
    </row>
    <row r="36" spans="2:12" ht="15" customHeight="1" x14ac:dyDescent="0.2">
      <c r="B36" s="1157"/>
      <c r="C36" s="1158"/>
      <c r="D36" s="1158"/>
      <c r="E36" s="1158" t="s">
        <v>4072</v>
      </c>
      <c r="F36" s="1158"/>
      <c r="G36" s="1158"/>
      <c r="H36" s="1158"/>
      <c r="I36" s="1158"/>
      <c r="J36" s="1158"/>
      <c r="K36" s="1158"/>
      <c r="L36" s="1160"/>
    </row>
    <row r="37" spans="2:12" ht="15" customHeight="1" x14ac:dyDescent="0.2">
      <c r="B37" s="1157"/>
      <c r="C37" s="1158"/>
      <c r="D37" s="1158"/>
      <c r="E37" s="1158" t="s">
        <v>4084</v>
      </c>
      <c r="F37" s="1158"/>
      <c r="G37" s="1158"/>
      <c r="H37" s="1158"/>
      <c r="I37" s="1158"/>
      <c r="J37" s="1158"/>
      <c r="K37" s="1158"/>
      <c r="L37" s="1160"/>
    </row>
    <row r="38" spans="2:12" ht="15" customHeight="1" x14ac:dyDescent="0.2">
      <c r="B38" s="1157"/>
      <c r="C38" s="1158"/>
      <c r="D38" s="1158"/>
      <c r="E38" s="1158" t="s">
        <v>4085</v>
      </c>
      <c r="F38" s="1158"/>
      <c r="G38" s="1158"/>
      <c r="H38" s="1158"/>
      <c r="I38" s="1158"/>
      <c r="J38" s="1158"/>
      <c r="K38" s="1158"/>
      <c r="L38" s="1160"/>
    </row>
    <row r="39" spans="2:12" ht="15.75" customHeight="1" x14ac:dyDescent="0.2">
      <c r="B39" s="1157" t="s">
        <v>4086</v>
      </c>
      <c r="C39" s="1158"/>
      <c r="D39" s="1158"/>
      <c r="E39" s="1158" t="s">
        <v>4087</v>
      </c>
      <c r="F39" s="1158"/>
      <c r="G39" s="1158"/>
      <c r="H39" s="1158"/>
      <c r="I39" s="1158"/>
      <c r="J39" s="1158"/>
      <c r="K39" s="1158"/>
      <c r="L39" s="1160"/>
    </row>
    <row r="40" spans="2:12" ht="15.75" customHeight="1" thickBot="1" x14ac:dyDescent="0.25">
      <c r="B40" s="1178"/>
      <c r="C40" s="1163"/>
      <c r="D40" s="1163"/>
      <c r="E40" s="1163"/>
      <c r="F40" s="1163"/>
      <c r="G40" s="1163"/>
      <c r="H40" s="1163"/>
      <c r="I40" s="1163"/>
      <c r="J40" s="1163"/>
      <c r="K40" s="1163"/>
      <c r="L40" s="1164"/>
    </row>
    <row r="43" spans="2:12" x14ac:dyDescent="0.2">
      <c r="B43" s="1188" t="s">
        <v>4088</v>
      </c>
      <c r="C43" s="1189"/>
      <c r="D43" s="1189"/>
      <c r="E43" s="1189"/>
      <c r="F43" s="1189"/>
      <c r="G43" s="1189"/>
      <c r="H43" s="1189"/>
      <c r="I43" s="1189"/>
      <c r="J43" s="1189"/>
      <c r="K43" s="1189"/>
      <c r="L43" s="1190"/>
    </row>
    <row r="44" spans="2:12" ht="16" thickBot="1" x14ac:dyDescent="0.25">
      <c r="B44" s="1191" t="s">
        <v>4089</v>
      </c>
      <c r="C44" s="1192"/>
      <c r="D44" s="1192"/>
      <c r="E44" s="1192"/>
      <c r="F44" s="1192"/>
      <c r="G44" s="1192"/>
      <c r="H44" s="1192"/>
      <c r="I44" s="1192"/>
      <c r="J44" s="1192"/>
      <c r="K44" s="1192"/>
      <c r="L44" s="1193"/>
    </row>
    <row r="45" spans="2:12" ht="16" thickBot="1" x14ac:dyDescent="0.25">
      <c r="B45" s="1173" t="s">
        <v>4090</v>
      </c>
      <c r="C45" s="1174"/>
      <c r="D45" s="1174"/>
      <c r="E45" s="1174"/>
      <c r="F45" s="1175"/>
      <c r="G45" s="1173" t="s">
        <v>4091</v>
      </c>
      <c r="H45" s="1174"/>
      <c r="I45" s="1174"/>
      <c r="J45" s="1174"/>
      <c r="K45" s="1174"/>
      <c r="L45" s="1175"/>
    </row>
    <row r="46" spans="2:12" x14ac:dyDescent="0.2">
      <c r="B46" s="1176" t="s">
        <v>4092</v>
      </c>
      <c r="C46" s="1177"/>
      <c r="D46" s="1177"/>
      <c r="E46" s="1177"/>
      <c r="F46" s="1177"/>
      <c r="G46" s="1183" t="s">
        <v>4093</v>
      </c>
      <c r="H46" s="1183"/>
      <c r="I46" s="1183"/>
      <c r="J46" s="1183"/>
      <c r="K46" s="1183"/>
      <c r="L46" s="1184"/>
    </row>
    <row r="47" spans="2:12" x14ac:dyDescent="0.2">
      <c r="B47" s="1157"/>
      <c r="C47" s="1158"/>
      <c r="D47" s="1158"/>
      <c r="E47" s="1158"/>
      <c r="F47" s="1158"/>
      <c r="G47" s="1179" t="s">
        <v>4094</v>
      </c>
      <c r="H47" s="1179"/>
      <c r="I47" s="1179"/>
      <c r="J47" s="1179"/>
      <c r="K47" s="1179"/>
      <c r="L47" s="1180"/>
    </row>
    <row r="48" spans="2:12" x14ac:dyDescent="0.2">
      <c r="B48" s="1157"/>
      <c r="C48" s="1158"/>
      <c r="D48" s="1158"/>
      <c r="E48" s="1158"/>
      <c r="F48" s="1158"/>
      <c r="G48" s="1179" t="s">
        <v>4095</v>
      </c>
      <c r="H48" s="1179"/>
      <c r="I48" s="1179"/>
      <c r="J48" s="1179"/>
      <c r="K48" s="1179"/>
      <c r="L48" s="1180"/>
    </row>
    <row r="49" spans="2:12" x14ac:dyDescent="0.2">
      <c r="B49" s="1157"/>
      <c r="C49" s="1158"/>
      <c r="D49" s="1158"/>
      <c r="E49" s="1158"/>
      <c r="F49" s="1158"/>
      <c r="G49" s="1181" t="s">
        <v>4096</v>
      </c>
      <c r="H49" s="1181"/>
      <c r="I49" s="1181"/>
      <c r="J49" s="1181"/>
      <c r="K49" s="1181"/>
      <c r="L49" s="1182"/>
    </row>
    <row r="50" spans="2:12" x14ac:dyDescent="0.2">
      <c r="B50" s="1157"/>
      <c r="C50" s="1158"/>
      <c r="D50" s="1158"/>
      <c r="E50" s="1158"/>
      <c r="F50" s="1158"/>
      <c r="G50" s="1179" t="s">
        <v>4097</v>
      </c>
      <c r="H50" s="1179"/>
      <c r="I50" s="1179"/>
      <c r="J50" s="1179"/>
      <c r="K50" s="1179"/>
      <c r="L50" s="1180"/>
    </row>
    <row r="51" spans="2:12" x14ac:dyDescent="0.2">
      <c r="B51" s="1157" t="s">
        <v>4072</v>
      </c>
      <c r="C51" s="1158"/>
      <c r="D51" s="1158"/>
      <c r="E51" s="1158"/>
      <c r="F51" s="1158"/>
      <c r="G51" s="1179" t="s">
        <v>4098</v>
      </c>
      <c r="H51" s="1179"/>
      <c r="I51" s="1179"/>
      <c r="J51" s="1179"/>
      <c r="K51" s="1179"/>
      <c r="L51" s="1180"/>
    </row>
    <row r="52" spans="2:12" x14ac:dyDescent="0.2">
      <c r="B52" s="1157"/>
      <c r="C52" s="1158"/>
      <c r="D52" s="1158"/>
      <c r="E52" s="1158"/>
      <c r="F52" s="1158"/>
      <c r="G52" s="1179" t="s">
        <v>4099</v>
      </c>
      <c r="H52" s="1179"/>
      <c r="I52" s="1179"/>
      <c r="J52" s="1179"/>
      <c r="K52" s="1179"/>
      <c r="L52" s="1180"/>
    </row>
    <row r="53" spans="2:12" x14ac:dyDescent="0.2">
      <c r="B53" s="1157"/>
      <c r="C53" s="1158"/>
      <c r="D53" s="1158"/>
      <c r="E53" s="1158"/>
      <c r="F53" s="1158"/>
      <c r="G53" s="1179" t="s">
        <v>4100</v>
      </c>
      <c r="H53" s="1179"/>
      <c r="I53" s="1179"/>
      <c r="J53" s="1179"/>
      <c r="K53" s="1179"/>
      <c r="L53" s="1180"/>
    </row>
    <row r="54" spans="2:12" x14ac:dyDescent="0.2">
      <c r="B54" s="1157"/>
      <c r="C54" s="1158"/>
      <c r="D54" s="1158"/>
      <c r="E54" s="1158"/>
      <c r="F54" s="1158"/>
      <c r="G54" s="1179" t="s">
        <v>4101</v>
      </c>
      <c r="H54" s="1179"/>
      <c r="I54" s="1179"/>
      <c r="J54" s="1179"/>
      <c r="K54" s="1179"/>
      <c r="L54" s="1180"/>
    </row>
    <row r="55" spans="2:12" x14ac:dyDescent="0.2">
      <c r="B55" s="1157"/>
      <c r="C55" s="1158"/>
      <c r="D55" s="1158"/>
      <c r="E55" s="1158"/>
      <c r="F55" s="1158"/>
      <c r="G55" s="1181" t="s">
        <v>4102</v>
      </c>
      <c r="H55" s="1181"/>
      <c r="I55" s="1181"/>
      <c r="J55" s="1181"/>
      <c r="K55" s="1181"/>
      <c r="L55" s="1182"/>
    </row>
    <row r="56" spans="2:12" x14ac:dyDescent="0.2">
      <c r="B56" s="1157"/>
      <c r="C56" s="1158"/>
      <c r="D56" s="1158"/>
      <c r="E56" s="1158"/>
      <c r="F56" s="1158"/>
      <c r="G56" s="1179" t="s">
        <v>4103</v>
      </c>
      <c r="H56" s="1179"/>
      <c r="I56" s="1179"/>
      <c r="J56" s="1179"/>
      <c r="K56" s="1179"/>
      <c r="L56" s="1180"/>
    </row>
    <row r="57" spans="2:12" x14ac:dyDescent="0.2">
      <c r="B57" s="1157" t="s">
        <v>4076</v>
      </c>
      <c r="C57" s="1158"/>
      <c r="D57" s="1158"/>
      <c r="E57" s="1158"/>
      <c r="F57" s="1158"/>
      <c r="G57" s="1179" t="s">
        <v>4104</v>
      </c>
      <c r="H57" s="1179"/>
      <c r="I57" s="1179"/>
      <c r="J57" s="1179"/>
      <c r="K57" s="1179"/>
      <c r="L57" s="1180"/>
    </row>
    <row r="58" spans="2:12" x14ac:dyDescent="0.2">
      <c r="B58" s="1157"/>
      <c r="C58" s="1158"/>
      <c r="D58" s="1158"/>
      <c r="E58" s="1158"/>
      <c r="F58" s="1158"/>
      <c r="G58" s="1179"/>
      <c r="H58" s="1179"/>
      <c r="I58" s="1179"/>
      <c r="J58" s="1179"/>
      <c r="K58" s="1179"/>
      <c r="L58" s="1180"/>
    </row>
    <row r="59" spans="2:12" x14ac:dyDescent="0.2">
      <c r="B59" s="1157"/>
      <c r="C59" s="1158"/>
      <c r="D59" s="1158"/>
      <c r="E59" s="1158"/>
      <c r="F59" s="1158"/>
      <c r="G59" s="1181" t="s">
        <v>4105</v>
      </c>
      <c r="H59" s="1181"/>
      <c r="I59" s="1181"/>
      <c r="J59" s="1181"/>
      <c r="K59" s="1181"/>
      <c r="L59" s="1182"/>
    </row>
    <row r="60" spans="2:12" x14ac:dyDescent="0.2">
      <c r="B60" s="1157"/>
      <c r="C60" s="1158"/>
      <c r="D60" s="1158"/>
      <c r="E60" s="1158"/>
      <c r="F60" s="1158"/>
      <c r="G60" s="1179" t="s">
        <v>4106</v>
      </c>
      <c r="H60" s="1179"/>
      <c r="I60" s="1179"/>
      <c r="J60" s="1179"/>
      <c r="K60" s="1179"/>
      <c r="L60" s="1180"/>
    </row>
    <row r="61" spans="2:12" x14ac:dyDescent="0.2">
      <c r="B61" s="1157" t="s">
        <v>4084</v>
      </c>
      <c r="C61" s="1158"/>
      <c r="D61" s="1158"/>
      <c r="E61" s="1158"/>
      <c r="F61" s="1158"/>
      <c r="G61" s="1179" t="s">
        <v>4107</v>
      </c>
      <c r="H61" s="1179"/>
      <c r="I61" s="1179"/>
      <c r="J61" s="1179"/>
      <c r="K61" s="1179"/>
      <c r="L61" s="1180"/>
    </row>
    <row r="62" spans="2:12" x14ac:dyDescent="0.2">
      <c r="B62" s="1157"/>
      <c r="C62" s="1158"/>
      <c r="D62" s="1158"/>
      <c r="E62" s="1158"/>
      <c r="F62" s="1158"/>
      <c r="G62" s="1179" t="s">
        <v>4108</v>
      </c>
      <c r="H62" s="1179"/>
      <c r="I62" s="1179"/>
      <c r="J62" s="1179"/>
      <c r="K62" s="1179"/>
      <c r="L62" s="1180"/>
    </row>
    <row r="63" spans="2:12" x14ac:dyDescent="0.2">
      <c r="B63" s="1157"/>
      <c r="C63" s="1158"/>
      <c r="D63" s="1158"/>
      <c r="E63" s="1158"/>
      <c r="F63" s="1158"/>
      <c r="G63" s="1179" t="s">
        <v>4109</v>
      </c>
      <c r="H63" s="1179"/>
      <c r="I63" s="1179"/>
      <c r="J63" s="1179"/>
      <c r="K63" s="1179"/>
      <c r="L63" s="1180"/>
    </row>
    <row r="64" spans="2:12" x14ac:dyDescent="0.2">
      <c r="B64" s="1157"/>
      <c r="C64" s="1158"/>
      <c r="D64" s="1158"/>
      <c r="E64" s="1158"/>
      <c r="F64" s="1158"/>
      <c r="G64" s="1181" t="s">
        <v>4110</v>
      </c>
      <c r="H64" s="1181"/>
      <c r="I64" s="1181"/>
      <c r="J64" s="1181"/>
      <c r="K64" s="1181"/>
      <c r="L64" s="1182"/>
    </row>
    <row r="65" spans="2:12" x14ac:dyDescent="0.2">
      <c r="B65" s="1157" t="s">
        <v>4077</v>
      </c>
      <c r="C65" s="1158"/>
      <c r="D65" s="1158"/>
      <c r="E65" s="1158"/>
      <c r="F65" s="1158"/>
      <c r="G65" s="1179" t="s">
        <v>4111</v>
      </c>
      <c r="H65" s="1179"/>
      <c r="I65" s="1179"/>
      <c r="J65" s="1179"/>
      <c r="K65" s="1179"/>
      <c r="L65" s="1180"/>
    </row>
    <row r="66" spans="2:12" x14ac:dyDescent="0.2">
      <c r="B66" s="1157"/>
      <c r="C66" s="1158"/>
      <c r="D66" s="1158"/>
      <c r="E66" s="1158"/>
      <c r="F66" s="1158"/>
      <c r="G66" s="1179" t="s">
        <v>4112</v>
      </c>
      <c r="H66" s="1179"/>
      <c r="I66" s="1179"/>
      <c r="J66" s="1179"/>
      <c r="K66" s="1179"/>
      <c r="L66" s="1180"/>
    </row>
    <row r="67" spans="2:12" x14ac:dyDescent="0.2">
      <c r="B67" s="1157"/>
      <c r="C67" s="1158"/>
      <c r="D67" s="1158"/>
      <c r="E67" s="1158"/>
      <c r="F67" s="1158"/>
      <c r="G67" s="1179" t="s">
        <v>4113</v>
      </c>
      <c r="H67" s="1179"/>
      <c r="I67" s="1179"/>
      <c r="J67" s="1179"/>
      <c r="K67" s="1179"/>
      <c r="L67" s="1180"/>
    </row>
    <row r="68" spans="2:12" x14ac:dyDescent="0.2">
      <c r="B68" s="1157"/>
      <c r="C68" s="1158"/>
      <c r="D68" s="1158"/>
      <c r="E68" s="1158"/>
      <c r="F68" s="1158"/>
      <c r="G68" s="1181" t="s">
        <v>4114</v>
      </c>
      <c r="H68" s="1181"/>
      <c r="I68" s="1181"/>
      <c r="J68" s="1181"/>
      <c r="K68" s="1181"/>
      <c r="L68" s="1182"/>
    </row>
    <row r="69" spans="2:12" x14ac:dyDescent="0.2">
      <c r="B69" s="1157"/>
      <c r="C69" s="1158"/>
      <c r="D69" s="1158"/>
      <c r="E69" s="1158"/>
      <c r="F69" s="1158"/>
      <c r="G69" s="1179" t="s">
        <v>4115</v>
      </c>
      <c r="H69" s="1179"/>
      <c r="I69" s="1179"/>
      <c r="J69" s="1179"/>
      <c r="K69" s="1179"/>
      <c r="L69" s="1180"/>
    </row>
    <row r="70" spans="2:12" x14ac:dyDescent="0.2">
      <c r="B70" s="1157" t="s">
        <v>4079</v>
      </c>
      <c r="C70" s="1158"/>
      <c r="D70" s="1158"/>
      <c r="E70" s="1158"/>
      <c r="F70" s="1158"/>
      <c r="G70" s="1179" t="s">
        <v>4116</v>
      </c>
      <c r="H70" s="1179"/>
      <c r="I70" s="1179"/>
      <c r="J70" s="1179"/>
      <c r="K70" s="1179"/>
      <c r="L70" s="1180"/>
    </row>
    <row r="71" spans="2:12" x14ac:dyDescent="0.2">
      <c r="B71" s="1157"/>
      <c r="C71" s="1158"/>
      <c r="D71" s="1158"/>
      <c r="E71" s="1158"/>
      <c r="F71" s="1158"/>
      <c r="G71" s="1179" t="s">
        <v>4117</v>
      </c>
      <c r="H71" s="1179"/>
      <c r="I71" s="1179"/>
      <c r="J71" s="1179"/>
      <c r="K71" s="1179"/>
      <c r="L71" s="1180"/>
    </row>
    <row r="72" spans="2:12" x14ac:dyDescent="0.2">
      <c r="B72" s="1157"/>
      <c r="C72" s="1158"/>
      <c r="D72" s="1158"/>
      <c r="E72" s="1158"/>
      <c r="F72" s="1158"/>
      <c r="G72" s="1179" t="s">
        <v>4118</v>
      </c>
      <c r="H72" s="1179"/>
      <c r="I72" s="1179"/>
      <c r="J72" s="1179"/>
      <c r="K72" s="1179"/>
      <c r="L72" s="1180"/>
    </row>
    <row r="73" spans="2:12" x14ac:dyDescent="0.2">
      <c r="B73" s="1157"/>
      <c r="C73" s="1158"/>
      <c r="D73" s="1158"/>
      <c r="E73" s="1158"/>
      <c r="F73" s="1158"/>
      <c r="G73" s="1181" t="s">
        <v>4119</v>
      </c>
      <c r="H73" s="1181"/>
      <c r="I73" s="1181"/>
      <c r="J73" s="1181"/>
      <c r="K73" s="1181"/>
      <c r="L73" s="1182"/>
    </row>
    <row r="74" spans="2:12" x14ac:dyDescent="0.2">
      <c r="B74" s="1157"/>
      <c r="C74" s="1158"/>
      <c r="D74" s="1158"/>
      <c r="E74" s="1158"/>
      <c r="F74" s="1158"/>
      <c r="G74" s="1179" t="s">
        <v>4120</v>
      </c>
      <c r="H74" s="1179"/>
      <c r="I74" s="1179"/>
      <c r="J74" s="1179"/>
      <c r="K74" s="1179"/>
      <c r="L74" s="1180"/>
    </row>
    <row r="75" spans="2:12" x14ac:dyDescent="0.2">
      <c r="B75" s="1157" t="s">
        <v>4080</v>
      </c>
      <c r="C75" s="1158"/>
      <c r="D75" s="1158"/>
      <c r="E75" s="1158"/>
      <c r="F75" s="1158"/>
      <c r="G75" s="1179" t="s">
        <v>4121</v>
      </c>
      <c r="H75" s="1179"/>
      <c r="I75" s="1179"/>
      <c r="J75" s="1179"/>
      <c r="K75" s="1179"/>
      <c r="L75" s="1180"/>
    </row>
    <row r="76" spans="2:12" x14ac:dyDescent="0.2">
      <c r="B76" s="1157"/>
      <c r="C76" s="1158"/>
      <c r="D76" s="1158"/>
      <c r="E76" s="1158"/>
      <c r="F76" s="1158"/>
      <c r="G76" s="1179" t="s">
        <v>4122</v>
      </c>
      <c r="H76" s="1179"/>
      <c r="I76" s="1179"/>
      <c r="J76" s="1179"/>
      <c r="K76" s="1179"/>
      <c r="L76" s="1180"/>
    </row>
    <row r="77" spans="2:12" x14ac:dyDescent="0.2">
      <c r="B77" s="1157"/>
      <c r="C77" s="1158"/>
      <c r="D77" s="1158"/>
      <c r="E77" s="1158"/>
      <c r="F77" s="1158"/>
      <c r="G77" s="1179" t="s">
        <v>4123</v>
      </c>
      <c r="H77" s="1179"/>
      <c r="I77" s="1179"/>
      <c r="J77" s="1179"/>
      <c r="K77" s="1179"/>
      <c r="L77" s="1180"/>
    </row>
    <row r="78" spans="2:12" x14ac:dyDescent="0.2">
      <c r="B78" s="1157"/>
      <c r="C78" s="1158"/>
      <c r="D78" s="1158"/>
      <c r="E78" s="1158"/>
      <c r="F78" s="1158"/>
      <c r="G78" s="1181" t="s">
        <v>4124</v>
      </c>
      <c r="H78" s="1181"/>
      <c r="I78" s="1181"/>
      <c r="J78" s="1181"/>
      <c r="K78" s="1181"/>
      <c r="L78" s="1182"/>
    </row>
    <row r="79" spans="2:12" ht="16" thickBot="1" x14ac:dyDescent="0.25">
      <c r="B79" s="1178"/>
      <c r="C79" s="1163"/>
      <c r="D79" s="1163"/>
      <c r="E79" s="1163"/>
      <c r="F79" s="1163"/>
      <c r="G79" s="1186" t="s">
        <v>4106</v>
      </c>
      <c r="H79" s="1186"/>
      <c r="I79" s="1186"/>
      <c r="J79" s="1186"/>
      <c r="K79" s="1186"/>
      <c r="L79" s="1187"/>
    </row>
  </sheetData>
  <sheetProtection algorithmName="SHA-512" hashValue="jYiNfsAs0vDGl5egenBYtgehPKUXXOUtVzFPohX6d89sM1dR2K4Jj9+jB6vOaJTYu0/1d6sELYsUbeam5IOUTA==" saltValue="xIZbiM1ZAQGRkv03P1bYIA==" spinCount="100000" sheet="1" objects="1" scenarios="1" selectLockedCells="1" selectUnlockedCells="1"/>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scale="82" fitToHeight="0" orientation="portrait" r:id="rId8"/>
  <rowBreaks count="1" manualBreakCount="1">
    <brk id="42"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pageSetUpPr fitToPage="1"/>
  </sheetPr>
  <dimension ref="B2:I13"/>
  <sheetViews>
    <sheetView showGridLines="0" zoomScaleNormal="100" workbookViewId="0">
      <selection activeCell="B2" sqref="B2:C2"/>
    </sheetView>
  </sheetViews>
  <sheetFormatPr baseColWidth="10" defaultColWidth="9.1640625" defaultRowHeight="15" x14ac:dyDescent="0.2"/>
  <cols>
    <col min="1" max="7" width="9.1640625" style="470"/>
    <col min="8" max="8" width="10.1640625" style="470" customWidth="1"/>
    <col min="9" max="16384" width="9.1640625" style="470"/>
  </cols>
  <sheetData>
    <row r="2" spans="2:9" x14ac:dyDescent="0.2">
      <c r="B2" s="1195" t="s">
        <v>4125</v>
      </c>
      <c r="C2" s="1195"/>
      <c r="D2" s="562"/>
      <c r="E2" s="562"/>
      <c r="F2" s="562"/>
      <c r="G2" s="1196" t="s">
        <v>4126</v>
      </c>
      <c r="H2" s="1197"/>
      <c r="I2" s="1198"/>
    </row>
    <row r="4" spans="2:9" x14ac:dyDescent="0.2">
      <c r="B4" s="874" t="s">
        <v>4127</v>
      </c>
      <c r="C4" s="874"/>
      <c r="D4" s="874"/>
      <c r="E4" s="874"/>
      <c r="F4" s="874"/>
      <c r="G4" s="874"/>
      <c r="H4" s="874"/>
      <c r="I4" s="874"/>
    </row>
    <row r="5" spans="2:9" customFormat="1" ht="15" customHeight="1" x14ac:dyDescent="0.2">
      <c r="B5" s="874" t="s">
        <v>4128</v>
      </c>
      <c r="C5" s="874"/>
      <c r="D5" s="874"/>
      <c r="E5" s="874"/>
      <c r="F5" s="874"/>
      <c r="G5" s="874"/>
      <c r="H5" s="874"/>
      <c r="I5" s="874"/>
    </row>
    <row r="6" spans="2:9" customFormat="1" x14ac:dyDescent="0.2">
      <c r="B6" s="1063"/>
      <c r="C6" s="1063"/>
      <c r="D6" s="1063"/>
      <c r="E6" s="1063"/>
      <c r="F6" s="1063" t="s">
        <v>4129</v>
      </c>
      <c r="G6" s="1063"/>
      <c r="H6" s="1063"/>
      <c r="I6" s="1063"/>
    </row>
    <row r="7" spans="2:9" customFormat="1" x14ac:dyDescent="0.2">
      <c r="B7" s="1063"/>
      <c r="C7" s="1063"/>
      <c r="D7" s="1063"/>
      <c r="E7" s="1063"/>
      <c r="F7" s="690" t="s">
        <v>3865</v>
      </c>
      <c r="G7" s="690" t="s">
        <v>3866</v>
      </c>
      <c r="H7" s="690" t="s">
        <v>3867</v>
      </c>
      <c r="I7" s="690" t="s">
        <v>3868</v>
      </c>
    </row>
    <row r="8" spans="2:9" customFormat="1" x14ac:dyDescent="0.2">
      <c r="B8" s="1199" t="s">
        <v>4130</v>
      </c>
      <c r="C8" s="1199"/>
      <c r="D8" s="1199"/>
      <c r="E8" s="1199"/>
      <c r="F8" s="480">
        <v>0.15</v>
      </c>
      <c r="G8" s="480">
        <v>0.25</v>
      </c>
      <c r="H8" s="480">
        <v>0.35</v>
      </c>
      <c r="I8" s="480">
        <v>0.45</v>
      </c>
    </row>
    <row r="9" spans="2:9" customFormat="1" x14ac:dyDescent="0.2">
      <c r="B9" s="562"/>
      <c r="C9" s="562"/>
      <c r="D9" s="562"/>
      <c r="E9" s="562"/>
      <c r="F9" s="562"/>
      <c r="G9" s="562"/>
      <c r="H9" s="562"/>
      <c r="I9" s="562"/>
    </row>
    <row r="10" spans="2:9" customFormat="1" ht="15" customHeight="1" x14ac:dyDescent="0.2">
      <c r="B10" s="562"/>
      <c r="C10" s="562"/>
      <c r="D10" s="562"/>
      <c r="E10" s="562"/>
      <c r="F10" s="562"/>
      <c r="G10" s="562"/>
      <c r="H10" s="562"/>
      <c r="I10" s="562"/>
    </row>
    <row r="11" spans="2:9" customFormat="1" x14ac:dyDescent="0.2">
      <c r="B11" s="562"/>
      <c r="C11" s="562"/>
      <c r="D11" s="562"/>
      <c r="E11" s="562"/>
      <c r="F11" s="562"/>
      <c r="G11" s="562"/>
      <c r="H11" s="562"/>
      <c r="I11" s="562"/>
    </row>
    <row r="12" spans="2:9" customFormat="1" x14ac:dyDescent="0.2">
      <c r="B12" s="562"/>
      <c r="C12" s="562"/>
      <c r="D12" s="562"/>
      <c r="E12" s="562"/>
      <c r="F12" s="562"/>
      <c r="G12" s="562"/>
      <c r="H12" s="562"/>
      <c r="I12" s="562"/>
    </row>
    <row r="13" spans="2:9" customFormat="1" x14ac:dyDescent="0.2">
      <c r="B13" s="562"/>
      <c r="C13" s="562"/>
      <c r="D13" s="562"/>
      <c r="E13" s="562"/>
      <c r="F13" s="562"/>
      <c r="G13" s="562"/>
      <c r="H13" s="562"/>
      <c r="I13" s="562"/>
    </row>
  </sheetData>
  <sheetProtection algorithmName="SHA-512" hashValue="l2G89pJ1KnwCEA+vQ0VB919inuBslro4x+tR8uLDgcztniRbsLQ6jKnFmag6u1BzDdeo13gjm/Gh4ru0tjbp7A==" saltValue="J2nZbweaPc2+7DXqtScdLQ==" spinCount="100000" sheet="1" objects="1" scenarios="1" selectLockedCells="1"/>
  <mergeCells count="7">
    <mergeCell ref="B2:C2"/>
    <mergeCell ref="G2:I2"/>
    <mergeCell ref="B8:E8"/>
    <mergeCell ref="B4:I4"/>
    <mergeCell ref="B5:I5"/>
    <mergeCell ref="F6:I6"/>
    <mergeCell ref="B6:E7"/>
  </mergeCells>
  <hyperlinks>
    <hyperlink ref="B2:C2" location="'Ch7'!W145" display="back to Chapter 7" xr:uid="{00000000-0004-0000-1600-000000000000}"/>
    <hyperlink ref="G2:H2" location="'Verification Report'!A1" display="back to Verification Report" xr:uid="{00000000-0004-0000-1600-000001000000}"/>
    <hyperlink ref="G2:I2" location="'Verification (Ch. 7)'!W26" display="back to Verification Report" xr:uid="{00000000-0004-0000-1600-000002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pageSetUpPr fitToPage="1"/>
  </sheetPr>
  <dimension ref="B2:I10"/>
  <sheetViews>
    <sheetView showGridLines="0" zoomScaleNormal="100" workbookViewId="0">
      <selection activeCell="B2" sqref="B2:C2"/>
    </sheetView>
  </sheetViews>
  <sheetFormatPr baseColWidth="10" defaultColWidth="9.1640625" defaultRowHeight="15" x14ac:dyDescent="0.2"/>
  <cols>
    <col min="1" max="7" width="9.1640625" style="475"/>
    <col min="8" max="8" width="10.1640625" style="475" customWidth="1"/>
    <col min="9" max="16384" width="9.1640625" style="475"/>
  </cols>
  <sheetData>
    <row r="2" spans="2:9" x14ac:dyDescent="0.2">
      <c r="B2" s="1195" t="s">
        <v>4131</v>
      </c>
      <c r="C2" s="1195"/>
      <c r="D2" s="562"/>
      <c r="E2" s="562"/>
      <c r="F2" s="562"/>
      <c r="G2" s="1196" t="s">
        <v>4126</v>
      </c>
      <c r="H2" s="1197"/>
      <c r="I2" s="1198"/>
    </row>
    <row r="4" spans="2:9" x14ac:dyDescent="0.2">
      <c r="B4" s="874" t="s">
        <v>4132</v>
      </c>
      <c r="C4" s="874"/>
      <c r="D4" s="874"/>
      <c r="E4" s="874"/>
      <c r="F4" s="874"/>
      <c r="G4" s="874"/>
      <c r="H4" s="874"/>
      <c r="I4" s="874"/>
    </row>
    <row r="5" spans="2:9" ht="15" customHeight="1" x14ac:dyDescent="0.2">
      <c r="B5" s="874" t="s">
        <v>4133</v>
      </c>
      <c r="C5" s="874"/>
      <c r="D5" s="874"/>
      <c r="E5" s="874"/>
      <c r="F5" s="874"/>
      <c r="G5" s="874"/>
      <c r="H5" s="874"/>
      <c r="I5" s="874"/>
    </row>
    <row r="6" spans="2:9" x14ac:dyDescent="0.2">
      <c r="B6" s="1063"/>
      <c r="C6" s="1063"/>
      <c r="D6" s="1063"/>
      <c r="E6" s="1063"/>
      <c r="F6" s="1063" t="s">
        <v>4129</v>
      </c>
      <c r="G6" s="1063"/>
      <c r="H6" s="1063"/>
      <c r="I6" s="1063"/>
    </row>
    <row r="7" spans="2:9" x14ac:dyDescent="0.2">
      <c r="B7" s="1063"/>
      <c r="C7" s="1063"/>
      <c r="D7" s="1063"/>
      <c r="E7" s="1063"/>
      <c r="F7" s="690" t="s">
        <v>3865</v>
      </c>
      <c r="G7" s="690" t="s">
        <v>3866</v>
      </c>
      <c r="H7" s="690" t="s">
        <v>3867</v>
      </c>
      <c r="I7" s="690" t="s">
        <v>3868</v>
      </c>
    </row>
    <row r="8" spans="2:9" x14ac:dyDescent="0.2">
      <c r="B8" s="1199" t="s">
        <v>4134</v>
      </c>
      <c r="C8" s="1199"/>
      <c r="D8" s="1199"/>
      <c r="E8" s="1199"/>
      <c r="F8" s="480">
        <v>0.2</v>
      </c>
      <c r="G8" s="480">
        <v>0.3</v>
      </c>
      <c r="H8" s="480">
        <v>0.4</v>
      </c>
      <c r="I8" s="480">
        <v>0.5</v>
      </c>
    </row>
    <row r="10" spans="2:9" ht="15" customHeight="1" x14ac:dyDescent="0.2">
      <c r="B10" s="562"/>
      <c r="C10" s="562"/>
      <c r="D10" s="562"/>
      <c r="E10" s="562"/>
      <c r="F10" s="562"/>
      <c r="G10" s="562"/>
      <c r="H10" s="562"/>
      <c r="I10" s="562"/>
    </row>
  </sheetData>
  <sheetProtection algorithmName="SHA-512" hashValue="R3f5cOWvwv++glPXr//TbGNQkwoySDuLrmVYlt69vwgcejye2KLb4iRPqT2LlFX09MOYoAgx7RyjtQuH7DTxCg==" saltValue="tRAn0A+OChYQIVR9MfKIgQ==" spinCount="100000" sheet="1" objects="1" scenarios="1" selectLockedCells="1"/>
  <mergeCells count="7">
    <mergeCell ref="B8:E8"/>
    <mergeCell ref="B2:C2"/>
    <mergeCell ref="G2:I2"/>
    <mergeCell ref="B4:I4"/>
    <mergeCell ref="B5:I5"/>
    <mergeCell ref="B6:E7"/>
    <mergeCell ref="F6:I6"/>
  </mergeCells>
  <hyperlinks>
    <hyperlink ref="B2:C2" location="hyptarg3.2" display="back to Chapter 8" xr:uid="{00000000-0004-0000-1700-000000000000}"/>
    <hyperlink ref="G2:H2" location="'Verification Report'!A1" display="back to Verification Report" xr:uid="{00000000-0004-0000-1700-000001000000}"/>
    <hyperlink ref="G2:I2" location="'Verification (Ch.8)'!G32"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pageSetUpPr fitToPage="1"/>
  </sheetPr>
  <dimension ref="B2:H12"/>
  <sheetViews>
    <sheetView showGridLines="0" zoomScaleNormal="100" workbookViewId="0">
      <selection activeCell="C11" sqref="C11:H11"/>
    </sheetView>
  </sheetViews>
  <sheetFormatPr baseColWidth="10" defaultColWidth="9.1640625" defaultRowHeight="15" x14ac:dyDescent="0.2"/>
  <cols>
    <col min="1" max="7" width="9.1640625" style="105"/>
    <col min="8" max="8" width="10.1640625" style="105" customWidth="1"/>
    <col min="9" max="16384" width="9.1640625" style="105"/>
  </cols>
  <sheetData>
    <row r="2" spans="2:8" s="108" customFormat="1" x14ac:dyDescent="0.2">
      <c r="B2" s="1195" t="s">
        <v>4135</v>
      </c>
      <c r="C2" s="1195"/>
      <c r="D2" s="562"/>
      <c r="E2" s="562"/>
      <c r="F2" s="1196" t="s">
        <v>4126</v>
      </c>
      <c r="G2" s="1197"/>
      <c r="H2" s="1198"/>
    </row>
    <row r="4" spans="2:8" x14ac:dyDescent="0.2">
      <c r="B4" s="562"/>
      <c r="C4" s="1203" t="s">
        <v>4136</v>
      </c>
      <c r="D4" s="1203"/>
      <c r="E4" s="1203"/>
      <c r="F4" s="1203"/>
      <c r="G4" s="1203"/>
      <c r="H4" s="1203"/>
    </row>
    <row r="5" spans="2:8" ht="15" customHeight="1" x14ac:dyDescent="0.2">
      <c r="B5" s="64"/>
      <c r="C5" s="1208" t="s">
        <v>4137</v>
      </c>
      <c r="D5" s="1208"/>
      <c r="E5" s="1208"/>
      <c r="F5" s="1208"/>
      <c r="G5" s="1208"/>
      <c r="H5" s="1208"/>
    </row>
    <row r="6" spans="2:8" ht="25.5" customHeight="1" x14ac:dyDescent="0.2">
      <c r="B6" s="562"/>
      <c r="C6" s="1204" t="s">
        <v>4138</v>
      </c>
      <c r="D6" s="1205"/>
      <c r="E6" s="1204" t="s">
        <v>4139</v>
      </c>
      <c r="F6" s="1205"/>
      <c r="G6" s="1206" t="s">
        <v>4140</v>
      </c>
      <c r="H6" s="1206"/>
    </row>
    <row r="7" spans="2:8" x14ac:dyDescent="0.2">
      <c r="B7" s="562"/>
      <c r="C7" s="1200" t="s">
        <v>4141</v>
      </c>
      <c r="D7" s="1201"/>
      <c r="E7" s="1200">
        <v>12</v>
      </c>
      <c r="F7" s="1201"/>
      <c r="G7" s="1207">
        <v>12</v>
      </c>
      <c r="H7" s="1207"/>
    </row>
    <row r="8" spans="2:8" x14ac:dyDescent="0.2">
      <c r="B8" s="562"/>
      <c r="C8" s="1200" t="s">
        <v>4142</v>
      </c>
      <c r="D8" s="1201"/>
      <c r="E8" s="1200">
        <v>18</v>
      </c>
      <c r="F8" s="1201"/>
      <c r="G8" s="1207">
        <v>12</v>
      </c>
      <c r="H8" s="1207"/>
    </row>
    <row r="9" spans="2:8" x14ac:dyDescent="0.2">
      <c r="B9" s="562"/>
      <c r="C9" s="1200" t="s">
        <v>4143</v>
      </c>
      <c r="D9" s="1201"/>
      <c r="E9" s="1200">
        <v>24</v>
      </c>
      <c r="F9" s="1201"/>
      <c r="G9" s="1207">
        <v>12</v>
      </c>
      <c r="H9" s="1207"/>
    </row>
    <row r="10" spans="2:8" ht="15" customHeight="1" x14ac:dyDescent="0.2">
      <c r="B10" s="562"/>
      <c r="C10" s="953" t="s">
        <v>4144</v>
      </c>
      <c r="D10" s="953"/>
      <c r="E10" s="953"/>
      <c r="F10" s="953"/>
      <c r="G10" s="953"/>
      <c r="H10" s="953"/>
    </row>
    <row r="11" spans="2:8" x14ac:dyDescent="0.2">
      <c r="B11" s="562"/>
      <c r="C11" s="1209" t="s">
        <v>4145</v>
      </c>
      <c r="D11" s="1209"/>
      <c r="E11" s="1209"/>
      <c r="F11" s="1209"/>
      <c r="G11" s="1209"/>
      <c r="H11" s="1209"/>
    </row>
    <row r="12" spans="2:8" x14ac:dyDescent="0.2">
      <c r="B12" s="562"/>
      <c r="C12" s="1202" t="s">
        <v>4146</v>
      </c>
      <c r="D12" s="1202"/>
      <c r="E12" s="1202"/>
      <c r="F12" s="562"/>
      <c r="G12" s="562"/>
      <c r="H12" s="562"/>
    </row>
  </sheetData>
  <sheetProtection algorithmName="SHA-512" hashValue="Vrx4vO7OdRJ6HHhGnBMo8mFNjj9WYRZ5tYmlDug/3135oz74KGNlenQDjNAvgAG0DgjWC3go2t3pj+H0YCbptQ==" saltValue="Q+pmXs9mihOWmFpwC0SQKA=="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800-000000000000}"/>
    <hyperlink ref="B2:C2" location="hyptarg3" display="back to 602.1.12" xr:uid="{00000000-0004-0000-1800-000001000000}"/>
    <hyperlink ref="F2:G2" location="'Verification Report'!A1" display="back to Verification Report" xr:uid="{00000000-0004-0000-1800-000002000000}"/>
    <hyperlink ref="F2:H2" location="'Verification Report'!A1" display="back to Verification Report" xr:uid="{00000000-0004-0000-1800-000003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105"/>
    <col min="2" max="2" width="9.1640625" style="105" customWidth="1"/>
    <col min="3" max="3" width="9.1640625" style="105"/>
    <col min="4" max="4" width="11.5" style="105" customWidth="1"/>
    <col min="5" max="5" width="9.1640625" style="105"/>
    <col min="6" max="6" width="10.5" style="105" customWidth="1"/>
    <col min="7" max="7" width="9.1640625" style="105"/>
    <col min="8" max="8" width="11.33203125" style="105" customWidth="1"/>
    <col min="9" max="16384" width="9.1640625" style="105"/>
  </cols>
  <sheetData>
    <row r="1" spans="2:8" s="117" customFormat="1" x14ac:dyDescent="0.2">
      <c r="B1" s="562"/>
      <c r="C1" s="562"/>
      <c r="D1" s="562"/>
      <c r="E1" s="562"/>
      <c r="F1" s="562"/>
      <c r="G1" s="562"/>
      <c r="H1" s="562"/>
    </row>
    <row r="2" spans="2:8" x14ac:dyDescent="0.2">
      <c r="B2" s="1195" t="s">
        <v>4147</v>
      </c>
      <c r="C2" s="1195"/>
      <c r="D2" s="562"/>
      <c r="E2" s="562"/>
      <c r="F2" s="1196" t="s">
        <v>4126</v>
      </c>
      <c r="G2" s="1197"/>
      <c r="H2" s="1198"/>
    </row>
    <row r="4" spans="2:8" x14ac:dyDescent="0.2">
      <c r="B4" s="562"/>
      <c r="C4" s="1203" t="s">
        <v>4148</v>
      </c>
      <c r="D4" s="1203"/>
      <c r="E4" s="1203"/>
      <c r="F4" s="1203"/>
      <c r="G4" s="1203"/>
      <c r="H4" s="1203"/>
    </row>
    <row r="5" spans="2:8" x14ac:dyDescent="0.2">
      <c r="B5" s="562"/>
      <c r="C5" s="1208" t="s">
        <v>4149</v>
      </c>
      <c r="D5" s="1208"/>
      <c r="E5" s="1208"/>
      <c r="F5" s="1208"/>
      <c r="G5" s="1208"/>
      <c r="H5" s="1208"/>
    </row>
    <row r="6" spans="2:8" ht="24.75" customHeight="1" x14ac:dyDescent="0.2">
      <c r="B6" s="562"/>
      <c r="C6" s="1204" t="s">
        <v>4150</v>
      </c>
      <c r="D6" s="1205"/>
      <c r="E6" s="1204" t="s">
        <v>4151</v>
      </c>
      <c r="F6" s="1205"/>
      <c r="G6" s="1206" t="s">
        <v>4152</v>
      </c>
      <c r="H6" s="1206"/>
    </row>
    <row r="7" spans="2:8" x14ac:dyDescent="0.2">
      <c r="B7" s="562"/>
      <c r="C7" s="1200" t="s">
        <v>4153</v>
      </c>
      <c r="D7" s="1201"/>
      <c r="E7" s="1210">
        <v>1</v>
      </c>
      <c r="F7" s="1211"/>
      <c r="G7" s="1206">
        <v>2</v>
      </c>
      <c r="H7" s="1206"/>
    </row>
    <row r="8" spans="2:8" x14ac:dyDescent="0.2">
      <c r="B8" s="562"/>
      <c r="C8" s="1200" t="s">
        <v>4154</v>
      </c>
      <c r="D8" s="1201"/>
      <c r="E8" s="1210">
        <v>2</v>
      </c>
      <c r="F8" s="1211"/>
      <c r="G8" s="1206">
        <v>4</v>
      </c>
      <c r="H8" s="1206"/>
    </row>
    <row r="9" spans="2:8" x14ac:dyDescent="0.2">
      <c r="B9" s="562"/>
      <c r="C9" s="1200" t="s">
        <v>4155</v>
      </c>
      <c r="D9" s="1201"/>
      <c r="E9" s="1210">
        <v>3</v>
      </c>
      <c r="F9" s="1211"/>
      <c r="G9" s="1206">
        <v>6</v>
      </c>
      <c r="H9" s="1206"/>
    </row>
  </sheetData>
  <sheetProtection algorithmName="SHA-512" hashValue="cxnxxuO2aBcyB6HkCF+70/v6wPkZsQMTdUYYwxr4uwMHvNjIR3kHsf3CwS3XN2ot1QkUBaX+RLZjJsp0o4W7HA==" saltValue="cUtWdamNwSL4pgly+BwOdQ=="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900-000000000000}"/>
    <hyperlink ref="F2:G2" location="'Verification Report'!A1" display="back to Verification Report" xr:uid="{00000000-0004-0000-1900-000001000000}"/>
    <hyperlink ref="F2:H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105"/>
    <col min="4" max="4" width="15.5" style="105" customWidth="1"/>
    <col min="5" max="5" width="9.1640625" style="105"/>
    <col min="6" max="6" width="18.5" style="105" customWidth="1"/>
    <col min="7" max="16384" width="9.1640625" style="105"/>
  </cols>
  <sheetData>
    <row r="2" spans="2:7" x14ac:dyDescent="0.2">
      <c r="B2" s="1195" t="s">
        <v>4156</v>
      </c>
      <c r="C2" s="1195"/>
      <c r="D2" s="562"/>
      <c r="E2" s="1196" t="s">
        <v>4126</v>
      </c>
      <c r="F2" s="1197"/>
      <c r="G2" s="1198"/>
    </row>
    <row r="4" spans="2:7" x14ac:dyDescent="0.2">
      <c r="B4" s="562"/>
      <c r="C4" s="1203" t="s">
        <v>4157</v>
      </c>
      <c r="D4" s="1203"/>
      <c r="E4" s="1203"/>
      <c r="F4" s="1203"/>
      <c r="G4" s="562"/>
    </row>
    <row r="5" spans="2:7" x14ac:dyDescent="0.2">
      <c r="B5" s="562"/>
      <c r="C5" s="1208" t="s">
        <v>4158</v>
      </c>
      <c r="D5" s="1208"/>
      <c r="E5" s="1208"/>
      <c r="F5" s="1208"/>
      <c r="G5" s="562"/>
    </row>
    <row r="6" spans="2:7" x14ac:dyDescent="0.2">
      <c r="B6" s="562"/>
      <c r="C6" s="1204" t="s">
        <v>4159</v>
      </c>
      <c r="D6" s="1205"/>
      <c r="E6" s="1204" t="s">
        <v>4160</v>
      </c>
      <c r="F6" s="1205"/>
      <c r="G6" s="562"/>
    </row>
    <row r="7" spans="2:7" x14ac:dyDescent="0.2">
      <c r="B7" s="562"/>
      <c r="C7" s="1212" t="s">
        <v>4161</v>
      </c>
      <c r="D7" s="1213"/>
      <c r="E7" s="1213"/>
      <c r="F7" s="1214"/>
      <c r="G7" s="562"/>
    </row>
    <row r="8" spans="2:7" x14ac:dyDescent="0.2">
      <c r="B8" s="562"/>
      <c r="C8" s="1210">
        <v>2</v>
      </c>
      <c r="D8" s="1211"/>
      <c r="E8" s="1210">
        <v>3</v>
      </c>
      <c r="F8" s="1211"/>
      <c r="G8" s="562"/>
    </row>
  </sheetData>
  <sheetProtection algorithmName="SHA-512" hashValue="uCvGM8aPrRzPLMEygaYcw9HSyBN+l5m5NFxCJSdoAWxHUv5GrYNTFIu1yJ/opsQvTz8NDlsDjx85SFbwfKnSMw==" saltValue="i1C6TKnlw449Nf5+zA9gCg=="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A00-000000000000}"/>
    <hyperlink ref="E2:F2" location="'Verification Report'!A1" display="back to Verification Report" xr:uid="{00000000-0004-0000-1A00-000001000000}"/>
    <hyperlink ref="E2:G2" location="'Verification Report'!A1" display="back to Verification Report" xr:uid="{00000000-0004-0000-1A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pageSetUpPr fitToPage="1"/>
  </sheetPr>
  <dimension ref="B2:G14"/>
  <sheetViews>
    <sheetView showGridLines="0" zoomScaleNormal="100" workbookViewId="0">
      <selection activeCell="B2" sqref="B2:C2"/>
    </sheetView>
  </sheetViews>
  <sheetFormatPr baseColWidth="10" defaultColWidth="9.1640625" defaultRowHeight="15" x14ac:dyDescent="0.2"/>
  <cols>
    <col min="1" max="2" width="9.1640625" style="105"/>
    <col min="3" max="3" width="16.5" style="105" bestFit="1" customWidth="1"/>
    <col min="4" max="5" width="15.83203125" style="105" bestFit="1" customWidth="1"/>
    <col min="6" max="16384" width="9.1640625" style="105"/>
  </cols>
  <sheetData>
    <row r="2" spans="2:7" x14ac:dyDescent="0.2">
      <c r="B2" s="1195" t="s">
        <v>4162</v>
      </c>
      <c r="C2" s="1195"/>
      <c r="D2" s="562"/>
      <c r="E2" s="1196" t="s">
        <v>4126</v>
      </c>
      <c r="F2" s="1197"/>
      <c r="G2" s="1198"/>
    </row>
    <row r="4" spans="2:7" x14ac:dyDescent="0.2">
      <c r="B4" s="562"/>
      <c r="C4" s="1203" t="s">
        <v>4163</v>
      </c>
      <c r="D4" s="1203"/>
      <c r="E4" s="1203"/>
      <c r="F4" s="562"/>
      <c r="G4" s="562"/>
    </row>
    <row r="5" spans="2:7" x14ac:dyDescent="0.2">
      <c r="B5" s="562"/>
      <c r="C5" s="853" t="s">
        <v>4164</v>
      </c>
      <c r="D5" s="1208"/>
      <c r="E5" s="1208"/>
      <c r="F5" s="562"/>
      <c r="G5" s="562"/>
    </row>
    <row r="6" spans="2:7" ht="15" customHeight="1" x14ac:dyDescent="0.2">
      <c r="B6" s="562"/>
      <c r="C6" s="1220"/>
      <c r="D6" s="109" t="s">
        <v>4159</v>
      </c>
      <c r="E6" s="705" t="s">
        <v>4160</v>
      </c>
      <c r="F6" s="562"/>
      <c r="G6" s="562"/>
    </row>
    <row r="7" spans="2:7" ht="12.75" customHeight="1" x14ac:dyDescent="0.2">
      <c r="B7" s="562"/>
      <c r="C7" s="1221"/>
      <c r="D7" s="1219" t="s">
        <v>4161</v>
      </c>
      <c r="E7" s="1219"/>
      <c r="F7" s="562"/>
      <c r="G7" s="562"/>
    </row>
    <row r="8" spans="2:7" s="485" customFormat="1" ht="12.75" customHeight="1" x14ac:dyDescent="0.2">
      <c r="B8" s="562"/>
      <c r="C8" s="1215" t="s">
        <v>4165</v>
      </c>
      <c r="D8" s="1217">
        <v>3</v>
      </c>
      <c r="E8" s="1217">
        <v>6</v>
      </c>
      <c r="F8" s="562"/>
      <c r="G8" s="562"/>
    </row>
    <row r="9" spans="2:7" x14ac:dyDescent="0.2">
      <c r="B9" s="562"/>
      <c r="C9" s="1216"/>
      <c r="D9" s="1218"/>
      <c r="E9" s="1218"/>
      <c r="F9" s="562"/>
      <c r="G9" s="562"/>
    </row>
    <row r="10" spans="2:7" s="485" customFormat="1" x14ac:dyDescent="0.2">
      <c r="B10" s="562"/>
      <c r="C10" s="1215" t="s">
        <v>4166</v>
      </c>
      <c r="D10" s="1217">
        <v>4</v>
      </c>
      <c r="E10" s="1217">
        <v>8</v>
      </c>
      <c r="F10" s="562"/>
      <c r="G10" s="562"/>
    </row>
    <row r="11" spans="2:7" x14ac:dyDescent="0.2">
      <c r="B11" s="562"/>
      <c r="C11" s="1216"/>
      <c r="D11" s="1218"/>
      <c r="E11" s="1218"/>
      <c r="F11" s="562"/>
      <c r="G11" s="562"/>
    </row>
    <row r="12" spans="2:7" s="485" customFormat="1" x14ac:dyDescent="0.2">
      <c r="B12" s="562"/>
      <c r="C12" s="1215" t="s">
        <v>4167</v>
      </c>
      <c r="D12" s="1217">
        <v>5</v>
      </c>
      <c r="E12" s="1217">
        <v>10</v>
      </c>
      <c r="F12" s="562"/>
      <c r="G12" s="562"/>
    </row>
    <row r="13" spans="2:7" x14ac:dyDescent="0.2">
      <c r="B13" s="562"/>
      <c r="C13" s="1216"/>
      <c r="D13" s="1218"/>
      <c r="E13" s="1218"/>
      <c r="F13" s="562"/>
      <c r="G13" s="562"/>
    </row>
    <row r="14" spans="2:7" s="485" customFormat="1" x14ac:dyDescent="0.2">
      <c r="B14" s="562"/>
      <c r="C14" s="494"/>
      <c r="D14" s="339"/>
      <c r="E14" s="339"/>
      <c r="F14" s="562"/>
      <c r="G14" s="562"/>
    </row>
  </sheetData>
  <sheetProtection algorithmName="SHA-512" hashValue="z4cShzkwFAYPCSi5GBOYg4qbs2L4Xz9SWLd7yYoX/5P7Zqaf2kvndBv/02NFKT5kwkUMxJAykT4O4o0oqQ3khg==" saltValue="2FKwRzqbKbIVbzyS0hp3Aw==" spinCount="100000" sheet="1" objects="1" scenarios="1" selectLockedCells="1"/>
  <mergeCells count="15">
    <mergeCell ref="C4:E4"/>
    <mergeCell ref="C5:E5"/>
    <mergeCell ref="D7:E7"/>
    <mergeCell ref="B2:C2"/>
    <mergeCell ref="C6:C7"/>
    <mergeCell ref="E2:G2"/>
    <mergeCell ref="C8:C9"/>
    <mergeCell ref="D8:D9"/>
    <mergeCell ref="E8:E9"/>
    <mergeCell ref="C10:C11"/>
    <mergeCell ref="C12:C13"/>
    <mergeCell ref="D10:D11"/>
    <mergeCell ref="E10:E11"/>
    <mergeCell ref="D12:D13"/>
    <mergeCell ref="E12:E13"/>
  </mergeCells>
  <hyperlinks>
    <hyperlink ref="B2:C2" location="hyptarg6" display="back to 610.1.2.2" xr:uid="{00000000-0004-0000-1B00-000000000000}"/>
    <hyperlink ref="E2:F2" location="'Verification Report'!A1" display="back to Verification Report" xr:uid="{00000000-0004-0000-1B00-000001000000}"/>
    <hyperlink ref="E2:G2" location="'Verification Report'!A1" display="back to Verification Report" xr:uid="{00000000-0004-0000-1B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pageSetUpPr fitToPage="1"/>
  </sheetPr>
  <dimension ref="A1:R37"/>
  <sheetViews>
    <sheetView showGridLines="0" zoomScaleNormal="100" workbookViewId="0">
      <selection activeCell="C35" sqref="C35"/>
    </sheetView>
  </sheetViews>
  <sheetFormatPr baseColWidth="10" defaultColWidth="8.83203125" defaultRowHeight="15" x14ac:dyDescent="0.2"/>
  <sheetData>
    <row r="1" spans="1:18" ht="20" thickTop="1" x14ac:dyDescent="0.2">
      <c r="A1" s="709" t="s">
        <v>4168</v>
      </c>
      <c r="B1" s="710"/>
      <c r="C1" s="710"/>
      <c r="D1" s="710"/>
      <c r="E1" s="710"/>
      <c r="F1" s="710"/>
      <c r="G1" s="710"/>
      <c r="H1" s="710"/>
      <c r="I1" s="710"/>
      <c r="J1" s="710"/>
      <c r="K1" s="710"/>
      <c r="L1" s="710"/>
      <c r="M1" s="710"/>
      <c r="N1" s="710"/>
      <c r="O1" s="710"/>
      <c r="P1" s="710"/>
      <c r="Q1" s="710"/>
      <c r="R1" s="711"/>
    </row>
    <row r="2" spans="1:18" x14ac:dyDescent="0.2">
      <c r="A2" s="110"/>
      <c r="B2" s="64"/>
      <c r="C2" s="64"/>
      <c r="D2" s="64"/>
      <c r="E2" s="64"/>
      <c r="F2" s="64"/>
      <c r="G2" s="64"/>
      <c r="H2" s="64"/>
      <c r="I2" s="64"/>
      <c r="J2" s="64"/>
      <c r="K2" s="64"/>
      <c r="L2" s="64"/>
      <c r="M2" s="64"/>
      <c r="N2" s="64"/>
      <c r="O2" s="64"/>
      <c r="P2" s="64"/>
      <c r="Q2" s="64"/>
      <c r="R2" s="111"/>
    </row>
    <row r="3" spans="1:18" ht="15" customHeight="1" x14ac:dyDescent="0.2">
      <c r="A3" s="110"/>
      <c r="B3" s="1222" t="s">
        <v>4169</v>
      </c>
      <c r="C3" s="1222"/>
      <c r="D3" s="1222" t="s">
        <v>4170</v>
      </c>
      <c r="E3" s="1222"/>
      <c r="F3" s="1222"/>
      <c r="G3" s="64"/>
      <c r="H3" s="1196" t="s">
        <v>4126</v>
      </c>
      <c r="I3" s="1197"/>
      <c r="J3" s="1198"/>
      <c r="K3" s="64"/>
      <c r="L3" s="64"/>
      <c r="M3" s="64"/>
      <c r="N3" s="64"/>
      <c r="O3" s="64"/>
      <c r="P3" s="64"/>
      <c r="Q3" s="64"/>
      <c r="R3" s="111"/>
    </row>
    <row r="4" spans="1:18" x14ac:dyDescent="0.2">
      <c r="A4" s="110"/>
      <c r="B4" s="64"/>
      <c r="C4" s="64"/>
      <c r="D4" s="64"/>
      <c r="E4" s="64"/>
      <c r="F4" s="64"/>
      <c r="G4" s="64"/>
      <c r="H4" s="64"/>
      <c r="I4" s="64"/>
      <c r="J4" s="64"/>
      <c r="K4" s="64"/>
      <c r="L4" s="64"/>
      <c r="M4" s="64"/>
      <c r="N4" s="64"/>
      <c r="O4" s="64"/>
      <c r="P4" s="64"/>
      <c r="Q4" s="64"/>
      <c r="R4" s="111"/>
    </row>
    <row r="5" spans="1:18" x14ac:dyDescent="0.2">
      <c r="A5" s="110"/>
      <c r="B5" s="64"/>
      <c r="C5" s="64"/>
      <c r="D5" s="64"/>
      <c r="E5" s="64"/>
      <c r="F5" s="64"/>
      <c r="G5" s="64"/>
      <c r="H5" s="64"/>
      <c r="I5" s="64"/>
      <c r="J5" s="64"/>
      <c r="K5" s="64"/>
      <c r="L5" s="64"/>
      <c r="M5" s="64"/>
      <c r="N5" s="64"/>
      <c r="O5" s="64"/>
      <c r="P5" s="64"/>
      <c r="Q5" s="64"/>
      <c r="R5" s="111"/>
    </row>
    <row r="6" spans="1:18" x14ac:dyDescent="0.2">
      <c r="A6" s="110"/>
      <c r="B6" s="64"/>
      <c r="C6" s="64"/>
      <c r="D6" s="64"/>
      <c r="E6" s="64"/>
      <c r="F6" s="64"/>
      <c r="G6" s="64"/>
      <c r="H6" s="64"/>
      <c r="I6" s="64"/>
      <c r="J6" s="64"/>
      <c r="K6" s="64"/>
      <c r="L6" s="64"/>
      <c r="M6" s="64"/>
      <c r="N6" s="64"/>
      <c r="O6" s="64"/>
      <c r="P6" s="64"/>
      <c r="Q6" s="64"/>
      <c r="R6" s="111"/>
    </row>
    <row r="7" spans="1:18" x14ac:dyDescent="0.2">
      <c r="A7" s="110"/>
      <c r="B7" s="64"/>
      <c r="C7" s="64"/>
      <c r="D7" s="64"/>
      <c r="E7" s="64"/>
      <c r="F7" s="64"/>
      <c r="G7" s="64"/>
      <c r="H7" s="64"/>
      <c r="I7" s="64"/>
      <c r="J7" s="64"/>
      <c r="K7" s="64"/>
      <c r="L7" s="64"/>
      <c r="M7" s="64"/>
      <c r="N7" s="64"/>
      <c r="O7" s="64"/>
      <c r="P7" s="64"/>
      <c r="Q7" s="64"/>
      <c r="R7" s="111"/>
    </row>
    <row r="8" spans="1:18" x14ac:dyDescent="0.2">
      <c r="A8" s="110"/>
      <c r="B8" s="64"/>
      <c r="C8" s="64"/>
      <c r="D8" s="64"/>
      <c r="E8" s="64"/>
      <c r="F8" s="64"/>
      <c r="G8" s="64"/>
      <c r="H8" s="64"/>
      <c r="I8" s="64"/>
      <c r="J8" s="64"/>
      <c r="K8" s="64"/>
      <c r="L8" s="64"/>
      <c r="M8" s="64"/>
      <c r="N8" s="64"/>
      <c r="O8" s="64"/>
      <c r="P8" s="64"/>
      <c r="Q8" s="64"/>
      <c r="R8" s="111"/>
    </row>
    <row r="9" spans="1:18" x14ac:dyDescent="0.2">
      <c r="A9" s="110"/>
      <c r="B9" s="64"/>
      <c r="C9" s="64"/>
      <c r="D9" s="64"/>
      <c r="E9" s="64"/>
      <c r="F9" s="64"/>
      <c r="G9" s="64"/>
      <c r="H9" s="64"/>
      <c r="I9" s="64"/>
      <c r="J9" s="64"/>
      <c r="K9" s="64"/>
      <c r="L9" s="64"/>
      <c r="M9" s="64"/>
      <c r="N9" s="64"/>
      <c r="O9" s="64"/>
      <c r="P9" s="64"/>
      <c r="Q9" s="64"/>
      <c r="R9" s="111"/>
    </row>
    <row r="10" spans="1:18" x14ac:dyDescent="0.2">
      <c r="A10" s="110"/>
      <c r="B10" s="64"/>
      <c r="C10" s="64"/>
      <c r="D10" s="64"/>
      <c r="E10" s="64"/>
      <c r="F10" s="64"/>
      <c r="G10" s="64"/>
      <c r="H10" s="64"/>
      <c r="I10" s="64"/>
      <c r="J10" s="64"/>
      <c r="K10" s="64"/>
      <c r="L10" s="64"/>
      <c r="M10" s="64"/>
      <c r="N10" s="64"/>
      <c r="O10" s="64"/>
      <c r="P10" s="64"/>
      <c r="Q10" s="64"/>
      <c r="R10" s="111"/>
    </row>
    <row r="11" spans="1:18" x14ac:dyDescent="0.2">
      <c r="A11" s="110"/>
      <c r="B11" s="64"/>
      <c r="C11" s="64"/>
      <c r="D11" s="64"/>
      <c r="E11" s="64"/>
      <c r="F11" s="64"/>
      <c r="G11" s="64"/>
      <c r="H11" s="64"/>
      <c r="I11" s="64"/>
      <c r="J11" s="64"/>
      <c r="K11" s="64"/>
      <c r="L11" s="64"/>
      <c r="M11" s="64"/>
      <c r="N11" s="64"/>
      <c r="O11" s="64"/>
      <c r="P11" s="64"/>
      <c r="Q11" s="64"/>
      <c r="R11" s="111"/>
    </row>
    <row r="12" spans="1:18" x14ac:dyDescent="0.2">
      <c r="A12" s="110"/>
      <c r="B12" s="64"/>
      <c r="C12" s="64"/>
      <c r="D12" s="64"/>
      <c r="E12" s="64"/>
      <c r="F12" s="64"/>
      <c r="G12" s="64"/>
      <c r="H12" s="64"/>
      <c r="I12" s="64"/>
      <c r="J12" s="64"/>
      <c r="K12" s="64"/>
      <c r="L12" s="64"/>
      <c r="M12" s="64"/>
      <c r="N12" s="64"/>
      <c r="O12" s="64"/>
      <c r="P12" s="64"/>
      <c r="Q12" s="64"/>
      <c r="R12" s="111"/>
    </row>
    <row r="13" spans="1:18" x14ac:dyDescent="0.2">
      <c r="A13" s="110"/>
      <c r="B13" s="64"/>
      <c r="C13" s="64"/>
      <c r="D13" s="64"/>
      <c r="E13" s="64"/>
      <c r="F13" s="64"/>
      <c r="G13" s="64"/>
      <c r="H13" s="64"/>
      <c r="I13" s="64"/>
      <c r="J13" s="64"/>
      <c r="K13" s="64"/>
      <c r="L13" s="64"/>
      <c r="M13" s="64"/>
      <c r="N13" s="64"/>
      <c r="O13" s="64"/>
      <c r="P13" s="64"/>
      <c r="Q13" s="64"/>
      <c r="R13" s="111"/>
    </row>
    <row r="14" spans="1:18" x14ac:dyDescent="0.2">
      <c r="A14" s="110"/>
      <c r="B14" s="64"/>
      <c r="C14" s="64"/>
      <c r="D14" s="64"/>
      <c r="E14" s="64"/>
      <c r="F14" s="64"/>
      <c r="G14" s="64"/>
      <c r="H14" s="64"/>
      <c r="I14" s="64"/>
      <c r="J14" s="64"/>
      <c r="K14" s="64"/>
      <c r="L14" s="64"/>
      <c r="M14" s="64"/>
      <c r="N14" s="64"/>
      <c r="O14" s="64"/>
      <c r="P14" s="64"/>
      <c r="Q14" s="64"/>
      <c r="R14" s="111"/>
    </row>
    <row r="15" spans="1:18" x14ac:dyDescent="0.2">
      <c r="A15" s="110"/>
      <c r="B15" s="64"/>
      <c r="C15" s="64"/>
      <c r="D15" s="64"/>
      <c r="E15" s="64"/>
      <c r="F15" s="64"/>
      <c r="G15" s="64"/>
      <c r="H15" s="64"/>
      <c r="I15" s="64"/>
      <c r="J15" s="64"/>
      <c r="K15" s="64"/>
      <c r="L15" s="64"/>
      <c r="M15" s="64"/>
      <c r="N15" s="64"/>
      <c r="O15" s="64"/>
      <c r="P15" s="64"/>
      <c r="Q15" s="64"/>
      <c r="R15" s="111"/>
    </row>
    <row r="16" spans="1:18" x14ac:dyDescent="0.2">
      <c r="A16" s="110"/>
      <c r="B16" s="64"/>
      <c r="C16" s="64"/>
      <c r="D16" s="64"/>
      <c r="E16" s="64"/>
      <c r="F16" s="64"/>
      <c r="G16" s="64"/>
      <c r="H16" s="64"/>
      <c r="I16" s="64"/>
      <c r="J16" s="64"/>
      <c r="K16" s="64"/>
      <c r="L16" s="64"/>
      <c r="M16" s="64"/>
      <c r="N16" s="64"/>
      <c r="O16" s="64"/>
      <c r="P16" s="64"/>
      <c r="Q16" s="64"/>
      <c r="R16" s="111"/>
    </row>
    <row r="17" spans="1:18" x14ac:dyDescent="0.2">
      <c r="A17" s="110"/>
      <c r="B17" s="64"/>
      <c r="C17" s="64"/>
      <c r="D17" s="64"/>
      <c r="E17" s="64"/>
      <c r="F17" s="64"/>
      <c r="G17" s="64"/>
      <c r="H17" s="64"/>
      <c r="I17" s="64"/>
      <c r="J17" s="64"/>
      <c r="K17" s="64"/>
      <c r="L17" s="64"/>
      <c r="M17" s="64"/>
      <c r="N17" s="64"/>
      <c r="O17" s="64"/>
      <c r="P17" s="64"/>
      <c r="Q17" s="64"/>
      <c r="R17" s="111"/>
    </row>
    <row r="18" spans="1:18" x14ac:dyDescent="0.2">
      <c r="A18" s="110"/>
      <c r="B18" s="64"/>
      <c r="C18" s="64"/>
      <c r="D18" s="64"/>
      <c r="E18" s="64"/>
      <c r="F18" s="64"/>
      <c r="G18" s="64"/>
      <c r="H18" s="64"/>
      <c r="I18" s="64"/>
      <c r="J18" s="64"/>
      <c r="K18" s="64"/>
      <c r="L18" s="64"/>
      <c r="M18" s="64"/>
      <c r="N18" s="64"/>
      <c r="O18" s="64"/>
      <c r="P18" s="64"/>
      <c r="Q18" s="64"/>
      <c r="R18" s="111"/>
    </row>
    <row r="19" spans="1:18" x14ac:dyDescent="0.2">
      <c r="A19" s="110"/>
      <c r="B19" s="64"/>
      <c r="C19" s="64"/>
      <c r="D19" s="64"/>
      <c r="E19" s="64"/>
      <c r="F19" s="64"/>
      <c r="G19" s="64"/>
      <c r="H19" s="64"/>
      <c r="I19" s="64"/>
      <c r="J19" s="64"/>
      <c r="K19" s="64"/>
      <c r="L19" s="64"/>
      <c r="M19" s="64"/>
      <c r="N19" s="64"/>
      <c r="O19" s="64"/>
      <c r="P19" s="64"/>
      <c r="Q19" s="64"/>
      <c r="R19" s="111"/>
    </row>
    <row r="20" spans="1:18" x14ac:dyDescent="0.2">
      <c r="A20" s="110"/>
      <c r="B20" s="64"/>
      <c r="C20" s="64"/>
      <c r="D20" s="64"/>
      <c r="E20" s="64"/>
      <c r="F20" s="64"/>
      <c r="G20" s="64"/>
      <c r="H20" s="64"/>
      <c r="I20" s="64"/>
      <c r="J20" s="64"/>
      <c r="K20" s="64"/>
      <c r="L20" s="64"/>
      <c r="M20" s="64"/>
      <c r="N20" s="64"/>
      <c r="O20" s="64"/>
      <c r="P20" s="64"/>
      <c r="Q20" s="64"/>
      <c r="R20" s="111"/>
    </row>
    <row r="21" spans="1:18" x14ac:dyDescent="0.2">
      <c r="A21" s="110"/>
      <c r="B21" s="64"/>
      <c r="C21" s="64"/>
      <c r="D21" s="64"/>
      <c r="E21" s="64"/>
      <c r="F21" s="64"/>
      <c r="G21" s="64"/>
      <c r="H21" s="64"/>
      <c r="I21" s="64"/>
      <c r="J21" s="64"/>
      <c r="K21" s="64"/>
      <c r="L21" s="64"/>
      <c r="M21" s="64"/>
      <c r="N21" s="64"/>
      <c r="O21" s="64"/>
      <c r="P21" s="64"/>
      <c r="Q21" s="64"/>
      <c r="R21" s="111"/>
    </row>
    <row r="22" spans="1:18" x14ac:dyDescent="0.2">
      <c r="A22" s="110"/>
      <c r="B22" s="64"/>
      <c r="C22" s="64"/>
      <c r="D22" s="64"/>
      <c r="E22" s="64"/>
      <c r="F22" s="64"/>
      <c r="G22" s="64"/>
      <c r="H22" s="64"/>
      <c r="I22" s="64"/>
      <c r="J22" s="64"/>
      <c r="K22" s="64"/>
      <c r="L22" s="64"/>
      <c r="M22" s="64"/>
      <c r="N22" s="64"/>
      <c r="O22" s="64"/>
      <c r="P22" s="64"/>
      <c r="Q22" s="64"/>
      <c r="R22" s="111"/>
    </row>
    <row r="23" spans="1:18" x14ac:dyDescent="0.2">
      <c r="A23" s="110"/>
      <c r="B23" s="64"/>
      <c r="C23" s="64"/>
      <c r="D23" s="64"/>
      <c r="E23" s="64"/>
      <c r="F23" s="64"/>
      <c r="G23" s="64"/>
      <c r="H23" s="64"/>
      <c r="I23" s="64"/>
      <c r="J23" s="64"/>
      <c r="K23" s="64"/>
      <c r="L23" s="64"/>
      <c r="M23" s="64"/>
      <c r="N23" s="64"/>
      <c r="O23" s="64"/>
      <c r="P23" s="64"/>
      <c r="Q23" s="64"/>
      <c r="R23" s="111"/>
    </row>
    <row r="24" spans="1:18" x14ac:dyDescent="0.2">
      <c r="A24" s="110"/>
      <c r="B24" s="64"/>
      <c r="C24" s="64"/>
      <c r="D24" s="64"/>
      <c r="E24" s="64"/>
      <c r="F24" s="64"/>
      <c r="G24" s="64"/>
      <c r="H24" s="64"/>
      <c r="I24" s="64"/>
      <c r="J24" s="64"/>
      <c r="K24" s="64"/>
      <c r="L24" s="64"/>
      <c r="M24" s="64"/>
      <c r="N24" s="64"/>
      <c r="O24" s="64"/>
      <c r="P24" s="64"/>
      <c r="Q24" s="64"/>
      <c r="R24" s="111"/>
    </row>
    <row r="25" spans="1:18" x14ac:dyDescent="0.2">
      <c r="A25" s="110"/>
      <c r="B25" s="64"/>
      <c r="C25" s="64"/>
      <c r="D25" s="64"/>
      <c r="E25" s="64"/>
      <c r="F25" s="64"/>
      <c r="G25" s="64"/>
      <c r="H25" s="64"/>
      <c r="I25" s="64"/>
      <c r="J25" s="64"/>
      <c r="K25" s="64"/>
      <c r="L25" s="64"/>
      <c r="M25" s="64"/>
      <c r="N25" s="64"/>
      <c r="O25" s="64"/>
      <c r="P25" s="64"/>
      <c r="Q25" s="64"/>
      <c r="R25" s="111"/>
    </row>
    <row r="26" spans="1:18" x14ac:dyDescent="0.2">
      <c r="A26" s="110"/>
      <c r="B26" s="64"/>
      <c r="C26" s="64"/>
      <c r="D26" s="64"/>
      <c r="E26" s="64"/>
      <c r="F26" s="64"/>
      <c r="G26" s="64"/>
      <c r="H26" s="64"/>
      <c r="I26" s="64"/>
      <c r="J26" s="64"/>
      <c r="K26" s="64"/>
      <c r="L26" s="64"/>
      <c r="M26" s="64"/>
      <c r="N26" s="64"/>
      <c r="O26" s="64"/>
      <c r="P26" s="64"/>
      <c r="Q26" s="64"/>
      <c r="R26" s="111"/>
    </row>
    <row r="27" spans="1:18" x14ac:dyDescent="0.2">
      <c r="A27" s="110"/>
      <c r="B27" s="64"/>
      <c r="C27" s="64"/>
      <c r="D27" s="64"/>
      <c r="E27" s="64"/>
      <c r="F27" s="64"/>
      <c r="G27" s="64"/>
      <c r="H27" s="64"/>
      <c r="I27" s="64"/>
      <c r="J27" s="64"/>
      <c r="K27" s="64"/>
      <c r="L27" s="64"/>
      <c r="M27" s="64"/>
      <c r="N27" s="64"/>
      <c r="O27" s="64"/>
      <c r="P27" s="64"/>
      <c r="Q27" s="64"/>
      <c r="R27" s="111"/>
    </row>
    <row r="28" spans="1:18" x14ac:dyDescent="0.2">
      <c r="A28" s="110"/>
      <c r="B28" s="64"/>
      <c r="C28" s="64"/>
      <c r="D28" s="64"/>
      <c r="E28" s="64"/>
      <c r="F28" s="64"/>
      <c r="G28" s="64"/>
      <c r="H28" s="64"/>
      <c r="I28" s="64"/>
      <c r="J28" s="64"/>
      <c r="K28" s="64"/>
      <c r="L28" s="64"/>
      <c r="M28" s="64"/>
      <c r="N28" s="64"/>
      <c r="O28" s="64"/>
      <c r="P28" s="64"/>
      <c r="Q28" s="64"/>
      <c r="R28" s="111"/>
    </row>
    <row r="29" spans="1:18" x14ac:dyDescent="0.2">
      <c r="A29" s="110"/>
      <c r="B29" s="64"/>
      <c r="C29" s="64"/>
      <c r="D29" s="64"/>
      <c r="E29" s="64"/>
      <c r="F29" s="64"/>
      <c r="G29" s="64"/>
      <c r="H29" s="64"/>
      <c r="I29" s="64"/>
      <c r="J29" s="64"/>
      <c r="K29" s="64"/>
      <c r="L29" s="64"/>
      <c r="M29" s="64"/>
      <c r="N29" s="64"/>
      <c r="O29" s="64"/>
      <c r="P29" s="64"/>
      <c r="Q29" s="64"/>
      <c r="R29" s="111"/>
    </row>
    <row r="30" spans="1:18" x14ac:dyDescent="0.2">
      <c r="A30" s="110"/>
      <c r="B30" s="64"/>
      <c r="C30" s="64"/>
      <c r="D30" s="64"/>
      <c r="E30" s="64"/>
      <c r="F30" s="64"/>
      <c r="G30" s="64"/>
      <c r="H30" s="64"/>
      <c r="I30" s="64"/>
      <c r="J30" s="64"/>
      <c r="K30" s="64"/>
      <c r="L30" s="64"/>
      <c r="M30" s="64"/>
      <c r="N30" s="64"/>
      <c r="O30" s="64"/>
      <c r="P30" s="64"/>
      <c r="Q30" s="64"/>
      <c r="R30" s="111"/>
    </row>
    <row r="31" spans="1:18" x14ac:dyDescent="0.2">
      <c r="A31" s="110"/>
      <c r="B31" s="64"/>
      <c r="C31" s="64"/>
      <c r="D31" s="64"/>
      <c r="E31" s="64"/>
      <c r="F31" s="64"/>
      <c r="G31" s="64"/>
      <c r="H31" s="64"/>
      <c r="I31" s="64"/>
      <c r="J31" s="64"/>
      <c r="K31" s="64"/>
      <c r="L31" s="64"/>
      <c r="M31" s="64"/>
      <c r="N31" s="64"/>
      <c r="O31" s="64"/>
      <c r="P31" s="64"/>
      <c r="Q31" s="64"/>
      <c r="R31" s="111"/>
    </row>
    <row r="32" spans="1:18" s="105" customFormat="1" x14ac:dyDescent="0.2">
      <c r="A32" s="110"/>
      <c r="B32" s="64"/>
      <c r="C32" s="64"/>
      <c r="D32" s="64"/>
      <c r="E32" s="64"/>
      <c r="F32" s="64"/>
      <c r="G32" s="64"/>
      <c r="H32" s="64"/>
      <c r="I32" s="64"/>
      <c r="J32" s="64"/>
      <c r="K32" s="64"/>
      <c r="L32" s="64"/>
      <c r="M32" s="64"/>
      <c r="N32" s="64"/>
      <c r="O32" s="64"/>
      <c r="P32" s="64"/>
      <c r="Q32" s="64"/>
      <c r="R32" s="111"/>
    </row>
    <row r="33" spans="1:18" s="105" customFormat="1" x14ac:dyDescent="0.2">
      <c r="A33" s="110"/>
      <c r="B33" s="64"/>
      <c r="C33" s="64"/>
      <c r="D33" s="64"/>
      <c r="E33" s="64"/>
      <c r="F33" s="64"/>
      <c r="G33" s="64"/>
      <c r="H33" s="64"/>
      <c r="I33" s="64"/>
      <c r="J33" s="64"/>
      <c r="K33" s="64"/>
      <c r="L33" s="64"/>
      <c r="M33" s="64"/>
      <c r="N33" s="64"/>
      <c r="O33" s="64"/>
      <c r="P33" s="64"/>
      <c r="Q33" s="64"/>
      <c r="R33" s="111"/>
    </row>
    <row r="34" spans="1:18" x14ac:dyDescent="0.2">
      <c r="A34" s="110"/>
      <c r="B34" s="64"/>
      <c r="C34" s="64"/>
      <c r="D34" s="64"/>
      <c r="E34" s="64"/>
      <c r="F34" s="64"/>
      <c r="G34" s="64"/>
      <c r="H34" s="64"/>
      <c r="I34" s="64"/>
      <c r="J34" s="64"/>
      <c r="K34" s="64"/>
      <c r="L34" s="64"/>
      <c r="M34" s="64"/>
      <c r="N34" s="64"/>
      <c r="O34" s="64"/>
      <c r="P34" s="64"/>
      <c r="Q34" s="64"/>
      <c r="R34" s="111"/>
    </row>
    <row r="35" spans="1:18" x14ac:dyDescent="0.2">
      <c r="A35" s="110"/>
      <c r="B35" s="115" t="s">
        <v>4171</v>
      </c>
      <c r="C35" s="197" t="s">
        <v>4172</v>
      </c>
      <c r="D35" s="64"/>
      <c r="E35" s="64"/>
      <c r="F35" s="64"/>
      <c r="G35" s="64"/>
      <c r="H35" s="64"/>
      <c r="I35" s="64"/>
      <c r="J35" s="64"/>
      <c r="K35" s="64"/>
      <c r="L35" s="64"/>
      <c r="M35" s="64"/>
      <c r="N35" s="64"/>
      <c r="O35" s="64"/>
      <c r="P35" s="64"/>
      <c r="Q35" s="64"/>
      <c r="R35" s="111"/>
    </row>
    <row r="36" spans="1:18" ht="16" thickBot="1" x14ac:dyDescent="0.25">
      <c r="A36" s="112"/>
      <c r="B36" s="113"/>
      <c r="C36" s="113"/>
      <c r="D36" s="113"/>
      <c r="E36" s="113"/>
      <c r="F36" s="113"/>
      <c r="G36" s="113"/>
      <c r="H36" s="113"/>
      <c r="I36" s="113"/>
      <c r="J36" s="113"/>
      <c r="K36" s="113"/>
      <c r="L36" s="113"/>
      <c r="M36" s="113"/>
      <c r="N36" s="113"/>
      <c r="O36" s="113"/>
      <c r="P36" s="113"/>
      <c r="Q36" s="113"/>
      <c r="R36" s="114"/>
    </row>
    <row r="37" spans="1:18" ht="16" thickTop="1" x14ac:dyDescent="0.2">
      <c r="A37" s="562"/>
      <c r="B37" s="562"/>
      <c r="C37" s="562"/>
      <c r="D37" s="562"/>
      <c r="E37" s="562"/>
      <c r="F37" s="562"/>
      <c r="G37" s="562"/>
      <c r="H37" s="562"/>
      <c r="I37" s="562"/>
      <c r="J37" s="562"/>
      <c r="K37" s="562"/>
      <c r="L37" s="562"/>
      <c r="M37" s="562"/>
      <c r="N37" s="562"/>
      <c r="O37" s="562"/>
      <c r="P37" s="562"/>
      <c r="Q37" s="562"/>
      <c r="R37" s="562"/>
    </row>
  </sheetData>
  <sheetProtection algorithmName="SHA-512" hashValue="SeGNySu0HJzg/ce9UzD4JdlfNcySN1qy4vEpn2V3v+QnKQn5zn7p0tgMHdLdFkj7jpDSDbShoCyMeIVOoSzl+w==" saltValue="zthqCnJwWqcMgvPZGw0ONw==" spinCount="100000" sheet="1" objects="1" scenarios="1" selectLockedCells="1"/>
  <mergeCells count="3">
    <mergeCell ref="B3:C3"/>
    <mergeCell ref="D3:F3"/>
    <mergeCell ref="H3:J3"/>
  </mergeCells>
  <hyperlinks>
    <hyperlink ref="C35" r:id="rId1" xr:uid="{00000000-0004-0000-1C00-000000000000}"/>
    <hyperlink ref="B3:C3" location="hyptarg3" display="back to 602.1.12" xr:uid="{00000000-0004-0000-1C00-000001000000}"/>
    <hyperlink ref="D3" location="'Table 602.1.12'!A1" display="See Table 602.1.12" xr:uid="{00000000-0004-0000-1C00-000002000000}"/>
    <hyperlink ref="H3:I3" location="'Verification Report'!A1" display="back to Verification Report" xr:uid="{00000000-0004-0000-1C00-000003000000}"/>
    <hyperlink ref="H3:J3" location="'Verification Report'!A1" display="back to Verification Report" xr:uid="{00000000-0004-0000-1C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pageSetUpPr fitToPage="1"/>
  </sheetPr>
  <dimension ref="A1:R35"/>
  <sheetViews>
    <sheetView showGridLines="0" zoomScaleNormal="100" workbookViewId="0">
      <selection activeCell="P33" sqref="P33"/>
    </sheetView>
  </sheetViews>
  <sheetFormatPr baseColWidth="10" defaultColWidth="9.1640625" defaultRowHeight="15" x14ac:dyDescent="0.2"/>
  <cols>
    <col min="1" max="16384" width="9.1640625" style="105"/>
  </cols>
  <sheetData>
    <row r="1" spans="1:18" ht="20" thickTop="1" x14ac:dyDescent="0.2">
      <c r="A1" s="1225" t="s">
        <v>4173</v>
      </c>
      <c r="B1" s="1226"/>
      <c r="C1" s="1226"/>
      <c r="D1" s="1226"/>
      <c r="E1" s="1226"/>
      <c r="F1" s="1226"/>
      <c r="G1" s="1226"/>
      <c r="H1" s="1226"/>
      <c r="I1" s="1226"/>
      <c r="J1" s="1226"/>
      <c r="K1" s="1226"/>
      <c r="L1" s="1226"/>
      <c r="M1" s="1226"/>
      <c r="N1" s="1226"/>
      <c r="O1" s="1226"/>
      <c r="P1" s="1226"/>
      <c r="Q1" s="1226"/>
      <c r="R1" s="1227"/>
    </row>
    <row r="2" spans="1:18" x14ac:dyDescent="0.2">
      <c r="A2" s="1223"/>
      <c r="B2" s="1224"/>
      <c r="C2" s="1224"/>
      <c r="D2" s="1224"/>
      <c r="E2" s="64"/>
      <c r="F2" s="64"/>
      <c r="G2" s="64"/>
      <c r="H2" s="64"/>
      <c r="I2" s="64"/>
      <c r="J2" s="64"/>
      <c r="K2" s="64"/>
      <c r="L2" s="64"/>
      <c r="M2" s="64"/>
      <c r="N2" s="64"/>
      <c r="O2" s="64"/>
      <c r="P2" s="64"/>
      <c r="Q2" s="64"/>
      <c r="R2" s="111"/>
    </row>
    <row r="3" spans="1:18" x14ac:dyDescent="0.2">
      <c r="A3" s="110"/>
      <c r="B3" s="1195" t="s">
        <v>4174</v>
      </c>
      <c r="C3" s="1195"/>
      <c r="D3" s="562"/>
      <c r="E3" s="1195" t="s">
        <v>4175</v>
      </c>
      <c r="F3" s="1195"/>
      <c r="G3" s="562"/>
      <c r="H3" s="1196" t="s">
        <v>4126</v>
      </c>
      <c r="I3" s="1197"/>
      <c r="J3" s="1198"/>
      <c r="K3" s="64"/>
      <c r="L3" s="64"/>
      <c r="M3" s="64"/>
      <c r="N3" s="64"/>
      <c r="O3" s="64"/>
      <c r="P3" s="64"/>
      <c r="Q3" s="64"/>
      <c r="R3" s="111"/>
    </row>
    <row r="4" spans="1:18" x14ac:dyDescent="0.2">
      <c r="A4" s="110"/>
      <c r="B4" s="64"/>
      <c r="C4" s="64"/>
      <c r="D4" s="64"/>
      <c r="E4" s="64"/>
      <c r="F4" s="64"/>
      <c r="G4" s="64"/>
      <c r="H4" s="64"/>
      <c r="I4" s="64"/>
      <c r="J4" s="64"/>
      <c r="K4" s="64"/>
      <c r="L4" s="64"/>
      <c r="M4" s="64"/>
      <c r="N4" s="64"/>
      <c r="O4" s="64"/>
      <c r="P4" s="64"/>
      <c r="Q4" s="64"/>
      <c r="R4" s="111"/>
    </row>
    <row r="5" spans="1:18" x14ac:dyDescent="0.2">
      <c r="A5" s="110"/>
      <c r="B5" s="64"/>
      <c r="C5" s="64"/>
      <c r="D5" s="64"/>
      <c r="E5" s="64"/>
      <c r="F5" s="64"/>
      <c r="G5" s="64"/>
      <c r="H5" s="64"/>
      <c r="I5" s="64"/>
      <c r="J5" s="64"/>
      <c r="K5" s="64"/>
      <c r="L5" s="64"/>
      <c r="M5" s="64"/>
      <c r="N5" s="64"/>
      <c r="O5" s="64"/>
      <c r="P5" s="64"/>
      <c r="Q5" s="64"/>
      <c r="R5" s="111"/>
    </row>
    <row r="6" spans="1:18" x14ac:dyDescent="0.2">
      <c r="A6" s="110"/>
      <c r="B6" s="64"/>
      <c r="C6" s="64"/>
      <c r="D6" s="64"/>
      <c r="E6" s="64"/>
      <c r="F6" s="64"/>
      <c r="G6" s="64"/>
      <c r="H6" s="64"/>
      <c r="I6" s="64"/>
      <c r="J6" s="64"/>
      <c r="K6" s="64"/>
      <c r="L6" s="64"/>
      <c r="M6" s="64"/>
      <c r="N6" s="64"/>
      <c r="O6" s="64"/>
      <c r="P6" s="64"/>
      <c r="Q6" s="64"/>
      <c r="R6" s="111"/>
    </row>
    <row r="7" spans="1:18" x14ac:dyDescent="0.2">
      <c r="A7" s="110"/>
      <c r="B7" s="64"/>
      <c r="C7" s="64"/>
      <c r="D7" s="64"/>
      <c r="E7" s="64"/>
      <c r="F7" s="64"/>
      <c r="G7" s="64"/>
      <c r="H7" s="64"/>
      <c r="I7" s="64"/>
      <c r="J7" s="64"/>
      <c r="K7" s="64"/>
      <c r="L7" s="64"/>
      <c r="M7" s="64"/>
      <c r="N7" s="64"/>
      <c r="O7" s="64"/>
      <c r="P7" s="64"/>
      <c r="Q7" s="64"/>
      <c r="R7" s="111"/>
    </row>
    <row r="8" spans="1:18" x14ac:dyDescent="0.2">
      <c r="A8" s="110"/>
      <c r="B8" s="64"/>
      <c r="C8" s="64"/>
      <c r="D8" s="64"/>
      <c r="E8" s="64"/>
      <c r="F8" s="64"/>
      <c r="G8" s="64"/>
      <c r="H8" s="64"/>
      <c r="I8" s="64"/>
      <c r="J8" s="64"/>
      <c r="K8" s="64"/>
      <c r="L8" s="64"/>
      <c r="M8" s="64"/>
      <c r="N8" s="64"/>
      <c r="O8" s="64"/>
      <c r="P8" s="64"/>
      <c r="Q8" s="64"/>
      <c r="R8" s="111"/>
    </row>
    <row r="9" spans="1:18" x14ac:dyDescent="0.2">
      <c r="A9" s="110"/>
      <c r="B9" s="64"/>
      <c r="C9" s="64"/>
      <c r="D9" s="64"/>
      <c r="E9" s="64"/>
      <c r="F9" s="64"/>
      <c r="G9" s="64"/>
      <c r="H9" s="64"/>
      <c r="I9" s="64"/>
      <c r="J9" s="64"/>
      <c r="K9" s="64"/>
      <c r="L9" s="64"/>
      <c r="M9" s="64"/>
      <c r="N9" s="64"/>
      <c r="O9" s="64"/>
      <c r="P9" s="64"/>
      <c r="Q9" s="64"/>
      <c r="R9" s="111"/>
    </row>
    <row r="10" spans="1:18" x14ac:dyDescent="0.2">
      <c r="A10" s="110"/>
      <c r="B10" s="64"/>
      <c r="C10" s="64"/>
      <c r="D10" s="64"/>
      <c r="E10" s="64"/>
      <c r="F10" s="64"/>
      <c r="G10" s="64"/>
      <c r="H10" s="64"/>
      <c r="I10" s="64"/>
      <c r="J10" s="64"/>
      <c r="K10" s="64"/>
      <c r="L10" s="64"/>
      <c r="M10" s="64"/>
      <c r="N10" s="64"/>
      <c r="O10" s="64"/>
      <c r="P10" s="64"/>
      <c r="Q10" s="64"/>
      <c r="R10" s="111"/>
    </row>
    <row r="11" spans="1:18" x14ac:dyDescent="0.2">
      <c r="A11" s="110"/>
      <c r="B11" s="64"/>
      <c r="C11" s="64"/>
      <c r="D11" s="64"/>
      <c r="E11" s="64"/>
      <c r="F11" s="64"/>
      <c r="G11" s="64"/>
      <c r="H11" s="64"/>
      <c r="I11" s="64"/>
      <c r="J11" s="64"/>
      <c r="K11" s="64"/>
      <c r="L11" s="64"/>
      <c r="M11" s="64"/>
      <c r="N11" s="64"/>
      <c r="O11" s="64"/>
      <c r="P11" s="64"/>
      <c r="Q11" s="64"/>
      <c r="R11" s="111"/>
    </row>
    <row r="12" spans="1:18" x14ac:dyDescent="0.2">
      <c r="A12" s="110"/>
      <c r="B12" s="64"/>
      <c r="C12" s="64"/>
      <c r="D12" s="64"/>
      <c r="E12" s="64"/>
      <c r="F12" s="64"/>
      <c r="G12" s="64"/>
      <c r="H12" s="64"/>
      <c r="I12" s="64"/>
      <c r="J12" s="64"/>
      <c r="K12" s="64"/>
      <c r="L12" s="64"/>
      <c r="M12" s="64"/>
      <c r="N12" s="64"/>
      <c r="O12" s="64"/>
      <c r="P12" s="64"/>
      <c r="Q12" s="64"/>
      <c r="R12" s="111"/>
    </row>
    <row r="13" spans="1:18" x14ac:dyDescent="0.2">
      <c r="A13" s="110"/>
      <c r="B13" s="64"/>
      <c r="C13" s="64"/>
      <c r="D13" s="64"/>
      <c r="E13" s="64"/>
      <c r="F13" s="64"/>
      <c r="G13" s="64"/>
      <c r="H13" s="64"/>
      <c r="I13" s="64"/>
      <c r="J13" s="64"/>
      <c r="K13" s="64"/>
      <c r="L13" s="64"/>
      <c r="M13" s="64"/>
      <c r="N13" s="64"/>
      <c r="O13" s="64"/>
      <c r="P13" s="64"/>
      <c r="Q13" s="64"/>
      <c r="R13" s="111"/>
    </row>
    <row r="14" spans="1:18" x14ac:dyDescent="0.2">
      <c r="A14" s="110"/>
      <c r="B14" s="64"/>
      <c r="C14" s="64"/>
      <c r="D14" s="64"/>
      <c r="E14" s="64"/>
      <c r="F14" s="64"/>
      <c r="G14" s="64"/>
      <c r="H14" s="64"/>
      <c r="I14" s="64"/>
      <c r="J14" s="64"/>
      <c r="K14" s="64"/>
      <c r="L14" s="64"/>
      <c r="M14" s="64"/>
      <c r="N14" s="64"/>
      <c r="O14" s="64"/>
      <c r="P14" s="64"/>
      <c r="Q14" s="64"/>
      <c r="R14" s="111"/>
    </row>
    <row r="15" spans="1:18" x14ac:dyDescent="0.2">
      <c r="A15" s="110"/>
      <c r="B15" s="64"/>
      <c r="C15" s="64"/>
      <c r="D15" s="64"/>
      <c r="E15" s="64"/>
      <c r="F15" s="64"/>
      <c r="G15" s="64"/>
      <c r="H15" s="64"/>
      <c r="I15" s="64"/>
      <c r="J15" s="64"/>
      <c r="K15" s="64"/>
      <c r="L15" s="64"/>
      <c r="M15" s="64"/>
      <c r="N15" s="64"/>
      <c r="O15" s="64"/>
      <c r="P15" s="64"/>
      <c r="Q15" s="64"/>
      <c r="R15" s="111"/>
    </row>
    <row r="16" spans="1:18" x14ac:dyDescent="0.2">
      <c r="A16" s="110"/>
      <c r="B16" s="64"/>
      <c r="C16" s="64"/>
      <c r="D16" s="64"/>
      <c r="E16" s="64"/>
      <c r="F16" s="64"/>
      <c r="G16" s="64"/>
      <c r="H16" s="64"/>
      <c r="I16" s="64"/>
      <c r="J16" s="64"/>
      <c r="K16" s="64"/>
      <c r="L16" s="64"/>
      <c r="M16" s="64"/>
      <c r="N16" s="64"/>
      <c r="O16" s="64"/>
      <c r="P16" s="64"/>
      <c r="Q16" s="64"/>
      <c r="R16" s="111"/>
    </row>
    <row r="17" spans="1:18" x14ac:dyDescent="0.2">
      <c r="A17" s="110"/>
      <c r="B17" s="64"/>
      <c r="C17" s="64"/>
      <c r="D17" s="64"/>
      <c r="E17" s="64"/>
      <c r="F17" s="64"/>
      <c r="G17" s="64"/>
      <c r="H17" s="64"/>
      <c r="I17" s="64"/>
      <c r="J17" s="64"/>
      <c r="K17" s="64"/>
      <c r="L17" s="64"/>
      <c r="M17" s="64"/>
      <c r="N17" s="64"/>
      <c r="O17" s="64"/>
      <c r="P17" s="64"/>
      <c r="Q17" s="64"/>
      <c r="R17" s="111"/>
    </row>
    <row r="18" spans="1:18" x14ac:dyDescent="0.2">
      <c r="A18" s="110"/>
      <c r="B18" s="64"/>
      <c r="C18" s="64"/>
      <c r="D18" s="64"/>
      <c r="E18" s="64"/>
      <c r="F18" s="64"/>
      <c r="G18" s="64"/>
      <c r="H18" s="64"/>
      <c r="I18" s="64"/>
      <c r="J18" s="64"/>
      <c r="K18" s="64"/>
      <c r="L18" s="64"/>
      <c r="M18" s="64"/>
      <c r="N18" s="64"/>
      <c r="O18" s="64"/>
      <c r="P18" s="64"/>
      <c r="Q18" s="64"/>
      <c r="R18" s="111"/>
    </row>
    <row r="19" spans="1:18" x14ac:dyDescent="0.2">
      <c r="A19" s="110"/>
      <c r="B19" s="64"/>
      <c r="C19" s="64"/>
      <c r="D19" s="64"/>
      <c r="E19" s="64"/>
      <c r="F19" s="64"/>
      <c r="G19" s="64"/>
      <c r="H19" s="64"/>
      <c r="I19" s="64"/>
      <c r="J19" s="64"/>
      <c r="K19" s="64"/>
      <c r="L19" s="64"/>
      <c r="M19" s="64"/>
      <c r="N19" s="64"/>
      <c r="O19" s="64"/>
      <c r="P19" s="64"/>
      <c r="Q19" s="64"/>
      <c r="R19" s="111"/>
    </row>
    <row r="20" spans="1:18" x14ac:dyDescent="0.2">
      <c r="A20" s="110"/>
      <c r="B20" s="64"/>
      <c r="C20" s="64"/>
      <c r="D20" s="64"/>
      <c r="E20" s="64"/>
      <c r="F20" s="64"/>
      <c r="G20" s="64"/>
      <c r="H20" s="64"/>
      <c r="I20" s="64"/>
      <c r="J20" s="64"/>
      <c r="K20" s="64"/>
      <c r="L20" s="64"/>
      <c r="M20" s="64"/>
      <c r="N20" s="64"/>
      <c r="O20" s="64"/>
      <c r="P20" s="64"/>
      <c r="Q20" s="64"/>
      <c r="R20" s="111"/>
    </row>
    <row r="21" spans="1:18" x14ac:dyDescent="0.2">
      <c r="A21" s="110"/>
      <c r="B21" s="64"/>
      <c r="C21" s="64"/>
      <c r="D21" s="64"/>
      <c r="E21" s="64"/>
      <c r="F21" s="64"/>
      <c r="G21" s="64"/>
      <c r="H21" s="64"/>
      <c r="I21" s="64"/>
      <c r="J21" s="64"/>
      <c r="K21" s="64"/>
      <c r="L21" s="64"/>
      <c r="M21" s="64"/>
      <c r="N21" s="64"/>
      <c r="O21" s="64"/>
      <c r="P21" s="64"/>
      <c r="Q21" s="64"/>
      <c r="R21" s="111"/>
    </row>
    <row r="22" spans="1:18" x14ac:dyDescent="0.2">
      <c r="A22" s="110"/>
      <c r="B22" s="64"/>
      <c r="C22" s="64"/>
      <c r="D22" s="64"/>
      <c r="E22" s="64"/>
      <c r="F22" s="64"/>
      <c r="G22" s="64"/>
      <c r="H22" s="64"/>
      <c r="I22" s="64"/>
      <c r="J22" s="64"/>
      <c r="K22" s="64"/>
      <c r="L22" s="64"/>
      <c r="M22" s="64"/>
      <c r="N22" s="64"/>
      <c r="O22" s="64"/>
      <c r="P22" s="64"/>
      <c r="Q22" s="64"/>
      <c r="R22" s="111"/>
    </row>
    <row r="23" spans="1:18" x14ac:dyDescent="0.2">
      <c r="A23" s="110"/>
      <c r="B23" s="64"/>
      <c r="C23" s="64"/>
      <c r="D23" s="64"/>
      <c r="E23" s="64"/>
      <c r="F23" s="64"/>
      <c r="G23" s="64"/>
      <c r="H23" s="64"/>
      <c r="I23" s="64"/>
      <c r="J23" s="64"/>
      <c r="K23" s="64"/>
      <c r="L23" s="64"/>
      <c r="M23" s="64"/>
      <c r="N23" s="64"/>
      <c r="O23" s="64"/>
      <c r="P23" s="64"/>
      <c r="Q23" s="64"/>
      <c r="R23" s="111"/>
    </row>
    <row r="24" spans="1:18" x14ac:dyDescent="0.2">
      <c r="A24" s="110"/>
      <c r="B24" s="64"/>
      <c r="C24" s="64"/>
      <c r="D24" s="64"/>
      <c r="E24" s="64"/>
      <c r="F24" s="64"/>
      <c r="G24" s="64"/>
      <c r="H24" s="64"/>
      <c r="I24" s="64"/>
      <c r="J24" s="64"/>
      <c r="K24" s="64"/>
      <c r="L24" s="64"/>
      <c r="M24" s="64"/>
      <c r="N24" s="64"/>
      <c r="O24" s="64"/>
      <c r="P24" s="64"/>
      <c r="Q24" s="64"/>
      <c r="R24" s="111"/>
    </row>
    <row r="25" spans="1:18" x14ac:dyDescent="0.2">
      <c r="A25" s="110"/>
      <c r="B25" s="64"/>
      <c r="C25" s="64"/>
      <c r="D25" s="64"/>
      <c r="E25" s="64"/>
      <c r="F25" s="64"/>
      <c r="G25" s="64"/>
      <c r="H25" s="64"/>
      <c r="I25" s="64"/>
      <c r="J25" s="64"/>
      <c r="K25" s="64"/>
      <c r="L25" s="64"/>
      <c r="M25" s="64"/>
      <c r="N25" s="64"/>
      <c r="O25" s="64"/>
      <c r="P25" s="64"/>
      <c r="Q25" s="64"/>
      <c r="R25" s="111"/>
    </row>
    <row r="26" spans="1:18" x14ac:dyDescent="0.2">
      <c r="A26" s="110"/>
      <c r="B26" s="64"/>
      <c r="C26" s="64"/>
      <c r="D26" s="64"/>
      <c r="E26" s="64"/>
      <c r="F26" s="64"/>
      <c r="G26" s="64"/>
      <c r="H26" s="64"/>
      <c r="I26" s="64"/>
      <c r="J26" s="64"/>
      <c r="K26" s="64"/>
      <c r="L26" s="64"/>
      <c r="M26" s="64"/>
      <c r="N26" s="64"/>
      <c r="O26" s="64"/>
      <c r="P26" s="64"/>
      <c r="Q26" s="64"/>
      <c r="R26" s="111"/>
    </row>
    <row r="27" spans="1:18" x14ac:dyDescent="0.2">
      <c r="A27" s="110"/>
      <c r="B27" s="64"/>
      <c r="C27" s="64"/>
      <c r="D27" s="64"/>
      <c r="E27" s="64"/>
      <c r="F27" s="64"/>
      <c r="G27" s="64"/>
      <c r="H27" s="64"/>
      <c r="I27" s="64"/>
      <c r="J27" s="64"/>
      <c r="K27" s="64"/>
      <c r="L27" s="64"/>
      <c r="M27" s="64"/>
      <c r="N27" s="64"/>
      <c r="O27" s="64"/>
      <c r="P27" s="64"/>
      <c r="Q27" s="64"/>
      <c r="R27" s="111"/>
    </row>
    <row r="28" spans="1:18" x14ac:dyDescent="0.2">
      <c r="A28" s="110"/>
      <c r="B28" s="64"/>
      <c r="C28" s="64"/>
      <c r="D28" s="64"/>
      <c r="E28" s="64"/>
      <c r="F28" s="64"/>
      <c r="G28" s="64"/>
      <c r="H28" s="64"/>
      <c r="I28" s="64"/>
      <c r="J28" s="64"/>
      <c r="K28" s="64"/>
      <c r="L28" s="64"/>
      <c r="M28" s="64"/>
      <c r="N28" s="64"/>
      <c r="O28" s="64"/>
      <c r="P28" s="64"/>
      <c r="Q28" s="64"/>
      <c r="R28" s="111"/>
    </row>
    <row r="29" spans="1:18" x14ac:dyDescent="0.2">
      <c r="A29" s="110"/>
      <c r="B29" s="64"/>
      <c r="C29" s="64"/>
      <c r="D29" s="64"/>
      <c r="E29" s="64"/>
      <c r="F29" s="64"/>
      <c r="G29" s="64"/>
      <c r="H29" s="64"/>
      <c r="I29" s="64"/>
      <c r="J29" s="64"/>
      <c r="K29" s="64"/>
      <c r="L29" s="64"/>
      <c r="M29" s="64"/>
      <c r="N29" s="64"/>
      <c r="O29" s="64"/>
      <c r="P29" s="64"/>
      <c r="Q29" s="64"/>
      <c r="R29" s="111"/>
    </row>
    <row r="30" spans="1:18" x14ac:dyDescent="0.2">
      <c r="A30" s="110"/>
      <c r="B30" s="64"/>
      <c r="C30" s="64"/>
      <c r="D30" s="64"/>
      <c r="E30" s="64"/>
      <c r="F30" s="64"/>
      <c r="G30" s="64"/>
      <c r="H30" s="64"/>
      <c r="I30" s="64"/>
      <c r="J30" s="64"/>
      <c r="K30" s="64"/>
      <c r="L30" s="64"/>
      <c r="M30" s="64"/>
      <c r="N30" s="64"/>
      <c r="O30" s="64"/>
      <c r="P30" s="64"/>
      <c r="Q30" s="64"/>
      <c r="R30" s="111"/>
    </row>
    <row r="31" spans="1:18" x14ac:dyDescent="0.2">
      <c r="A31" s="110"/>
      <c r="B31" s="64"/>
      <c r="C31" s="64"/>
      <c r="D31" s="64"/>
      <c r="E31" s="64"/>
      <c r="F31" s="64"/>
      <c r="G31" s="64"/>
      <c r="H31" s="64"/>
      <c r="I31" s="64"/>
      <c r="J31" s="64"/>
      <c r="K31" s="64"/>
      <c r="L31" s="64"/>
      <c r="M31" s="64"/>
      <c r="N31" s="64"/>
      <c r="O31" s="64"/>
      <c r="P31" s="64"/>
      <c r="Q31" s="64"/>
      <c r="R31" s="111"/>
    </row>
    <row r="32" spans="1:18" x14ac:dyDescent="0.2">
      <c r="A32" s="110"/>
      <c r="B32" s="64"/>
      <c r="C32" s="64"/>
      <c r="D32" s="64"/>
      <c r="E32" s="64"/>
      <c r="F32" s="64"/>
      <c r="G32" s="64"/>
      <c r="H32" s="64"/>
      <c r="I32" s="64"/>
      <c r="J32" s="64"/>
      <c r="K32" s="64"/>
      <c r="L32" s="64"/>
      <c r="M32" s="64"/>
      <c r="N32" s="64"/>
      <c r="O32" s="64"/>
      <c r="P32" s="64"/>
      <c r="Q32" s="64"/>
      <c r="R32" s="111"/>
    </row>
    <row r="33" spans="1:18" x14ac:dyDescent="0.2">
      <c r="A33" s="110"/>
      <c r="B33" s="115"/>
      <c r="C33" s="116"/>
      <c r="D33" s="64"/>
      <c r="E33" s="64"/>
      <c r="F33" s="64"/>
      <c r="G33" s="64"/>
      <c r="H33" s="64"/>
      <c r="I33" s="64"/>
      <c r="J33" s="64"/>
      <c r="K33" s="64"/>
      <c r="L33" s="64"/>
      <c r="M33" s="64"/>
      <c r="N33" s="64"/>
      <c r="O33" s="115" t="s">
        <v>4176</v>
      </c>
      <c r="P33" s="197" t="s">
        <v>4177</v>
      </c>
      <c r="Q33" s="64"/>
      <c r="R33" s="111"/>
    </row>
    <row r="34" spans="1:18" ht="16" thickBot="1" x14ac:dyDescent="0.25">
      <c r="A34" s="112"/>
      <c r="B34" s="113"/>
      <c r="C34" s="113"/>
      <c r="D34" s="113"/>
      <c r="E34" s="113"/>
      <c r="F34" s="113"/>
      <c r="G34" s="113"/>
      <c r="H34" s="113"/>
      <c r="I34" s="113"/>
      <c r="J34" s="113"/>
      <c r="K34" s="113"/>
      <c r="L34" s="113"/>
      <c r="M34" s="113"/>
      <c r="N34" s="113"/>
      <c r="O34" s="113"/>
      <c r="P34" s="113"/>
      <c r="Q34" s="113"/>
      <c r="R34" s="114"/>
    </row>
    <row r="35" spans="1:18" ht="16" thickTop="1" x14ac:dyDescent="0.2">
      <c r="A35" s="562"/>
      <c r="B35" s="562"/>
      <c r="C35" s="562"/>
      <c r="D35" s="562"/>
      <c r="E35" s="562"/>
      <c r="F35" s="562"/>
      <c r="G35" s="562"/>
      <c r="H35" s="562"/>
      <c r="I35" s="562"/>
      <c r="J35" s="562"/>
      <c r="K35" s="562"/>
      <c r="L35" s="562"/>
      <c r="M35" s="562"/>
      <c r="N35" s="562"/>
      <c r="O35" s="562"/>
      <c r="P35" s="562"/>
      <c r="Q35" s="562"/>
      <c r="R35" s="562"/>
    </row>
  </sheetData>
  <sheetProtection algorithmName="SHA-512" hashValue="jr04C0ceYOOVv7oJv9gKabUgaqzaQ5k1UOcLxFhl2mINrdWlRpCLDUAWPFIVGjv1/p2wePuv9tXTfD7NOjmPgQ==" saltValue="M1pSM3XTLO3WTGwX2Nvr+A==" spinCount="100000" sheet="1" objects="1" scenarios="1" selectLockedCells="1"/>
  <mergeCells count="6">
    <mergeCell ref="A2:B2"/>
    <mergeCell ref="C2:D2"/>
    <mergeCell ref="A1:R1"/>
    <mergeCell ref="B3:C3"/>
    <mergeCell ref="E3:F3"/>
    <mergeCell ref="H3:J3"/>
  </mergeCells>
  <hyperlinks>
    <hyperlink ref="P33" r:id="rId1" xr:uid="{00000000-0004-0000-1D00-000000000000}"/>
    <hyperlink ref="B3:C3" location="hyptarg1" display="back to 602.1.5" xr:uid="{00000000-0004-0000-1D00-000001000000}"/>
    <hyperlink ref="E3:F3" location="hyptarg2" display="back to 602.1.6" xr:uid="{00000000-0004-0000-1D00-000002000000}"/>
    <hyperlink ref="H3:I3" location="'Verification Report'!A1" display="back to Verification Report" xr:uid="{00000000-0004-0000-1D00-000003000000}"/>
    <hyperlink ref="H3:J3" location="'Verification Report'!A1" display="back to Verification Report" xr:uid="{00000000-0004-0000-1D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202"/>
  </cols>
  <sheetData>
    <row r="1" spans="2:9" s="214" customFormat="1" x14ac:dyDescent="0.2">
      <c r="B1" s="562"/>
      <c r="C1" s="562"/>
      <c r="D1" s="562"/>
      <c r="E1" s="562"/>
      <c r="F1" s="562"/>
      <c r="G1" s="562"/>
      <c r="H1" s="562"/>
      <c r="I1" s="562"/>
    </row>
    <row r="2" spans="2:9" s="214" customFormat="1" x14ac:dyDescent="0.2">
      <c r="B2" s="1195" t="s">
        <v>4178</v>
      </c>
      <c r="C2" s="1195"/>
      <c r="D2" s="562"/>
      <c r="E2" s="562"/>
      <c r="F2" s="1196" t="s">
        <v>4126</v>
      </c>
      <c r="G2" s="1197"/>
      <c r="H2" s="1198"/>
      <c r="I2" s="562"/>
    </row>
    <row r="5" spans="2:9" x14ac:dyDescent="0.2">
      <c r="B5" s="562"/>
      <c r="C5" s="562"/>
      <c r="D5" s="1203" t="s">
        <v>4179</v>
      </c>
      <c r="E5" s="1203"/>
      <c r="F5" s="1203"/>
      <c r="G5" s="1203"/>
      <c r="H5" s="1203"/>
      <c r="I5" s="1203"/>
    </row>
    <row r="6" spans="2:9" x14ac:dyDescent="0.2">
      <c r="B6" s="562"/>
      <c r="C6" s="562"/>
      <c r="D6" s="853" t="s">
        <v>4180</v>
      </c>
      <c r="E6" s="853"/>
      <c r="F6" s="853"/>
      <c r="G6" s="853"/>
      <c r="H6" s="853"/>
      <c r="I6" s="853"/>
    </row>
  </sheetData>
  <sheetProtection algorithmName="SHA-512" hashValue="IcnjWLjda8MYForV0y3jv1oOg65EEi7QeJXyt0cAwPzwkiyrZ/g5tX/6PoQqsvyaKvAzUPyNdIKqhNIs8fJArw==" saltValue="tzzwdovEB2fzeF3KLUw8aA==" spinCount="100000" sheet="1" objects="1" scenarios="1" selectLockedCells="1"/>
  <mergeCells count="4">
    <mergeCell ref="D5:I5"/>
    <mergeCell ref="D6:I6"/>
    <mergeCell ref="B2:C2"/>
    <mergeCell ref="F2:H2"/>
  </mergeCells>
  <hyperlinks>
    <hyperlink ref="B2:C2" location="hyptarg7.1" display="back to 701.4.3.2(2)" xr:uid="{00000000-0004-0000-1E00-000000000000}"/>
    <hyperlink ref="F2:G2" location="'Verification Report'!A1" display="back to Verification Report" xr:uid="{00000000-0004-0000-1E00-000001000000}"/>
    <hyperlink ref="F2:H2" location="'Verification Report'!A1" display="back to Verification Report" xr:uid="{00000000-0004-0000-1E00-000002000000}"/>
  </hyperlinks>
  <pageMargins left="0.7" right="0.7" top="0.75" bottom="0.75" header="0.3" footer="0.3"/>
  <pageSetup scale="82"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FDEF1-7FE7-4B42-AE83-40327DD31E38}">
  <sheetPr>
    <pageSetUpPr fitToPage="1"/>
  </sheetPr>
  <dimension ref="B2:F15"/>
  <sheetViews>
    <sheetView showGridLines="0" zoomScaleNormal="100" workbookViewId="0">
      <selection activeCell="B2" sqref="B2:C2"/>
    </sheetView>
  </sheetViews>
  <sheetFormatPr baseColWidth="10" defaultColWidth="9.1640625" defaultRowHeight="15" x14ac:dyDescent="0.2"/>
  <cols>
    <col min="1" max="1" width="9.1640625" style="528"/>
    <col min="2" max="2" width="9.5" style="528" customWidth="1"/>
    <col min="3" max="6" width="11.33203125" style="528" customWidth="1"/>
    <col min="7" max="16384" width="9.1640625" style="528"/>
  </cols>
  <sheetData>
    <row r="2" spans="2:6" x14ac:dyDescent="0.2">
      <c r="B2" s="1195" t="s">
        <v>4181</v>
      </c>
      <c r="C2" s="1195"/>
      <c r="D2" s="562"/>
      <c r="E2" s="1195" t="s">
        <v>4126</v>
      </c>
      <c r="F2" s="1195"/>
    </row>
    <row r="4" spans="2:6" x14ac:dyDescent="0.2">
      <c r="B4" s="1228" t="s">
        <v>4182</v>
      </c>
      <c r="C4" s="1228"/>
      <c r="D4" s="1228"/>
      <c r="E4" s="1228"/>
      <c r="F4" s="1228"/>
    </row>
    <row r="5" spans="2:6" x14ac:dyDescent="0.2">
      <c r="B5" s="1229" t="s">
        <v>4183</v>
      </c>
      <c r="C5" s="1229"/>
      <c r="D5" s="1229"/>
      <c r="E5" s="1229"/>
      <c r="F5" s="1229"/>
    </row>
    <row r="6" spans="2:6" ht="15" customHeight="1" x14ac:dyDescent="0.2">
      <c r="B6" s="1230" t="s">
        <v>4184</v>
      </c>
      <c r="C6" s="531" t="s">
        <v>4185</v>
      </c>
      <c r="D6" s="531" t="s">
        <v>4186</v>
      </c>
      <c r="E6" s="531" t="s">
        <v>4185</v>
      </c>
      <c r="F6" s="531" t="s">
        <v>4186</v>
      </c>
    </row>
    <row r="7" spans="2:6" ht="25.5" customHeight="1" x14ac:dyDescent="0.2">
      <c r="B7" s="1231"/>
      <c r="C7" s="1232" t="s">
        <v>4187</v>
      </c>
      <c r="D7" s="1233"/>
      <c r="E7" s="1232" t="s">
        <v>4188</v>
      </c>
      <c r="F7" s="1233"/>
    </row>
    <row r="8" spans="2:6" x14ac:dyDescent="0.2">
      <c r="B8" s="532">
        <v>1</v>
      </c>
      <c r="C8" s="533">
        <v>0.5</v>
      </c>
      <c r="D8" s="533">
        <v>0.25</v>
      </c>
      <c r="E8" s="534">
        <v>0.75</v>
      </c>
      <c r="F8" s="533">
        <v>0.3</v>
      </c>
    </row>
    <row r="9" spans="2:6" x14ac:dyDescent="0.2">
      <c r="B9" s="532">
        <v>2</v>
      </c>
      <c r="C9" s="533">
        <v>0.4</v>
      </c>
      <c r="D9" s="533">
        <v>0.25</v>
      </c>
      <c r="E9" s="534">
        <v>0.65</v>
      </c>
      <c r="F9" s="533">
        <v>0.3</v>
      </c>
    </row>
    <row r="10" spans="2:6" x14ac:dyDescent="0.2">
      <c r="B10" s="532">
        <v>3</v>
      </c>
      <c r="C10" s="533">
        <v>0.35</v>
      </c>
      <c r="D10" s="533">
        <v>0.25</v>
      </c>
      <c r="E10" s="534">
        <v>0.55000000000000004</v>
      </c>
      <c r="F10" s="533">
        <v>0.3</v>
      </c>
    </row>
    <row r="11" spans="2:6" x14ac:dyDescent="0.2">
      <c r="B11" s="532">
        <v>4</v>
      </c>
      <c r="C11" s="533">
        <v>0.35</v>
      </c>
      <c r="D11" s="533">
        <v>0.4</v>
      </c>
      <c r="E11" s="534">
        <v>0.55000000000000004</v>
      </c>
      <c r="F11" s="533">
        <v>0.4</v>
      </c>
    </row>
    <row r="12" spans="2:6" x14ac:dyDescent="0.2">
      <c r="B12" s="532" t="s">
        <v>4189</v>
      </c>
      <c r="C12" s="533">
        <v>0.32</v>
      </c>
      <c r="D12" s="533" t="s">
        <v>4190</v>
      </c>
      <c r="E12" s="534">
        <v>0.55000000000000004</v>
      </c>
      <c r="F12" s="534" t="s">
        <v>4190</v>
      </c>
    </row>
    <row r="13" spans="2:6" x14ac:dyDescent="0.2">
      <c r="B13" s="831" t="s">
        <v>4191</v>
      </c>
      <c r="C13" s="831"/>
      <c r="D13" s="831"/>
      <c r="E13" s="831"/>
      <c r="F13" s="831"/>
    </row>
    <row r="14" spans="2:6" x14ac:dyDescent="0.2">
      <c r="B14" s="817"/>
      <c r="C14" s="817"/>
      <c r="D14" s="817"/>
      <c r="E14" s="817"/>
      <c r="F14" s="817"/>
    </row>
    <row r="15" spans="2:6" x14ac:dyDescent="0.2">
      <c r="B15" s="817"/>
      <c r="C15" s="817"/>
      <c r="D15" s="817"/>
      <c r="E15" s="817"/>
      <c r="F15" s="817"/>
    </row>
  </sheetData>
  <mergeCells count="8">
    <mergeCell ref="B13:F15"/>
    <mergeCell ref="B2:C2"/>
    <mergeCell ref="E2:F2"/>
    <mergeCell ref="B4:F4"/>
    <mergeCell ref="B5:F5"/>
    <mergeCell ref="B6:B7"/>
    <mergeCell ref="C7:D7"/>
    <mergeCell ref="E7:F7"/>
  </mergeCells>
  <hyperlinks>
    <hyperlink ref="B2:C2" location="'Ch7'!A1" display="back to 703.2.5.1" xr:uid="{A7796CE6-2AF3-41A7-92B8-231F9A1E037F}"/>
    <hyperlink ref="E2:F2" location="'Verification Report'!A1" display="back to Verification Report" xr:uid="{CAF2568A-D7AE-4757-B773-79ED8C540BB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26"/>
    <col min="2" max="2" width="40.5" style="226" bestFit="1" customWidth="1"/>
    <col min="3" max="3" width="9.5" style="226" bestFit="1" customWidth="1"/>
    <col min="4" max="16384" width="9.1640625" style="226"/>
  </cols>
  <sheetData>
    <row r="2" spans="2:7" x14ac:dyDescent="0.2">
      <c r="B2" s="1195" t="s">
        <v>4192</v>
      </c>
      <c r="C2" s="1195"/>
      <c r="D2" s="562"/>
      <c r="E2" s="1196" t="s">
        <v>4126</v>
      </c>
      <c r="F2" s="1197"/>
      <c r="G2" s="1198"/>
    </row>
    <row r="3" spans="2:7" x14ac:dyDescent="0.2">
      <c r="B3" s="562"/>
      <c r="C3" s="562"/>
      <c r="D3" s="562"/>
      <c r="E3" s="562"/>
      <c r="F3" s="562"/>
      <c r="G3" s="562"/>
    </row>
    <row r="4" spans="2:7" x14ac:dyDescent="0.2">
      <c r="B4" s="1203" t="s">
        <v>4193</v>
      </c>
      <c r="C4" s="1203"/>
      <c r="D4" s="562"/>
      <c r="E4" s="562"/>
      <c r="F4" s="562"/>
      <c r="G4" s="562"/>
    </row>
    <row r="5" spans="2:7" ht="17" thickBot="1" x14ac:dyDescent="0.25">
      <c r="B5" s="1236" t="s">
        <v>4194</v>
      </c>
      <c r="C5" s="1236"/>
      <c r="D5" s="562"/>
      <c r="E5" s="562"/>
      <c r="F5" s="562"/>
      <c r="G5" s="562"/>
    </row>
    <row r="6" spans="2:7" ht="15" customHeight="1" thickBot="1" x14ac:dyDescent="0.25">
      <c r="B6" s="239" t="s">
        <v>4195</v>
      </c>
      <c r="C6" s="227" t="s">
        <v>4196</v>
      </c>
      <c r="D6" s="562"/>
      <c r="E6" s="562"/>
      <c r="F6" s="562"/>
      <c r="G6" s="562"/>
    </row>
    <row r="7" spans="2:7" ht="15" customHeight="1" thickBot="1" x14ac:dyDescent="0.25">
      <c r="B7" s="238" t="s">
        <v>4197</v>
      </c>
      <c r="C7" s="229">
        <v>50</v>
      </c>
      <c r="D7" s="562"/>
      <c r="E7" s="562"/>
      <c r="F7" s="562"/>
      <c r="G7" s="562"/>
    </row>
    <row r="8" spans="2:7" ht="15" customHeight="1" thickBot="1" x14ac:dyDescent="0.25">
      <c r="B8" s="238" t="s">
        <v>4198</v>
      </c>
      <c r="C8" s="229">
        <v>100</v>
      </c>
      <c r="D8" s="562"/>
      <c r="E8" s="562"/>
      <c r="F8" s="562"/>
      <c r="G8" s="562"/>
    </row>
    <row r="9" spans="2:7" ht="15" customHeight="1" thickBot="1" x14ac:dyDescent="0.25">
      <c r="B9" s="238" t="s">
        <v>4199</v>
      </c>
      <c r="C9" s="229">
        <v>150</v>
      </c>
      <c r="D9" s="562"/>
      <c r="E9" s="562"/>
      <c r="F9" s="562"/>
      <c r="G9" s="562"/>
    </row>
    <row r="10" spans="2:7" ht="15" customHeight="1" thickBot="1" x14ac:dyDescent="0.25">
      <c r="B10" s="237" t="s">
        <v>4200</v>
      </c>
      <c r="C10" s="236"/>
      <c r="D10" s="562"/>
      <c r="E10" s="562"/>
      <c r="F10" s="562"/>
      <c r="G10" s="562"/>
    </row>
    <row r="11" spans="2:7" ht="15" customHeight="1" thickBot="1" x14ac:dyDescent="0.25">
      <c r="B11" s="230" t="s">
        <v>4201</v>
      </c>
      <c r="C11" s="229">
        <v>400</v>
      </c>
      <c r="D11" s="562"/>
      <c r="E11" s="562"/>
      <c r="F11" s="562"/>
      <c r="G11" s="562"/>
    </row>
    <row r="12" spans="2:7" ht="15" customHeight="1" thickBot="1" x14ac:dyDescent="0.25">
      <c r="B12" s="230" t="s">
        <v>4202</v>
      </c>
      <c r="C12" s="229">
        <v>400</v>
      </c>
      <c r="D12" s="562"/>
      <c r="E12" s="562"/>
      <c r="F12" s="562"/>
      <c r="G12" s="562"/>
    </row>
    <row r="13" spans="2:7" ht="15" customHeight="1" thickBot="1" x14ac:dyDescent="0.25">
      <c r="B13" s="230" t="s">
        <v>4203</v>
      </c>
      <c r="C13" s="229">
        <v>50</v>
      </c>
      <c r="D13" s="562"/>
      <c r="E13" s="562"/>
      <c r="F13" s="562"/>
      <c r="G13" s="562"/>
    </row>
    <row r="14" spans="2:7" ht="15" customHeight="1" thickBot="1" x14ac:dyDescent="0.25">
      <c r="B14" s="230" t="s">
        <v>4204</v>
      </c>
      <c r="C14" s="229">
        <v>350</v>
      </c>
      <c r="D14" s="562"/>
      <c r="E14" s="562"/>
      <c r="F14" s="562"/>
      <c r="G14" s="562"/>
    </row>
    <row r="15" spans="2:7" ht="15" customHeight="1" thickBot="1" x14ac:dyDescent="0.25">
      <c r="B15" s="230" t="s">
        <v>4205</v>
      </c>
      <c r="C15" s="229">
        <v>350</v>
      </c>
      <c r="D15" s="562"/>
      <c r="E15" s="562"/>
      <c r="F15" s="562"/>
      <c r="G15" s="562"/>
    </row>
    <row r="16" spans="2:7" ht="15" customHeight="1" thickBot="1" x14ac:dyDescent="0.25">
      <c r="B16" s="230" t="s">
        <v>4206</v>
      </c>
      <c r="C16" s="229">
        <v>350</v>
      </c>
      <c r="D16" s="562"/>
      <c r="E16" s="562"/>
      <c r="F16" s="562"/>
      <c r="G16" s="562"/>
    </row>
    <row r="17" spans="2:3" ht="15" customHeight="1" thickBot="1" x14ac:dyDescent="0.25">
      <c r="B17" s="230" t="s">
        <v>4207</v>
      </c>
      <c r="C17" s="229">
        <v>100</v>
      </c>
    </row>
    <row r="18" spans="2:3" ht="15" customHeight="1" thickBot="1" x14ac:dyDescent="0.25">
      <c r="B18" s="230" t="s">
        <v>4208</v>
      </c>
      <c r="C18" s="229">
        <v>50</v>
      </c>
    </row>
    <row r="19" spans="2:3" ht="15" customHeight="1" thickBot="1" x14ac:dyDescent="0.25">
      <c r="B19" s="230" t="s">
        <v>4209</v>
      </c>
      <c r="C19" s="229">
        <v>150</v>
      </c>
    </row>
    <row r="20" spans="2:3" ht="15" customHeight="1" thickBot="1" x14ac:dyDescent="0.25">
      <c r="B20" s="235" t="s">
        <v>4195</v>
      </c>
      <c r="C20" s="209" t="s">
        <v>4196</v>
      </c>
    </row>
    <row r="21" spans="2:3" ht="15" customHeight="1" thickBot="1" x14ac:dyDescent="0.25">
      <c r="B21" s="230" t="s">
        <v>4210</v>
      </c>
      <c r="C21" s="229">
        <v>350</v>
      </c>
    </row>
    <row r="22" spans="2:3" ht="15" customHeight="1" thickBot="1" x14ac:dyDescent="0.25">
      <c r="B22" s="230" t="s">
        <v>4211</v>
      </c>
      <c r="C22" s="229">
        <v>350</v>
      </c>
    </row>
    <row r="23" spans="2:3" ht="15" customHeight="1" thickBot="1" x14ac:dyDescent="0.25">
      <c r="B23" s="230" t="s">
        <v>4212</v>
      </c>
      <c r="C23" s="229">
        <v>100</v>
      </c>
    </row>
    <row r="24" spans="2:3" ht="15" customHeight="1" thickBot="1" x14ac:dyDescent="0.25">
      <c r="B24" s="230" t="s">
        <v>4213</v>
      </c>
      <c r="C24" s="229">
        <v>250</v>
      </c>
    </row>
    <row r="25" spans="2:3" ht="15" customHeight="1" thickBot="1" x14ac:dyDescent="0.25">
      <c r="B25" s="230" t="s">
        <v>4214</v>
      </c>
      <c r="C25" s="229">
        <v>500</v>
      </c>
    </row>
    <row r="26" spans="2:3" ht="15" customHeight="1" thickBot="1" x14ac:dyDescent="0.25">
      <c r="B26" s="230" t="s">
        <v>4215</v>
      </c>
      <c r="C26" s="229">
        <v>420</v>
      </c>
    </row>
    <row r="27" spans="2:3" ht="15" customHeight="1" thickBot="1" x14ac:dyDescent="0.25">
      <c r="B27" s="230" t="s">
        <v>4216</v>
      </c>
      <c r="C27" s="229">
        <v>250</v>
      </c>
    </row>
    <row r="28" spans="2:3" ht="15" customHeight="1" thickBot="1" x14ac:dyDescent="0.25">
      <c r="B28" s="230" t="s">
        <v>4217</v>
      </c>
      <c r="C28" s="229" t="s">
        <v>4218</v>
      </c>
    </row>
    <row r="29" spans="2:3" ht="15" customHeight="1" thickBot="1" x14ac:dyDescent="0.25">
      <c r="B29" s="230" t="s">
        <v>4219</v>
      </c>
      <c r="C29" s="229">
        <v>450</v>
      </c>
    </row>
    <row r="30" spans="2:3" ht="15" customHeight="1" thickBot="1" x14ac:dyDescent="0.25">
      <c r="B30" s="230" t="s">
        <v>4220</v>
      </c>
      <c r="C30" s="229">
        <v>100</v>
      </c>
    </row>
    <row r="31" spans="2:3" ht="15" customHeight="1" thickBot="1" x14ac:dyDescent="0.25">
      <c r="B31" s="230" t="s">
        <v>4221</v>
      </c>
      <c r="C31" s="229">
        <v>500</v>
      </c>
    </row>
    <row r="32" spans="2:3" ht="15" customHeight="1" thickBot="1" x14ac:dyDescent="0.25">
      <c r="B32" s="230" t="s">
        <v>4222</v>
      </c>
      <c r="C32" s="229">
        <v>250</v>
      </c>
    </row>
    <row r="33" spans="2:3" ht="15" customHeight="1" thickBot="1" x14ac:dyDescent="0.25">
      <c r="B33" s="234" t="s">
        <v>4223</v>
      </c>
      <c r="C33" s="233">
        <v>420</v>
      </c>
    </row>
    <row r="34" spans="2:3" ht="15" customHeight="1" thickBot="1" x14ac:dyDescent="0.25">
      <c r="B34" s="232" t="s">
        <v>4224</v>
      </c>
      <c r="C34" s="231">
        <v>100</v>
      </c>
    </row>
    <row r="35" spans="2:3" ht="15" customHeight="1" thickBot="1" x14ac:dyDescent="0.25">
      <c r="B35" s="230" t="s">
        <v>4225</v>
      </c>
      <c r="C35" s="229">
        <v>350</v>
      </c>
    </row>
    <row r="36" spans="2:3" ht="15" customHeight="1" thickBot="1" x14ac:dyDescent="0.25">
      <c r="B36" s="230" t="s">
        <v>4226</v>
      </c>
      <c r="C36" s="229">
        <v>250</v>
      </c>
    </row>
    <row r="37" spans="2:3" ht="15" customHeight="1" thickBot="1" x14ac:dyDescent="0.25">
      <c r="B37" s="230" t="s">
        <v>4227</v>
      </c>
      <c r="C37" s="229">
        <v>50</v>
      </c>
    </row>
    <row r="38" spans="2:3" ht="15" customHeight="1" thickBot="1" x14ac:dyDescent="0.25">
      <c r="B38" s="230" t="s">
        <v>4228</v>
      </c>
      <c r="C38" s="229">
        <v>250</v>
      </c>
    </row>
    <row r="39" spans="2:3" ht="15" customHeight="1" thickBot="1" x14ac:dyDescent="0.25">
      <c r="B39" s="230" t="s">
        <v>4229</v>
      </c>
      <c r="C39" s="229">
        <v>730</v>
      </c>
    </row>
    <row r="40" spans="2:3" ht="15" customHeight="1" thickBot="1" x14ac:dyDescent="0.25">
      <c r="B40" s="230" t="s">
        <v>4230</v>
      </c>
      <c r="C40" s="229">
        <v>550</v>
      </c>
    </row>
    <row r="41" spans="2:3" ht="15" customHeight="1" thickBot="1" x14ac:dyDescent="0.25">
      <c r="B41" s="230" t="s">
        <v>4231</v>
      </c>
      <c r="C41" s="229">
        <v>100</v>
      </c>
    </row>
    <row r="42" spans="2:3" ht="15" customHeight="1" thickBot="1" x14ac:dyDescent="0.25">
      <c r="B42" s="230" t="s">
        <v>4232</v>
      </c>
      <c r="C42" s="229">
        <v>250</v>
      </c>
    </row>
    <row r="43" spans="2:3" ht="15" customHeight="1" thickBot="1" x14ac:dyDescent="0.25">
      <c r="B43" s="230" t="s">
        <v>4233</v>
      </c>
      <c r="C43" s="229">
        <v>450</v>
      </c>
    </row>
    <row r="44" spans="2:3" ht="15" customHeight="1" thickBot="1" x14ac:dyDescent="0.25">
      <c r="B44" s="230" t="s">
        <v>4234</v>
      </c>
      <c r="C44" s="229">
        <v>340</v>
      </c>
    </row>
    <row r="45" spans="2:3" ht="15" customHeight="1" thickBot="1" x14ac:dyDescent="0.25">
      <c r="B45" s="230" t="s">
        <v>4235</v>
      </c>
      <c r="C45" s="229">
        <v>100</v>
      </c>
    </row>
    <row r="46" spans="2:3" ht="15" customHeight="1" thickBot="1" x14ac:dyDescent="0.25">
      <c r="B46" s="230" t="s">
        <v>4236</v>
      </c>
      <c r="C46" s="229">
        <v>420</v>
      </c>
    </row>
    <row r="47" spans="2:3" ht="15" customHeight="1" thickBot="1" x14ac:dyDescent="0.25">
      <c r="B47" s="230" t="s">
        <v>4237</v>
      </c>
      <c r="C47" s="229">
        <v>250</v>
      </c>
    </row>
    <row r="48" spans="2:3" ht="15" customHeight="1" thickBot="1" x14ac:dyDescent="0.25">
      <c r="B48" s="230" t="s">
        <v>4238</v>
      </c>
      <c r="C48" s="229">
        <v>275</v>
      </c>
    </row>
    <row r="49" spans="2:6" ht="15" customHeight="1" thickBot="1" x14ac:dyDescent="0.25">
      <c r="B49" s="230" t="s">
        <v>4239</v>
      </c>
      <c r="C49" s="229">
        <v>350</v>
      </c>
      <c r="D49" s="562"/>
      <c r="E49" s="562"/>
      <c r="F49" s="562"/>
    </row>
    <row r="50" spans="2:6" ht="15" customHeight="1" thickBot="1" x14ac:dyDescent="0.25">
      <c r="B50" s="230" t="s">
        <v>4240</v>
      </c>
      <c r="C50" s="229">
        <v>340</v>
      </c>
      <c r="D50" s="562"/>
      <c r="E50" s="562"/>
      <c r="F50" s="562"/>
    </row>
    <row r="51" spans="2:6" x14ac:dyDescent="0.2">
      <c r="B51" s="1235" t="s">
        <v>4241</v>
      </c>
      <c r="C51" s="1235"/>
      <c r="D51" s="1235"/>
      <c r="E51" s="1235"/>
      <c r="F51" s="1235"/>
    </row>
    <row r="52" spans="2:6" x14ac:dyDescent="0.2">
      <c r="B52" s="1235"/>
      <c r="C52" s="1235"/>
      <c r="D52" s="1235"/>
      <c r="E52" s="1235"/>
      <c r="F52" s="1235"/>
    </row>
    <row r="53" spans="2:6" x14ac:dyDescent="0.2">
      <c r="B53" s="1235" t="s">
        <v>4242</v>
      </c>
      <c r="C53" s="1235"/>
      <c r="D53" s="1235"/>
      <c r="E53" s="1235"/>
      <c r="F53" s="1235"/>
    </row>
    <row r="54" spans="2:6" x14ac:dyDescent="0.2">
      <c r="B54" s="1235"/>
      <c r="C54" s="1235"/>
      <c r="D54" s="1235"/>
      <c r="E54" s="1235"/>
      <c r="F54" s="1235"/>
    </row>
    <row r="55" spans="2:6" x14ac:dyDescent="0.2">
      <c r="B55" s="1235" t="s">
        <v>4243</v>
      </c>
      <c r="C55" s="1235"/>
      <c r="D55" s="1235"/>
      <c r="E55" s="1235"/>
      <c r="F55" s="1235"/>
    </row>
    <row r="56" spans="2:6" x14ac:dyDescent="0.2">
      <c r="B56" s="1235"/>
      <c r="C56" s="1235"/>
      <c r="D56" s="1235"/>
      <c r="E56" s="1235"/>
      <c r="F56" s="1235"/>
    </row>
    <row r="57" spans="2:6" x14ac:dyDescent="0.2">
      <c r="B57" s="1235"/>
      <c r="C57" s="1235"/>
      <c r="D57" s="1235"/>
      <c r="E57" s="1235"/>
      <c r="F57" s="1235"/>
    </row>
    <row r="58" spans="2:6" x14ac:dyDescent="0.2">
      <c r="B58" s="1235" t="s">
        <v>4244</v>
      </c>
      <c r="C58" s="1235"/>
      <c r="D58" s="1235"/>
      <c r="E58" s="1235"/>
      <c r="F58" s="1235"/>
    </row>
    <row r="59" spans="2:6" x14ac:dyDescent="0.2">
      <c r="B59" s="1235"/>
      <c r="C59" s="1235"/>
      <c r="D59" s="1235"/>
      <c r="E59" s="1235"/>
      <c r="F59" s="1235"/>
    </row>
    <row r="60" spans="2:6" x14ac:dyDescent="0.2">
      <c r="B60" s="1234" t="s">
        <v>4245</v>
      </c>
      <c r="C60" s="1234"/>
      <c r="D60" s="1234"/>
      <c r="E60" s="1234"/>
      <c r="F60" s="1234"/>
    </row>
  </sheetData>
  <sheetProtection algorithmName="SHA-512" hashValue="JTGqIkBdIcMpO7Kn8koDtnBe0BE40iITM3cDAveWPc0o3gk9sRfADG+E7d3Chgkf29sGMZ4jJ13IcHnuReUpZw==" saltValue="liti5Qhy0aiJMMaOeIYGAA=="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scale="94" fitToHeight="0" orientation="portrait" r:id="rId1"/>
  <rowBreaks count="1" manualBreakCount="1">
    <brk id="19"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26"/>
    <col min="2" max="2" width="37.6640625" style="226" bestFit="1" customWidth="1"/>
    <col min="3" max="3" width="8.83203125" style="226" bestFit="1" customWidth="1"/>
    <col min="4" max="16384" width="9.1640625" style="226"/>
  </cols>
  <sheetData>
    <row r="2" spans="2:7" x14ac:dyDescent="0.2">
      <c r="B2" s="1195" t="s">
        <v>4246</v>
      </c>
      <c r="C2" s="1195"/>
      <c r="D2" s="562"/>
      <c r="E2" s="1196" t="s">
        <v>4126</v>
      </c>
      <c r="F2" s="1197"/>
      <c r="G2" s="1198"/>
    </row>
    <row r="4" spans="2:7" ht="15" customHeight="1" x14ac:dyDescent="0.2">
      <c r="B4" s="864" t="s">
        <v>4247</v>
      </c>
      <c r="C4" s="864"/>
      <c r="D4" s="562"/>
      <c r="E4" s="562"/>
      <c r="F4" s="562"/>
      <c r="G4" s="562"/>
    </row>
    <row r="5" spans="2:7" ht="15" customHeight="1" thickBot="1" x14ac:dyDescent="0.25">
      <c r="B5" s="1237" t="s">
        <v>4248</v>
      </c>
      <c r="C5" s="1237"/>
      <c r="D5" s="562"/>
      <c r="E5" s="562"/>
      <c r="F5" s="562"/>
      <c r="G5" s="562"/>
    </row>
    <row r="6" spans="2:7" ht="15" customHeight="1" thickBot="1" x14ac:dyDescent="0.25">
      <c r="B6" s="235" t="s">
        <v>4249</v>
      </c>
      <c r="C6" s="209" t="s">
        <v>4250</v>
      </c>
      <c r="D6" s="562"/>
      <c r="E6" s="562"/>
      <c r="F6" s="562"/>
      <c r="G6" s="562"/>
    </row>
    <row r="7" spans="2:7" ht="15" customHeight="1" thickBot="1" x14ac:dyDescent="0.25">
      <c r="B7" s="240" t="s">
        <v>4251</v>
      </c>
      <c r="C7" s="229">
        <v>50</v>
      </c>
      <c r="D7" s="562"/>
      <c r="E7" s="562"/>
      <c r="F7" s="562"/>
      <c r="G7" s="562"/>
    </row>
    <row r="8" spans="2:7" ht="15" customHeight="1" thickBot="1" x14ac:dyDescent="0.25">
      <c r="B8" s="240" t="s">
        <v>4252</v>
      </c>
      <c r="C8" s="229">
        <v>600</v>
      </c>
      <c r="D8" s="562"/>
      <c r="E8" s="562"/>
      <c r="F8" s="562"/>
      <c r="G8" s="562"/>
    </row>
    <row r="9" spans="2:7" ht="15" customHeight="1" thickBot="1" x14ac:dyDescent="0.25">
      <c r="B9" s="240" t="s">
        <v>4253</v>
      </c>
      <c r="C9" s="229">
        <v>50</v>
      </c>
      <c r="D9" s="562"/>
      <c r="E9" s="562"/>
      <c r="F9" s="562"/>
      <c r="G9" s="562"/>
    </row>
  </sheetData>
  <sheetProtection algorithmName="SHA-512" hashValue="sisZKFdJSD1K2Fpd9iXTnll9dVRRq33KehfpeHSkDF99FadgUOjXLTBws6bIE5UormC8HpbXM0mbR3DGGlgkYw==" saltValue="DApejwFXT4fwDjwSFfiUNA==" spinCount="100000" sheet="1" objects="1" scenarios="1" selectLockedCells="1"/>
  <mergeCells count="4">
    <mergeCell ref="B4:C4"/>
    <mergeCell ref="B5:C5"/>
    <mergeCell ref="B2:C2"/>
    <mergeCell ref="E2:G2"/>
  </mergeCells>
  <hyperlinks>
    <hyperlink ref="B2:C2" location="hyptarg9.2" display="back to 901.9.1" xr:uid="{00000000-0004-0000-2000-000000000000}"/>
    <hyperlink ref="E2:F2" location="'Verification Report'!A1" display="back to Verification Report" xr:uid="{00000000-0004-0000-2000-000001000000}"/>
    <hyperlink ref="E2:G2" location="'Verification Report'!A1" display="back to Verification Report" xr:uid="{00000000-0004-0000-2000-000002000000}"/>
  </hyperlinks>
  <pageMargins left="0.7" right="0.7" top="0.75" bottom="0.75" header="0.3" footer="0.3"/>
  <pageSetup scale="98"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pageSetUpPr fitToPage="1"/>
  </sheetPr>
  <dimension ref="B2:G40"/>
  <sheetViews>
    <sheetView showGridLines="0" zoomScaleNormal="100" zoomScaleSheetLayoutView="100" workbookViewId="0">
      <selection activeCell="B2" sqref="B2:C2"/>
    </sheetView>
  </sheetViews>
  <sheetFormatPr baseColWidth="10" defaultColWidth="9.1640625" defaultRowHeight="15" x14ac:dyDescent="0.2"/>
  <cols>
    <col min="1" max="1" width="9.1640625" style="226"/>
    <col min="2" max="2" width="32.6640625" style="226" customWidth="1"/>
    <col min="3" max="3" width="23.5" style="226" customWidth="1"/>
    <col min="4" max="16384" width="9.1640625" style="226"/>
  </cols>
  <sheetData>
    <row r="2" spans="2:7" x14ac:dyDescent="0.2">
      <c r="B2" s="1195" t="s">
        <v>4254</v>
      </c>
      <c r="C2" s="1195"/>
      <c r="D2" s="562"/>
      <c r="E2" s="1196" t="s">
        <v>4126</v>
      </c>
      <c r="F2" s="1197"/>
      <c r="G2" s="1198"/>
    </row>
    <row r="4" spans="2:7" ht="15" customHeight="1" x14ac:dyDescent="0.2">
      <c r="B4" s="864" t="s">
        <v>4255</v>
      </c>
      <c r="C4" s="853"/>
      <c r="D4" s="64"/>
      <c r="E4" s="562"/>
      <c r="F4" s="562"/>
      <c r="G4" s="562"/>
    </row>
    <row r="5" spans="2:7" ht="15" customHeight="1" x14ac:dyDescent="0.2">
      <c r="B5" s="853" t="s">
        <v>4256</v>
      </c>
      <c r="C5" s="853"/>
      <c r="D5" s="64"/>
      <c r="E5" s="562"/>
      <c r="F5" s="562"/>
      <c r="G5" s="562"/>
    </row>
    <row r="6" spans="2:7" ht="15" customHeight="1" x14ac:dyDescent="0.2">
      <c r="B6" s="243" t="s">
        <v>4257</v>
      </c>
      <c r="C6" s="243" t="s">
        <v>4258</v>
      </c>
      <c r="D6" s="562"/>
      <c r="E6" s="562"/>
      <c r="F6" s="562"/>
      <c r="G6" s="562"/>
    </row>
    <row r="7" spans="2:7" ht="15" customHeight="1" x14ac:dyDescent="0.2">
      <c r="B7" s="241" t="s">
        <v>4259</v>
      </c>
      <c r="C7" s="208">
        <v>50</v>
      </c>
      <c r="D7" s="562"/>
      <c r="E7" s="562"/>
      <c r="F7" s="562"/>
      <c r="G7" s="562"/>
    </row>
    <row r="8" spans="2:7" ht="15" customHeight="1" x14ac:dyDescent="0.2">
      <c r="B8" s="241" t="s">
        <v>4260</v>
      </c>
      <c r="C8" s="208">
        <v>50</v>
      </c>
      <c r="D8" s="562"/>
      <c r="E8" s="562"/>
      <c r="F8" s="562"/>
      <c r="G8" s="562"/>
    </row>
    <row r="9" spans="2:7" ht="15" customHeight="1" x14ac:dyDescent="0.2">
      <c r="B9" s="241" t="s">
        <v>4261</v>
      </c>
      <c r="C9" s="208">
        <v>150</v>
      </c>
      <c r="D9" s="562"/>
      <c r="E9" s="562"/>
      <c r="F9" s="562"/>
      <c r="G9" s="562"/>
    </row>
    <row r="10" spans="2:7" ht="15" customHeight="1" x14ac:dyDescent="0.2">
      <c r="B10" s="241" t="s">
        <v>4262</v>
      </c>
      <c r="C10" s="208">
        <v>100</v>
      </c>
      <c r="D10" s="562"/>
      <c r="E10" s="562"/>
      <c r="F10" s="562"/>
      <c r="G10" s="562"/>
    </row>
    <row r="11" spans="2:7" ht="15" customHeight="1" x14ac:dyDescent="0.2">
      <c r="B11" s="241" t="s">
        <v>4263</v>
      </c>
      <c r="C11" s="208">
        <v>60</v>
      </c>
      <c r="D11" s="562"/>
      <c r="E11" s="562"/>
      <c r="F11" s="562"/>
      <c r="G11" s="562"/>
    </row>
    <row r="12" spans="2:7" ht="15" customHeight="1" x14ac:dyDescent="0.2">
      <c r="B12" s="241" t="s">
        <v>4264</v>
      </c>
      <c r="C12" s="208">
        <v>50</v>
      </c>
      <c r="D12" s="562"/>
      <c r="E12" s="562"/>
      <c r="F12" s="562"/>
      <c r="G12" s="562"/>
    </row>
    <row r="13" spans="2:7" ht="15" customHeight="1" x14ac:dyDescent="0.2">
      <c r="B13" s="241" t="s">
        <v>4265</v>
      </c>
      <c r="C13" s="208">
        <v>65</v>
      </c>
      <c r="D13" s="562"/>
      <c r="E13" s="562"/>
      <c r="F13" s="562"/>
      <c r="G13" s="562"/>
    </row>
    <row r="14" spans="2:7" ht="15" customHeight="1" x14ac:dyDescent="0.2">
      <c r="B14" s="241" t="s">
        <v>4266</v>
      </c>
      <c r="C14" s="208">
        <v>50</v>
      </c>
      <c r="D14" s="562"/>
      <c r="E14" s="562"/>
      <c r="F14" s="562"/>
      <c r="G14" s="562"/>
    </row>
    <row r="15" spans="2:7" ht="15" customHeight="1" x14ac:dyDescent="0.2">
      <c r="B15" s="241" t="s">
        <v>4267</v>
      </c>
      <c r="C15" s="208">
        <v>50</v>
      </c>
      <c r="D15" s="562"/>
      <c r="E15" s="562"/>
      <c r="F15" s="562"/>
      <c r="G15" s="562"/>
    </row>
    <row r="16" spans="2:7" ht="15" customHeight="1" x14ac:dyDescent="0.2">
      <c r="B16" s="241" t="s">
        <v>4268</v>
      </c>
      <c r="C16" s="208">
        <v>50</v>
      </c>
      <c r="D16" s="562"/>
      <c r="E16" s="562"/>
      <c r="F16" s="562"/>
      <c r="G16" s="562"/>
    </row>
    <row r="17" spans="2:3" ht="15" customHeight="1" x14ac:dyDescent="0.2">
      <c r="B17" s="243" t="s">
        <v>4257</v>
      </c>
      <c r="C17" s="243" t="s">
        <v>4258</v>
      </c>
    </row>
    <row r="18" spans="2:3" ht="15" customHeight="1" x14ac:dyDescent="0.2">
      <c r="B18" s="241" t="s">
        <v>4269</v>
      </c>
      <c r="C18" s="208">
        <v>70</v>
      </c>
    </row>
    <row r="19" spans="2:3" ht="15" customHeight="1" x14ac:dyDescent="0.2">
      <c r="B19" s="241" t="s">
        <v>4270</v>
      </c>
      <c r="C19" s="208">
        <v>100</v>
      </c>
    </row>
    <row r="20" spans="2:3" ht="15" customHeight="1" x14ac:dyDescent="0.2">
      <c r="B20" s="241" t="s">
        <v>4271</v>
      </c>
      <c r="C20" s="208">
        <v>250</v>
      </c>
    </row>
    <row r="21" spans="2:3" ht="15" customHeight="1" x14ac:dyDescent="0.2">
      <c r="B21" s="244" t="s">
        <v>4272</v>
      </c>
      <c r="C21" s="707">
        <v>250</v>
      </c>
    </row>
    <row r="22" spans="2:3" ht="15" customHeight="1" x14ac:dyDescent="0.2">
      <c r="B22" s="244" t="s">
        <v>4273</v>
      </c>
      <c r="C22" s="707"/>
    </row>
    <row r="23" spans="2:3" ht="15" customHeight="1" x14ac:dyDescent="0.2">
      <c r="B23" s="246" t="s">
        <v>4274</v>
      </c>
      <c r="C23" s="242">
        <v>250</v>
      </c>
    </row>
    <row r="24" spans="2:3" ht="15" customHeight="1" x14ac:dyDescent="0.2">
      <c r="B24" s="245" t="s">
        <v>4275</v>
      </c>
      <c r="C24" s="708">
        <v>775</v>
      </c>
    </row>
    <row r="25" spans="2:3" ht="15" customHeight="1" x14ac:dyDescent="0.2">
      <c r="B25" s="245" t="s">
        <v>4276</v>
      </c>
      <c r="C25" s="708">
        <v>500</v>
      </c>
    </row>
    <row r="26" spans="2:3" ht="15" customHeight="1" x14ac:dyDescent="0.2">
      <c r="B26" s="241" t="s">
        <v>4277</v>
      </c>
      <c r="C26" s="208">
        <v>750</v>
      </c>
    </row>
    <row r="27" spans="2:3" ht="15" customHeight="1" x14ac:dyDescent="0.2">
      <c r="B27" s="241" t="s">
        <v>4278</v>
      </c>
      <c r="C27" s="208">
        <v>490</v>
      </c>
    </row>
    <row r="28" spans="2:3" ht="15" customHeight="1" x14ac:dyDescent="0.2">
      <c r="B28" s="241" t="s">
        <v>4279</v>
      </c>
      <c r="C28" s="208">
        <v>510</v>
      </c>
    </row>
    <row r="29" spans="2:3" ht="15" customHeight="1" x14ac:dyDescent="0.2">
      <c r="B29" s="241" t="s">
        <v>4280</v>
      </c>
      <c r="C29" s="208">
        <v>325</v>
      </c>
    </row>
    <row r="30" spans="2:3" ht="15" customHeight="1" x14ac:dyDescent="0.2">
      <c r="B30" s="241" t="s">
        <v>4281</v>
      </c>
      <c r="C30" s="208">
        <v>250</v>
      </c>
    </row>
    <row r="31" spans="2:3" ht="15" customHeight="1" x14ac:dyDescent="0.2">
      <c r="B31" s="241" t="s">
        <v>4282</v>
      </c>
      <c r="C31" s="208">
        <v>550</v>
      </c>
    </row>
    <row r="32" spans="2:3" ht="15" customHeight="1" x14ac:dyDescent="0.2">
      <c r="B32" s="241" t="s">
        <v>4283</v>
      </c>
      <c r="C32" s="208">
        <v>80</v>
      </c>
    </row>
    <row r="33" spans="2:3" ht="15" customHeight="1" x14ac:dyDescent="0.2">
      <c r="B33" s="241" t="s">
        <v>4284</v>
      </c>
      <c r="C33" s="208">
        <v>250</v>
      </c>
    </row>
    <row r="34" spans="2:3" ht="15" customHeight="1" x14ac:dyDescent="0.2">
      <c r="B34" s="241" t="s">
        <v>4285</v>
      </c>
      <c r="C34" s="208">
        <v>140</v>
      </c>
    </row>
    <row r="35" spans="2:3" x14ac:dyDescent="0.2">
      <c r="B35" s="1238" t="s">
        <v>4286</v>
      </c>
      <c r="C35" s="1238"/>
    </row>
    <row r="36" spans="2:3" x14ac:dyDescent="0.2">
      <c r="B36" s="817" t="s">
        <v>4287</v>
      </c>
      <c r="C36" s="817"/>
    </row>
    <row r="37" spans="2:3" x14ac:dyDescent="0.2">
      <c r="B37" s="817"/>
      <c r="C37" s="817"/>
    </row>
    <row r="38" spans="2:3" x14ac:dyDescent="0.2">
      <c r="B38" s="817"/>
      <c r="C38" s="817"/>
    </row>
    <row r="39" spans="2:3" x14ac:dyDescent="0.2">
      <c r="B39" s="817"/>
      <c r="C39" s="817"/>
    </row>
    <row r="40" spans="2:3" x14ac:dyDescent="0.2">
      <c r="B40" s="817"/>
      <c r="C40" s="817"/>
    </row>
  </sheetData>
  <sheetProtection algorithmName="SHA-512" hashValue="gN+1I4UaaqvNAHsQ0mY8BmBzV8pB4SAXn1DNQQrRn6EjD7sEHWnT93l6K9oMlhvF8Y5+tXKlZuI0X4wXzIw6hg==" saltValue="oGZKObTi0C2F64E/ZlqjNQ=="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100-000000000000}"/>
    <hyperlink ref="E2:F2" location="'Verification Report'!A1" display="back to Verification Report" xr:uid="{00000000-0004-0000-2100-000001000000}"/>
    <hyperlink ref="E2:G2" location="'Verification Report'!A1" display="back to Verification Report" xr:uid="{00000000-0004-0000-2100-000002000000}"/>
  </hyperlinks>
  <pageMargins left="0.7" right="0.7" top="0.75" bottom="0.75" header="0.3" footer="0.3"/>
  <pageSetup scale="88"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pageSetUpPr fitToPage="1"/>
  </sheetPr>
  <dimension ref="A1:D30"/>
  <sheetViews>
    <sheetView zoomScaleNormal="100" workbookViewId="0">
      <selection activeCell="B2" sqref="B2"/>
    </sheetView>
  </sheetViews>
  <sheetFormatPr baseColWidth="10" defaultColWidth="8.83203125" defaultRowHeight="15" x14ac:dyDescent="0.2"/>
  <cols>
    <col min="1" max="1" width="7.5" bestFit="1" customWidth="1"/>
    <col min="2" max="2" width="12" style="431" bestFit="1" customWidth="1"/>
    <col min="3" max="3" width="123.83203125" style="527" customWidth="1"/>
  </cols>
  <sheetData>
    <row r="1" spans="1:4" ht="16" x14ac:dyDescent="0.2">
      <c r="A1" s="562" t="s">
        <v>4288</v>
      </c>
      <c r="B1" s="562" t="s">
        <v>4289</v>
      </c>
      <c r="C1" s="589" t="s">
        <v>4290</v>
      </c>
      <c r="D1" s="562"/>
    </row>
    <row r="2" spans="1:4" s="536" customFormat="1" ht="16" x14ac:dyDescent="0.2">
      <c r="A2" s="562" t="s">
        <v>3</v>
      </c>
      <c r="B2" s="433">
        <v>44165</v>
      </c>
      <c r="C2" s="589" t="s">
        <v>4291</v>
      </c>
      <c r="D2" s="562"/>
    </row>
    <row r="3" spans="1:4" s="520" customFormat="1" ht="48" x14ac:dyDescent="0.2">
      <c r="A3" s="56" t="s">
        <v>4292</v>
      </c>
      <c r="B3" s="529"/>
      <c r="C3" s="589" t="s">
        <v>4293</v>
      </c>
      <c r="D3" s="562"/>
    </row>
    <row r="4" spans="1:4" s="516" customFormat="1" ht="16" x14ac:dyDescent="0.2">
      <c r="A4" s="56" t="s">
        <v>4294</v>
      </c>
      <c r="B4" s="529">
        <v>43621</v>
      </c>
      <c r="C4" s="589" t="s">
        <v>4295</v>
      </c>
      <c r="D4" s="562"/>
    </row>
    <row r="5" spans="1:4" s="515" customFormat="1" ht="16" x14ac:dyDescent="0.2">
      <c r="A5" s="56" t="s">
        <v>4296</v>
      </c>
      <c r="B5" s="529">
        <v>43404</v>
      </c>
      <c r="C5" s="589" t="s">
        <v>4297</v>
      </c>
      <c r="D5" s="562"/>
    </row>
    <row r="6" spans="1:4" ht="16" x14ac:dyDescent="0.2">
      <c r="A6" s="530" t="s">
        <v>4298</v>
      </c>
      <c r="B6" s="529">
        <v>42936</v>
      </c>
      <c r="C6" s="589" t="s">
        <v>4299</v>
      </c>
      <c r="D6" s="562"/>
    </row>
    <row r="7" spans="1:4" x14ac:dyDescent="0.2">
      <c r="A7" s="517"/>
      <c r="B7" s="433"/>
      <c r="C7" s="589"/>
      <c r="D7" s="562"/>
    </row>
    <row r="8" spans="1:4" x14ac:dyDescent="0.2">
      <c r="A8" s="517"/>
      <c r="B8" s="433"/>
      <c r="C8" s="589"/>
      <c r="D8" s="562"/>
    </row>
    <row r="9" spans="1:4" x14ac:dyDescent="0.2">
      <c r="A9" s="517"/>
      <c r="B9" s="433"/>
      <c r="C9" s="589"/>
      <c r="D9" s="562"/>
    </row>
    <row r="10" spans="1:4" x14ac:dyDescent="0.2">
      <c r="A10" s="517"/>
      <c r="B10" s="433"/>
      <c r="C10" s="589"/>
      <c r="D10" s="562"/>
    </row>
    <row r="11" spans="1:4" x14ac:dyDescent="0.2">
      <c r="A11" s="517"/>
      <c r="B11" s="433"/>
      <c r="C11" s="589"/>
      <c r="D11" s="562"/>
    </row>
    <row r="12" spans="1:4" x14ac:dyDescent="0.2">
      <c r="A12" s="517"/>
      <c r="B12" s="433"/>
      <c r="C12" s="589"/>
      <c r="D12" s="562"/>
    </row>
    <row r="13" spans="1:4" x14ac:dyDescent="0.2">
      <c r="A13" s="517"/>
      <c r="B13" s="433"/>
      <c r="C13" s="589"/>
      <c r="D13" s="562"/>
    </row>
    <row r="14" spans="1:4" x14ac:dyDescent="0.2">
      <c r="A14" s="517"/>
      <c r="B14" s="433"/>
      <c r="C14" s="589"/>
      <c r="D14" s="562"/>
    </row>
    <row r="15" spans="1:4" x14ac:dyDescent="0.2">
      <c r="A15" s="517"/>
      <c r="B15" s="433"/>
      <c r="C15" s="589"/>
      <c r="D15" s="562"/>
    </row>
    <row r="16" spans="1:4" x14ac:dyDescent="0.2">
      <c r="A16" s="517"/>
      <c r="B16" s="433"/>
      <c r="C16" s="589"/>
      <c r="D16" s="562"/>
    </row>
    <row r="17" spans="1:2" x14ac:dyDescent="0.2">
      <c r="A17" s="517"/>
      <c r="B17" s="433"/>
    </row>
    <row r="18" spans="1:2" x14ac:dyDescent="0.2">
      <c r="A18" s="517"/>
      <c r="B18" s="433"/>
    </row>
    <row r="19" spans="1:2" x14ac:dyDescent="0.2">
      <c r="A19" s="517"/>
      <c r="B19" s="433"/>
    </row>
    <row r="20" spans="1:2" x14ac:dyDescent="0.2">
      <c r="A20" s="517"/>
      <c r="B20" s="433"/>
    </row>
    <row r="21" spans="1:2" x14ac:dyDescent="0.2">
      <c r="A21" s="517"/>
      <c r="B21" s="433"/>
    </row>
    <row r="22" spans="1:2" x14ac:dyDescent="0.2">
      <c r="A22" s="517"/>
      <c r="B22" s="433"/>
    </row>
    <row r="23" spans="1:2" x14ac:dyDescent="0.2">
      <c r="A23" s="517"/>
      <c r="B23" s="433"/>
    </row>
    <row r="24" spans="1:2" x14ac:dyDescent="0.2">
      <c r="A24" s="517"/>
      <c r="B24" s="433"/>
    </row>
    <row r="25" spans="1:2" x14ac:dyDescent="0.2">
      <c r="A25" s="517"/>
      <c r="B25" s="433"/>
    </row>
    <row r="26" spans="1:2" x14ac:dyDescent="0.2">
      <c r="A26" s="517"/>
      <c r="B26" s="433"/>
    </row>
    <row r="27" spans="1:2" x14ac:dyDescent="0.2">
      <c r="A27" s="517"/>
      <c r="B27" s="433"/>
    </row>
    <row r="28" spans="1:2" x14ac:dyDescent="0.2">
      <c r="A28" s="517"/>
      <c r="B28" s="433"/>
    </row>
    <row r="29" spans="1:2" x14ac:dyDescent="0.2">
      <c r="A29" s="517"/>
      <c r="B29" s="433"/>
    </row>
    <row r="30" spans="1:2" x14ac:dyDescent="0.2">
      <c r="A30" s="432"/>
      <c r="B30" s="433"/>
    </row>
  </sheetData>
  <sheetProtection algorithmName="SHA-512" hashValue="Lve+9g9jBGYHl1tdJ+4/0CD7MmGT3IBGoSPLPZ9z0Ni/4lwpJunf2y8JFa5BPl3bsGFQk3jevcx3+t5ExscdLA==" saltValue="ciDzQ2N4CG+ow9lUTT9jzg==" spinCount="100000" sheet="1" objects="1" scenarios="1" selectLockedCells="1" selectUnlockedCells="1"/>
  <pageMargins left="0.7" right="0.7" top="0.75" bottom="0.75" header="0.3" footer="0.3"/>
  <pageSetup scale="63"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F54985F-BC60-41BD-BC8A-F93D98011EA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B69145-DB4E-466B-8448-7529126FA0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4FDC8A-62EC-4B0F-8F57-6201D312113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3249</vt:i4>
      </vt:variant>
    </vt:vector>
  </HeadingPairs>
  <TitlesOfParts>
    <vt:vector size="3282" baseType="lpstr">
      <vt:lpstr>Info &amp; Intro</vt:lpstr>
      <vt:lpstr>Overview (Design)</vt:lpstr>
      <vt:lpstr>Ch5</vt:lpstr>
      <vt:lpstr>Ch6</vt:lpstr>
      <vt:lpstr>Ch7</vt:lpstr>
      <vt:lpstr>Ch8</vt:lpstr>
      <vt:lpstr>Ch9</vt:lpstr>
      <vt:lpstr>Ch10</vt:lpstr>
      <vt:lpstr>Req. Doc.</vt:lpstr>
      <vt:lpstr>Overview (Verification)</vt:lpstr>
      <vt:lpstr>Verification Report</vt:lpstr>
      <vt:lpstr>Verification (Ch. 7)</vt:lpstr>
      <vt:lpstr>Verification (Ch.8)</vt:lpstr>
      <vt:lpstr>Photo Review</vt:lpstr>
      <vt:lpstr>Rough Sig.</vt:lpstr>
      <vt:lpstr>Final Sig.</vt:lpstr>
      <vt:lpstr>Appendix A</vt:lpstr>
      <vt:lpstr>Appendix B</vt:lpstr>
      <vt:lpstr>Appendix D</vt:lpstr>
      <vt:lpstr>Table 305.3.5</vt:lpstr>
      <vt:lpstr>Table 305.3.6</vt:lpstr>
      <vt:lpstr>Table 11.602.1.12</vt:lpstr>
      <vt:lpstr>Table 11.604.1</vt:lpstr>
      <vt:lpstr>Table 11.610.1.2.1</vt:lpstr>
      <vt:lpstr>Table 11.610.1.2.2</vt:lpstr>
      <vt:lpstr>Figure 6(2)</vt:lpstr>
      <vt:lpstr>Figure 6(3)</vt:lpstr>
      <vt:lpstr>Table 11.701.4.3.2(2)</vt:lpstr>
      <vt:lpstr>Table 703.2.5.1</vt:lpstr>
      <vt:lpstr>Table 11.901.9.1</vt:lpstr>
      <vt:lpstr>Table 11.901.9.2</vt:lpstr>
      <vt:lpstr>Table 11.901.10(3)</vt:lpstr>
      <vt:lpstr>Errata</vt:lpstr>
      <vt:lpstr>Ch10AddGoal</vt:lpstr>
      <vt:lpstr>Ch10Level</vt:lpstr>
      <vt:lpstr>Ch10Points</vt:lpstr>
      <vt:lpstr>Ch10PointsFinal</vt:lpstr>
      <vt:lpstr>Ch5AddGoal</vt:lpstr>
      <vt:lpstr>Ch5Error</vt:lpstr>
      <vt:lpstr>Points!Ch5Level</vt:lpstr>
      <vt:lpstr>Ch5MandError</vt:lpstr>
      <vt:lpstr>Points!Ch5Points</vt:lpstr>
      <vt:lpstr>Ch5PointsFinal</vt:lpstr>
      <vt:lpstr>Ch6AddGoal</vt:lpstr>
      <vt:lpstr>Ch6Level</vt:lpstr>
      <vt:lpstr>Ch6Points</vt:lpstr>
      <vt:lpstr>Ch6PointsFinal</vt:lpstr>
      <vt:lpstr>Ch7Level</vt:lpstr>
      <vt:lpstr>Ch7LevelFinal</vt:lpstr>
      <vt:lpstr>Ch7Max</vt:lpstr>
      <vt:lpstr>Ch7Points</vt:lpstr>
      <vt:lpstr>Ch7PointsFinal</vt:lpstr>
      <vt:lpstr>Ch8Level</vt:lpstr>
      <vt:lpstr>Ch8LevelFinal</vt:lpstr>
      <vt:lpstr>Ch8Max</vt:lpstr>
      <vt:lpstr>Ch8Points</vt:lpstr>
      <vt:lpstr>Ch8PointsFinal</vt:lpstr>
      <vt:lpstr>Ch9AddGoal</vt:lpstr>
      <vt:lpstr>Ch9Level</vt:lpstr>
      <vt:lpstr>Ch9Points</vt:lpstr>
      <vt:lpstr>Ch9PointsFinal</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dch1001_1_25</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dch503_7_1</vt:lpstr>
      <vt:lpstr>dch503_7_2</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dch505_1_1</vt:lpstr>
      <vt:lpstr>dch505_1_2</vt:lpstr>
      <vt:lpstr>dch505_1_3</vt:lpstr>
      <vt:lpstr>dch505_1_4</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dch601_6</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dch605_2_2</vt:lpstr>
      <vt:lpstr>dch605_3</vt:lpstr>
      <vt:lpstr>dch605_3_2_a</vt:lpstr>
      <vt:lpstr>dch605_3_2_b</vt:lpstr>
      <vt:lpstr>dch605_3_2_c</vt:lpstr>
      <vt:lpstr>dch605_3_2_d</vt:lpstr>
      <vt:lpstr>dch605_3_2_e</vt:lpstr>
      <vt:lpstr>dch605_3_2_f</vt:lpstr>
      <vt:lpstr>dch605_3_2_g</vt:lpstr>
      <vt:lpstr>dch605_3_2_h</vt:lpstr>
      <vt:lpstr>dch605_3_2_i</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dch701_4</vt:lpstr>
      <vt:lpstr>dch701_4_0</vt:lpstr>
      <vt:lpstr>dch701_4_1</vt:lpstr>
      <vt:lpstr>dch701_4_1_1</vt:lpstr>
      <vt:lpstr>dch701_4_1_2</vt:lpstr>
      <vt:lpstr>dch701_4_2_2</vt:lpstr>
      <vt:lpstr>dch701_4_2_3</vt:lpstr>
      <vt:lpstr>dch701_4_3_1_1</vt:lpstr>
      <vt:lpstr>dch701_4_3_1_2</vt:lpstr>
      <vt:lpstr>dch701_4_3_2</vt:lpstr>
      <vt:lpstr>dch701_4_3_2_1</vt:lpstr>
      <vt:lpstr>dch701_4_3_2_1_</vt:lpstr>
      <vt:lpstr>dch701_4_3_2_2</vt:lpstr>
      <vt:lpstr>dch701_4_3_2e</vt:lpstr>
      <vt:lpstr>dch701_4_3_3_4</vt:lpstr>
      <vt:lpstr>dch701_4_3_3_5</vt:lpstr>
      <vt:lpstr>dch701_4_4_1</vt:lpstr>
      <vt:lpstr>dch701_4_4_2</vt:lpstr>
      <vt:lpstr>dch701_4_5</vt:lpstr>
      <vt:lpstr>dch701_4_6</vt:lpstr>
      <vt:lpstr>dch701_4_7</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dch901_15</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dch901_9_4</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dd305_3_5_1</vt:lpstr>
      <vt:lpstr>dd501_2_5</vt:lpstr>
      <vt:lpstr>dd501_2_6</vt:lpstr>
      <vt:lpstr>dd503_2_3</vt:lpstr>
      <vt:lpstr>dd503_4_2</vt:lpstr>
      <vt:lpstr>dd503_4_3</vt:lpstr>
      <vt:lpstr>dd503_4_4</vt:lpstr>
      <vt:lpstr>dd503_5</vt:lpstr>
      <vt:lpstr>dd503_5_1</vt:lpstr>
      <vt:lpstr>dd503_5_5</vt:lpstr>
      <vt:lpstr>dd505_1_3</vt:lpstr>
      <vt:lpstr>dd505_1_4</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dd602_1_3_1</vt:lpstr>
      <vt:lpstr>dd602_1_4_1_2</vt:lpstr>
      <vt:lpstr>dd602_1_4_2_2</vt:lpstr>
      <vt:lpstr>dd602_1_5</vt:lpstr>
      <vt:lpstr>dd602_1_7_1_2</vt:lpstr>
      <vt:lpstr>dd602_1_8</vt:lpstr>
      <vt:lpstr>dd602_1_9_1</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dd701_4</vt:lpstr>
      <vt:lpstr>dd701_4_1_2</vt:lpstr>
      <vt:lpstr>dd701_4_3_3_5</vt:lpstr>
      <vt:lpstr>dd901_1_3_1</vt:lpstr>
      <vt:lpstr>dd901_1_3_2</vt:lpstr>
      <vt:lpstr>dd901_1_4</vt:lpstr>
      <vt:lpstr>dd901_1_6</vt:lpstr>
      <vt:lpstr>dd901_12</vt:lpstr>
      <vt:lpstr>dd901_15</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dd901_9_4</vt:lpstr>
      <vt:lpstr>dd902_1_2_</vt:lpstr>
      <vt:lpstr>dd902_2_1</vt:lpstr>
      <vt:lpstr>dd902_3_1</vt:lpstr>
      <vt:lpstr>dd903_1</vt:lpstr>
      <vt:lpstr>dd903_2</vt:lpstr>
      <vt:lpstr>ddAttachedGarage</vt:lpstr>
      <vt:lpstr>ddAttic</vt:lpstr>
      <vt:lpstr>ddBuildingCode</vt:lpstr>
      <vt:lpstr>ddCDucts</vt:lpstr>
      <vt:lpstr>ddCool1</vt:lpstr>
      <vt:lpstr>ddCool2</vt:lpstr>
      <vt:lpstr>ddCool3</vt:lpstr>
      <vt:lpstr>ddCToilet</vt:lpstr>
      <vt:lpstr>ddDuctless</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dnt1001_1_25</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dnt505_1_1</vt:lpstr>
      <vt:lpstr>dnt505_1_2</vt:lpstr>
      <vt:lpstr>dnt505_1_3</vt:lpstr>
      <vt:lpstr>dnt505_1_4</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dnt605_3_2_a</vt:lpstr>
      <vt:lpstr>dnt605_3_2_h</vt:lpstr>
      <vt:lpstr>dnt605_3_2_i</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dnt701_4</vt:lpstr>
      <vt:lpstr>dnt701_4_0</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vt:lpstr>
      <vt:lpstr>dnt701_4_3_2_1_10</vt:lpstr>
      <vt:lpstr>dnt701_4_3_2_1_11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dnt701_4_6</vt:lpstr>
      <vt:lpstr>dnt701_4_7</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dnt901_15</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dnt901_9_4</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dpa501_2_1</vt:lpstr>
      <vt:lpstr>dpa501_2_2</vt:lpstr>
      <vt:lpstr>dpa501_2_3</vt:lpstr>
      <vt:lpstr>dpa501_2_4</vt:lpstr>
      <vt:lpstr>dpa501_2_5</vt:lpstr>
      <vt:lpstr>dpa501_2_5_a</vt:lpstr>
      <vt:lpstr>dpa501_2_5_b</vt:lpstr>
      <vt:lpstr>dpa501_2_5_c</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dpa503_4_2_a</vt:lpstr>
      <vt:lpstr>dpa503_4_2_b</vt:lpstr>
      <vt:lpstr>dpa503_4_2_c</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dpa505_1_1</vt:lpstr>
      <vt:lpstr>dpa505_1_2</vt:lpstr>
      <vt:lpstr>dpa505_1_3_a</vt:lpstr>
      <vt:lpstr>dpa505_1_3_b</vt:lpstr>
      <vt:lpstr>dpa505_1_3_c</vt:lpstr>
      <vt:lpstr>dpa505_1_4_a</vt:lpstr>
      <vt:lpstr>dpa505_1_4_b</vt:lpstr>
      <vt:lpstr>dpa505_1_4_c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vt:lpstr>
      <vt:lpstr>dpa701_4_0</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dpa701_4_6</vt:lpstr>
      <vt:lpstr>dpa701_4_7</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dpa901_15</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dpa901_9_4</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dpc503_7_1</vt:lpstr>
      <vt:lpstr>dpc503_7_2</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dpc505_1_1</vt:lpstr>
      <vt:lpstr>dpc505_1_2</vt:lpstr>
      <vt:lpstr>dpc505_1_3</vt:lpstr>
      <vt:lpstr>dpc505_1_4</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dpc601_6</vt:lpstr>
      <vt:lpstr>dpc601_7</vt:lpstr>
      <vt:lpstr>dpc601_8</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Dpoints</vt:lpstr>
      <vt:lpstr>dstAGFloorArea</vt:lpstr>
      <vt:lpstr>dstAttachedGarage</vt:lpstr>
      <vt:lpstr>dstAttic</vt:lpstr>
      <vt:lpstr>dstBuilderName</vt:lpstr>
      <vt:lpstr>dstBuildingCode</vt:lpstr>
      <vt:lpstr>dstCDucts</vt:lpstr>
      <vt:lpstr>dstCity</vt:lpstr>
      <vt:lpstr>dstCool1</vt:lpstr>
      <vt:lpstr>dstCool2</vt:lpstr>
      <vt:lpstr>dstCool3</vt:lpstr>
      <vt:lpstr>dstCounty</vt:lpstr>
      <vt:lpstr>dstCToilet</vt:lpstr>
      <vt:lpstr>dstDesigner</vt:lpstr>
      <vt:lpstr>dstDuctless</vt:lpstr>
      <vt:lpstr>dstEnergyCode</vt:lpstr>
      <vt:lpstr>dstFloors</vt:lpstr>
      <vt:lpstr>dstFoundation</vt:lpstr>
      <vt:lpstr>dstFuel</vt:lpstr>
      <vt:lpstr>dstHDucts</vt:lpstr>
      <vt:lpstr>dstHeat1</vt:lpstr>
      <vt:lpstr>dstHeat2</vt:lpstr>
      <vt:lpstr>dstHeat3</vt:lpstr>
      <vt:lpstr>dstHERS</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dstYearBuilt</vt:lpstr>
      <vt:lpstr>dstZIP</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hyptarg1</vt:lpstr>
      <vt:lpstr>hyptarg2</vt:lpstr>
      <vt:lpstr>hyptarg3</vt:lpstr>
      <vt:lpstr>'Verification (Ch. 7)'!hyptarg3.1</vt:lpstr>
      <vt:lpstr>hyptarg3.1</vt:lpstr>
      <vt:lpstr>'Verification (Ch.8)'!hyptarg3.2</vt:lpstr>
      <vt:lpstr>hyptarg3.2</vt:lpstr>
      <vt:lpstr>hyptarg4</vt:lpstr>
      <vt:lpstr>hyptarg5</vt:lpstr>
      <vt:lpstr>hyptarg6</vt:lpstr>
      <vt:lpstr>hyptarg7.1</vt:lpstr>
      <vt:lpstr>hyptarg9.1</vt:lpstr>
      <vt:lpstr>hyptarg9.2</vt:lpstr>
      <vt:lpstr>hyptarg9.3</vt:lpstr>
      <vt:lpstr>photoRevList</vt:lpstr>
      <vt:lpstr>'Ch10'!Print_Area</vt:lpstr>
      <vt:lpstr>'Ch5'!Print_Area</vt:lpstr>
      <vt:lpstr>'Ch6'!Print_Area</vt:lpstr>
      <vt:lpstr>'Ch8'!Print_Area</vt:lpstr>
      <vt:lpstr>'Final Sig.'!Print_Area</vt:lpstr>
      <vt:lpstr>'Overview (Design)'!Print_Area</vt:lpstr>
      <vt:lpstr>'Overview (Verification)'!Print_Area</vt:lpstr>
      <vt:lpstr>'Req. Doc.'!Print_Area</vt:lpstr>
      <vt:lpstr>'Rough Sig.'!Print_Area</vt:lpstr>
      <vt:lpstr>'Verification (Ch. 7)'!Print_Area</vt:lpstr>
      <vt:lpstr>'Verification (Ch.8)'!Print_Area</vt:lpstr>
      <vt:lpstr>'Verification Report'!Print_Area</vt:lpstr>
      <vt:lpstr>ReportType</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vch1001_1_25</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vch305_3_5_1</vt:lpstr>
      <vt:lpstr>vch305_3_5_1_1_a</vt:lpstr>
      <vt:lpstr>vch305_3_5_1_1_c</vt:lpstr>
      <vt:lpstr>vch305_3_5_1_1_d</vt:lpstr>
      <vt:lpstr>vch305_3_5_1_1_e</vt:lpstr>
      <vt:lpstr>vch305_3_5_1_1_f</vt:lpstr>
      <vt:lpstr>vch305_3_5_1_1_g</vt:lpstr>
      <vt:lpstr>vch305_3_5_1_2_a</vt:lpstr>
      <vt:lpstr>vch305_3_5_1_2_c</vt:lpstr>
      <vt:lpstr>vch305_3_5_1_2_d</vt:lpstr>
      <vt:lpstr>vch305_3_5_1_2_e</vt:lpstr>
      <vt:lpstr>vch305_3_5_1_2_f</vt:lpstr>
      <vt:lpstr>vch305_3_5_1_2_g</vt:lpstr>
      <vt:lpstr>vch305.3.6.1_1</vt:lpstr>
      <vt:lpstr>vch305.3.6.1_10</vt:lpstr>
      <vt:lpstr>vch305.3.6.1_10a1</vt:lpstr>
      <vt:lpstr>vch305.3.6.1_10a2</vt:lpstr>
      <vt:lpstr>vch305.3.6.1_10a3</vt:lpstr>
      <vt:lpstr>vch305.3.6.1_10b1</vt:lpstr>
      <vt:lpstr>vch305.3.6.1_10b2</vt:lpstr>
      <vt:lpstr>vch305.3.6.1_11</vt:lpstr>
      <vt:lpstr>vch305.3.6.1_11a1</vt:lpstr>
      <vt:lpstr>vch305.3.6.1_11a2</vt:lpstr>
      <vt:lpstr>vch305.3.6.1_11a3</vt:lpstr>
      <vt:lpstr>vch305.3.6.1_11b1</vt:lpstr>
      <vt:lpstr>vch305.3.6.1_11b2</vt:lpstr>
      <vt:lpstr>vch305.3.6.1_12</vt:lpstr>
      <vt:lpstr>vch305.3.6.1_12a1</vt:lpstr>
      <vt:lpstr>vch305.3.6.1_12a2</vt:lpstr>
      <vt:lpstr>vch305.3.6.1_12a3</vt:lpstr>
      <vt:lpstr>vch305.3.6.1_12b1</vt:lpstr>
      <vt:lpstr>vch305.3.6.1_12b2</vt:lpstr>
      <vt:lpstr>vch305.3.6.1_13</vt:lpstr>
      <vt:lpstr>vch305.3.6.1_13a1</vt:lpstr>
      <vt:lpstr>vch305.3.6.1_13a2</vt:lpstr>
      <vt:lpstr>vch305.3.6.1_13a3</vt:lpstr>
      <vt:lpstr>vch305.3.6.1_13b1</vt:lpstr>
      <vt:lpstr>vch305.3.6.1_13b2</vt:lpstr>
      <vt:lpstr>vch305.3.6.1_14</vt:lpstr>
      <vt:lpstr>vch305.3.6.1_14a1</vt:lpstr>
      <vt:lpstr>vch305.3.6.1_14a2</vt:lpstr>
      <vt:lpstr>vch305.3.6.1_14a3</vt:lpstr>
      <vt:lpstr>vch305.3.6.1_14b1</vt:lpstr>
      <vt:lpstr>vch305.3.6.1_14b2</vt:lpstr>
      <vt:lpstr>vch305.3.6.1_15</vt:lpstr>
      <vt:lpstr>vch305.3.6.1_15a1</vt:lpstr>
      <vt:lpstr>vch305.3.6.1_15a2</vt:lpstr>
      <vt:lpstr>vch305.3.6.1_15a3</vt:lpstr>
      <vt:lpstr>vch305.3.6.1_15b1</vt:lpstr>
      <vt:lpstr>vch305.3.6.1_15b2</vt:lpstr>
      <vt:lpstr>vch305.3.6.1_16</vt:lpstr>
      <vt:lpstr>vch305.3.6.1_16a1</vt:lpstr>
      <vt:lpstr>vch305.3.6.1_16a2</vt:lpstr>
      <vt:lpstr>vch305.3.6.1_16a3</vt:lpstr>
      <vt:lpstr>vch305.3.6.1_16b1</vt:lpstr>
      <vt:lpstr>vch305.3.6.1_16b2</vt:lpstr>
      <vt:lpstr>vch305.3.6.1_17</vt:lpstr>
      <vt:lpstr>vch305.3.6.1_17a1</vt:lpstr>
      <vt:lpstr>vch305.3.6.1_17a2</vt:lpstr>
      <vt:lpstr>vch305.3.6.1_17a3</vt:lpstr>
      <vt:lpstr>vch305.3.6.1_17b1</vt:lpstr>
      <vt:lpstr>vch305.3.6.1_17b2</vt:lpstr>
      <vt:lpstr>vch305.3.6.1_18</vt:lpstr>
      <vt:lpstr>vch305.3.6.1_18a1</vt:lpstr>
      <vt:lpstr>vch305.3.6.1_18a2</vt:lpstr>
      <vt:lpstr>vch305.3.6.1_18a3</vt:lpstr>
      <vt:lpstr>vch305.3.6.1_18b1</vt:lpstr>
      <vt:lpstr>vch305.3.6.1_18b2</vt:lpstr>
      <vt:lpstr>vch305.3.6.1_19</vt:lpstr>
      <vt:lpstr>vch305.3.6.1_19a1</vt:lpstr>
      <vt:lpstr>vch305.3.6.1_19a2</vt:lpstr>
      <vt:lpstr>vch305.3.6.1_19a3</vt:lpstr>
      <vt:lpstr>vch305.3.6.1_19b1</vt:lpstr>
      <vt:lpstr>vch305.3.6.1_19b2</vt:lpstr>
      <vt:lpstr>vch305.3.6.1_1a1</vt:lpstr>
      <vt:lpstr>vch305.3.6.1_1a2</vt:lpstr>
      <vt:lpstr>vch305.3.6.1_1a3</vt:lpstr>
      <vt:lpstr>vch305.3.6.1_1b1</vt:lpstr>
      <vt:lpstr>vch305.3.6.1_1b2</vt:lpstr>
      <vt:lpstr>vch305.3.6.1_2</vt:lpstr>
      <vt:lpstr>vch305.3.6.1_20</vt:lpstr>
      <vt:lpstr>vch305.3.6.1_20a1</vt:lpstr>
      <vt:lpstr>vch305.3.6.1_20a2</vt:lpstr>
      <vt:lpstr>vch305.3.6.1_20a3</vt:lpstr>
      <vt:lpstr>vch305.3.6.1_20b1</vt:lpstr>
      <vt:lpstr>vch305.3.6.1_20b2</vt:lpstr>
      <vt:lpstr>vch305.3.6.1_21</vt:lpstr>
      <vt:lpstr>vch305.3.6.1_21a1</vt:lpstr>
      <vt:lpstr>vch305.3.6.1_21a2</vt:lpstr>
      <vt:lpstr>vch305.3.6.1_21a3</vt:lpstr>
      <vt:lpstr>vch305.3.6.1_21b1</vt:lpstr>
      <vt:lpstr>vch305.3.6.1_21b2</vt:lpstr>
      <vt:lpstr>vch305.3.6.1_22</vt:lpstr>
      <vt:lpstr>vch305.3.6.1_22a1</vt:lpstr>
      <vt:lpstr>vch305.3.6.1_22a2</vt:lpstr>
      <vt:lpstr>vch305.3.6.1_22a3</vt:lpstr>
      <vt:lpstr>vch305.3.6.1_22b1</vt:lpstr>
      <vt:lpstr>vch305.3.6.1_22b2</vt:lpstr>
      <vt:lpstr>vch305.3.6.1_23</vt:lpstr>
      <vt:lpstr>vch305.3.6.1_23a1</vt:lpstr>
      <vt:lpstr>vch305.3.6.1_23a2</vt:lpstr>
      <vt:lpstr>vch305.3.6.1_23a3</vt:lpstr>
      <vt:lpstr>vch305.3.6.1_23b1</vt:lpstr>
      <vt:lpstr>vch305.3.6.1_23b2</vt:lpstr>
      <vt:lpstr>vch305.3.6.1_24</vt:lpstr>
      <vt:lpstr>vch305.3.6.1_24a1</vt:lpstr>
      <vt:lpstr>vch305.3.6.1_24a2</vt:lpstr>
      <vt:lpstr>vch305.3.6.1_24a3</vt:lpstr>
      <vt:lpstr>vch305.3.6.1_24b1</vt:lpstr>
      <vt:lpstr>vch305.3.6.1_24b2</vt:lpstr>
      <vt:lpstr>vch305.3.6.1_25</vt:lpstr>
      <vt:lpstr>vch305.3.6.1_25a1</vt:lpstr>
      <vt:lpstr>vch305.3.6.1_25a2</vt:lpstr>
      <vt:lpstr>vch305.3.6.1_25a3</vt:lpstr>
      <vt:lpstr>vch305.3.6.1_25b1</vt:lpstr>
      <vt:lpstr>vch305.3.6.1_25b2</vt:lpstr>
      <vt:lpstr>vch305.3.6.1_26</vt:lpstr>
      <vt:lpstr>vch305.3.6.1_26a1</vt:lpstr>
      <vt:lpstr>vch305.3.6.1_26a2</vt:lpstr>
      <vt:lpstr>vch305.3.6.1_26a3</vt:lpstr>
      <vt:lpstr>vch305.3.6.1_26b1</vt:lpstr>
      <vt:lpstr>vch305.3.6.1_26b2</vt:lpstr>
      <vt:lpstr>vch305.3.6.1_27</vt:lpstr>
      <vt:lpstr>vch305.3.6.1_27a1</vt:lpstr>
      <vt:lpstr>vch305.3.6.1_27a2</vt:lpstr>
      <vt:lpstr>vch305.3.6.1_27a3</vt:lpstr>
      <vt:lpstr>vch305.3.6.1_27b1</vt:lpstr>
      <vt:lpstr>vch305.3.6.1_27b2</vt:lpstr>
      <vt:lpstr>vch305.3.6.1_28</vt:lpstr>
      <vt:lpstr>vch305.3.6.1_28a1</vt:lpstr>
      <vt:lpstr>vch305.3.6.1_28a2</vt:lpstr>
      <vt:lpstr>vch305.3.6.1_28a3</vt:lpstr>
      <vt:lpstr>vch305.3.6.1_28b1</vt:lpstr>
      <vt:lpstr>vch305.3.6.1_28b2</vt:lpstr>
      <vt:lpstr>vch305.3.6.1_29</vt:lpstr>
      <vt:lpstr>vch305.3.6.1_29a1</vt:lpstr>
      <vt:lpstr>vch305.3.6.1_29a2</vt:lpstr>
      <vt:lpstr>vch305.3.6.1_29a3</vt:lpstr>
      <vt:lpstr>vch305.3.6.1_29b1</vt:lpstr>
      <vt:lpstr>vch305.3.6.1_29b2</vt:lpstr>
      <vt:lpstr>vch305.3.6.1_2a1</vt:lpstr>
      <vt:lpstr>vch305.3.6.1_2a2</vt:lpstr>
      <vt:lpstr>vch305.3.6.1_2a3</vt:lpstr>
      <vt:lpstr>vch305.3.6.1_2b1</vt:lpstr>
      <vt:lpstr>vch305.3.6.1_2b2</vt:lpstr>
      <vt:lpstr>vch305.3.6.1_3</vt:lpstr>
      <vt:lpstr>vch305.3.6.1_30</vt:lpstr>
      <vt:lpstr>vch305.3.6.1_30a1</vt:lpstr>
      <vt:lpstr>vch305.3.6.1_30a2</vt:lpstr>
      <vt:lpstr>vch305.3.6.1_30a3</vt:lpstr>
      <vt:lpstr>vch305.3.6.1_30b1</vt:lpstr>
      <vt:lpstr>vch305.3.6.1_30b2</vt:lpstr>
      <vt:lpstr>vch305.3.6.1_3a1</vt:lpstr>
      <vt:lpstr>vch305.3.6.1_3a2</vt:lpstr>
      <vt:lpstr>vch305.3.6.1_3a3</vt:lpstr>
      <vt:lpstr>vch305.3.6.1_3b1</vt:lpstr>
      <vt:lpstr>vch305.3.6.1_3b2</vt:lpstr>
      <vt:lpstr>vch305.3.6.1_4</vt:lpstr>
      <vt:lpstr>vch305.3.6.1_4a1</vt:lpstr>
      <vt:lpstr>vch305.3.6.1_4a2</vt:lpstr>
      <vt:lpstr>vch305.3.6.1_4a3</vt:lpstr>
      <vt:lpstr>vch305.3.6.1_4b1</vt:lpstr>
      <vt:lpstr>vch305.3.6.1_4b2</vt:lpstr>
      <vt:lpstr>vch305.3.6.1_5</vt:lpstr>
      <vt:lpstr>vch305.3.6.1_5a1</vt:lpstr>
      <vt:lpstr>vch305.3.6.1_5a2</vt:lpstr>
      <vt:lpstr>vch305.3.6.1_5a3</vt:lpstr>
      <vt:lpstr>vch305.3.6.1_5b1</vt:lpstr>
      <vt:lpstr>vch305.3.6.1_5b2</vt:lpstr>
      <vt:lpstr>vch305.3.6.1_6</vt:lpstr>
      <vt:lpstr>vch305.3.6.1_6a1</vt:lpstr>
      <vt:lpstr>vch305.3.6.1_6a2</vt:lpstr>
      <vt:lpstr>vch305.3.6.1_6a3</vt:lpstr>
      <vt:lpstr>vch305.3.6.1_6b1</vt:lpstr>
      <vt:lpstr>vch305.3.6.1_6b2</vt:lpstr>
      <vt:lpstr>vch305.3.6.1_7</vt:lpstr>
      <vt:lpstr>vch305.3.6.1_7a1</vt:lpstr>
      <vt:lpstr>vch305.3.6.1_7a2</vt:lpstr>
      <vt:lpstr>vch305.3.6.1_7a3</vt:lpstr>
      <vt:lpstr>vch305.3.6.1_7b1</vt:lpstr>
      <vt:lpstr>vch305.3.6.1_7b2</vt:lpstr>
      <vt:lpstr>vch305.3.6.1_8</vt:lpstr>
      <vt:lpstr>vch305.3.6.1_8a1</vt:lpstr>
      <vt:lpstr>vch305.3.6.1_8a2</vt:lpstr>
      <vt:lpstr>vch305.3.6.1_8a3</vt:lpstr>
      <vt:lpstr>vch305.3.6.1_8b1</vt:lpstr>
      <vt:lpstr>vch305.3.6.1_8b2</vt:lpstr>
      <vt:lpstr>vch305.3.6.1_9</vt:lpstr>
      <vt:lpstr>vch305.3.6.1_9a1</vt:lpstr>
      <vt:lpstr>vch305.3.6.1_9a2</vt:lpstr>
      <vt:lpstr>vch305.3.6.1_9a3</vt:lpstr>
      <vt:lpstr>vch305.3.6.1_9b1</vt:lpstr>
      <vt:lpstr>vch305.3.6.1_9b2</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vch503_7_1</vt:lpstr>
      <vt:lpstr>vch503_7_2</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vch505_1_1</vt:lpstr>
      <vt:lpstr>vch505_1_2</vt:lpstr>
      <vt:lpstr>vch505_1_3</vt:lpstr>
      <vt:lpstr>vch505_1_4</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vch601_6</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vch605_2_2</vt:lpstr>
      <vt:lpstr>vch605_3</vt:lpstr>
      <vt:lpstr>vch605_3_2_a</vt:lpstr>
      <vt:lpstr>vch605_3_2_b</vt:lpstr>
      <vt:lpstr>vch605_3_2_c</vt:lpstr>
      <vt:lpstr>vch605_3_2_d</vt:lpstr>
      <vt:lpstr>vch605_3_2_e</vt:lpstr>
      <vt:lpstr>vch605_3_2_f</vt:lpstr>
      <vt:lpstr>vch605_3_2_g</vt:lpstr>
      <vt:lpstr>vch605_3_2_h</vt:lpstr>
      <vt:lpstr>vch605_3_2_i</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vch701_4</vt:lpstr>
      <vt:lpstr>vch701_4_0</vt:lpstr>
      <vt:lpstr>vch701_4_1</vt:lpstr>
      <vt:lpstr>vch701_4_1_1</vt:lpstr>
      <vt:lpstr>vch701_4_1_2</vt:lpstr>
      <vt:lpstr>vch701_4_2_2</vt:lpstr>
      <vt:lpstr>vch701_4_2_3</vt:lpstr>
      <vt:lpstr>vch701_4_3_1_1</vt:lpstr>
      <vt:lpstr>vch701_4_3_1_2</vt:lpstr>
      <vt:lpstr>vch701_4_3_2</vt:lpstr>
      <vt:lpstr>vch701_4_3_2_1</vt:lpstr>
      <vt:lpstr>vch701_4_3_2_1_</vt:lpstr>
      <vt:lpstr>vch701_4_3_2_2</vt:lpstr>
      <vt:lpstr>vch701_4_3_2e</vt:lpstr>
      <vt:lpstr>vch701_4_3_3_4</vt:lpstr>
      <vt:lpstr>vch701_4_3_3_5</vt:lpstr>
      <vt:lpstr>vch701_4_4_1</vt:lpstr>
      <vt:lpstr>vch701_4_4_2</vt:lpstr>
      <vt:lpstr>vch701_4_5</vt:lpstr>
      <vt:lpstr>vch701_4_6</vt:lpstr>
      <vt:lpstr>vch701_4_7</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vch901_15</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vch901_9_4</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verCool1</vt:lpstr>
      <vt:lpstr>verCool2</vt:lpstr>
      <vt:lpstr>verCool3</vt:lpstr>
      <vt:lpstr>verCounty</vt:lpstr>
      <vt:lpstr>verCToilet</vt:lpstr>
      <vt:lpstr>verDuctless</vt:lpstr>
      <vt:lpstr>verEnergyCode</vt:lpstr>
      <vt:lpstr>verError</vt:lpstr>
      <vt:lpstr>verFloors</vt:lpstr>
      <vt:lpstr>verFoundation</vt:lpstr>
      <vt:lpstr>verFuel</vt:lpstr>
      <vt:lpstr>verGoalLevel</vt:lpstr>
      <vt:lpstr>verHDucts</vt:lpstr>
      <vt:lpstr>verHERS</vt:lpstr>
      <vt:lpstr>verHomeAddress</vt:lpstr>
      <vt:lpstr>verHVAC1</vt:lpstr>
      <vt:lpstr>verHVAC2</vt:lpstr>
      <vt:lpstr>verHVAC3</vt:lpstr>
      <vt:lpstr>verLot</vt:lpstr>
      <vt:lpstr>verMandError</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verYearBuilt</vt:lpstr>
      <vt:lpstr>verZIP</vt:lpstr>
      <vt:lpstr>Vlevel</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vnt1001_1_25</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vnt305_3_5_1_1_a</vt:lpstr>
      <vt:lpstr>vnt305_3_5_1_1_c</vt:lpstr>
      <vt:lpstr>vnt305_3_5_1_1_d</vt:lpstr>
      <vt:lpstr>vnt305_3_5_1_1_e</vt:lpstr>
      <vt:lpstr>vnt305_3_5_1_1_f</vt:lpstr>
      <vt:lpstr>vnt305_3_5_1_1_g</vt:lpstr>
      <vt:lpstr>vnt305_3_5_1_2_a</vt:lpstr>
      <vt:lpstr>vnt305_3_5_1_2_c</vt:lpstr>
      <vt:lpstr>vnt305_3_5_1_2_d</vt:lpstr>
      <vt:lpstr>vnt305_3_5_1_2_e</vt:lpstr>
      <vt:lpstr>vnt305_3_5_1_2_f</vt:lpstr>
      <vt:lpstr>vnt305_3_5_1_2_g</vt:lpstr>
      <vt:lpstr>vnt305.3.6.1_1</vt:lpstr>
      <vt:lpstr>vnt305.3.6.1_10</vt:lpstr>
      <vt:lpstr>vnt305.3.6.1_11</vt:lpstr>
      <vt:lpstr>vnt305.3.6.1_12</vt:lpstr>
      <vt:lpstr>vnt305.3.6.1_13</vt:lpstr>
      <vt:lpstr>vnt305.3.6.1_14</vt:lpstr>
      <vt:lpstr>vnt305.3.6.1_15</vt:lpstr>
      <vt:lpstr>vnt305.3.6.1_16</vt:lpstr>
      <vt:lpstr>vnt305.3.6.1_17</vt:lpstr>
      <vt:lpstr>vnt305.3.6.1_18</vt:lpstr>
      <vt:lpstr>vnt305.3.6.1_19</vt:lpstr>
      <vt:lpstr>vnt305.3.6.1_2</vt:lpstr>
      <vt:lpstr>vnt305.3.6.1_20</vt:lpstr>
      <vt:lpstr>vnt305.3.6.1_21</vt:lpstr>
      <vt:lpstr>vnt305.3.6.1_22</vt:lpstr>
      <vt:lpstr>vnt305.3.6.1_23</vt:lpstr>
      <vt:lpstr>vnt305.3.6.1_24</vt:lpstr>
      <vt:lpstr>vnt305.3.6.1_25</vt:lpstr>
      <vt:lpstr>vnt305.3.6.1_26</vt:lpstr>
      <vt:lpstr>vnt305.3.6.1_27</vt:lpstr>
      <vt:lpstr>vnt305.3.6.1_28</vt:lpstr>
      <vt:lpstr>vnt305.3.6.1_29</vt:lpstr>
      <vt:lpstr>vnt305.3.6.1_3</vt:lpstr>
      <vt:lpstr>vnt305.3.6.1_30</vt:lpstr>
      <vt:lpstr>vnt305.3.6.1_4</vt:lpstr>
      <vt:lpstr>vnt305.3.6.1_5</vt:lpstr>
      <vt:lpstr>vnt305.3.6.1_6</vt:lpstr>
      <vt:lpstr>vnt305.3.6.1_7</vt:lpstr>
      <vt:lpstr>vnt305.3.6.1_8</vt:lpstr>
      <vt:lpstr>vnt305.3.6.1_9</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vnt505_1_1</vt:lpstr>
      <vt:lpstr>vnt505_1_2</vt:lpstr>
      <vt:lpstr>vnt505_1_3</vt:lpstr>
      <vt:lpstr>vnt505_1_4</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vnt605_3_2_a</vt:lpstr>
      <vt:lpstr>vnt605_3_2_h</vt:lpstr>
      <vt:lpstr>vnt605_3_2_i</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vnt701_4</vt:lpstr>
      <vt:lpstr>vnt701_4_0</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vnt701_4_6</vt:lpstr>
      <vt:lpstr>vnt701_4_7</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vnt901_15</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vnt901_9_4</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vpa501_2_1</vt:lpstr>
      <vt:lpstr>vpa501_2_2</vt:lpstr>
      <vt:lpstr>vpa501_2_3</vt:lpstr>
      <vt:lpstr>vpa501_2_4</vt:lpstr>
      <vt:lpstr>vpa501_2_5</vt:lpstr>
      <vt:lpstr>vpa501_2_5_a</vt:lpstr>
      <vt:lpstr>vpa501_2_5_b</vt:lpstr>
      <vt:lpstr>vpa501_2_5_c</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vpa503_4_2_a</vt:lpstr>
      <vt:lpstr>vpa503_4_2_b</vt:lpstr>
      <vt:lpstr>vpa503_4_2_c</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vpa505_1_1</vt:lpstr>
      <vt:lpstr>vpa505_1_2</vt:lpstr>
      <vt:lpstr>vpa505_1_3_a</vt:lpstr>
      <vt:lpstr>vpa505_1_3_b</vt:lpstr>
      <vt:lpstr>vpa505_1_3_c</vt:lpstr>
      <vt:lpstr>vpa505_1_4_a</vt:lpstr>
      <vt:lpstr>vpa505_1_4_b</vt:lpstr>
      <vt:lpstr>vpa505_1_4_c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vt:lpstr>
      <vt:lpstr>vpa701_4_0</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vpa701_4_6</vt:lpstr>
      <vt:lpstr>vpa701_4_7</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vpa901_15</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vpa901_9_4</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vpc503_7_1</vt:lpstr>
      <vt:lpstr>vpc503_7_2</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vpc505_1_1</vt:lpstr>
      <vt:lpstr>vpc505_1_2</vt:lpstr>
      <vt:lpstr>vpc505_1_3</vt:lpstr>
      <vt:lpstr>vpc505_1_4</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vpc601_6</vt:lpstr>
      <vt:lpstr>vpc601_7</vt:lpstr>
      <vt:lpstr>vpc601_8</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Vpoints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